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sheetId="1" r:id="rId4"/>
    <sheet state="visible" name="Rules" sheetId="2" r:id="rId5"/>
    <sheet state="visible" name="Standings" sheetId="3" r:id="rId6"/>
    <sheet state="visible" name="Draft Board" sheetId="4" r:id="rId7"/>
    <sheet state="visible" name="Teams" sheetId="5" r:id="rId8"/>
    <sheet state="visible" name="Schedule" sheetId="6" r:id="rId9"/>
    <sheet state="visible" name="Stats" sheetId="7" r:id="rId10"/>
    <sheet state="visible" name="Leaderboard" sheetId="8" r:id="rId11"/>
    <sheet state="visible" name="Playoff Schedule" sheetId="9" r:id="rId12"/>
    <sheet state="visible" name="Playoff Stats" sheetId="10" r:id="rId13"/>
    <sheet state="hidden" name="Playoffs" sheetId="11" r:id="rId14"/>
    <sheet state="hidden" name="Drought" sheetId="12" r:id="rId15"/>
    <sheet state="visible" name="Source" sheetId="13" r:id="rId16"/>
    <sheet state="visible" name="Data" sheetId="14" r:id="rId17"/>
    <sheet state="hidden" name="Drought Stats" sheetId="15" r:id="rId18"/>
    <sheet state="visible" name="Pokedex" sheetId="16" r:id="rId19"/>
  </sheets>
  <definedNames>
    <definedName hidden="1" localSheetId="12" name="_xlnm._FilterDatabase">Source!$B$1:$C$1285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25">
      <text>
        <t xml:space="preserve">Only Chest Forme</t>
      </text>
    </comment>
    <comment authorId="0" ref="B681">
      <text>
        <t xml:space="preserve">All 3 Formes</t>
      </text>
    </comment>
    <comment authorId="0" ref="B679">
      <text>
        <t xml:space="preserve">Temporary (Depends if similar to Melmetal)</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Pokédex Number.</t>
      </text>
    </comment>
    <comment authorId="0" ref="G1">
      <text>
        <t xml:space="preserve">Points Cost.</t>
      </text>
    </comment>
    <comment authorId="0" ref="H1">
      <text>
        <t xml:space="preserve">Sprite.</t>
      </text>
    </comment>
    <comment authorId="0" ref="L1">
      <text>
        <t xml:space="preserve">Hitpoints.</t>
      </text>
    </comment>
    <comment authorId="0" ref="M1">
      <text>
        <t xml:space="preserve">Attack.</t>
      </text>
    </comment>
    <comment authorId="0" ref="N1">
      <text>
        <t xml:space="preserve">Defence.</t>
      </text>
    </comment>
    <comment authorId="0" ref="O1">
      <text>
        <t xml:space="preserve">Special Attack.</t>
      </text>
    </comment>
    <comment authorId="0" ref="P1">
      <text>
        <t xml:space="preserve">Special Defence.</t>
      </text>
    </comment>
    <comment authorId="0" ref="Q1">
      <text>
        <t xml:space="preserve">Speed.</t>
      </text>
    </comment>
    <comment authorId="0" ref="R1">
      <text>
        <t xml:space="preserve">0 Speed EVs.</t>
      </text>
    </comment>
    <comment authorId="0" ref="S1">
      <text>
        <t xml:space="preserve">252 Speed EVs.</t>
      </text>
    </comment>
    <comment authorId="0" ref="T1">
      <text>
        <t xml:space="preserve">252 Speed EVs and Speed Boosting Nature.</t>
      </text>
    </comment>
  </commentList>
</comments>
</file>

<file path=xl/sharedStrings.xml><?xml version="1.0" encoding="utf-8"?>
<sst xmlns="http://schemas.openxmlformats.org/spreadsheetml/2006/main" count="14797" uniqueCount="4209">
  <si>
    <t>x</t>
  </si>
  <si>
    <t>Scarlet Violet Pokemon Draft League</t>
  </si>
  <si>
    <t>Drizzle Standings</t>
  </si>
  <si>
    <t>WPF Weather Division Rules</t>
  </si>
  <si>
    <t>Year 1</t>
  </si>
  <si>
    <t>League Rules</t>
  </si>
  <si>
    <t># 1</t>
  </si>
  <si>
    <t>🟍 The season will be 7 weeks. You will play your divison twice and the other divison once.</t>
  </si>
  <si>
    <t># 2</t>
  </si>
  <si>
    <t>🟍 All matches must be played in the "[Gen 9] VGC 2023 Series 2" format.</t>
  </si>
  <si>
    <t># 3</t>
  </si>
  <si>
    <t>🟍 Any additional questions may be asked in the Pokemon League Discord. Please @authorzed.</t>
  </si>
  <si>
    <t>Drafting Rules</t>
  </si>
  <si>
    <t>🟍 Drafting will be the standard snake style, from 1-6 then again from 6 back to 1.</t>
  </si>
  <si>
    <t xml:space="preserve">🟍 Coaches have 70 points to draft 9-10 pokemon on their team. </t>
  </si>
  <si>
    <t>🟍 Species clause is in effect: You may not draft 2 pokemon of the same species (Ex: two Rotoms, Aegislash &amp; Doublade, Mega Scizor &amp; Scizor)</t>
  </si>
  <si>
    <t>🟍 There will be a 24 hour grace period that starts immediately after the draft concludes.</t>
  </si>
  <si>
    <t>Season Rules</t>
  </si>
  <si>
    <t>🟍 Coaches are allowed 5 FA transactions throughout the season once the grace period has concluded. Coach to coach trades are infinite.</t>
  </si>
  <si>
    <t>🟍 Coaches are no longer able to use FA transactions after week 7 has concluded. Rosters become frozen before playoffs.</t>
  </si>
  <si>
    <t>🟍 The top 6 teams at the end of the regular season will progress to playoffs.</t>
  </si>
  <si>
    <t># 4</t>
  </si>
  <si>
    <t>🟍 When determining playoff seeding, the following measure will be used: Series Wins&gt;Game Wins&gt;Differential&gt;
Head-to-Head&gt;Strength of Schedule.</t>
  </si>
  <si>
    <t>Battle Rules</t>
  </si>
  <si>
    <t>🟍 Battles are to be done every other week. Please coordinate with you opponet for the week through text or discord.</t>
  </si>
  <si>
    <t>🟍 All matches are best of three, with open team sheets.</t>
  </si>
  <si>
    <t>🟍 All pokemon will be set to level 50.</t>
  </si>
  <si>
    <t>🟍 Item clause is in effect for all battles. Berserk Gene, non-normal gems, mega stones, and Z-Crystals are banned.</t>
  </si>
  <si>
    <t># 5</t>
  </si>
  <si>
    <t>🟍 Battle timer may be turned on by either coach for any reason. That coach is under no obligation to turn off timer unless their opponent disconnects unexpectantly. If this should happen, contact an online mod who will make the timer decision on your behalf.</t>
  </si>
  <si>
    <t>vol</t>
  </si>
  <si>
    <t>Coach 1</t>
  </si>
  <si>
    <t>Banned</t>
  </si>
  <si>
    <t>25 Points</t>
  </si>
  <si>
    <t>DZ</t>
  </si>
  <si>
    <t>W/L</t>
  </si>
  <si>
    <t>Diff</t>
  </si>
  <si>
    <t>DO</t>
  </si>
  <si>
    <t>Coach 2</t>
  </si>
  <si>
    <t>24 Points</t>
  </si>
  <si>
    <t>23 Points</t>
  </si>
  <si>
    <t>22 Points</t>
  </si>
  <si>
    <t>21 Points</t>
  </si>
  <si>
    <t>20 Points</t>
  </si>
  <si>
    <t>19 Points</t>
  </si>
  <si>
    <t>15 Points</t>
  </si>
  <si>
    <t>13 Points</t>
  </si>
  <si>
    <t>12 Points</t>
  </si>
  <si>
    <t>10 Points</t>
  </si>
  <si>
    <t>9 Points</t>
  </si>
  <si>
    <t>8 Points</t>
  </si>
  <si>
    <t>6 Points</t>
  </si>
  <si>
    <t>5 Points</t>
  </si>
  <si>
    <t>Week 1</t>
  </si>
  <si>
    <t>4 Points</t>
  </si>
  <si>
    <t>3 Points</t>
  </si>
  <si>
    <t>1 Points</t>
  </si>
  <si>
    <t>Gholdengo</t>
  </si>
  <si>
    <t>Annihilape</t>
  </si>
  <si>
    <t>Sylveon</t>
  </si>
  <si>
    <t>Dick Hansen</t>
  </si>
  <si>
    <t>Murkrow</t>
  </si>
  <si>
    <t>Ian Heslin</t>
  </si>
  <si>
    <t>Hydreigon</t>
  </si>
  <si>
    <t>Dondozo</t>
  </si>
  <si>
    <t>Ryan Tidey</t>
  </si>
  <si>
    <t>Tyler Gottfredsen</t>
  </si>
  <si>
    <t>Paldean Tauros (Fire)</t>
  </si>
  <si>
    <t>Week 2</t>
  </si>
  <si>
    <t>Maushold</t>
  </si>
  <si>
    <t>Kingambit</t>
  </si>
  <si>
    <t>Meowscarada</t>
  </si>
  <si>
    <t>Amoonguss</t>
  </si>
  <si>
    <t>Arceus</t>
  </si>
  <si>
    <t>Tatsugiri</t>
  </si>
  <si>
    <t>Kilowattrel</t>
  </si>
  <si>
    <t>Armarouge</t>
  </si>
  <si>
    <t>Volcarona</t>
  </si>
  <si>
    <t>Garchomp</t>
  </si>
  <si>
    <t>Gengar</t>
  </si>
  <si>
    <t>Dragonite</t>
  </si>
  <si>
    <t>Zach VanSickle</t>
  </si>
  <si>
    <t>Week 3</t>
  </si>
  <si>
    <t>Farigiraf</t>
  </si>
  <si>
    <t>Indeedee-Female</t>
  </si>
  <si>
    <t>Pelipper</t>
  </si>
  <si>
    <t>Arcanine</t>
  </si>
  <si>
    <t>Azumarill</t>
  </si>
  <si>
    <t>Gallade</t>
  </si>
  <si>
    <t>Quaquaval</t>
  </si>
  <si>
    <t>Skeledirge</t>
  </si>
  <si>
    <t>Palafin</t>
  </si>
  <si>
    <t>Mimikyu</t>
  </si>
  <si>
    <t>Hariyama</t>
  </si>
  <si>
    <t>Baxcalibur</t>
  </si>
  <si>
    <t>Arboliva</t>
  </si>
  <si>
    <t>Gastrodon</t>
  </si>
  <si>
    <t>Pawmot</t>
  </si>
  <si>
    <t>Gothitelle</t>
  </si>
  <si>
    <t>Oranguru</t>
  </si>
  <si>
    <t>Week 4</t>
  </si>
  <si>
    <t>Talonflame</t>
  </si>
  <si>
    <t>Garganacl</t>
  </si>
  <si>
    <t>Dragapult</t>
  </si>
  <si>
    <t>Lycanroc-Dusk</t>
  </si>
  <si>
    <t>Scizor</t>
  </si>
  <si>
    <t>Orthworm</t>
  </si>
  <si>
    <t>Tyranitar</t>
  </si>
  <si>
    <t>Cetitan</t>
  </si>
  <si>
    <t>Slaking</t>
  </si>
  <si>
    <t>Raichu</t>
  </si>
  <si>
    <t>Jolteon</t>
  </si>
  <si>
    <t>Torkoal</t>
  </si>
  <si>
    <t>Lycanroc-Midday</t>
  </si>
  <si>
    <t>Salamence</t>
  </si>
  <si>
    <t>Grafaiai</t>
  </si>
  <si>
    <t>Mudsdale</t>
  </si>
  <si>
    <t>Espathra</t>
  </si>
  <si>
    <t>Chansey</t>
  </si>
  <si>
    <t>Pachirisu</t>
  </si>
  <si>
    <t>Abomasnow</t>
  </si>
  <si>
    <t>Magnezone</t>
  </si>
  <si>
    <t>Toxtricity</t>
  </si>
  <si>
    <t>Rotom-Frost</t>
  </si>
  <si>
    <t>Lilligant</t>
  </si>
  <si>
    <t>Azurill</t>
  </si>
  <si>
    <t>Toxapex</t>
  </si>
  <si>
    <t>Magikarp</t>
  </si>
  <si>
    <t>Camerupt</t>
  </si>
  <si>
    <t>Staraptor</t>
  </si>
  <si>
    <t>Flamigo</t>
  </si>
  <si>
    <t>Gulpin</t>
  </si>
  <si>
    <t>Jackson McLoughlin</t>
  </si>
  <si>
    <t>1 FAs</t>
  </si>
  <si>
    <t>4 FAs</t>
  </si>
  <si>
    <t>5 FAs</t>
  </si>
  <si>
    <t>3 FAs</t>
  </si>
  <si>
    <t>Week 5</t>
  </si>
  <si>
    <t xml:space="preserve"> 2 FAs</t>
  </si>
  <si>
    <t>W</t>
  </si>
  <si>
    <t>L</t>
  </si>
  <si>
    <t>Coach</t>
  </si>
  <si>
    <t>Skips</t>
  </si>
  <si>
    <t>Timer</t>
  </si>
  <si>
    <t>Week 6</t>
  </si>
  <si>
    <t>Week 7</t>
  </si>
  <si>
    <t>f</t>
  </si>
  <si>
    <t>Unsorted Total</t>
  </si>
  <si>
    <t>K</t>
  </si>
  <si>
    <t>D</t>
  </si>
  <si>
    <t>#</t>
  </si>
  <si>
    <t>Team</t>
  </si>
  <si>
    <t>Pokemon</t>
  </si>
  <si>
    <t>G.P.</t>
  </si>
  <si>
    <t>ZV</t>
  </si>
  <si>
    <t>Differential</t>
  </si>
  <si>
    <t>calyrex-ice</t>
  </si>
  <si>
    <t>Calyrex-Ice</t>
  </si>
  <si>
    <t>-</t>
  </si>
  <si>
    <t>X</t>
  </si>
  <si>
    <t>calyrex-shadow</t>
  </si>
  <si>
    <t>Calyrex-Shadow</t>
  </si>
  <si>
    <t>Games Won</t>
  </si>
  <si>
    <t>Winner's Round 1</t>
  </si>
  <si>
    <t>kilowattrel</t>
  </si>
  <si>
    <t>TG</t>
  </si>
  <si>
    <t>Winner's Round 2</t>
  </si>
  <si>
    <t>farigiraf</t>
  </si>
  <si>
    <t>Replays</t>
  </si>
  <si>
    <t>Loser's Round 1</t>
  </si>
  <si>
    <t>dialga</t>
  </si>
  <si>
    <t>Dialga</t>
  </si>
  <si>
    <t>JM</t>
  </si>
  <si>
    <t>Loser's Round 2</t>
  </si>
  <si>
    <t>Series Outcome</t>
  </si>
  <si>
    <t>Winner's Round 3</t>
  </si>
  <si>
    <t>Loser's Finals</t>
  </si>
  <si>
    <t>quaquaval</t>
  </si>
  <si>
    <t>Winner's Finals</t>
  </si>
  <si>
    <t>IH</t>
  </si>
  <si>
    <t>arboliva</t>
  </si>
  <si>
    <t>garganacl</t>
  </si>
  <si>
    <t>cetitan</t>
  </si>
  <si>
    <t>RT</t>
  </si>
  <si>
    <t>salamence</t>
  </si>
  <si>
    <t>abomasnow</t>
  </si>
  <si>
    <t>toxapex</t>
  </si>
  <si>
    <t>annihilape</t>
  </si>
  <si>
    <t>maushold</t>
  </si>
  <si>
    <t>armarouge</t>
  </si>
  <si>
    <t>skeledirge</t>
  </si>
  <si>
    <t>eternatus</t>
  </si>
  <si>
    <t>Eternatus</t>
  </si>
  <si>
    <t>gastrodon</t>
  </si>
  <si>
    <t>dragapult</t>
  </si>
  <si>
    <t>slaking</t>
  </si>
  <si>
    <t>grafaiai</t>
  </si>
  <si>
    <t>magnezone</t>
  </si>
  <si>
    <t>magikarp</t>
  </si>
  <si>
    <t>sylveon</t>
  </si>
  <si>
    <t>giratina</t>
  </si>
  <si>
    <t>Giratina</t>
  </si>
  <si>
    <t>kingambit</t>
  </si>
  <si>
    <t>volcarona</t>
  </si>
  <si>
    <t>pelipper</t>
  </si>
  <si>
    <t>Loser's Final</t>
  </si>
  <si>
    <t>palafin</t>
  </si>
  <si>
    <t>Winner's Final</t>
  </si>
  <si>
    <t>giratina-origin</t>
  </si>
  <si>
    <t>Giratina-Origin</t>
  </si>
  <si>
    <t>pawmot</t>
  </si>
  <si>
    <t>lycanroc-dusk</t>
  </si>
  <si>
    <t>groudon</t>
  </si>
  <si>
    <t>Groudon</t>
  </si>
  <si>
    <t>raichu</t>
  </si>
  <si>
    <t>mudsdale</t>
  </si>
  <si>
    <t>groudon-primal</t>
  </si>
  <si>
    <t>Groudon-Primal</t>
  </si>
  <si>
    <t>DH</t>
  </si>
  <si>
    <t>toxtricity</t>
  </si>
  <si>
    <t>camerupt</t>
  </si>
  <si>
    <t>hooh</t>
  </si>
  <si>
    <t>Ho-Oh</t>
  </si>
  <si>
    <t>murkrow</t>
  </si>
  <si>
    <t>meowscarada</t>
  </si>
  <si>
    <t>kyogre</t>
  </si>
  <si>
    <t>Kyogre</t>
  </si>
  <si>
    <t>garchomp</t>
  </si>
  <si>
    <t>arcanine</t>
  </si>
  <si>
    <t>mimikyu</t>
  </si>
  <si>
    <t>gothitelle</t>
  </si>
  <si>
    <t>scizor</t>
  </si>
  <si>
    <t>jolteon</t>
  </si>
  <si>
    <t>kyogre-primal</t>
  </si>
  <si>
    <t>Kyogre-Primal</t>
  </si>
  <si>
    <t>espathra</t>
  </si>
  <si>
    <t>rotom-frost</t>
  </si>
  <si>
    <t>staraptor</t>
  </si>
  <si>
    <t>hydreigon</t>
  </si>
  <si>
    <t>amoonguss</t>
  </si>
  <si>
    <t>gengar</t>
  </si>
  <si>
    <t>azumarill</t>
  </si>
  <si>
    <t>kyurem-black</t>
  </si>
  <si>
    <t>Kyurem-Black</t>
  </si>
  <si>
    <t>hariyama</t>
  </si>
  <si>
    <t>oranguru</t>
  </si>
  <si>
    <t>orthworm</t>
  </si>
  <si>
    <t>kyurem-white</t>
  </si>
  <si>
    <t>Kyurem-White</t>
  </si>
  <si>
    <t>torkoal</t>
  </si>
  <si>
    <t>chansey</t>
  </si>
  <si>
    <t>lilligant</t>
  </si>
  <si>
    <t>flamigo</t>
  </si>
  <si>
    <t>lugia</t>
  </si>
  <si>
    <t>Lugia</t>
  </si>
  <si>
    <t>dondozo</t>
  </si>
  <si>
    <t>tatsugiri</t>
  </si>
  <si>
    <t>lunala</t>
  </si>
  <si>
    <t>Lunala</t>
  </si>
  <si>
    <t>dragonite</t>
  </si>
  <si>
    <t>gallade</t>
  </si>
  <si>
    <t>baxcalibur</t>
  </si>
  <si>
    <t>Glimmora</t>
  </si>
  <si>
    <t>talonflame</t>
  </si>
  <si>
    <t>magearna</t>
  </si>
  <si>
    <t>Magearna</t>
  </si>
  <si>
    <t>tyranitar</t>
  </si>
  <si>
    <t>pachirisu</t>
  </si>
  <si>
    <t>mewtwo</t>
  </si>
  <si>
    <t>Mewtwo</t>
  </si>
  <si>
    <t>azurill</t>
  </si>
  <si>
    <t>gulpin</t>
  </si>
  <si>
    <t>Mewtwo-Mega X</t>
  </si>
  <si>
    <t>Mewtwo-Mega Y</t>
  </si>
  <si>
    <t>necrozma-dawnwings</t>
  </si>
  <si>
    <t>Necrozma-Dawn</t>
  </si>
  <si>
    <t>necrozma-duskmane</t>
  </si>
  <si>
    <t>Necrozma-Dusk</t>
  </si>
  <si>
    <t>necrozma-ultra</t>
  </si>
  <si>
    <t>Necrozma-Ultra</t>
  </si>
  <si>
    <t>palkia</t>
  </si>
  <si>
    <t>Palkia</t>
  </si>
  <si>
    <t>rayquaza</t>
  </si>
  <si>
    <t>Rayquaza</t>
  </si>
  <si>
    <t>reshiram</t>
  </si>
  <si>
    <t>Reshiram</t>
  </si>
  <si>
    <t>solgaleo</t>
  </si>
  <si>
    <t>Solgaleo</t>
  </si>
  <si>
    <t>xerneas</t>
  </si>
  <si>
    <t>Xerneas</t>
  </si>
  <si>
    <t>yveltal</t>
  </si>
  <si>
    <t>Yveltal</t>
  </si>
  <si>
    <t>zacian</t>
  </si>
  <si>
    <t>Zacian</t>
  </si>
  <si>
    <t>Zacian-C</t>
  </si>
  <si>
    <t>zamazenta</t>
  </si>
  <si>
    <t>Zamazenta</t>
  </si>
  <si>
    <t>Zamazenta-C</t>
  </si>
  <si>
    <t>zekrom</t>
  </si>
  <si>
    <t>Zekrom</t>
  </si>
  <si>
    <t>Zygarde-C</t>
  </si>
  <si>
    <t xml:space="preserve"> </t>
  </si>
  <si>
    <t>Bronzong</t>
  </si>
  <si>
    <t>Hatterene</t>
  </si>
  <si>
    <t>Ceruledge</t>
  </si>
  <si>
    <t>Rotom-Heat</t>
  </si>
  <si>
    <t>Dachsbun</t>
  </si>
  <si>
    <t>WPF Season 12 Playoffs: Drizzle</t>
  </si>
  <si>
    <t>WPF Season 12 Playoffs: Drought</t>
  </si>
  <si>
    <t>Quarterfinals</t>
  </si>
  <si>
    <t>Seed 1</t>
  </si>
  <si>
    <t>Vs</t>
  </si>
  <si>
    <t>Seed 8</t>
  </si>
  <si>
    <t>Seed 4</t>
  </si>
  <si>
    <t>Seed 5</t>
  </si>
  <si>
    <t>Seed 2</t>
  </si>
  <si>
    <t>Seed 7</t>
  </si>
  <si>
    <t>Seed 3</t>
  </si>
  <si>
    <t>Seed 6</t>
  </si>
  <si>
    <t>ro</t>
  </si>
  <si>
    <t>no zard y only torkoal</t>
  </si>
  <si>
    <t>Replay</t>
  </si>
  <si>
    <t>Coach Name</t>
  </si>
  <si>
    <t>Team Name</t>
  </si>
  <si>
    <t>Abv</t>
  </si>
  <si>
    <t>TZ</t>
  </si>
  <si>
    <t>Logo</t>
  </si>
  <si>
    <t>Record</t>
  </si>
  <si>
    <t>Drizzle Schedule</t>
  </si>
  <si>
    <t>Draft Data</t>
  </si>
  <si>
    <t>Semifinals</t>
  </si>
  <si>
    <t>Drizzle</t>
  </si>
  <si>
    <t>T1</t>
  </si>
  <si>
    <t>T2</t>
  </si>
  <si>
    <t>Week</t>
  </si>
  <si>
    <t>Player 1</t>
  </si>
  <si>
    <t>Player 2</t>
  </si>
  <si>
    <t>Division</t>
  </si>
  <si>
    <t>Player Name</t>
  </si>
  <si>
    <t>Speed</t>
  </si>
  <si>
    <t>Jackson's Team</t>
  </si>
  <si>
    <t>CST</t>
  </si>
  <si>
    <t>vs</t>
  </si>
  <si>
    <t>Zach's Team</t>
  </si>
  <si>
    <t>Dick's Team</t>
  </si>
  <si>
    <t>EST</t>
  </si>
  <si>
    <t>Ian's Team</t>
  </si>
  <si>
    <t>Ryan's Team</t>
  </si>
  <si>
    <t>Tyler's Team</t>
  </si>
  <si>
    <t>Grimmsnarl</t>
  </si>
  <si>
    <t>2 FAs</t>
  </si>
  <si>
    <t>Indeedee-Male</t>
  </si>
  <si>
    <t>Paldean Tauros (Water)</t>
  </si>
  <si>
    <t>Paldean Tauros</t>
  </si>
  <si>
    <t>Rotom-Wash</t>
  </si>
  <si>
    <t>Finals</t>
  </si>
  <si>
    <t>Champion:</t>
  </si>
  <si>
    <t>Scribls</t>
  </si>
  <si>
    <t>Team Name:</t>
  </si>
  <si>
    <t>Colorado Cobalions</t>
  </si>
  <si>
    <t>Flap</t>
  </si>
  <si>
    <t>Bedtime Bidoofs</t>
  </si>
  <si>
    <t>Gyarados</t>
  </si>
  <si>
    <t>Breloom</t>
  </si>
  <si>
    <t>Tinkaton</t>
  </si>
  <si>
    <t>Gardevoir</t>
  </si>
  <si>
    <t>Jumpluff</t>
  </si>
  <si>
    <t>Corviknight</t>
  </si>
  <si>
    <t>Drizzle Playoffs</t>
  </si>
  <si>
    <t>WR1</t>
  </si>
  <si>
    <t>Drednaw</t>
  </si>
  <si>
    <t>Bellibolt</t>
  </si>
  <si>
    <t>WR2</t>
  </si>
  <si>
    <t>Clodsire</t>
  </si>
  <si>
    <t>Salazzle</t>
  </si>
  <si>
    <t>LR1</t>
  </si>
  <si>
    <t>Cryogonal</t>
  </si>
  <si>
    <t>Tsareena</t>
  </si>
  <si>
    <t>LR2</t>
  </si>
  <si>
    <t>Barraskewda</t>
  </si>
  <si>
    <t>Violet</t>
  </si>
  <si>
    <t>Standings</t>
  </si>
  <si>
    <t>Series W/L</t>
  </si>
  <si>
    <t>Vaporeon</t>
  </si>
  <si>
    <t>Games</t>
  </si>
  <si>
    <t>Sorted</t>
  </si>
  <si>
    <t>Coach Info</t>
  </si>
  <si>
    <t>WR3</t>
  </si>
  <si>
    <t>Floatzel</t>
  </si>
  <si>
    <t>G</t>
  </si>
  <si>
    <t>Avalugg</t>
  </si>
  <si>
    <t>LF</t>
  </si>
  <si>
    <t>WF</t>
  </si>
  <si>
    <t>Sableye</t>
  </si>
  <si>
    <t>Toedscruel</t>
  </si>
  <si>
    <t>Houndstone</t>
  </si>
  <si>
    <t>Weavile</t>
  </si>
  <si>
    <t>Noivern</t>
  </si>
  <si>
    <t>Slowking</t>
  </si>
  <si>
    <t>Drifblim</t>
  </si>
  <si>
    <t>Goodra</t>
  </si>
  <si>
    <t>Rabsca</t>
  </si>
  <si>
    <t>Cyclizar</t>
  </si>
  <si>
    <t>Coalossal</t>
  </si>
  <si>
    <t>Scovillain</t>
  </si>
  <si>
    <t>Brambleghast</t>
  </si>
  <si>
    <t>Rotom-Mow</t>
  </si>
  <si>
    <t>Dragalge</t>
  </si>
  <si>
    <t>Gothorita</t>
  </si>
  <si>
    <t>Dudunsparce</t>
  </si>
  <si>
    <t>Spiritomb</t>
  </si>
  <si>
    <t>Donphan</t>
  </si>
  <si>
    <t>Mismagius</t>
  </si>
  <si>
    <t>Beartic</t>
  </si>
  <si>
    <t>Klefki</t>
  </si>
  <si>
    <t>Krookodile</t>
  </si>
  <si>
    <t>Hippowdon</t>
  </si>
  <si>
    <t>Bisharp</t>
  </si>
  <si>
    <t>Vivillon</t>
  </si>
  <si>
    <t>Hawlucha</t>
  </si>
  <si>
    <t>Umbreon</t>
  </si>
  <si>
    <t>Haxorus</t>
  </si>
  <si>
    <t>Mabosstiff</t>
  </si>
  <si>
    <t>Slowbro</t>
  </si>
  <si>
    <t>Sneasel</t>
  </si>
  <si>
    <t>Braviary</t>
  </si>
  <si>
    <t>Copperajah</t>
  </si>
  <si>
    <t>Venomoth</t>
  </si>
  <si>
    <t>Lucario</t>
  </si>
  <si>
    <t>Toxicroak</t>
  </si>
  <si>
    <t>Passimian</t>
  </si>
  <si>
    <t>Bruxish</t>
  </si>
  <si>
    <t>Dugtrio</t>
  </si>
  <si>
    <t>Scyther</t>
  </si>
  <si>
    <t>Qwilfish</t>
  </si>
  <si>
    <t>Ursaring</t>
  </si>
  <si>
    <t>Blissey</t>
  </si>
  <si>
    <t>Luxray</t>
  </si>
  <si>
    <t>Froslass</t>
  </si>
  <si>
    <t>Zoroark</t>
  </si>
  <si>
    <t>Medicham</t>
  </si>
  <si>
    <t>Espeon</t>
  </si>
  <si>
    <t>Honchkrow</t>
  </si>
  <si>
    <t>Rotom-Fan</t>
  </si>
  <si>
    <t>Foongus</t>
  </si>
  <si>
    <t>Fletchinder</t>
  </si>
  <si>
    <t>Florges</t>
  </si>
  <si>
    <t>Clawitzer</t>
  </si>
  <si>
    <t>Palossand</t>
  </si>
  <si>
    <t>Flapple</t>
  </si>
  <si>
    <t>Appletun</t>
  </si>
  <si>
    <t>Polteageist</t>
  </si>
  <si>
    <t>Morgrem</t>
  </si>
  <si>
    <t>Lokix</t>
  </si>
  <si>
    <t>Revavroom</t>
  </si>
  <si>
    <t>Toedscool</t>
  </si>
  <si>
    <t>Golduck</t>
  </si>
  <si>
    <t>Primeape</t>
  </si>
  <si>
    <t>Muk</t>
  </si>
  <si>
    <t>Cloyster</t>
  </si>
  <si>
    <t>Electrode</t>
  </si>
  <si>
    <t>Ditto</t>
  </si>
  <si>
    <t>Girafarig</t>
  </si>
  <si>
    <t>Rotom</t>
  </si>
  <si>
    <t>Eelektross</t>
  </si>
  <si>
    <t>Crabominable</t>
  </si>
  <si>
    <t>Sandaconda</t>
  </si>
  <si>
    <t>Pincurchin</t>
  </si>
  <si>
    <t>Bombirdier</t>
  </si>
  <si>
    <t>Pikachu</t>
  </si>
  <si>
    <t>Wigglytuff</t>
  </si>
  <si>
    <t>Persian</t>
  </si>
  <si>
    <t>Haunter</t>
  </si>
  <si>
    <t>Dunsparce</t>
  </si>
  <si>
    <t>Houndoom</t>
  </si>
  <si>
    <t>Stantler</t>
  </si>
  <si>
    <t>Riolu</t>
  </si>
  <si>
    <t>Falinks</t>
  </si>
  <si>
    <t>Frosmoth</t>
  </si>
  <si>
    <t>Drakloak</t>
  </si>
  <si>
    <t>Veluza</t>
  </si>
  <si>
    <t>Squawkabilly</t>
  </si>
  <si>
    <t>Klawf</t>
  </si>
  <si>
    <t>Magneton</t>
  </si>
  <si>
    <t>Hypno</t>
  </si>
  <si>
    <t>Masquerain</t>
  </si>
  <si>
    <t>Zangoose</t>
  </si>
  <si>
    <t>Glalie</t>
  </si>
  <si>
    <t>Skuntank</t>
  </si>
  <si>
    <t>Lumineon</t>
  </si>
  <si>
    <t>Fletchling</t>
  </si>
  <si>
    <t>Oricorio</t>
  </si>
  <si>
    <t>Lurantis</t>
  </si>
  <si>
    <t>Eiscue</t>
  </si>
  <si>
    <t>Oinkologne</t>
  </si>
  <si>
    <t>Naclstack</t>
  </si>
  <si>
    <t>Venonat</t>
  </si>
  <si>
    <t>Flareon</t>
  </si>
  <si>
    <t>Pichu</t>
  </si>
  <si>
    <t>Ampharos</t>
  </si>
  <si>
    <t>Skiploom</t>
  </si>
  <si>
    <t>Forretress</t>
  </si>
  <si>
    <t>Delibird</t>
  </si>
  <si>
    <t>Swalot</t>
  </si>
  <si>
    <t>Cacturne</t>
  </si>
  <si>
    <t>Seviper</t>
  </si>
  <si>
    <t>Luxio</t>
  </si>
  <si>
    <t>Leafeon</t>
  </si>
  <si>
    <t>Glaceon</t>
  </si>
  <si>
    <t>Basculin</t>
  </si>
  <si>
    <t>Gothita</t>
  </si>
  <si>
    <t>Sawsbuck</t>
  </si>
  <si>
    <t>Alomomola</t>
  </si>
  <si>
    <t>Fraxure</t>
  </si>
  <si>
    <t>Pyroar</t>
  </si>
  <si>
    <t>Dedenne</t>
  </si>
  <si>
    <t>Lycanroc-Midnight</t>
  </si>
  <si>
    <t>Pyukumuku</t>
  </si>
  <si>
    <t>Greedent</t>
  </si>
  <si>
    <t>Stonjourner</t>
  </si>
  <si>
    <t>Floragato</t>
  </si>
  <si>
    <t>Wugtrio</t>
  </si>
  <si>
    <t>Varoom</t>
  </si>
  <si>
    <t>Shroodle</t>
  </si>
  <si>
    <t>Tinkatuff</t>
  </si>
  <si>
    <t>Diglett</t>
  </si>
  <si>
    <t>Growlithe</t>
  </si>
  <si>
    <t>Dragonair</t>
  </si>
  <si>
    <t>Sudowoodo</t>
  </si>
  <si>
    <t>Sunflora</t>
  </si>
  <si>
    <t>Misdreavus</t>
  </si>
  <si>
    <t>Makuhita</t>
  </si>
  <si>
    <t>Meditite</t>
  </si>
  <si>
    <t>Grumpig</t>
  </si>
  <si>
    <t>Altaria</t>
  </si>
  <si>
    <t>Whiscash</t>
  </si>
  <si>
    <t>Banette</t>
  </si>
  <si>
    <t>Tropius</t>
  </si>
  <si>
    <t>Vespiquen</t>
  </si>
  <si>
    <t>Buizel</t>
  </si>
  <si>
    <t>Bronzor</t>
  </si>
  <si>
    <t>Hippopotas</t>
  </si>
  <si>
    <t>Croagunk</t>
  </si>
  <si>
    <t>Krokorok</t>
  </si>
  <si>
    <t>Zweilous</t>
  </si>
  <si>
    <t>Spewpa</t>
  </si>
  <si>
    <t>Floette</t>
  </si>
  <si>
    <t>Gogoat</t>
  </si>
  <si>
    <t>Sliggoo</t>
  </si>
  <si>
    <t>Gumshoos</t>
  </si>
  <si>
    <t>Mudbray</t>
  </si>
  <si>
    <t>Komala</t>
  </si>
  <si>
    <t>Impidimp</t>
  </si>
  <si>
    <t>Cufant</t>
  </si>
  <si>
    <t>Spidops</t>
  </si>
  <si>
    <t>Greavard</t>
  </si>
  <si>
    <t>Flittle</t>
  </si>
  <si>
    <t>Capsakid</t>
  </si>
  <si>
    <t>Tandemaus</t>
  </si>
  <si>
    <t>Arctibax</t>
  </si>
  <si>
    <t>Pawmo</t>
  </si>
  <si>
    <t>Maschiff</t>
  </si>
  <si>
    <t>Tinkatink</t>
  </si>
  <si>
    <t>Jigglypuff</t>
  </si>
  <si>
    <t>Meowth</t>
  </si>
  <si>
    <t>Psyduck</t>
  </si>
  <si>
    <t>Mankey</t>
  </si>
  <si>
    <t>Slowpoke</t>
  </si>
  <si>
    <t>Magnemite</t>
  </si>
  <si>
    <t>Grimer</t>
  </si>
  <si>
    <t>Shellder</t>
  </si>
  <si>
    <t>Gastly</t>
  </si>
  <si>
    <t>Drowzee</t>
  </si>
  <si>
    <t>Voltorb</t>
  </si>
  <si>
    <t>Eevee</t>
  </si>
  <si>
    <t>Dratini</t>
  </si>
  <si>
    <t>Igglybuff</t>
  </si>
  <si>
    <t>Mareep</t>
  </si>
  <si>
    <t>Flaaffy</t>
  </si>
  <si>
    <t>Marill</t>
  </si>
  <si>
    <t>Hoppip</t>
  </si>
  <si>
    <t>Sunkern</t>
  </si>
  <si>
    <t>Wooper-Paldea</t>
  </si>
  <si>
    <t>Pineco</t>
  </si>
  <si>
    <t>Teddiursa</t>
  </si>
  <si>
    <t>Houndour</t>
  </si>
  <si>
    <t>Phanpy</t>
  </si>
  <si>
    <t>Larvitar</t>
  </si>
  <si>
    <t>Pupitar</t>
  </si>
  <si>
    <t>Wingull</t>
  </si>
  <si>
    <t>Ralts</t>
  </si>
  <si>
    <t>Kirlia</t>
  </si>
  <si>
    <t>Surskit</t>
  </si>
  <si>
    <t>Shroomish</t>
  </si>
  <si>
    <t>Slakoth</t>
  </si>
  <si>
    <t>Vigoroth</t>
  </si>
  <si>
    <t>Numel</t>
  </si>
  <si>
    <t>Spoink</t>
  </si>
  <si>
    <t>Cacnea</t>
  </si>
  <si>
    <t>Swablu</t>
  </si>
  <si>
    <t>Barboach</t>
  </si>
  <si>
    <t>Shuppet</t>
  </si>
  <si>
    <t>Snorunt</t>
  </si>
  <si>
    <t>Luvdisc</t>
  </si>
  <si>
    <t>Bagon</t>
  </si>
  <si>
    <t>Shelgon</t>
  </si>
  <si>
    <t>Starly</t>
  </si>
  <si>
    <t>Staravia</t>
  </si>
  <si>
    <t>Kricketune</t>
  </si>
  <si>
    <t>Shinx</t>
  </si>
  <si>
    <t>Combee</t>
  </si>
  <si>
    <t>Shellos</t>
  </si>
  <si>
    <t>Drifloon</t>
  </si>
  <si>
    <t>Stunky</t>
  </si>
  <si>
    <t>Happiny</t>
  </si>
  <si>
    <t>Gible</t>
  </si>
  <si>
    <t>Gabite</t>
  </si>
  <si>
    <t>Finneon</t>
  </si>
  <si>
    <t>Snover</t>
  </si>
  <si>
    <t>Sandile</t>
  </si>
  <si>
    <t>Zorua</t>
  </si>
  <si>
    <t>Deerling</t>
  </si>
  <si>
    <t>Tynamo</t>
  </si>
  <si>
    <t>Eelektrik</t>
  </si>
  <si>
    <t>Axew</t>
  </si>
  <si>
    <t>Cubchoo</t>
  </si>
  <si>
    <t>Pawniard</t>
  </si>
  <si>
    <t>Rufflet</t>
  </si>
  <si>
    <t>Deino</t>
  </si>
  <si>
    <t>Larvesta</t>
  </si>
  <si>
    <t>Scatterbug</t>
  </si>
  <si>
    <t>Litleo</t>
  </si>
  <si>
    <t>Flabébé</t>
  </si>
  <si>
    <t>Skrelp</t>
  </si>
  <si>
    <t>Clauncher</t>
  </si>
  <si>
    <t>Goomy</t>
  </si>
  <si>
    <t>Bergmite</t>
  </si>
  <si>
    <t>Noibat</t>
  </si>
  <si>
    <t>Yungoos</t>
  </si>
  <si>
    <t>Crabrawler</t>
  </si>
  <si>
    <t>Mareanie</t>
  </si>
  <si>
    <t>Fomantis</t>
  </si>
  <si>
    <t>Salandit</t>
  </si>
  <si>
    <t>Bounsweet</t>
  </si>
  <si>
    <t>Steenee</t>
  </si>
  <si>
    <t>Sandygast</t>
  </si>
  <si>
    <t>Skwovet</t>
  </si>
  <si>
    <t>Rookidee</t>
  </si>
  <si>
    <t>Corvisquire</t>
  </si>
  <si>
    <t>Chewtle</t>
  </si>
  <si>
    <t>Rolycoly</t>
  </si>
  <si>
    <t>Carkol</t>
  </si>
  <si>
    <t>Applin</t>
  </si>
  <si>
    <t>Silicobra</t>
  </si>
  <si>
    <t>Arrokuda</t>
  </si>
  <si>
    <t>Toxel</t>
  </si>
  <si>
    <t>Sinistea</t>
  </si>
  <si>
    <t>Hatenna</t>
  </si>
  <si>
    <t>Hattrem</t>
  </si>
  <si>
    <t>Snom</t>
  </si>
  <si>
    <t>Dreepy</t>
  </si>
  <si>
    <t>Sprigatito</t>
  </si>
  <si>
    <t>Fuecoco</t>
  </si>
  <si>
    <t>Crocalor</t>
  </si>
  <si>
    <t>Quaxly</t>
  </si>
  <si>
    <t>Quaxwell</t>
  </si>
  <si>
    <t>Lechonk</t>
  </si>
  <si>
    <t>Tarountula</t>
  </si>
  <si>
    <t>Nymble</t>
  </si>
  <si>
    <t>Rellor</t>
  </si>
  <si>
    <t>Wiglett</t>
  </si>
  <si>
    <t>Smoliv</t>
  </si>
  <si>
    <t>Dolliv</t>
  </si>
  <si>
    <t>Tadbulb</t>
  </si>
  <si>
    <t>Cetoddle</t>
  </si>
  <si>
    <t>Frigibax</t>
  </si>
  <si>
    <t>Pawmi</t>
  </si>
  <si>
    <t>Wattrel</t>
  </si>
  <si>
    <t>Nacli</t>
  </si>
  <si>
    <t>Glimmet</t>
  </si>
  <si>
    <t>Fidough</t>
  </si>
  <si>
    <t>Bramblin</t>
  </si>
  <si>
    <t>Gimmighoul</t>
  </si>
  <si>
    <t>Charcadet</t>
  </si>
  <si>
    <t>Week 8</t>
  </si>
  <si>
    <t>Week 9</t>
  </si>
  <si>
    <t>Playoff Standings</t>
  </si>
  <si>
    <t>Combined</t>
  </si>
  <si>
    <t>P.#</t>
  </si>
  <si>
    <t>GitHub Name</t>
  </si>
  <si>
    <t>Smogon Name</t>
  </si>
  <si>
    <t>PokémonDB Name</t>
  </si>
  <si>
    <t>Pts.</t>
  </si>
  <si>
    <t>Spr.</t>
  </si>
  <si>
    <t>Pokémon</t>
  </si>
  <si>
    <t>Types</t>
  </si>
  <si>
    <t>HP</t>
  </si>
  <si>
    <t>Atk</t>
  </si>
  <si>
    <t>Def</t>
  </si>
  <si>
    <t>SpA</t>
  </si>
  <si>
    <t>SpD</t>
  </si>
  <si>
    <t>Spe</t>
  </si>
  <si>
    <t>252+</t>
  </si>
  <si>
    <t>Normal</t>
  </si>
  <si>
    <t>Fire</t>
  </si>
  <si>
    <t>Fighting</t>
  </si>
  <si>
    <t>Water</t>
  </si>
  <si>
    <t>Flying</t>
  </si>
  <si>
    <t>Grass</t>
  </si>
  <si>
    <t>Poison</t>
  </si>
  <si>
    <t>Electric</t>
  </si>
  <si>
    <t>Ground</t>
  </si>
  <si>
    <t>Psychic</t>
  </si>
  <si>
    <t>Rock</t>
  </si>
  <si>
    <t>Ice</t>
  </si>
  <si>
    <t>Bug</t>
  </si>
  <si>
    <t>Dragon</t>
  </si>
  <si>
    <t>Ghost</t>
  </si>
  <si>
    <t>Dark</t>
  </si>
  <si>
    <t>Steel</t>
  </si>
  <si>
    <t>Fairy</t>
  </si>
  <si>
    <t>Ability 1</t>
  </si>
  <si>
    <t>Ability 2</t>
  </si>
  <si>
    <t>Hidden Ability</t>
  </si>
  <si>
    <t>BW Sprite</t>
  </si>
  <si>
    <t>Home Sprite</t>
  </si>
  <si>
    <t>001</t>
  </si>
  <si>
    <t>bulbasaur</t>
  </si>
  <si>
    <t>Bulbasaur</t>
  </si>
  <si>
    <t>Nidoqueen</t>
  </si>
  <si>
    <t>Nidoking</t>
  </si>
  <si>
    <t>Dwebble</t>
  </si>
  <si>
    <t>Crustle</t>
  </si>
  <si>
    <t>Fennekin</t>
  </si>
  <si>
    <t>Wishiwashi</t>
  </si>
  <si>
    <t>Overgrow</t>
  </si>
  <si>
    <t>Chlorophyll</t>
  </si>
  <si>
    <t>002</t>
  </si>
  <si>
    <t>ivysaur</t>
  </si>
  <si>
    <t>Ivysaur</t>
  </si>
  <si>
    <t>003</t>
  </si>
  <si>
    <t>venusaur</t>
  </si>
  <si>
    <t>Venusaur</t>
  </si>
  <si>
    <t>003-m</t>
  </si>
  <si>
    <t>venusaur-mega</t>
  </si>
  <si>
    <t>Mega Venusaur</t>
  </si>
  <si>
    <t>Thick Fat</t>
  </si>
  <si>
    <t>004</t>
  </si>
  <si>
    <t>charmander</t>
  </si>
  <si>
    <t>Charmander</t>
  </si>
  <si>
    <t>Blaze</t>
  </si>
  <si>
    <t>Solar Power</t>
  </si>
  <si>
    <t>005</t>
  </si>
  <si>
    <t>charmeleon</t>
  </si>
  <si>
    <t>Charmeleon</t>
  </si>
  <si>
    <t>006</t>
  </si>
  <si>
    <t>charizard</t>
  </si>
  <si>
    <t>Charizard</t>
  </si>
  <si>
    <t>006-mx</t>
  </si>
  <si>
    <t>charizard-mega-x</t>
  </si>
  <si>
    <t>charizard-megax</t>
  </si>
  <si>
    <t>Mega Charizard X</t>
  </si>
  <si>
    <t>Tough Claws</t>
  </si>
  <si>
    <t>006-my</t>
  </si>
  <si>
    <t>charizard-mega-y</t>
  </si>
  <si>
    <t>charizard-megay</t>
  </si>
  <si>
    <t>Mega Charizard Y</t>
  </si>
  <si>
    <t>Drought</t>
  </si>
  <si>
    <t>007</t>
  </si>
  <si>
    <t>squirtle</t>
  </si>
  <si>
    <t>Squirtle</t>
  </si>
  <si>
    <t>Torrent</t>
  </si>
  <si>
    <t>Rain Dish</t>
  </si>
  <si>
    <t>008</t>
  </si>
  <si>
    <t>wartortle</t>
  </si>
  <si>
    <t>Wartortle</t>
  </si>
  <si>
    <t>009</t>
  </si>
  <si>
    <t>blastoise</t>
  </si>
  <si>
    <t>Blastoise</t>
  </si>
  <si>
    <t>009-m</t>
  </si>
  <si>
    <t>blastoise-mega</t>
  </si>
  <si>
    <t>Mega Blastoise</t>
  </si>
  <si>
    <t>Mega Launcher</t>
  </si>
  <si>
    <t>010</t>
  </si>
  <si>
    <t>caterpie</t>
  </si>
  <si>
    <t>Caterpie</t>
  </si>
  <si>
    <t>Shield Dust</t>
  </si>
  <si>
    <t>Run Away</t>
  </si>
  <si>
    <t>011</t>
  </si>
  <si>
    <t>metapod</t>
  </si>
  <si>
    <t>Metapod</t>
  </si>
  <si>
    <t>Shed Skin</t>
  </si>
  <si>
    <t>012</t>
  </si>
  <si>
    <t>butterfree</t>
  </si>
  <si>
    <t>Butterfree</t>
  </si>
  <si>
    <t>Compound Eyes</t>
  </si>
  <si>
    <t>Tinted Lens</t>
  </si>
  <si>
    <t>013</t>
  </si>
  <si>
    <t>weedle</t>
  </si>
  <si>
    <t>Weedle</t>
  </si>
  <si>
    <t>014</t>
  </si>
  <si>
    <t>kakuna</t>
  </si>
  <si>
    <t>Kakuna</t>
  </si>
  <si>
    <t>015</t>
  </si>
  <si>
    <t>beedrill</t>
  </si>
  <si>
    <t>Beedrill</t>
  </si>
  <si>
    <t>Swarm</t>
  </si>
  <si>
    <t>Sniper</t>
  </si>
  <si>
    <t>015-m</t>
  </si>
  <si>
    <t>beedrill-mega</t>
  </si>
  <si>
    <t>Mega Beedrill</t>
  </si>
  <si>
    <t>Adaptability</t>
  </si>
  <si>
    <t>016</t>
  </si>
  <si>
    <t>pidgey</t>
  </si>
  <si>
    <t>Pidgey</t>
  </si>
  <si>
    <t>Keen Eye</t>
  </si>
  <si>
    <t>Tangled Feet</t>
  </si>
  <si>
    <t>Big Pecks</t>
  </si>
  <si>
    <t>017</t>
  </si>
  <si>
    <t>pidgeotto</t>
  </si>
  <si>
    <t>Pidgeotto</t>
  </si>
  <si>
    <t>018</t>
  </si>
  <si>
    <t>pidgeot</t>
  </si>
  <si>
    <t>Pidgeot</t>
  </si>
  <si>
    <t>018-m</t>
  </si>
  <si>
    <t>pidgeot-mega</t>
  </si>
  <si>
    <t>Mega Pidgeot</t>
  </si>
  <si>
    <t>No Guard</t>
  </si>
  <si>
    <t>019</t>
  </si>
  <si>
    <t>rattata</t>
  </si>
  <si>
    <t>Rattata</t>
  </si>
  <si>
    <t>Guts</t>
  </si>
  <si>
    <t>Hustle</t>
  </si>
  <si>
    <t>019-a</t>
  </si>
  <si>
    <t>rattata-alola</t>
  </si>
  <si>
    <t>rattata-alolan</t>
  </si>
  <si>
    <t>Alolan Rattata</t>
  </si>
  <si>
    <t>Gluttony</t>
  </si>
  <si>
    <t>020</t>
  </si>
  <si>
    <t>raticate</t>
  </si>
  <si>
    <t>Raticate</t>
  </si>
  <si>
    <t>020-a</t>
  </si>
  <si>
    <t>raticate-alola</t>
  </si>
  <si>
    <t>raticate-alolan</t>
  </si>
  <si>
    <t>Alolan Raticate</t>
  </si>
  <si>
    <t>021</t>
  </si>
  <si>
    <t>spearow</t>
  </si>
  <si>
    <t>Spearow</t>
  </si>
  <si>
    <t>022</t>
  </si>
  <si>
    <t>fearow</t>
  </si>
  <si>
    <t>Fearow</t>
  </si>
  <si>
    <t>023</t>
  </si>
  <si>
    <t>ekans</t>
  </si>
  <si>
    <t>Ekans</t>
  </si>
  <si>
    <t>Intimidate</t>
  </si>
  <si>
    <t>Unnerve</t>
  </si>
  <si>
    <t>024</t>
  </si>
  <si>
    <t>arbok</t>
  </si>
  <si>
    <t>Arbok</t>
  </si>
  <si>
    <t>025</t>
  </si>
  <si>
    <t>pikachu</t>
  </si>
  <si>
    <t>Static</t>
  </si>
  <si>
    <t>Lightning Rod</t>
  </si>
  <si>
    <t>025-c</t>
  </si>
  <si>
    <t>pikachu-cosplay</t>
  </si>
  <si>
    <t>Pikachu-Cosplay</t>
  </si>
  <si>
    <t>025-r</t>
  </si>
  <si>
    <t>pikachu-rock-star</t>
  </si>
  <si>
    <t>pikachu-rockstar</t>
  </si>
  <si>
    <t>Pikachu-Rock-Star</t>
  </si>
  <si>
    <t>025-b</t>
  </si>
  <si>
    <t>pikachu-belle</t>
  </si>
  <si>
    <t>Pikachu-Belle</t>
  </si>
  <si>
    <t>025-ps</t>
  </si>
  <si>
    <t>pikachu-pop-star</t>
  </si>
  <si>
    <t>pikachu-popstar</t>
  </si>
  <si>
    <t>Pikachu-Pop-Star</t>
  </si>
  <si>
    <t>025-phd</t>
  </si>
  <si>
    <t>pikachu-phd</t>
  </si>
  <si>
    <t>Pikachu-PhD</t>
  </si>
  <si>
    <t>025-l</t>
  </si>
  <si>
    <t>pikachu-libre</t>
  </si>
  <si>
    <t>Pikachu-Libre</t>
  </si>
  <si>
    <t>025-o</t>
  </si>
  <si>
    <t>pikachu-original-cap</t>
  </si>
  <si>
    <t>pikachu-original</t>
  </si>
  <si>
    <t>Pikachu-Original</t>
  </si>
  <si>
    <t>025-h</t>
  </si>
  <si>
    <t>pikachu-hoenn-cap</t>
  </si>
  <si>
    <t>pikachu-hoenn</t>
  </si>
  <si>
    <t>Pikachu-Hoenn</t>
  </si>
  <si>
    <t>025-s</t>
  </si>
  <si>
    <t>pikachu-sinnoh-cap</t>
  </si>
  <si>
    <t>pikachu-sinnoh</t>
  </si>
  <si>
    <t>Pikachu-Sinnoh</t>
  </si>
  <si>
    <t>025-u</t>
  </si>
  <si>
    <t>pikachu-unova-cap</t>
  </si>
  <si>
    <t>pikachu-unova</t>
  </si>
  <si>
    <t>Pikachu-Unova</t>
  </si>
  <si>
    <t>025-k</t>
  </si>
  <si>
    <t>pikachu-kalos-cap</t>
  </si>
  <si>
    <t>pikachu-kalos</t>
  </si>
  <si>
    <t>Pikachu-Kalos</t>
  </si>
  <si>
    <t>025-a</t>
  </si>
  <si>
    <t>pikachu-alola-cap</t>
  </si>
  <si>
    <t>pikachu-alola</t>
  </si>
  <si>
    <t>Pikachu-Alola</t>
  </si>
  <si>
    <t>025-p</t>
  </si>
  <si>
    <t>pikachu-partner-cap</t>
  </si>
  <si>
    <t>pikachu-partner</t>
  </si>
  <si>
    <t>Pikachu-Partner</t>
  </si>
  <si>
    <t>025-pa</t>
  </si>
  <si>
    <t>pikachu-starter</t>
  </si>
  <si>
    <t>Pikachu-Starter</t>
  </si>
  <si>
    <t>026</t>
  </si>
  <si>
    <t>026-a</t>
  </si>
  <si>
    <t>raichu-alola</t>
  </si>
  <si>
    <t>raichu-alolan</t>
  </si>
  <si>
    <t>Alolan Raichu</t>
  </si>
  <si>
    <t>Surge Surfer</t>
  </si>
  <si>
    <t>027</t>
  </si>
  <si>
    <t>sandshrew</t>
  </si>
  <si>
    <t>Sandshrew</t>
  </si>
  <si>
    <t>Sand Veil</t>
  </si>
  <si>
    <t>Sand Rush</t>
  </si>
  <si>
    <t>027-a</t>
  </si>
  <si>
    <t>sandshrew-alola</t>
  </si>
  <si>
    <t>sandshrew-alolan</t>
  </si>
  <si>
    <t>Alolan Sandshrew</t>
  </si>
  <si>
    <t>Snow Cloak</t>
  </si>
  <si>
    <t>Slush Rush</t>
  </si>
  <si>
    <t>028</t>
  </si>
  <si>
    <t>sandslash</t>
  </si>
  <si>
    <t>Sandslash</t>
  </si>
  <si>
    <t>028-a</t>
  </si>
  <si>
    <t>sandslash-alola</t>
  </si>
  <si>
    <t>sandslash-alolan</t>
  </si>
  <si>
    <t>Alolan Sandslash</t>
  </si>
  <si>
    <t>029</t>
  </si>
  <si>
    <t>nidoran-f</t>
  </si>
  <si>
    <t>nidoranf</t>
  </si>
  <si>
    <t>Nidoran-Female</t>
  </si>
  <si>
    <t>Poison Point</t>
  </si>
  <si>
    <t>Rivalry</t>
  </si>
  <si>
    <t>030</t>
  </si>
  <si>
    <t>nidorina</t>
  </si>
  <si>
    <t>Nidorina</t>
  </si>
  <si>
    <t>031</t>
  </si>
  <si>
    <t>nidoqueen</t>
  </si>
  <si>
    <t>Sheer Force</t>
  </si>
  <si>
    <t>032</t>
  </si>
  <si>
    <t>nidoran-m</t>
  </si>
  <si>
    <t>nidoranm</t>
  </si>
  <si>
    <t>Nidoran-Male</t>
  </si>
  <si>
    <t>033</t>
  </si>
  <si>
    <t>nidorino</t>
  </si>
  <si>
    <t>Nidorino</t>
  </si>
  <si>
    <t>034</t>
  </si>
  <si>
    <t>nidoking</t>
  </si>
  <si>
    <t>035</t>
  </si>
  <si>
    <t>clefairy</t>
  </si>
  <si>
    <t>Clefairy</t>
  </si>
  <si>
    <t>Cute Charm</t>
  </si>
  <si>
    <t>Magic Guard</t>
  </si>
  <si>
    <t>Friend Guard</t>
  </si>
  <si>
    <t>036</t>
  </si>
  <si>
    <t>clefable</t>
  </si>
  <si>
    <t>Clefable</t>
  </si>
  <si>
    <t>Unaware</t>
  </si>
  <si>
    <t>037</t>
  </si>
  <si>
    <t>vulpix</t>
  </si>
  <si>
    <t>Vulpix</t>
  </si>
  <si>
    <t>Flash Fire</t>
  </si>
  <si>
    <t>037-a</t>
  </si>
  <si>
    <t>vulpix-alola</t>
  </si>
  <si>
    <t>vulpix-alolan</t>
  </si>
  <si>
    <t>Alolan Vulpix</t>
  </si>
  <si>
    <t>Snow Warning</t>
  </si>
  <si>
    <t>038</t>
  </si>
  <si>
    <t>ninetales</t>
  </si>
  <si>
    <t>Ninetales</t>
  </si>
  <si>
    <t>038-a</t>
  </si>
  <si>
    <t>ninetales-alola</t>
  </si>
  <si>
    <t>ninetales-alolan</t>
  </si>
  <si>
    <t>Alolan Ninetales</t>
  </si>
  <si>
    <t>039</t>
  </si>
  <si>
    <t>jigglypuff</t>
  </si>
  <si>
    <t>Competitive</t>
  </si>
  <si>
    <t>040</t>
  </si>
  <si>
    <t>wigglytuff</t>
  </si>
  <si>
    <t>Frisk</t>
  </si>
  <si>
    <t>041</t>
  </si>
  <si>
    <t>zubat</t>
  </si>
  <si>
    <t>Zubat</t>
  </si>
  <si>
    <t>Inner Focus</t>
  </si>
  <si>
    <t>Infiltrator</t>
  </si>
  <si>
    <t>042</t>
  </si>
  <si>
    <t>golbat</t>
  </si>
  <si>
    <t>Golbat</t>
  </si>
  <si>
    <t>043</t>
  </si>
  <si>
    <t>oddish</t>
  </si>
  <si>
    <t>Oddish</t>
  </si>
  <si>
    <t>044</t>
  </si>
  <si>
    <t>gloom</t>
  </si>
  <si>
    <t>Gloom</t>
  </si>
  <si>
    <t>Stench</t>
  </si>
  <si>
    <t>045</t>
  </si>
  <si>
    <t>vileplume</t>
  </si>
  <si>
    <t>Vileplume</t>
  </si>
  <si>
    <t>Effect Spore</t>
  </si>
  <si>
    <t>046</t>
  </si>
  <si>
    <t>paras</t>
  </si>
  <si>
    <t>Paras</t>
  </si>
  <si>
    <t>Dry Skin</t>
  </si>
  <si>
    <t>Damp</t>
  </si>
  <si>
    <t>047</t>
  </si>
  <si>
    <t>parasect</t>
  </si>
  <si>
    <t>Parasect</t>
  </si>
  <si>
    <t>048</t>
  </si>
  <si>
    <t>venonat</t>
  </si>
  <si>
    <t>049</t>
  </si>
  <si>
    <t>venomoth</t>
  </si>
  <si>
    <t>Wonder Skin</t>
  </si>
  <si>
    <t>050</t>
  </si>
  <si>
    <t>diglett</t>
  </si>
  <si>
    <t>Arena Trap</t>
  </si>
  <si>
    <t>Sand Force</t>
  </si>
  <si>
    <t>050-a</t>
  </si>
  <si>
    <t>diglett-alola</t>
  </si>
  <si>
    <t>diglett-alolan</t>
  </si>
  <si>
    <t>Alolan Diglett</t>
  </si>
  <si>
    <t>Tangling Hair</t>
  </si>
  <si>
    <t>051</t>
  </si>
  <si>
    <t>dugtrio</t>
  </si>
  <si>
    <t>051-a</t>
  </si>
  <si>
    <t>dugtrio-alola</t>
  </si>
  <si>
    <t>dugtrio-alolan</t>
  </si>
  <si>
    <t>Alolan Dugtrio</t>
  </si>
  <si>
    <t>052</t>
  </si>
  <si>
    <t>meowth</t>
  </si>
  <si>
    <t>Pickup</t>
  </si>
  <si>
    <t>Technician</t>
  </si>
  <si>
    <t>052-a</t>
  </si>
  <si>
    <t>meowth-alola</t>
  </si>
  <si>
    <t>meowth-alolan</t>
  </si>
  <si>
    <t>Alolan Meowth</t>
  </si>
  <si>
    <t>Rattled</t>
  </si>
  <si>
    <t>052-g</t>
  </si>
  <si>
    <t>meowth-galar</t>
  </si>
  <si>
    <t>meowth-galarian</t>
  </si>
  <si>
    <t>Galarian Meowth</t>
  </si>
  <si>
    <t>053</t>
  </si>
  <si>
    <t>persian</t>
  </si>
  <si>
    <t>Limber</t>
  </si>
  <si>
    <t>053-a</t>
  </si>
  <si>
    <t>persian-alola</t>
  </si>
  <si>
    <t>persian-alolan</t>
  </si>
  <si>
    <t>Alolan Persian</t>
  </si>
  <si>
    <t>Fur Coat</t>
  </si>
  <si>
    <t>054</t>
  </si>
  <si>
    <t>psyduck</t>
  </si>
  <si>
    <t>Cloud Nine</t>
  </si>
  <si>
    <t>Swift Swim</t>
  </si>
  <si>
    <t>055</t>
  </si>
  <si>
    <t>golduck</t>
  </si>
  <si>
    <t>056</t>
  </si>
  <si>
    <t>mankey</t>
  </si>
  <si>
    <t>Vital Spirit</t>
  </si>
  <si>
    <t>Anger Point</t>
  </si>
  <si>
    <t>Defiant</t>
  </si>
  <si>
    <t>057</t>
  </si>
  <si>
    <t>primeape</t>
  </si>
  <si>
    <t>058</t>
  </si>
  <si>
    <t>growlithe</t>
  </si>
  <si>
    <t>Justified</t>
  </si>
  <si>
    <t>058-h</t>
  </si>
  <si>
    <t>Hisuian Growlithe</t>
  </si>
  <si>
    <t>Rock Head</t>
  </si>
  <si>
    <t>059</t>
  </si>
  <si>
    <t>059-h</t>
  </si>
  <si>
    <t>Hisuian Arcanine</t>
  </si>
  <si>
    <t>060</t>
  </si>
  <si>
    <t>poliwag</t>
  </si>
  <si>
    <t>Poliwag</t>
  </si>
  <si>
    <t>Water Absorb</t>
  </si>
  <si>
    <t>061</t>
  </si>
  <si>
    <t>poliwhirl</t>
  </si>
  <si>
    <t>Poliwhirl</t>
  </si>
  <si>
    <t>062</t>
  </si>
  <si>
    <t>poliwrath</t>
  </si>
  <si>
    <t>Poliwrath</t>
  </si>
  <si>
    <t>063</t>
  </si>
  <si>
    <t>abra</t>
  </si>
  <si>
    <t>Abra</t>
  </si>
  <si>
    <t>Synchronize</t>
  </si>
  <si>
    <t>064</t>
  </si>
  <si>
    <t>kadabra</t>
  </si>
  <si>
    <t>Kadabra</t>
  </si>
  <si>
    <t>065</t>
  </si>
  <si>
    <t>alakazam</t>
  </si>
  <si>
    <t>Alakazam</t>
  </si>
  <si>
    <t>065-m</t>
  </si>
  <si>
    <t>alakazam-mega</t>
  </si>
  <si>
    <t>Mega Alakazam</t>
  </si>
  <si>
    <t>Trace</t>
  </si>
  <si>
    <t>066</t>
  </si>
  <si>
    <t>machop</t>
  </si>
  <si>
    <t>Machop</t>
  </si>
  <si>
    <t>Steadfast</t>
  </si>
  <si>
    <t>067</t>
  </si>
  <si>
    <t>machoke</t>
  </si>
  <si>
    <t>Machoke</t>
  </si>
  <si>
    <t>068</t>
  </si>
  <si>
    <t>machamp</t>
  </si>
  <si>
    <t>Machamp</t>
  </si>
  <si>
    <t>069</t>
  </si>
  <si>
    <t>bellsprout</t>
  </si>
  <si>
    <t>Bellsprout</t>
  </si>
  <si>
    <t>070</t>
  </si>
  <si>
    <t>weepinbell</t>
  </si>
  <si>
    <t>Weepinbell</t>
  </si>
  <si>
    <t>071</t>
  </si>
  <si>
    <t>victreebel</t>
  </si>
  <si>
    <t>Victreebel</t>
  </si>
  <si>
    <t>072</t>
  </si>
  <si>
    <t>tentacool</t>
  </si>
  <si>
    <t>Tentacool</t>
  </si>
  <si>
    <t>Clear Body</t>
  </si>
  <si>
    <t>Liquid Ooze</t>
  </si>
  <si>
    <t>073</t>
  </si>
  <si>
    <t>tentacruel</t>
  </si>
  <si>
    <t>Tentacruel</t>
  </si>
  <si>
    <t>074</t>
  </si>
  <si>
    <t>geodude</t>
  </si>
  <si>
    <t>Geodude</t>
  </si>
  <si>
    <t>Sturdy</t>
  </si>
  <si>
    <t>074-a</t>
  </si>
  <si>
    <t>geodude-alola</t>
  </si>
  <si>
    <t>geodude-alolan</t>
  </si>
  <si>
    <t>Alolan Geodude</t>
  </si>
  <si>
    <t>Magnet Pull</t>
  </si>
  <si>
    <t>Galvanize</t>
  </si>
  <si>
    <t>075</t>
  </si>
  <si>
    <t>graveler</t>
  </si>
  <si>
    <t>Graveler</t>
  </si>
  <si>
    <t>075-a</t>
  </si>
  <si>
    <t>graveler-alola</t>
  </si>
  <si>
    <t>graveler-alolan</t>
  </si>
  <si>
    <t>Alolan Graveler</t>
  </si>
  <si>
    <t>076</t>
  </si>
  <si>
    <t>golem</t>
  </si>
  <si>
    <t>Golem</t>
  </si>
  <si>
    <t>076-a</t>
  </si>
  <si>
    <t>golem-alola</t>
  </si>
  <si>
    <t>golem-alolan</t>
  </si>
  <si>
    <t>Alolan Golem</t>
  </si>
  <si>
    <t>077</t>
  </si>
  <si>
    <t>ponyta</t>
  </si>
  <si>
    <t>Ponyta</t>
  </si>
  <si>
    <t>Flame Body</t>
  </si>
  <si>
    <t>077-g</t>
  </si>
  <si>
    <t>ponyta-galar</t>
  </si>
  <si>
    <t>ponyta-galarian</t>
  </si>
  <si>
    <t>Galarian Ponyta</t>
  </si>
  <si>
    <t>Pastel Veil</t>
  </si>
  <si>
    <t>Anticipation</t>
  </si>
  <si>
    <t>078</t>
  </si>
  <si>
    <t>rapidash</t>
  </si>
  <si>
    <t>Rapidash</t>
  </si>
  <si>
    <t>078-g</t>
  </si>
  <si>
    <t>rapidash-galar</t>
  </si>
  <si>
    <t>rapidash-galarian</t>
  </si>
  <si>
    <t>Galarian Rapidash</t>
  </si>
  <si>
    <t>079</t>
  </si>
  <si>
    <t>slowpoke</t>
  </si>
  <si>
    <t>Oblivious</t>
  </si>
  <si>
    <t>Own Tempo</t>
  </si>
  <si>
    <t>Regenerator</t>
  </si>
  <si>
    <t>079-g</t>
  </si>
  <si>
    <t>slowpoke-galar</t>
  </si>
  <si>
    <t>slowpoke-galarian</t>
  </si>
  <si>
    <t>Galarian Slowpoke</t>
  </si>
  <si>
    <t>080</t>
  </si>
  <si>
    <t>slowbro</t>
  </si>
  <si>
    <t>080-g</t>
  </si>
  <si>
    <t>slowbro-galar</t>
  </si>
  <si>
    <t>slowbro-galarian</t>
  </si>
  <si>
    <t>Galarian Slowbro</t>
  </si>
  <si>
    <t>Quick Draw</t>
  </si>
  <si>
    <t>080-m</t>
  </si>
  <si>
    <t>slowbro-mega</t>
  </si>
  <si>
    <t>Mega Slowbro</t>
  </si>
  <si>
    <t>Shell Armor</t>
  </si>
  <si>
    <t>081</t>
  </si>
  <si>
    <t>magnemite</t>
  </si>
  <si>
    <t>Analytic</t>
  </si>
  <si>
    <t>082</t>
  </si>
  <si>
    <t>magneton</t>
  </si>
  <si>
    <t>083</t>
  </si>
  <si>
    <t>farfetchd</t>
  </si>
  <si>
    <t>Farfetch'd</t>
  </si>
  <si>
    <t>083-g</t>
  </si>
  <si>
    <t>farfetchd-galar</t>
  </si>
  <si>
    <t>farfetchd-galarian</t>
  </si>
  <si>
    <t>Galarian Farfetch'd</t>
  </si>
  <si>
    <t>Scrappy</t>
  </si>
  <si>
    <t>084</t>
  </si>
  <si>
    <t>doduo</t>
  </si>
  <si>
    <t>Doduo</t>
  </si>
  <si>
    <t>Early Bird</t>
  </si>
  <si>
    <t>085</t>
  </si>
  <si>
    <t>dodrio</t>
  </si>
  <si>
    <t>Dodrio</t>
  </si>
  <si>
    <t>086</t>
  </si>
  <si>
    <t>seel</t>
  </si>
  <si>
    <t>Seel</t>
  </si>
  <si>
    <t>Hydration</t>
  </si>
  <si>
    <t>Ice Body</t>
  </si>
  <si>
    <t>087</t>
  </si>
  <si>
    <t>dewgong</t>
  </si>
  <si>
    <t>Dewgong</t>
  </si>
  <si>
    <t>088</t>
  </si>
  <si>
    <t>grimer</t>
  </si>
  <si>
    <t>Sticky Hold</t>
  </si>
  <si>
    <t>Poison Touch</t>
  </si>
  <si>
    <t>088-a</t>
  </si>
  <si>
    <t>grimer-alola</t>
  </si>
  <si>
    <t>grimer-alolan</t>
  </si>
  <si>
    <t>Alolan Grimer</t>
  </si>
  <si>
    <t>Power of Alchemy</t>
  </si>
  <si>
    <t>089</t>
  </si>
  <si>
    <t>muk</t>
  </si>
  <si>
    <t>089-a</t>
  </si>
  <si>
    <t>muk-alola</t>
  </si>
  <si>
    <t>muk-alolan</t>
  </si>
  <si>
    <t>Alolan Muk</t>
  </si>
  <si>
    <t>090</t>
  </si>
  <si>
    <t>shellder</t>
  </si>
  <si>
    <t>Skill Link</t>
  </si>
  <si>
    <t>Overcoat</t>
  </si>
  <si>
    <t>091</t>
  </si>
  <si>
    <t>cloyster</t>
  </si>
  <si>
    <t>092</t>
  </si>
  <si>
    <t>gastly</t>
  </si>
  <si>
    <t>Levitate</t>
  </si>
  <si>
    <t>093</t>
  </si>
  <si>
    <t>haunter</t>
  </si>
  <si>
    <t>094</t>
  </si>
  <si>
    <t>Cursed Body</t>
  </si>
  <si>
    <t>094-m</t>
  </si>
  <si>
    <t>gengar-mega</t>
  </si>
  <si>
    <t>Mega Gengar</t>
  </si>
  <si>
    <t>Shadow Tag</t>
  </si>
  <si>
    <t>095</t>
  </si>
  <si>
    <t>onix</t>
  </si>
  <si>
    <t>Onix</t>
  </si>
  <si>
    <t>Weak Armor</t>
  </si>
  <si>
    <t>096</t>
  </si>
  <si>
    <t>drowzee</t>
  </si>
  <si>
    <t>Insomnia</t>
  </si>
  <si>
    <t>Forewarn</t>
  </si>
  <si>
    <t>097</t>
  </si>
  <si>
    <t>hypno</t>
  </si>
  <si>
    <t>098</t>
  </si>
  <si>
    <t>krabby</t>
  </si>
  <si>
    <t>Krabby</t>
  </si>
  <si>
    <t>Hyper Cutter</t>
  </si>
  <si>
    <t>099</t>
  </si>
  <si>
    <t>kingler</t>
  </si>
  <si>
    <t>Kingler</t>
  </si>
  <si>
    <t>100</t>
  </si>
  <si>
    <t>voltorb</t>
  </si>
  <si>
    <t>Soundproof</t>
  </si>
  <si>
    <t>Aftermath</t>
  </si>
  <si>
    <t>100-h</t>
  </si>
  <si>
    <t>Hisuian Voltorb</t>
  </si>
  <si>
    <t>101</t>
  </si>
  <si>
    <t>electrode</t>
  </si>
  <si>
    <t>101-h</t>
  </si>
  <si>
    <t>Hisuian Electrode</t>
  </si>
  <si>
    <t>102</t>
  </si>
  <si>
    <t>exeggcute</t>
  </si>
  <si>
    <t>Exeggcute</t>
  </si>
  <si>
    <t>Harvest</t>
  </si>
  <si>
    <t>103</t>
  </si>
  <si>
    <t>exeggutor</t>
  </si>
  <si>
    <t>Exeggutor</t>
  </si>
  <si>
    <t>103-a</t>
  </si>
  <si>
    <t>exeggutor-alola</t>
  </si>
  <si>
    <t>exeggutor-alolan</t>
  </si>
  <si>
    <t>Alolan Exeggutor</t>
  </si>
  <si>
    <t>104</t>
  </si>
  <si>
    <t>cubone</t>
  </si>
  <si>
    <t>Cubone</t>
  </si>
  <si>
    <t>Battle Armor</t>
  </si>
  <si>
    <t>105</t>
  </si>
  <si>
    <t>marowak</t>
  </si>
  <si>
    <t>Marowak</t>
  </si>
  <si>
    <t>105-a</t>
  </si>
  <si>
    <t>marowak-alola</t>
  </si>
  <si>
    <t>marowak-alolan</t>
  </si>
  <si>
    <t>Alolan Marowak</t>
  </si>
  <si>
    <t>106</t>
  </si>
  <si>
    <t>hitmonlee</t>
  </si>
  <si>
    <t>Hitmonlee</t>
  </si>
  <si>
    <t>Reckless</t>
  </si>
  <si>
    <t>Unburden</t>
  </si>
  <si>
    <t>107</t>
  </si>
  <si>
    <t>hitmonchan</t>
  </si>
  <si>
    <t>Hitmonchan</t>
  </si>
  <si>
    <t>Iron Fist</t>
  </si>
  <si>
    <t>108</t>
  </si>
  <si>
    <t>lickitung</t>
  </si>
  <si>
    <t>Lickitung</t>
  </si>
  <si>
    <t>109</t>
  </si>
  <si>
    <t>koffing</t>
  </si>
  <si>
    <t>Koffing</t>
  </si>
  <si>
    <t>Neutralizing Gas</t>
  </si>
  <si>
    <t>110</t>
  </si>
  <si>
    <t>weezing</t>
  </si>
  <si>
    <t>Weezing</t>
  </si>
  <si>
    <t>110-g</t>
  </si>
  <si>
    <t>weezing-galar</t>
  </si>
  <si>
    <t>weezing-galarian</t>
  </si>
  <si>
    <t>Galarian Weezing</t>
  </si>
  <si>
    <t>Misty Surge</t>
  </si>
  <si>
    <t>111</t>
  </si>
  <si>
    <t>rhyhorn</t>
  </si>
  <si>
    <t>Rhyhorn</t>
  </si>
  <si>
    <t>112</t>
  </si>
  <si>
    <t>rhydon</t>
  </si>
  <si>
    <t>Rhydon</t>
  </si>
  <si>
    <t>113</t>
  </si>
  <si>
    <t>Natural Cure</t>
  </si>
  <si>
    <t>Serene Grace</t>
  </si>
  <si>
    <t>Healer</t>
  </si>
  <si>
    <t>114</t>
  </si>
  <si>
    <t>tangela</t>
  </si>
  <si>
    <t>Tangela</t>
  </si>
  <si>
    <t>Leaf Guard</t>
  </si>
  <si>
    <t>115</t>
  </si>
  <si>
    <t>kangaskhan</t>
  </si>
  <si>
    <t>Kangaskhan</t>
  </si>
  <si>
    <t>115-m</t>
  </si>
  <si>
    <t>kangaskhan-mega</t>
  </si>
  <si>
    <t>Mega Kangaskhan</t>
  </si>
  <si>
    <t>116</t>
  </si>
  <si>
    <t>horsea</t>
  </si>
  <si>
    <t>Horsea</t>
  </si>
  <si>
    <t>117</t>
  </si>
  <si>
    <t>seadra</t>
  </si>
  <si>
    <t>Seadra</t>
  </si>
  <si>
    <t>118</t>
  </si>
  <si>
    <t>goldeen</t>
  </si>
  <si>
    <t>Goldeen</t>
  </si>
  <si>
    <t>Water Veil</t>
  </si>
  <si>
    <t>119</t>
  </si>
  <si>
    <t>seaking</t>
  </si>
  <si>
    <t>Seaking</t>
  </si>
  <si>
    <t>120</t>
  </si>
  <si>
    <t>staryu</t>
  </si>
  <si>
    <t>Staryu</t>
  </si>
  <si>
    <t>Illuminate</t>
  </si>
  <si>
    <t>121</t>
  </si>
  <si>
    <t>starmie</t>
  </si>
  <si>
    <t>Starmie</t>
  </si>
  <si>
    <t>122</t>
  </si>
  <si>
    <t>mr-mime</t>
  </si>
  <si>
    <t>mrmime</t>
  </si>
  <si>
    <t>Mr. Mime</t>
  </si>
  <si>
    <t>Filter</t>
  </si>
  <si>
    <t>122-g</t>
  </si>
  <si>
    <t>mr-mime-galar</t>
  </si>
  <si>
    <t>mrmime-galar</t>
  </si>
  <si>
    <t>mr-mime-galarian</t>
  </si>
  <si>
    <t>Galarian Mr. Mime</t>
  </si>
  <si>
    <t>Screen Cleaner</t>
  </si>
  <si>
    <t>123</t>
  </si>
  <si>
    <t>scyther</t>
  </si>
  <si>
    <t>124</t>
  </si>
  <si>
    <t>jynx</t>
  </si>
  <si>
    <t>Jynx</t>
  </si>
  <si>
    <t>125</t>
  </si>
  <si>
    <t>electabuzz</t>
  </si>
  <si>
    <t>Electabuzz</t>
  </si>
  <si>
    <t>126</t>
  </si>
  <si>
    <t>magmar</t>
  </si>
  <si>
    <t>Magmar</t>
  </si>
  <si>
    <t>127</t>
  </si>
  <si>
    <t>pinsir</t>
  </si>
  <si>
    <t>Pinsir</t>
  </si>
  <si>
    <t>Mold Breaker</t>
  </si>
  <si>
    <t>Moxie</t>
  </si>
  <si>
    <t>127-m</t>
  </si>
  <si>
    <t>pinsir-mega</t>
  </si>
  <si>
    <t>Mega Pinsir</t>
  </si>
  <si>
    <t>Aerilate</t>
  </si>
  <si>
    <t>128</t>
  </si>
  <si>
    <t>tauros</t>
  </si>
  <si>
    <t>Tauros</t>
  </si>
  <si>
    <t>128-p</t>
  </si>
  <si>
    <t>tauros-paldea</t>
  </si>
  <si>
    <t>128-1</t>
  </si>
  <si>
    <t>tauros-paldea-fire</t>
  </si>
  <si>
    <t>tauros-paldeafire</t>
  </si>
  <si>
    <t>128-2</t>
  </si>
  <si>
    <t>tauros-paldea-water</t>
  </si>
  <si>
    <t>tauros-paldeawater</t>
  </si>
  <si>
    <t>129</t>
  </si>
  <si>
    <t>130</t>
  </si>
  <si>
    <t>gyarados</t>
  </si>
  <si>
    <t>130-m</t>
  </si>
  <si>
    <t>gyarados-mega</t>
  </si>
  <si>
    <t>Mega Gyarados</t>
  </si>
  <si>
    <t>131</t>
  </si>
  <si>
    <t>lapras</t>
  </si>
  <si>
    <t>Lapras</t>
  </si>
  <si>
    <t>132</t>
  </si>
  <si>
    <t>ditto</t>
  </si>
  <si>
    <t>Imposter</t>
  </si>
  <si>
    <t>133</t>
  </si>
  <si>
    <t>eevee</t>
  </si>
  <si>
    <t>133-pa</t>
  </si>
  <si>
    <t>eevee-starter</t>
  </si>
  <si>
    <t>Eevee-Starter</t>
  </si>
  <si>
    <t>134</t>
  </si>
  <si>
    <t>vaporeon</t>
  </si>
  <si>
    <t>135</t>
  </si>
  <si>
    <t>Volt Absorb</t>
  </si>
  <si>
    <t>Quick Feet</t>
  </si>
  <si>
    <t>136</t>
  </si>
  <si>
    <t>flareon</t>
  </si>
  <si>
    <t>137</t>
  </si>
  <si>
    <t>porygon</t>
  </si>
  <si>
    <t>Porygon</t>
  </si>
  <si>
    <t>Download</t>
  </si>
  <si>
    <t>138</t>
  </si>
  <si>
    <t>omanyte</t>
  </si>
  <si>
    <t>Omanyte</t>
  </si>
  <si>
    <t>139</t>
  </si>
  <si>
    <t>omastar</t>
  </si>
  <si>
    <t>Omastar</t>
  </si>
  <si>
    <t>140</t>
  </si>
  <si>
    <t>kabuto</t>
  </si>
  <si>
    <t>Kabuto</t>
  </si>
  <si>
    <t>141</t>
  </si>
  <si>
    <t>kabutops</t>
  </si>
  <si>
    <t>Kabutops</t>
  </si>
  <si>
    <t>142</t>
  </si>
  <si>
    <t>aerodactyl</t>
  </si>
  <si>
    <t>Aerodactyl</t>
  </si>
  <si>
    <t>Pressure</t>
  </si>
  <si>
    <t>142-m</t>
  </si>
  <si>
    <t>aerodactyl-mega</t>
  </si>
  <si>
    <t>Mega Aerodactyl</t>
  </si>
  <si>
    <t>143</t>
  </si>
  <si>
    <t>snorlax</t>
  </si>
  <si>
    <t>Snorlax</t>
  </si>
  <si>
    <t>Immunity</t>
  </si>
  <si>
    <t>144</t>
  </si>
  <si>
    <t>articuno</t>
  </si>
  <si>
    <t>Articuno</t>
  </si>
  <si>
    <t>144-g</t>
  </si>
  <si>
    <t>articuno-galar</t>
  </si>
  <si>
    <t>articuno-galarian</t>
  </si>
  <si>
    <t>Galarian Articuno</t>
  </si>
  <si>
    <t>145</t>
  </si>
  <si>
    <t>zapdos</t>
  </si>
  <si>
    <t>Zapdos</t>
  </si>
  <si>
    <t>145-g</t>
  </si>
  <si>
    <t>zapdos-galar</t>
  </si>
  <si>
    <t>zapdos-galarian</t>
  </si>
  <si>
    <t>Galarian Zapdos</t>
  </si>
  <si>
    <t>146</t>
  </si>
  <si>
    <t>moltres</t>
  </si>
  <si>
    <t>Moltres</t>
  </si>
  <si>
    <t>146-g</t>
  </si>
  <si>
    <t>moltres-galar</t>
  </si>
  <si>
    <t>moltres-galarian</t>
  </si>
  <si>
    <t>Galarian Moltres</t>
  </si>
  <si>
    <t>Berserk</t>
  </si>
  <si>
    <t>147</t>
  </si>
  <si>
    <t>dratini</t>
  </si>
  <si>
    <t>Marvel Scale</t>
  </si>
  <si>
    <t>148</t>
  </si>
  <si>
    <t>dragonair</t>
  </si>
  <si>
    <t>149</t>
  </si>
  <si>
    <t>Multiscale</t>
  </si>
  <si>
    <t>150</t>
  </si>
  <si>
    <t>150-mx</t>
  </si>
  <si>
    <t>mewtwo-mega-x</t>
  </si>
  <si>
    <t>mewtwo-megax</t>
  </si>
  <si>
    <t>Mega Mewtwo X</t>
  </si>
  <si>
    <t>150-my</t>
  </si>
  <si>
    <t>mewtwo-mega-y</t>
  </si>
  <si>
    <t>mewtwo-megay</t>
  </si>
  <si>
    <t>Mega Mewtwo Y</t>
  </si>
  <si>
    <t>151</t>
  </si>
  <si>
    <t>mew</t>
  </si>
  <si>
    <t>Mew</t>
  </si>
  <si>
    <t>152</t>
  </si>
  <si>
    <t>chikorita</t>
  </si>
  <si>
    <t>Chikorita</t>
  </si>
  <si>
    <t>153</t>
  </si>
  <si>
    <t>bayleef</t>
  </si>
  <si>
    <t>Bayleef</t>
  </si>
  <si>
    <t>154</t>
  </si>
  <si>
    <t>meganium</t>
  </si>
  <si>
    <t>Meganium</t>
  </si>
  <si>
    <t>155</t>
  </si>
  <si>
    <t>cyndaquil</t>
  </si>
  <si>
    <t>Cyndaquil</t>
  </si>
  <si>
    <t>156</t>
  </si>
  <si>
    <t>quilava</t>
  </si>
  <si>
    <t>Quilava</t>
  </si>
  <si>
    <t>157</t>
  </si>
  <si>
    <t>typhlosion</t>
  </si>
  <si>
    <t>Typhlosion</t>
  </si>
  <si>
    <t>157-h</t>
  </si>
  <si>
    <t>Hisuian Typhlosion</t>
  </si>
  <si>
    <t>158</t>
  </si>
  <si>
    <t>totodile</t>
  </si>
  <si>
    <t>Totodile</t>
  </si>
  <si>
    <t>159</t>
  </si>
  <si>
    <t>croconaw</t>
  </si>
  <si>
    <t>Croconaw</t>
  </si>
  <si>
    <t>160</t>
  </si>
  <si>
    <t>feraligatr</t>
  </si>
  <si>
    <t>Feraligatr</t>
  </si>
  <si>
    <t>161</t>
  </si>
  <si>
    <t>sentret</t>
  </si>
  <si>
    <t>Sentret</t>
  </si>
  <si>
    <t>162</t>
  </si>
  <si>
    <t>furret</t>
  </si>
  <si>
    <t>Furret</t>
  </si>
  <si>
    <t>163</t>
  </si>
  <si>
    <t>hoothoot</t>
  </si>
  <si>
    <t>Hoothoot</t>
  </si>
  <si>
    <t>164</t>
  </si>
  <si>
    <t>noctowl</t>
  </si>
  <si>
    <t>Noctowl</t>
  </si>
  <si>
    <t>165</t>
  </si>
  <si>
    <t>ledyba</t>
  </si>
  <si>
    <t>Ledyba</t>
  </si>
  <si>
    <t>166</t>
  </si>
  <si>
    <t>ledian</t>
  </si>
  <si>
    <t>Ledian</t>
  </si>
  <si>
    <t>167</t>
  </si>
  <si>
    <t>spinarak</t>
  </si>
  <si>
    <t>Spinarak</t>
  </si>
  <si>
    <t>168</t>
  </si>
  <si>
    <t>ariados</t>
  </si>
  <si>
    <t>Ariados</t>
  </si>
  <si>
    <t>169</t>
  </si>
  <si>
    <t>crobat</t>
  </si>
  <si>
    <t>Crobat</t>
  </si>
  <si>
    <t>170</t>
  </si>
  <si>
    <t>chinchou</t>
  </si>
  <si>
    <t>Chinchou</t>
  </si>
  <si>
    <t>171</t>
  </si>
  <si>
    <t>lanturn</t>
  </si>
  <si>
    <t>Lanturn</t>
  </si>
  <si>
    <t>172</t>
  </si>
  <si>
    <t>pichu</t>
  </si>
  <si>
    <t>172-se</t>
  </si>
  <si>
    <t>pichu-spiky-eared</t>
  </si>
  <si>
    <t>pichu-spikyeared</t>
  </si>
  <si>
    <t>Pichu-Spiky-Eared</t>
  </si>
  <si>
    <t>173</t>
  </si>
  <si>
    <t>cleffa</t>
  </si>
  <si>
    <t>Cleffa</t>
  </si>
  <si>
    <t>174</t>
  </si>
  <si>
    <t>igglybuff</t>
  </si>
  <si>
    <t>175</t>
  </si>
  <si>
    <t>togepi</t>
  </si>
  <si>
    <t>Togepi</t>
  </si>
  <si>
    <t>Super Luck</t>
  </si>
  <si>
    <t>176</t>
  </si>
  <si>
    <t>togetic</t>
  </si>
  <si>
    <t>Togetic</t>
  </si>
  <si>
    <t>177</t>
  </si>
  <si>
    <t>natu</t>
  </si>
  <si>
    <t>Natu</t>
  </si>
  <si>
    <t>Magic Bounce</t>
  </si>
  <si>
    <t>178</t>
  </si>
  <si>
    <t>xatu</t>
  </si>
  <si>
    <t>Xatu</t>
  </si>
  <si>
    <t>179</t>
  </si>
  <si>
    <t>mareep</t>
  </si>
  <si>
    <t>Plus</t>
  </si>
  <si>
    <t>180</t>
  </si>
  <si>
    <t>flaaffy</t>
  </si>
  <si>
    <t>181</t>
  </si>
  <si>
    <t>ampharos</t>
  </si>
  <si>
    <t>181-m</t>
  </si>
  <si>
    <t>ampharos-mega</t>
  </si>
  <si>
    <t>Mega Ampharos</t>
  </si>
  <si>
    <t>182</t>
  </si>
  <si>
    <t>bellossom</t>
  </si>
  <si>
    <t>Bellossom</t>
  </si>
  <si>
    <t>183</t>
  </si>
  <si>
    <t>marill</t>
  </si>
  <si>
    <t>Huge Power</t>
  </si>
  <si>
    <t>Sap Sipper</t>
  </si>
  <si>
    <t>184</t>
  </si>
  <si>
    <t>185</t>
  </si>
  <si>
    <t>sudowoodo</t>
  </si>
  <si>
    <t>186</t>
  </si>
  <si>
    <t>politoed</t>
  </si>
  <si>
    <t>Politoed</t>
  </si>
  <si>
    <t>187</t>
  </si>
  <si>
    <t>hoppip</t>
  </si>
  <si>
    <t>188</t>
  </si>
  <si>
    <t>skiploom</t>
  </si>
  <si>
    <t>189</t>
  </si>
  <si>
    <t>jumpluff</t>
  </si>
  <si>
    <t>190</t>
  </si>
  <si>
    <t>aipom</t>
  </si>
  <si>
    <t>Aipom</t>
  </si>
  <si>
    <t>191</t>
  </si>
  <si>
    <t>sunkern</t>
  </si>
  <si>
    <t>192</t>
  </si>
  <si>
    <t>sunflora</t>
  </si>
  <si>
    <t>193</t>
  </si>
  <si>
    <t>yanma</t>
  </si>
  <si>
    <t>Yanma</t>
  </si>
  <si>
    <t>Speed Boost</t>
  </si>
  <si>
    <t>194</t>
  </si>
  <si>
    <t>wooper</t>
  </si>
  <si>
    <t>Wooper</t>
  </si>
  <si>
    <t>194-p</t>
  </si>
  <si>
    <t>wooper-paldea</t>
  </si>
  <si>
    <t>Paldean Wooper</t>
  </si>
  <si>
    <t>195</t>
  </si>
  <si>
    <t>quagsire</t>
  </si>
  <si>
    <t>Quagsire</t>
  </si>
  <si>
    <t>196</t>
  </si>
  <si>
    <t>espeon</t>
  </si>
  <si>
    <t>197</t>
  </si>
  <si>
    <t>umbreon</t>
  </si>
  <si>
    <t>198</t>
  </si>
  <si>
    <t>Prankster</t>
  </si>
  <si>
    <t>199</t>
  </si>
  <si>
    <t>slowking</t>
  </si>
  <si>
    <t>199-g</t>
  </si>
  <si>
    <t>slowking-galar</t>
  </si>
  <si>
    <t>slowking-galarian</t>
  </si>
  <si>
    <t>Galarian Slowking</t>
  </si>
  <si>
    <t>Curious Medicine</t>
  </si>
  <si>
    <t>200</t>
  </si>
  <si>
    <t>misdreavus</t>
  </si>
  <si>
    <t>201</t>
  </si>
  <si>
    <t>unown</t>
  </si>
  <si>
    <t>Unown</t>
  </si>
  <si>
    <t>202</t>
  </si>
  <si>
    <t>wobbuffet</t>
  </si>
  <si>
    <t>Wobbuffet</t>
  </si>
  <si>
    <t>Telepathy</t>
  </si>
  <si>
    <t>203</t>
  </si>
  <si>
    <t>girafarig</t>
  </si>
  <si>
    <t>204</t>
  </si>
  <si>
    <t>pineco</t>
  </si>
  <si>
    <t>205</t>
  </si>
  <si>
    <t>forretress</t>
  </si>
  <si>
    <t>206</t>
  </si>
  <si>
    <t>dunsparce</t>
  </si>
  <si>
    <t>207</t>
  </si>
  <si>
    <t>gligar</t>
  </si>
  <si>
    <t>Gligar</t>
  </si>
  <si>
    <t>208</t>
  </si>
  <si>
    <t>steelix</t>
  </si>
  <si>
    <t>Steelix</t>
  </si>
  <si>
    <t>208-m</t>
  </si>
  <si>
    <t>steelix-mega</t>
  </si>
  <si>
    <t>Mega Steelix</t>
  </si>
  <si>
    <t>209</t>
  </si>
  <si>
    <t>snubbull</t>
  </si>
  <si>
    <t>Snubbull</t>
  </si>
  <si>
    <t>210</t>
  </si>
  <si>
    <t>granbull</t>
  </si>
  <si>
    <t>Granbull</t>
  </si>
  <si>
    <t>211</t>
  </si>
  <si>
    <t>qwilfish</t>
  </si>
  <si>
    <t>211-h</t>
  </si>
  <si>
    <t>Hisuian Qwilfish</t>
  </si>
  <si>
    <t>212</t>
  </si>
  <si>
    <t>Light Metal</t>
  </si>
  <si>
    <t>212-m</t>
  </si>
  <si>
    <t>scizor-mega</t>
  </si>
  <si>
    <t>Mega Scizor</t>
  </si>
  <si>
    <t>213</t>
  </si>
  <si>
    <t>shuckle</t>
  </si>
  <si>
    <t>Shuckle</t>
  </si>
  <si>
    <t>Contrary</t>
  </si>
  <si>
    <t>214</t>
  </si>
  <si>
    <t>heracross</t>
  </si>
  <si>
    <t>Heracross</t>
  </si>
  <si>
    <t>214-m</t>
  </si>
  <si>
    <t>heracross-mega</t>
  </si>
  <si>
    <t>Mega Heracross</t>
  </si>
  <si>
    <t>215</t>
  </si>
  <si>
    <t>sneasel</t>
  </si>
  <si>
    <t>Pickpocket</t>
  </si>
  <si>
    <t>215-H</t>
  </si>
  <si>
    <t>Hisuian Sneasel</t>
  </si>
  <si>
    <t>216</t>
  </si>
  <si>
    <t>teddiursa</t>
  </si>
  <si>
    <t>Honey Gather</t>
  </si>
  <si>
    <t>217</t>
  </si>
  <si>
    <t>ursaring</t>
  </si>
  <si>
    <t>218</t>
  </si>
  <si>
    <t>slugma</t>
  </si>
  <si>
    <t>Slugma</t>
  </si>
  <si>
    <t>Magma Armor</t>
  </si>
  <si>
    <t>219</t>
  </si>
  <si>
    <t>magcargo</t>
  </si>
  <si>
    <t>Magcargo</t>
  </si>
  <si>
    <t>220</t>
  </si>
  <si>
    <t>swinub</t>
  </si>
  <si>
    <t>Swinub</t>
  </si>
  <si>
    <t>221</t>
  </si>
  <si>
    <t>piloswine</t>
  </si>
  <si>
    <t>Piloswine</t>
  </si>
  <si>
    <t>222</t>
  </si>
  <si>
    <t>corsola</t>
  </si>
  <si>
    <t>Corsola</t>
  </si>
  <si>
    <t>222-g</t>
  </si>
  <si>
    <t>corsola-galar</t>
  </si>
  <si>
    <t>corsola-galarian</t>
  </si>
  <si>
    <t>Galarian Corsola</t>
  </si>
  <si>
    <t>223</t>
  </si>
  <si>
    <t>remoraid</t>
  </si>
  <si>
    <t>Remoraid</t>
  </si>
  <si>
    <t>Moody</t>
  </si>
  <si>
    <t>224</t>
  </si>
  <si>
    <t>octillery</t>
  </si>
  <si>
    <t>Octillery</t>
  </si>
  <si>
    <t>Suction Cups</t>
  </si>
  <si>
    <t>225</t>
  </si>
  <si>
    <t>delibird</t>
  </si>
  <si>
    <t>226</t>
  </si>
  <si>
    <t>mantine</t>
  </si>
  <si>
    <t>Mantine</t>
  </si>
  <si>
    <t>227</t>
  </si>
  <si>
    <t>skarmory</t>
  </si>
  <si>
    <t>Skarmory</t>
  </si>
  <si>
    <t>228</t>
  </si>
  <si>
    <t>houndour</t>
  </si>
  <si>
    <t>229</t>
  </si>
  <si>
    <t>houndoom</t>
  </si>
  <si>
    <t>229-m</t>
  </si>
  <si>
    <t>houndoom-mega</t>
  </si>
  <si>
    <t>Mega Houndoom</t>
  </si>
  <si>
    <t>230</t>
  </si>
  <si>
    <t>kingdra</t>
  </si>
  <si>
    <t>Kingdra</t>
  </si>
  <si>
    <t>231</t>
  </si>
  <si>
    <t>phanpy</t>
  </si>
  <si>
    <t>232</t>
  </si>
  <si>
    <t>donphan</t>
  </si>
  <si>
    <t>233</t>
  </si>
  <si>
    <t>porygon2</t>
  </si>
  <si>
    <t>Porygon2</t>
  </si>
  <si>
    <t>234</t>
  </si>
  <si>
    <t>stantler</t>
  </si>
  <si>
    <t>235</t>
  </si>
  <si>
    <t>smeargle</t>
  </si>
  <si>
    <t>Smeargle</t>
  </si>
  <si>
    <t>236</t>
  </si>
  <si>
    <t>tyrogue</t>
  </si>
  <si>
    <t>Tyrogue</t>
  </si>
  <si>
    <t>237</t>
  </si>
  <si>
    <t>hitmontop</t>
  </si>
  <si>
    <t>Hitmontop</t>
  </si>
  <si>
    <t>238</t>
  </si>
  <si>
    <t>smoochum</t>
  </si>
  <si>
    <t>Smoochum</t>
  </si>
  <si>
    <t>239</t>
  </si>
  <si>
    <t>elekid</t>
  </si>
  <si>
    <t>Elekid</t>
  </si>
  <si>
    <t>240</t>
  </si>
  <si>
    <t>magby</t>
  </si>
  <si>
    <t>Magby</t>
  </si>
  <si>
    <t>241</t>
  </si>
  <si>
    <t>miltank</t>
  </si>
  <si>
    <t>Miltank</t>
  </si>
  <si>
    <t>242</t>
  </si>
  <si>
    <t>blissey</t>
  </si>
  <si>
    <t>243</t>
  </si>
  <si>
    <t>raikou</t>
  </si>
  <si>
    <t>Raikou</t>
  </si>
  <si>
    <t>244</t>
  </si>
  <si>
    <t>entei</t>
  </si>
  <si>
    <t>Entei</t>
  </si>
  <si>
    <t>245</t>
  </si>
  <si>
    <t>suicune</t>
  </si>
  <si>
    <t>Suicune</t>
  </si>
  <si>
    <t>246</t>
  </si>
  <si>
    <t>larvitar</t>
  </si>
  <si>
    <t>247</t>
  </si>
  <si>
    <t>pupitar</t>
  </si>
  <si>
    <t>248</t>
  </si>
  <si>
    <t>Sand Stream</t>
  </si>
  <si>
    <t>248-m</t>
  </si>
  <si>
    <t>tyranitar-mega</t>
  </si>
  <si>
    <t>Mega Tyranitar</t>
  </si>
  <si>
    <t>249</t>
  </si>
  <si>
    <t>250</t>
  </si>
  <si>
    <t>ho-oh</t>
  </si>
  <si>
    <t>251</t>
  </si>
  <si>
    <t>celebi</t>
  </si>
  <si>
    <t>Celebi</t>
  </si>
  <si>
    <t>252</t>
  </si>
  <si>
    <t>treecko</t>
  </si>
  <si>
    <t>Treecko</t>
  </si>
  <si>
    <t>253</t>
  </si>
  <si>
    <t>grovyle</t>
  </si>
  <si>
    <t>Grovyle</t>
  </si>
  <si>
    <t>254</t>
  </si>
  <si>
    <t>sceptile</t>
  </si>
  <si>
    <t>Sceptile</t>
  </si>
  <si>
    <t>254-m</t>
  </si>
  <si>
    <t>sceptile-mega</t>
  </si>
  <si>
    <t>Mega Sceptile</t>
  </si>
  <si>
    <t>255</t>
  </si>
  <si>
    <t>torchic</t>
  </si>
  <si>
    <t>Torchic</t>
  </si>
  <si>
    <t>256</t>
  </si>
  <si>
    <t>combusken</t>
  </si>
  <si>
    <t>Combusken</t>
  </si>
  <si>
    <t>257</t>
  </si>
  <si>
    <t>blaziken</t>
  </si>
  <si>
    <t>Blaziken</t>
  </si>
  <si>
    <t>257-m</t>
  </si>
  <si>
    <t>blaziken-mega</t>
  </si>
  <si>
    <t>Mega Blaziken</t>
  </si>
  <si>
    <t>258</t>
  </si>
  <si>
    <t>mudkip</t>
  </si>
  <si>
    <t>Mudkip</t>
  </si>
  <si>
    <t>259</t>
  </si>
  <si>
    <t>marshtomp</t>
  </si>
  <si>
    <t>Marshtomp</t>
  </si>
  <si>
    <t>260</t>
  </si>
  <si>
    <t>swampert</t>
  </si>
  <si>
    <t>Swampert</t>
  </si>
  <si>
    <t>260-m</t>
  </si>
  <si>
    <t>swampert-mega</t>
  </si>
  <si>
    <t>Mega Swampert</t>
  </si>
  <si>
    <t>261</t>
  </si>
  <si>
    <t>poochyena</t>
  </si>
  <si>
    <t>Poochyena</t>
  </si>
  <si>
    <t>262</t>
  </si>
  <si>
    <t>mightyena</t>
  </si>
  <si>
    <t>Mightyena</t>
  </si>
  <si>
    <t>263</t>
  </si>
  <si>
    <t>zigzagoon</t>
  </si>
  <si>
    <t>Zigzagoon</t>
  </si>
  <si>
    <t>263-g</t>
  </si>
  <si>
    <t>zigzagoon-galar</t>
  </si>
  <si>
    <t>zigzagoon-galarian</t>
  </si>
  <si>
    <t>Galarian Zigzagoon</t>
  </si>
  <si>
    <t>264</t>
  </si>
  <si>
    <t>linoone</t>
  </si>
  <si>
    <t>Linoone</t>
  </si>
  <si>
    <t>264-g</t>
  </si>
  <si>
    <t>linoone-galar</t>
  </si>
  <si>
    <t>linoone-galarian</t>
  </si>
  <si>
    <t>Galarian Linoone</t>
  </si>
  <si>
    <t>265</t>
  </si>
  <si>
    <t>wurmple</t>
  </si>
  <si>
    <t>Wurmple</t>
  </si>
  <si>
    <t>266</t>
  </si>
  <si>
    <t>silcoon</t>
  </si>
  <si>
    <t>Silcoon</t>
  </si>
  <si>
    <t>267</t>
  </si>
  <si>
    <t>beautifly</t>
  </si>
  <si>
    <t>Beautifly</t>
  </si>
  <si>
    <t>268</t>
  </si>
  <si>
    <t>cascoon</t>
  </si>
  <si>
    <t>Cascoon</t>
  </si>
  <si>
    <t>269</t>
  </si>
  <si>
    <t>dustox</t>
  </si>
  <si>
    <t>Dustox</t>
  </si>
  <si>
    <t>270</t>
  </si>
  <si>
    <t>lotad</t>
  </si>
  <si>
    <t>Lotad</t>
  </si>
  <si>
    <t>271</t>
  </si>
  <si>
    <t>lombre</t>
  </si>
  <si>
    <t>Lombre</t>
  </si>
  <si>
    <t>272</t>
  </si>
  <si>
    <t>ludicolo</t>
  </si>
  <si>
    <t>Ludicolo</t>
  </si>
  <si>
    <t>273</t>
  </si>
  <si>
    <t>seedot</t>
  </si>
  <si>
    <t>Seedot</t>
  </si>
  <si>
    <t>274</t>
  </si>
  <si>
    <t>nuzleaf</t>
  </si>
  <si>
    <t>Nuzleaf</t>
  </si>
  <si>
    <t>275</t>
  </si>
  <si>
    <t>shiftry</t>
  </si>
  <si>
    <t>Shiftry</t>
  </si>
  <si>
    <t>276</t>
  </si>
  <si>
    <t>taillow</t>
  </si>
  <si>
    <t>Taillow</t>
  </si>
  <si>
    <t>277</t>
  </si>
  <si>
    <t>swellow</t>
  </si>
  <si>
    <t>Swellow</t>
  </si>
  <si>
    <t>278</t>
  </si>
  <si>
    <t>wingull</t>
  </si>
  <si>
    <t>279</t>
  </si>
  <si>
    <t>280</t>
  </si>
  <si>
    <t>ralts</t>
  </si>
  <si>
    <t>281</t>
  </si>
  <si>
    <t>kirlia</t>
  </si>
  <si>
    <t>282</t>
  </si>
  <si>
    <t>gardevoir</t>
  </si>
  <si>
    <t>282-m</t>
  </si>
  <si>
    <t>gardevoir-mega</t>
  </si>
  <si>
    <t>Mega Gardevoir</t>
  </si>
  <si>
    <t>Pixilate</t>
  </si>
  <si>
    <t>283</t>
  </si>
  <si>
    <t>surskit</t>
  </si>
  <si>
    <t>284</t>
  </si>
  <si>
    <t>masquerain</t>
  </si>
  <si>
    <t>285</t>
  </si>
  <si>
    <t>shroomish</t>
  </si>
  <si>
    <t>Poison Heal</t>
  </si>
  <si>
    <t>286</t>
  </si>
  <si>
    <t>breloom</t>
  </si>
  <si>
    <t>287</t>
  </si>
  <si>
    <t>slakoth</t>
  </si>
  <si>
    <t>Truant</t>
  </si>
  <si>
    <t>288</t>
  </si>
  <si>
    <t>vigoroth</t>
  </si>
  <si>
    <t>289</t>
  </si>
  <si>
    <t>290</t>
  </si>
  <si>
    <t>nincada</t>
  </si>
  <si>
    <t>Nincada</t>
  </si>
  <si>
    <t>291</t>
  </si>
  <si>
    <t>ninjask</t>
  </si>
  <si>
    <t>Ninjask</t>
  </si>
  <si>
    <t>292</t>
  </si>
  <si>
    <t>shedinja</t>
  </si>
  <si>
    <t>Shedinja</t>
  </si>
  <si>
    <t>Wonder Guard</t>
  </si>
  <si>
    <t>293</t>
  </si>
  <si>
    <t>whismur</t>
  </si>
  <si>
    <t>Whismur</t>
  </si>
  <si>
    <t>294</t>
  </si>
  <si>
    <t>loudred</t>
  </si>
  <si>
    <t>Loudred</t>
  </si>
  <si>
    <t>295</t>
  </si>
  <si>
    <t>exploud</t>
  </si>
  <si>
    <t>Exploud</t>
  </si>
  <si>
    <t>296</t>
  </si>
  <si>
    <t>makuhita</t>
  </si>
  <si>
    <t>297</t>
  </si>
  <si>
    <t>298</t>
  </si>
  <si>
    <t>299</t>
  </si>
  <si>
    <t>nosepass</t>
  </si>
  <si>
    <t>Nosepass</t>
  </si>
  <si>
    <t>300</t>
  </si>
  <si>
    <t>skitty</t>
  </si>
  <si>
    <t>Skitty</t>
  </si>
  <si>
    <t>Normalize</t>
  </si>
  <si>
    <t>301</t>
  </si>
  <si>
    <t>delcatty</t>
  </si>
  <si>
    <t>Delcatty</t>
  </si>
  <si>
    <t>302</t>
  </si>
  <si>
    <t>sableye</t>
  </si>
  <si>
    <t>Stall</t>
  </si>
  <si>
    <t>302-m</t>
  </si>
  <si>
    <t>sableye-mega</t>
  </si>
  <si>
    <t>Mega Sableye</t>
  </si>
  <si>
    <t>303</t>
  </si>
  <si>
    <t>mawile</t>
  </si>
  <si>
    <t>Mawile</t>
  </si>
  <si>
    <t>303-m</t>
  </si>
  <si>
    <t>mawile-mega</t>
  </si>
  <si>
    <t>Mega Mawile</t>
  </si>
  <si>
    <t>304</t>
  </si>
  <si>
    <t>aron</t>
  </si>
  <si>
    <t>Aron</t>
  </si>
  <si>
    <t>Heavy Metal</t>
  </si>
  <si>
    <t>305</t>
  </si>
  <si>
    <t>lairon</t>
  </si>
  <si>
    <t>Lairon</t>
  </si>
  <si>
    <t>306</t>
  </si>
  <si>
    <t>aggron</t>
  </si>
  <si>
    <t>Aggron</t>
  </si>
  <si>
    <t>306-m</t>
  </si>
  <si>
    <t>aggron-mega</t>
  </si>
  <si>
    <t>Mega Aggron</t>
  </si>
  <si>
    <t>307</t>
  </si>
  <si>
    <t>meditite</t>
  </si>
  <si>
    <t>Pure Power</t>
  </si>
  <si>
    <t>308</t>
  </si>
  <si>
    <t>medicham</t>
  </si>
  <si>
    <t>308-m</t>
  </si>
  <si>
    <t>medicham-mega</t>
  </si>
  <si>
    <t>Mega Medicham</t>
  </si>
  <si>
    <t>309</t>
  </si>
  <si>
    <t>electrike</t>
  </si>
  <si>
    <t>Electrike</t>
  </si>
  <si>
    <t>Minus</t>
  </si>
  <si>
    <t>310</t>
  </si>
  <si>
    <t>manectric</t>
  </si>
  <si>
    <t>Manectric</t>
  </si>
  <si>
    <t>310-m</t>
  </si>
  <si>
    <t>manectric-mega</t>
  </si>
  <si>
    <t>Mega Manectric</t>
  </si>
  <si>
    <t>311</t>
  </si>
  <si>
    <t>plusle</t>
  </si>
  <si>
    <t>Plusle</t>
  </si>
  <si>
    <t>312</t>
  </si>
  <si>
    <t>minun</t>
  </si>
  <si>
    <t>Minun</t>
  </si>
  <si>
    <t>313</t>
  </si>
  <si>
    <t>volbeat</t>
  </si>
  <si>
    <t>Volbeat</t>
  </si>
  <si>
    <t>314</t>
  </si>
  <si>
    <t>illumise</t>
  </si>
  <si>
    <t>Illumise</t>
  </si>
  <si>
    <t>315</t>
  </si>
  <si>
    <t>roselia</t>
  </si>
  <si>
    <t>Roselia</t>
  </si>
  <si>
    <t>316</t>
  </si>
  <si>
    <t>317</t>
  </si>
  <si>
    <t>swalot</t>
  </si>
  <si>
    <t>318</t>
  </si>
  <si>
    <t>carvanha</t>
  </si>
  <si>
    <t>Carvanha</t>
  </si>
  <si>
    <t>Rough Skin</t>
  </si>
  <si>
    <t>319</t>
  </si>
  <si>
    <t>sharpedo</t>
  </si>
  <si>
    <t>Sharpedo</t>
  </si>
  <si>
    <t>319-m</t>
  </si>
  <si>
    <t>sharpedo-mega</t>
  </si>
  <si>
    <t>Mega Sharpedo</t>
  </si>
  <si>
    <t>Strong Jaw</t>
  </si>
  <si>
    <t>320</t>
  </si>
  <si>
    <t>wailmer</t>
  </si>
  <si>
    <t>Wailmer</t>
  </si>
  <si>
    <t>321</t>
  </si>
  <si>
    <t>wailord</t>
  </si>
  <si>
    <t>Wailord</t>
  </si>
  <si>
    <t>322</t>
  </si>
  <si>
    <t>numel</t>
  </si>
  <si>
    <t>Simple</t>
  </si>
  <si>
    <t>323</t>
  </si>
  <si>
    <t>Solid Rock</t>
  </si>
  <si>
    <t>323-m</t>
  </si>
  <si>
    <t>camerupt-mega</t>
  </si>
  <si>
    <t>Mega Camerupt</t>
  </si>
  <si>
    <t>324</t>
  </si>
  <si>
    <t>White Smoke</t>
  </si>
  <si>
    <t>325</t>
  </si>
  <si>
    <t>spoink</t>
  </si>
  <si>
    <t>326</t>
  </si>
  <si>
    <t>grumpig</t>
  </si>
  <si>
    <t>327</t>
  </si>
  <si>
    <t>spinda</t>
  </si>
  <si>
    <t>Spinda</t>
  </si>
  <si>
    <t>328</t>
  </si>
  <si>
    <t>trapinch</t>
  </si>
  <si>
    <t>Trapinch</t>
  </si>
  <si>
    <t>329</t>
  </si>
  <si>
    <t>vibrava</t>
  </si>
  <si>
    <t>Vibrava</t>
  </si>
  <si>
    <t>330</t>
  </si>
  <si>
    <t>flygon</t>
  </si>
  <si>
    <t>Flygon</t>
  </si>
  <si>
    <t>331</t>
  </si>
  <si>
    <t>cacnea</t>
  </si>
  <si>
    <t>332</t>
  </si>
  <si>
    <t>cacturne</t>
  </si>
  <si>
    <t>333</t>
  </si>
  <si>
    <t>swablu</t>
  </si>
  <si>
    <t>334</t>
  </si>
  <si>
    <t>altaria</t>
  </si>
  <si>
    <t>334-m</t>
  </si>
  <si>
    <t>altaria-mega</t>
  </si>
  <si>
    <t>Mega Altaria</t>
  </si>
  <si>
    <t>335</t>
  </si>
  <si>
    <t>zangoose</t>
  </si>
  <si>
    <t>Toxic Boost</t>
  </si>
  <si>
    <t>336</t>
  </si>
  <si>
    <t>seviper</t>
  </si>
  <si>
    <t>337</t>
  </si>
  <si>
    <t>lunatone</t>
  </si>
  <si>
    <t>Lunatone</t>
  </si>
  <si>
    <t>338</t>
  </si>
  <si>
    <t>solrock</t>
  </si>
  <si>
    <t>Solrock</t>
  </si>
  <si>
    <t>339</t>
  </si>
  <si>
    <t>barboach</t>
  </si>
  <si>
    <t>340</t>
  </si>
  <si>
    <t>whiscash</t>
  </si>
  <si>
    <t>341</t>
  </si>
  <si>
    <t>corphish</t>
  </si>
  <si>
    <t>Corphish</t>
  </si>
  <si>
    <t>342</t>
  </si>
  <si>
    <t>crawdaunt</t>
  </si>
  <si>
    <t>Crawdaunt</t>
  </si>
  <si>
    <t>343</t>
  </si>
  <si>
    <t>baltoy</t>
  </si>
  <si>
    <t>Baltoy</t>
  </si>
  <si>
    <t>344</t>
  </si>
  <si>
    <t>claydol</t>
  </si>
  <si>
    <t>Claydol</t>
  </si>
  <si>
    <t>345</t>
  </si>
  <si>
    <t>lileep</t>
  </si>
  <si>
    <t>Lileep</t>
  </si>
  <si>
    <t>Storm Drain</t>
  </si>
  <si>
    <t>346</t>
  </si>
  <si>
    <t>cradily</t>
  </si>
  <si>
    <t>Cradily</t>
  </si>
  <si>
    <t>347</t>
  </si>
  <si>
    <t>anorith</t>
  </si>
  <si>
    <t>Anorith</t>
  </si>
  <si>
    <t>348</t>
  </si>
  <si>
    <t>armaldo</t>
  </si>
  <si>
    <t>Armaldo</t>
  </si>
  <si>
    <t>349</t>
  </si>
  <si>
    <t>feebas</t>
  </si>
  <si>
    <t>Feebas</t>
  </si>
  <si>
    <t>350</t>
  </si>
  <si>
    <t>milotic</t>
  </si>
  <si>
    <t>Milotic</t>
  </si>
  <si>
    <t>351</t>
  </si>
  <si>
    <t>castform</t>
  </si>
  <si>
    <t>Castform</t>
  </si>
  <si>
    <t>Forecast</t>
  </si>
  <si>
    <t>351-s</t>
  </si>
  <si>
    <t>castform-sunny</t>
  </si>
  <si>
    <t>Castform-Sunny</t>
  </si>
  <si>
    <t>351-r</t>
  </si>
  <si>
    <t>castform-rainy</t>
  </si>
  <si>
    <t>Castform-Rainy</t>
  </si>
  <si>
    <t>351-i</t>
  </si>
  <si>
    <t>castform-snowy</t>
  </si>
  <si>
    <t>Castform-Snowy</t>
  </si>
  <si>
    <t>352</t>
  </si>
  <si>
    <t>kecleon</t>
  </si>
  <si>
    <t>Kecleon</t>
  </si>
  <si>
    <t>Color Change</t>
  </si>
  <si>
    <t>Protean</t>
  </si>
  <si>
    <t>353</t>
  </si>
  <si>
    <t>shuppet</t>
  </si>
  <si>
    <t>354</t>
  </si>
  <si>
    <t>banette</t>
  </si>
  <si>
    <t>354-m</t>
  </si>
  <si>
    <t>banette-mega</t>
  </si>
  <si>
    <t>Mega Banette</t>
  </si>
  <si>
    <t>355</t>
  </si>
  <si>
    <t>duskull</t>
  </si>
  <si>
    <t>Duskull</t>
  </si>
  <si>
    <t>356</t>
  </si>
  <si>
    <t>dusclops</t>
  </si>
  <si>
    <t>Dusclops</t>
  </si>
  <si>
    <t>357</t>
  </si>
  <si>
    <t>tropius</t>
  </si>
  <si>
    <t>358</t>
  </si>
  <si>
    <t>chimecho</t>
  </si>
  <si>
    <t>Chimecho</t>
  </si>
  <si>
    <t>359</t>
  </si>
  <si>
    <t>absol</t>
  </si>
  <si>
    <t>Absol</t>
  </si>
  <si>
    <t>359-m</t>
  </si>
  <si>
    <t>absol-mega</t>
  </si>
  <si>
    <t>Mega Absol</t>
  </si>
  <si>
    <t>360</t>
  </si>
  <si>
    <t>wynaut</t>
  </si>
  <si>
    <t>Wynaut</t>
  </si>
  <si>
    <t>361</t>
  </si>
  <si>
    <t>snorunt</t>
  </si>
  <si>
    <t>362</t>
  </si>
  <si>
    <t>glalie</t>
  </si>
  <si>
    <t>362-m</t>
  </si>
  <si>
    <t>glalie-mega</t>
  </si>
  <si>
    <t>Mega Glalie</t>
  </si>
  <si>
    <t>Refrigerate</t>
  </si>
  <si>
    <t>363</t>
  </si>
  <si>
    <t>spheal</t>
  </si>
  <si>
    <t>Spheal</t>
  </si>
  <si>
    <t>364</t>
  </si>
  <si>
    <t>sealeo</t>
  </si>
  <si>
    <t>Sealeo</t>
  </si>
  <si>
    <t>365</t>
  </si>
  <si>
    <t>walrein</t>
  </si>
  <si>
    <t>Walrein</t>
  </si>
  <si>
    <t>366</t>
  </si>
  <si>
    <t>clamperl</t>
  </si>
  <si>
    <t>Clamperl</t>
  </si>
  <si>
    <t>367</t>
  </si>
  <si>
    <t>huntail</t>
  </si>
  <si>
    <t>Huntail</t>
  </si>
  <si>
    <t>368</t>
  </si>
  <si>
    <t>gorebyss</t>
  </si>
  <si>
    <t>Gorebyss</t>
  </si>
  <si>
    <t>369</t>
  </si>
  <si>
    <t>relicanth</t>
  </si>
  <si>
    <t>Relicanth</t>
  </si>
  <si>
    <t>370</t>
  </si>
  <si>
    <t>luvdisc</t>
  </si>
  <si>
    <t>371</t>
  </si>
  <si>
    <t>bagon</t>
  </si>
  <si>
    <t>372</t>
  </si>
  <si>
    <t>shelgon</t>
  </si>
  <si>
    <t>373</t>
  </si>
  <si>
    <t>373-m</t>
  </si>
  <si>
    <t>salamence-mega</t>
  </si>
  <si>
    <t>Mega Salamence</t>
  </si>
  <si>
    <t>374</t>
  </si>
  <si>
    <t>beldum</t>
  </si>
  <si>
    <t>Beldum</t>
  </si>
  <si>
    <t>375</t>
  </si>
  <si>
    <t>metang</t>
  </si>
  <si>
    <t>Metang</t>
  </si>
  <si>
    <t>376</t>
  </si>
  <si>
    <t>metagross</t>
  </si>
  <si>
    <t>Metagross</t>
  </si>
  <si>
    <t>376-m</t>
  </si>
  <si>
    <t>metagross-mega</t>
  </si>
  <si>
    <t>Mega Metagross</t>
  </si>
  <si>
    <t>377</t>
  </si>
  <si>
    <t>regirock</t>
  </si>
  <si>
    <t>Regirock</t>
  </si>
  <si>
    <t>378</t>
  </si>
  <si>
    <t>regice</t>
  </si>
  <si>
    <t>Regice</t>
  </si>
  <si>
    <t>379</t>
  </si>
  <si>
    <t>registeel</t>
  </si>
  <si>
    <t>Registeel</t>
  </si>
  <si>
    <t>380</t>
  </si>
  <si>
    <t>latias</t>
  </si>
  <si>
    <t>Latias</t>
  </si>
  <si>
    <t>380-m</t>
  </si>
  <si>
    <t>latias-mega</t>
  </si>
  <si>
    <t>Mega Latias</t>
  </si>
  <si>
    <t>381</t>
  </si>
  <si>
    <t>latios</t>
  </si>
  <si>
    <t>Latios</t>
  </si>
  <si>
    <t>381-m</t>
  </si>
  <si>
    <t>latios-mega</t>
  </si>
  <si>
    <t>Mega Latios</t>
  </si>
  <si>
    <t>382</t>
  </si>
  <si>
    <t>382-p</t>
  </si>
  <si>
    <t>Primal Kyogre</t>
  </si>
  <si>
    <t>Primordial Sea</t>
  </si>
  <si>
    <t>383</t>
  </si>
  <si>
    <t>383-p</t>
  </si>
  <si>
    <t>Primal Groudon</t>
  </si>
  <si>
    <t>Desolate Land</t>
  </si>
  <si>
    <t>384</t>
  </si>
  <si>
    <t>Air Lock</t>
  </si>
  <si>
    <t>384-m</t>
  </si>
  <si>
    <t>rayquaza-mega</t>
  </si>
  <si>
    <t>Mega Rayquaza</t>
  </si>
  <si>
    <t>Delta Stream</t>
  </si>
  <si>
    <t>385</t>
  </si>
  <si>
    <t>jirachi</t>
  </si>
  <si>
    <t>Jirachi</t>
  </si>
  <si>
    <t>386</t>
  </si>
  <si>
    <t>deoxys</t>
  </si>
  <si>
    <t>Deoxys</t>
  </si>
  <si>
    <t>386-a</t>
  </si>
  <si>
    <t>deoxys-attack</t>
  </si>
  <si>
    <t>Deoxys-Attack</t>
  </si>
  <si>
    <t>386-d</t>
  </si>
  <si>
    <t>deoxys-defense</t>
  </si>
  <si>
    <t>Deoxys-Defense</t>
  </si>
  <si>
    <t>386-s</t>
  </si>
  <si>
    <t>deoxys-speed</t>
  </si>
  <si>
    <t>Deoxys-Speed</t>
  </si>
  <si>
    <t>387</t>
  </si>
  <si>
    <t>turtwig</t>
  </si>
  <si>
    <t>Turtwig</t>
  </si>
  <si>
    <t>388</t>
  </si>
  <si>
    <t>grotle</t>
  </si>
  <si>
    <t>Grotle</t>
  </si>
  <si>
    <t>389</t>
  </si>
  <si>
    <t>torterra</t>
  </si>
  <si>
    <t>Torterra</t>
  </si>
  <si>
    <t>390</t>
  </si>
  <si>
    <t>chimchar</t>
  </si>
  <si>
    <t>Chimchar</t>
  </si>
  <si>
    <t>391</t>
  </si>
  <si>
    <t>monferno</t>
  </si>
  <si>
    <t>Monferno</t>
  </si>
  <si>
    <t>392</t>
  </si>
  <si>
    <t>infernape</t>
  </si>
  <si>
    <t>Infernape</t>
  </si>
  <si>
    <t>393</t>
  </si>
  <si>
    <t>piplup</t>
  </si>
  <si>
    <t>Piplup</t>
  </si>
  <si>
    <t>394</t>
  </si>
  <si>
    <t>prinplup</t>
  </si>
  <si>
    <t>Prinplup</t>
  </si>
  <si>
    <t>395</t>
  </si>
  <si>
    <t>empoleon</t>
  </si>
  <si>
    <t>Empoleon</t>
  </si>
  <si>
    <t>396</t>
  </si>
  <si>
    <t>starly</t>
  </si>
  <si>
    <t>397</t>
  </si>
  <si>
    <t>staravia</t>
  </si>
  <si>
    <t>398</t>
  </si>
  <si>
    <t>399</t>
  </si>
  <si>
    <t>bidoof</t>
  </si>
  <si>
    <t>Bidoof</t>
  </si>
  <si>
    <t>400</t>
  </si>
  <si>
    <t>bibarel</t>
  </si>
  <si>
    <t>Bibarel</t>
  </si>
  <si>
    <t>401</t>
  </si>
  <si>
    <t>kricketot</t>
  </si>
  <si>
    <t>Kricketot</t>
  </si>
  <si>
    <t>402</t>
  </si>
  <si>
    <t>kricketune</t>
  </si>
  <si>
    <t>403</t>
  </si>
  <si>
    <t>shinx</t>
  </si>
  <si>
    <t>404</t>
  </si>
  <si>
    <t>luxio</t>
  </si>
  <si>
    <t>405</t>
  </si>
  <si>
    <t>luxray</t>
  </si>
  <si>
    <t>406</t>
  </si>
  <si>
    <t>budew</t>
  </si>
  <si>
    <t>Budew</t>
  </si>
  <si>
    <t>407</t>
  </si>
  <si>
    <t>roserade</t>
  </si>
  <si>
    <t>Roserade</t>
  </si>
  <si>
    <t>408</t>
  </si>
  <si>
    <t>cranidos</t>
  </si>
  <si>
    <t>Cranidos</t>
  </si>
  <si>
    <t>409</t>
  </si>
  <si>
    <t>rampardos</t>
  </si>
  <si>
    <t>Rampardos</t>
  </si>
  <si>
    <t>410</t>
  </si>
  <si>
    <t>shieldon</t>
  </si>
  <si>
    <t>Shieldon</t>
  </si>
  <si>
    <t>411</t>
  </si>
  <si>
    <t>bastiodon</t>
  </si>
  <si>
    <t>Bastiodon</t>
  </si>
  <si>
    <t>412</t>
  </si>
  <si>
    <t>burmy</t>
  </si>
  <si>
    <t>Burmy</t>
  </si>
  <si>
    <t>413</t>
  </si>
  <si>
    <t>wormadam</t>
  </si>
  <si>
    <t>Wormadam-Plant</t>
  </si>
  <si>
    <t>413-s</t>
  </si>
  <si>
    <t>wormadam-sandy</t>
  </si>
  <si>
    <t>Wormadam-Sandy</t>
  </si>
  <si>
    <t>413-t</t>
  </si>
  <si>
    <t>wormadam-trash</t>
  </si>
  <si>
    <t>Wormadam-Trash</t>
  </si>
  <si>
    <t>414</t>
  </si>
  <si>
    <t>mothim</t>
  </si>
  <si>
    <t>Mothim</t>
  </si>
  <si>
    <t>415</t>
  </si>
  <si>
    <t>combee</t>
  </si>
  <si>
    <t>416</t>
  </si>
  <si>
    <t>vespiquen</t>
  </si>
  <si>
    <t>417</t>
  </si>
  <si>
    <t>418</t>
  </si>
  <si>
    <t>buizel</t>
  </si>
  <si>
    <t>419</t>
  </si>
  <si>
    <t>floatzel</t>
  </si>
  <si>
    <t>420</t>
  </si>
  <si>
    <t>cherubi</t>
  </si>
  <si>
    <t>Cherubi</t>
  </si>
  <si>
    <t>421</t>
  </si>
  <si>
    <t>cherrim</t>
  </si>
  <si>
    <t>Cherrim</t>
  </si>
  <si>
    <t>Flower Gift</t>
  </si>
  <si>
    <t>421-s</t>
  </si>
  <si>
    <t>cherrim-sunshine</t>
  </si>
  <si>
    <t>Cherrim-Sunshine</t>
  </si>
  <si>
    <t>422</t>
  </si>
  <si>
    <t>shellos</t>
  </si>
  <si>
    <t>423</t>
  </si>
  <si>
    <t>424</t>
  </si>
  <si>
    <t>ambipom</t>
  </si>
  <si>
    <t>Ambipom</t>
  </si>
  <si>
    <t>425</t>
  </si>
  <si>
    <t>drifloon</t>
  </si>
  <si>
    <t>Flare Boost</t>
  </si>
  <si>
    <t>426</t>
  </si>
  <si>
    <t>drifblim</t>
  </si>
  <si>
    <t>427</t>
  </si>
  <si>
    <t>buneary</t>
  </si>
  <si>
    <t>Buneary</t>
  </si>
  <si>
    <t>Klutz</t>
  </si>
  <si>
    <t>428</t>
  </si>
  <si>
    <t>lopunny</t>
  </si>
  <si>
    <t>Lopunny</t>
  </si>
  <si>
    <t>428-m</t>
  </si>
  <si>
    <t>lopunny-mega</t>
  </si>
  <si>
    <t>Mega Lopunny</t>
  </si>
  <si>
    <t>429</t>
  </si>
  <si>
    <t>mismagius</t>
  </si>
  <si>
    <t>430</t>
  </si>
  <si>
    <t>honchkrow</t>
  </si>
  <si>
    <t>431</t>
  </si>
  <si>
    <t>glameow</t>
  </si>
  <si>
    <t>Glameow</t>
  </si>
  <si>
    <t>432</t>
  </si>
  <si>
    <t>purugly</t>
  </si>
  <si>
    <t>Purugly</t>
  </si>
  <si>
    <t>433</t>
  </si>
  <si>
    <t>chingling</t>
  </si>
  <si>
    <t>Chingling</t>
  </si>
  <si>
    <t>434</t>
  </si>
  <si>
    <t>stunky</t>
  </si>
  <si>
    <t>435</t>
  </si>
  <si>
    <t>skuntank</t>
  </si>
  <si>
    <t>436</t>
  </si>
  <si>
    <t>bronzor</t>
  </si>
  <si>
    <t>Heatproof</t>
  </si>
  <si>
    <t>437</t>
  </si>
  <si>
    <t>bronzong</t>
  </si>
  <si>
    <t>438</t>
  </si>
  <si>
    <t>bonsly</t>
  </si>
  <si>
    <t>Bonsly</t>
  </si>
  <si>
    <t>439</t>
  </si>
  <si>
    <t>mime-jr</t>
  </si>
  <si>
    <t>mimejr</t>
  </si>
  <si>
    <t>Mime Jr.</t>
  </si>
  <si>
    <t>440</t>
  </si>
  <si>
    <t>happiny</t>
  </si>
  <si>
    <t>441</t>
  </si>
  <si>
    <t>chatot</t>
  </si>
  <si>
    <t>Chatot</t>
  </si>
  <si>
    <t>442</t>
  </si>
  <si>
    <t>spiritomb</t>
  </si>
  <si>
    <t>443</t>
  </si>
  <si>
    <t>gible</t>
  </si>
  <si>
    <t>444</t>
  </si>
  <si>
    <t>gabite</t>
  </si>
  <si>
    <t>445</t>
  </si>
  <si>
    <t>445-m</t>
  </si>
  <si>
    <t>garchomp-mega</t>
  </si>
  <si>
    <t>Mega Garchomp</t>
  </si>
  <si>
    <t>446</t>
  </si>
  <si>
    <t>munchlax</t>
  </si>
  <si>
    <t>Munchlax</t>
  </si>
  <si>
    <t>447</t>
  </si>
  <si>
    <t>riolu</t>
  </si>
  <si>
    <t>448</t>
  </si>
  <si>
    <t>lucario</t>
  </si>
  <si>
    <t>448-m</t>
  </si>
  <si>
    <t>lucario-mega</t>
  </si>
  <si>
    <t>Mega Lucario</t>
  </si>
  <si>
    <t>449</t>
  </si>
  <si>
    <t>hippopotas</t>
  </si>
  <si>
    <t>450</t>
  </si>
  <si>
    <t>hippowdon</t>
  </si>
  <si>
    <t>451</t>
  </si>
  <si>
    <t>skorupi</t>
  </si>
  <si>
    <t>Skorupi</t>
  </si>
  <si>
    <t>452</t>
  </si>
  <si>
    <t>drapion</t>
  </si>
  <si>
    <t>Drapion</t>
  </si>
  <si>
    <t>453</t>
  </si>
  <si>
    <t>croagunk</t>
  </si>
  <si>
    <t>454</t>
  </si>
  <si>
    <t>toxicroak</t>
  </si>
  <si>
    <t>455</t>
  </si>
  <si>
    <t>carnivine</t>
  </si>
  <si>
    <t>Carnivine</t>
  </si>
  <si>
    <t>456</t>
  </si>
  <si>
    <t>finneon</t>
  </si>
  <si>
    <t>457</t>
  </si>
  <si>
    <t>lumineon</t>
  </si>
  <si>
    <t>458</t>
  </si>
  <si>
    <t>mantyke</t>
  </si>
  <si>
    <t>Mantyke</t>
  </si>
  <si>
    <t>459</t>
  </si>
  <si>
    <t>snover</t>
  </si>
  <si>
    <t>460</t>
  </si>
  <si>
    <t>460-m</t>
  </si>
  <si>
    <t>abomasnow-mega</t>
  </si>
  <si>
    <t>Mega Abomasnow</t>
  </si>
  <si>
    <t>461</t>
  </si>
  <si>
    <t>weavile</t>
  </si>
  <si>
    <t>462</t>
  </si>
  <si>
    <t>463</t>
  </si>
  <si>
    <t>lickilicky</t>
  </si>
  <si>
    <t>Lickilicky</t>
  </si>
  <si>
    <t>464</t>
  </si>
  <si>
    <t>rhyperior</t>
  </si>
  <si>
    <t>Rhyperior</t>
  </si>
  <si>
    <t>465</t>
  </si>
  <si>
    <t>tangrowth</t>
  </si>
  <si>
    <t>Tangrowth</t>
  </si>
  <si>
    <t>466</t>
  </si>
  <si>
    <t>electivire</t>
  </si>
  <si>
    <t>Electivire</t>
  </si>
  <si>
    <t>Motor Drive</t>
  </si>
  <si>
    <t>467</t>
  </si>
  <si>
    <t>magmortar</t>
  </si>
  <si>
    <t>Magmortar</t>
  </si>
  <si>
    <t>468</t>
  </si>
  <si>
    <t>togekiss</t>
  </si>
  <si>
    <t>Togekiss</t>
  </si>
  <si>
    <t>469</t>
  </si>
  <si>
    <t>yanmega</t>
  </si>
  <si>
    <t>Yanmega</t>
  </si>
  <si>
    <t>470</t>
  </si>
  <si>
    <t>leafeon</t>
  </si>
  <si>
    <t>471</t>
  </si>
  <si>
    <t>glaceon</t>
  </si>
  <si>
    <t>472</t>
  </si>
  <si>
    <t>gliscor</t>
  </si>
  <si>
    <t>Gliscor</t>
  </si>
  <si>
    <t>473</t>
  </si>
  <si>
    <t>mamoswine</t>
  </si>
  <si>
    <t>Mamoswine</t>
  </si>
  <si>
    <t>474</t>
  </si>
  <si>
    <t>porygon-z</t>
  </si>
  <si>
    <t>porygonz</t>
  </si>
  <si>
    <t>Porygon-Z</t>
  </si>
  <si>
    <t>475</t>
  </si>
  <si>
    <t>475-m</t>
  </si>
  <si>
    <t>gallade-mega</t>
  </si>
  <si>
    <t>Mega Gallade</t>
  </si>
  <si>
    <t>476</t>
  </si>
  <si>
    <t>probopass</t>
  </si>
  <si>
    <t>Probopass</t>
  </si>
  <si>
    <t>477</t>
  </si>
  <si>
    <t>dusknoir</t>
  </si>
  <si>
    <t>Dusknoir</t>
  </si>
  <si>
    <t>478</t>
  </si>
  <si>
    <t>froslass</t>
  </si>
  <si>
    <t>479</t>
  </si>
  <si>
    <t>rotom</t>
  </si>
  <si>
    <t>479-h</t>
  </si>
  <si>
    <t>rotom-heat</t>
  </si>
  <si>
    <t>479-w</t>
  </si>
  <si>
    <t>rotom-wash</t>
  </si>
  <si>
    <t>479-f</t>
  </si>
  <si>
    <t>479-s</t>
  </si>
  <si>
    <t>rotom-fan</t>
  </si>
  <si>
    <t>479-m</t>
  </si>
  <si>
    <t>rotom-mow</t>
  </si>
  <si>
    <t>480</t>
  </si>
  <si>
    <t>uxie</t>
  </si>
  <si>
    <t>Uxie</t>
  </si>
  <si>
    <t>481</t>
  </si>
  <si>
    <t>mesprit</t>
  </si>
  <si>
    <t>Mesprit</t>
  </si>
  <si>
    <t>482</t>
  </si>
  <si>
    <t>azelf</t>
  </si>
  <si>
    <t>Azelf</t>
  </si>
  <si>
    <t>483</t>
  </si>
  <si>
    <t>483-o</t>
  </si>
  <si>
    <t>Dialga-Origin</t>
  </si>
  <si>
    <t>484</t>
  </si>
  <si>
    <t>484-o</t>
  </si>
  <si>
    <t>Palkia-Origin</t>
  </si>
  <si>
    <t>485</t>
  </si>
  <si>
    <t>heatran</t>
  </si>
  <si>
    <t>Heatran</t>
  </si>
  <si>
    <t>486</t>
  </si>
  <si>
    <t>regigigas</t>
  </si>
  <si>
    <t>Regigigas</t>
  </si>
  <si>
    <t>Slow Start</t>
  </si>
  <si>
    <t>487</t>
  </si>
  <si>
    <t>Giratina-Altered</t>
  </si>
  <si>
    <t>487o</t>
  </si>
  <si>
    <t>488</t>
  </si>
  <si>
    <t>cresselia</t>
  </si>
  <si>
    <t>Cresselia</t>
  </si>
  <si>
    <t>489</t>
  </si>
  <si>
    <t>phione</t>
  </si>
  <si>
    <t>Phione</t>
  </si>
  <si>
    <t>490</t>
  </si>
  <si>
    <t>manaphy</t>
  </si>
  <si>
    <t>Manaphy</t>
  </si>
  <si>
    <t>491</t>
  </si>
  <si>
    <t>darkrai</t>
  </si>
  <si>
    <t>Darkrai</t>
  </si>
  <si>
    <t>Bad Dreams</t>
  </si>
  <si>
    <t>492</t>
  </si>
  <si>
    <t>shaymin</t>
  </si>
  <si>
    <t>Shaymin</t>
  </si>
  <si>
    <t>492-s</t>
  </si>
  <si>
    <t>shaymin-sky</t>
  </si>
  <si>
    <t>Shaymin-Sky</t>
  </si>
  <si>
    <t>493</t>
  </si>
  <si>
    <t>arceus</t>
  </si>
  <si>
    <t>Multitype</t>
  </si>
  <si>
    <t>arceus-bug</t>
  </si>
  <si>
    <t>Arceus-Bug</t>
  </si>
  <si>
    <t>arceus-dark</t>
  </si>
  <si>
    <t>Arceus-Dark</t>
  </si>
  <si>
    <t>arceus-dragon</t>
  </si>
  <si>
    <t>Arceus-Dragon</t>
  </si>
  <si>
    <t>arceus-electric</t>
  </si>
  <si>
    <t>Arceus-Electric</t>
  </si>
  <si>
    <t>arceus-fairy</t>
  </si>
  <si>
    <t>Arceus-Fairy</t>
  </si>
  <si>
    <t>arceus-fighting</t>
  </si>
  <si>
    <t>Arceus-Fighting</t>
  </si>
  <si>
    <t>arceus-fire</t>
  </si>
  <si>
    <t>Arceus-Fire</t>
  </si>
  <si>
    <t>arceus-flying</t>
  </si>
  <si>
    <t>Arceus-Flying</t>
  </si>
  <si>
    <t>arceus-ghost</t>
  </si>
  <si>
    <t>Arceus-Ghost</t>
  </si>
  <si>
    <t>arceus-grass</t>
  </si>
  <si>
    <t>Arceus-Grass</t>
  </si>
  <si>
    <t>arceus-ground</t>
  </si>
  <si>
    <t>Arceus-Ground</t>
  </si>
  <si>
    <t>arceus-ice</t>
  </si>
  <si>
    <t>Arceus-Ice</t>
  </si>
  <si>
    <t>arceus-poison</t>
  </si>
  <si>
    <t>Arceus-Poison</t>
  </si>
  <si>
    <t>arceus-psychic</t>
  </si>
  <si>
    <t>Arceus-Psychic</t>
  </si>
  <si>
    <t>arceus-rock</t>
  </si>
  <si>
    <t>Arceus-Rock</t>
  </si>
  <si>
    <t>arceus-steel</t>
  </si>
  <si>
    <t>Arceus-Steel</t>
  </si>
  <si>
    <t>arceus-water</t>
  </si>
  <si>
    <t>Arceus-Water</t>
  </si>
  <si>
    <t>494</t>
  </si>
  <si>
    <t>victini</t>
  </si>
  <si>
    <t>Victini</t>
  </si>
  <si>
    <t>Victory Star</t>
  </si>
  <si>
    <t>495</t>
  </si>
  <si>
    <t>snivy</t>
  </si>
  <si>
    <t>Snivy</t>
  </si>
  <si>
    <t>496</t>
  </si>
  <si>
    <t>servine</t>
  </si>
  <si>
    <t>Servine</t>
  </si>
  <si>
    <t>497</t>
  </si>
  <si>
    <t>serperior</t>
  </si>
  <si>
    <t>Serperior</t>
  </si>
  <si>
    <t>498</t>
  </si>
  <si>
    <t>tepig</t>
  </si>
  <si>
    <t>Tepig</t>
  </si>
  <si>
    <t>499</t>
  </si>
  <si>
    <t>pignite</t>
  </si>
  <si>
    <t>Pignite</t>
  </si>
  <si>
    <t>500</t>
  </si>
  <si>
    <t>emboar</t>
  </si>
  <si>
    <t>Emboar</t>
  </si>
  <si>
    <t>501</t>
  </si>
  <si>
    <t>oshawott</t>
  </si>
  <si>
    <t>Oshawott</t>
  </si>
  <si>
    <t>502</t>
  </si>
  <si>
    <t>dewott</t>
  </si>
  <si>
    <t>Dewott</t>
  </si>
  <si>
    <t>503</t>
  </si>
  <si>
    <t>samurott</t>
  </si>
  <si>
    <t>Samurott</t>
  </si>
  <si>
    <t>503-h</t>
  </si>
  <si>
    <t>Hisuian Samurott</t>
  </si>
  <si>
    <t>Sharpmess</t>
  </si>
  <si>
    <t>504</t>
  </si>
  <si>
    <t>patrat</t>
  </si>
  <si>
    <t>Patrat</t>
  </si>
  <si>
    <t>505</t>
  </si>
  <si>
    <t>watchog</t>
  </si>
  <si>
    <t>Watchog</t>
  </si>
  <si>
    <t>506</t>
  </si>
  <si>
    <t>lillipup</t>
  </si>
  <si>
    <t>Lillipup</t>
  </si>
  <si>
    <t>507</t>
  </si>
  <si>
    <t>herdier</t>
  </si>
  <si>
    <t>Herdier</t>
  </si>
  <si>
    <t>508</t>
  </si>
  <si>
    <t>stoutland</t>
  </si>
  <si>
    <t>Stoutland</t>
  </si>
  <si>
    <t>509</t>
  </si>
  <si>
    <t>purrloin</t>
  </si>
  <si>
    <t>Purrloin</t>
  </si>
  <si>
    <t>510</t>
  </si>
  <si>
    <t>liepard</t>
  </si>
  <si>
    <t>Liepard</t>
  </si>
  <si>
    <t>511</t>
  </si>
  <si>
    <t>pansage</t>
  </si>
  <si>
    <t>Pansage</t>
  </si>
  <si>
    <t>512</t>
  </si>
  <si>
    <t>simisage</t>
  </si>
  <si>
    <t>Simisage</t>
  </si>
  <si>
    <t>513</t>
  </si>
  <si>
    <t>pansear</t>
  </si>
  <si>
    <t>Pansear</t>
  </si>
  <si>
    <t>514</t>
  </si>
  <si>
    <t>simisear</t>
  </si>
  <si>
    <t>Simisear</t>
  </si>
  <si>
    <t>515</t>
  </si>
  <si>
    <t>panpour</t>
  </si>
  <si>
    <t>Panpour</t>
  </si>
  <si>
    <t>516</t>
  </si>
  <si>
    <t>simipour</t>
  </si>
  <si>
    <t>Simipour</t>
  </si>
  <si>
    <t>517</t>
  </si>
  <si>
    <t>munna</t>
  </si>
  <si>
    <t>Munna</t>
  </si>
  <si>
    <t>518</t>
  </si>
  <si>
    <t>musharna</t>
  </si>
  <si>
    <t>Musharna</t>
  </si>
  <si>
    <t>519</t>
  </si>
  <si>
    <t>pidove</t>
  </si>
  <si>
    <t>Pidove</t>
  </si>
  <si>
    <t>520</t>
  </si>
  <si>
    <t>tranquill</t>
  </si>
  <si>
    <t>Tranquill</t>
  </si>
  <si>
    <t>521</t>
  </si>
  <si>
    <t>unfezant</t>
  </si>
  <si>
    <t>Unfezant</t>
  </si>
  <si>
    <t>522</t>
  </si>
  <si>
    <t>blitzle</t>
  </si>
  <si>
    <t>Blitzle</t>
  </si>
  <si>
    <t>523</t>
  </si>
  <si>
    <t>zebstrika</t>
  </si>
  <si>
    <t>Zebstrika</t>
  </si>
  <si>
    <t>524</t>
  </si>
  <si>
    <t>roggenrola</t>
  </si>
  <si>
    <t>Roggenrola</t>
  </si>
  <si>
    <t>525</t>
  </si>
  <si>
    <t>boldore</t>
  </si>
  <si>
    <t>Boldore</t>
  </si>
  <si>
    <t>526</t>
  </si>
  <si>
    <t>gigalith</t>
  </si>
  <si>
    <t>Gigalith</t>
  </si>
  <si>
    <t>527</t>
  </si>
  <si>
    <t>woobat</t>
  </si>
  <si>
    <t>Woobat</t>
  </si>
  <si>
    <t>528</t>
  </si>
  <si>
    <t>swoobat</t>
  </si>
  <si>
    <t>Swoobat</t>
  </si>
  <si>
    <t>529</t>
  </si>
  <si>
    <t>drilbur</t>
  </si>
  <si>
    <t>Drilbur</t>
  </si>
  <si>
    <t>530</t>
  </si>
  <si>
    <t>excadrill</t>
  </si>
  <si>
    <t>Excadrill</t>
  </si>
  <si>
    <t>531</t>
  </si>
  <si>
    <t>audino</t>
  </si>
  <si>
    <t>Audino</t>
  </si>
  <si>
    <t>531-m</t>
  </si>
  <si>
    <t>audino-mega</t>
  </si>
  <si>
    <t>Mega Audino</t>
  </si>
  <si>
    <t>532</t>
  </si>
  <si>
    <t>timburr</t>
  </si>
  <si>
    <t>Timburr</t>
  </si>
  <si>
    <t>533</t>
  </si>
  <si>
    <t>gurdurr</t>
  </si>
  <si>
    <t>Gurdurr</t>
  </si>
  <si>
    <t>534</t>
  </si>
  <si>
    <t>conkeldurr</t>
  </si>
  <si>
    <t>Conkeldurr</t>
  </si>
  <si>
    <t>535</t>
  </si>
  <si>
    <t>tympole</t>
  </si>
  <si>
    <t>Tympole</t>
  </si>
  <si>
    <t>536</t>
  </si>
  <si>
    <t>palpitoad</t>
  </si>
  <si>
    <t>Palpitoad</t>
  </si>
  <si>
    <t>537</t>
  </si>
  <si>
    <t>seismitoad</t>
  </si>
  <si>
    <t>Seismitoad</t>
  </si>
  <si>
    <t>538</t>
  </si>
  <si>
    <t>throh</t>
  </si>
  <si>
    <t>Throh</t>
  </si>
  <si>
    <t>539</t>
  </si>
  <si>
    <t>sawk</t>
  </si>
  <si>
    <t>Sawk</t>
  </si>
  <si>
    <t>540</t>
  </si>
  <si>
    <t>sewaddle</t>
  </si>
  <si>
    <t>Sewaddle</t>
  </si>
  <si>
    <t>541</t>
  </si>
  <si>
    <t>swadloon</t>
  </si>
  <si>
    <t>Swadloon</t>
  </si>
  <si>
    <t>542</t>
  </si>
  <si>
    <t>leavanny</t>
  </si>
  <si>
    <t>Leavanny</t>
  </si>
  <si>
    <t>543</t>
  </si>
  <si>
    <t>venipede</t>
  </si>
  <si>
    <t>Venipede</t>
  </si>
  <si>
    <t>544</t>
  </si>
  <si>
    <t>whirlipede</t>
  </si>
  <si>
    <t>Whirlipede</t>
  </si>
  <si>
    <t>545</t>
  </si>
  <si>
    <t>scolipede</t>
  </si>
  <si>
    <t>Scolipede</t>
  </si>
  <si>
    <t>546</t>
  </si>
  <si>
    <t>cottonee</t>
  </si>
  <si>
    <t>Cottonee</t>
  </si>
  <si>
    <t>547</t>
  </si>
  <si>
    <t>whimsicott</t>
  </si>
  <si>
    <t>Whimsicott</t>
  </si>
  <si>
    <t>548</t>
  </si>
  <si>
    <t>petilil</t>
  </si>
  <si>
    <t>Petilil</t>
  </si>
  <si>
    <t>549</t>
  </si>
  <si>
    <t>549-h</t>
  </si>
  <si>
    <t>lilligant-hisui</t>
  </si>
  <si>
    <t>liligant-hisui</t>
  </si>
  <si>
    <t>Hisuian Lilligant</t>
  </si>
  <si>
    <t/>
  </si>
  <si>
    <t>550</t>
  </si>
  <si>
    <t>basculin</t>
  </si>
  <si>
    <t>550-b</t>
  </si>
  <si>
    <t>basculin-blue-striped</t>
  </si>
  <si>
    <t>basculin-bluestriped</t>
  </si>
  <si>
    <t>Basculin-Blue-Striped</t>
  </si>
  <si>
    <t>551</t>
  </si>
  <si>
    <t>sandile</t>
  </si>
  <si>
    <t>552</t>
  </si>
  <si>
    <t>krokorok</t>
  </si>
  <si>
    <t>553</t>
  </si>
  <si>
    <t>krookodile</t>
  </si>
  <si>
    <t>554</t>
  </si>
  <si>
    <t>darumaka</t>
  </si>
  <si>
    <t>Darumaka</t>
  </si>
  <si>
    <t>554-g</t>
  </si>
  <si>
    <t>darumaka-galar</t>
  </si>
  <si>
    <t>darumaka-galarian</t>
  </si>
  <si>
    <t>Galarian Darumaka</t>
  </si>
  <si>
    <t>555</t>
  </si>
  <si>
    <t>darmanitan</t>
  </si>
  <si>
    <t>darmanitan-standard</t>
  </si>
  <si>
    <t>Darmanitan</t>
  </si>
  <si>
    <t>Zen Mode</t>
  </si>
  <si>
    <t>555-z</t>
  </si>
  <si>
    <t>darmanitan-zen</t>
  </si>
  <si>
    <t>Darmanitan-Zen</t>
  </si>
  <si>
    <t>555-g</t>
  </si>
  <si>
    <t>darmanitan-galar</t>
  </si>
  <si>
    <t>darmanitan-galarian-standard</t>
  </si>
  <si>
    <t>Galarian Darmanitan</t>
  </si>
  <si>
    <t>Gorilla Tactics</t>
  </si>
  <si>
    <t>555-gz</t>
  </si>
  <si>
    <t>darmanitan-galar-zen</t>
  </si>
  <si>
    <t>darmanitan-galarzen</t>
  </si>
  <si>
    <t>darmanitan-galarian-zen</t>
  </si>
  <si>
    <t>Galarian Darmanitan-Zen</t>
  </si>
  <si>
    <t>556</t>
  </si>
  <si>
    <t>maractus</t>
  </si>
  <si>
    <t>Maractus</t>
  </si>
  <si>
    <t>557</t>
  </si>
  <si>
    <t>dwebble</t>
  </si>
  <si>
    <t>558</t>
  </si>
  <si>
    <t>crustle</t>
  </si>
  <si>
    <t>559</t>
  </si>
  <si>
    <t>scraggy</t>
  </si>
  <si>
    <t>Scraggy</t>
  </si>
  <si>
    <t>560</t>
  </si>
  <si>
    <t>scrafty</t>
  </si>
  <si>
    <t>Scrafty</t>
  </si>
  <si>
    <t>561</t>
  </si>
  <si>
    <t>sigilyph</t>
  </si>
  <si>
    <t>Sigilyph</t>
  </si>
  <si>
    <t>562</t>
  </si>
  <si>
    <t>yamask</t>
  </si>
  <si>
    <t>Yamask</t>
  </si>
  <si>
    <t>Mummy</t>
  </si>
  <si>
    <t>562-g</t>
  </si>
  <si>
    <t>yamask-galar</t>
  </si>
  <si>
    <t>yamask-galarian</t>
  </si>
  <si>
    <t>Galarian Yamask</t>
  </si>
  <si>
    <t>Wandering Spirit</t>
  </si>
  <si>
    <t>563</t>
  </si>
  <si>
    <t>cofagrigus</t>
  </si>
  <si>
    <t>Cofagrigus</t>
  </si>
  <si>
    <t>564</t>
  </si>
  <si>
    <t>tirtouga</t>
  </si>
  <si>
    <t>Tirtouga</t>
  </si>
  <si>
    <t>565</t>
  </si>
  <si>
    <t>carracosta</t>
  </si>
  <si>
    <t>Carracosta</t>
  </si>
  <si>
    <t>566</t>
  </si>
  <si>
    <t>archen</t>
  </si>
  <si>
    <t>Archen</t>
  </si>
  <si>
    <t>Defeatist</t>
  </si>
  <si>
    <t>567</t>
  </si>
  <si>
    <t>archeops</t>
  </si>
  <si>
    <t>Archeops</t>
  </si>
  <si>
    <t>568</t>
  </si>
  <si>
    <t>trubbish</t>
  </si>
  <si>
    <t>Trubbish</t>
  </si>
  <si>
    <t>569</t>
  </si>
  <si>
    <t>garbodor</t>
  </si>
  <si>
    <t>Garbodor</t>
  </si>
  <si>
    <t>570</t>
  </si>
  <si>
    <t>zorua</t>
  </si>
  <si>
    <t>Illusion</t>
  </si>
  <si>
    <t>570-h</t>
  </si>
  <si>
    <t>Hisuian Zorua</t>
  </si>
  <si>
    <t>571</t>
  </si>
  <si>
    <t>zoroark</t>
  </si>
  <si>
    <t>571-h</t>
  </si>
  <si>
    <t>Hisuian Zoroark</t>
  </si>
  <si>
    <t>572</t>
  </si>
  <si>
    <t>minccino</t>
  </si>
  <si>
    <t>Minccino</t>
  </si>
  <si>
    <t>573</t>
  </si>
  <si>
    <t>cinccino</t>
  </si>
  <si>
    <t>Cinccino</t>
  </si>
  <si>
    <t>574</t>
  </si>
  <si>
    <t>gothita</t>
  </si>
  <si>
    <t>575</t>
  </si>
  <si>
    <t>gothorita</t>
  </si>
  <si>
    <t>576</t>
  </si>
  <si>
    <t>577</t>
  </si>
  <si>
    <t>solosis</t>
  </si>
  <si>
    <t>Solosis</t>
  </si>
  <si>
    <t>578</t>
  </si>
  <si>
    <t>duosion</t>
  </si>
  <si>
    <t>Duosion</t>
  </si>
  <si>
    <t>579</t>
  </si>
  <si>
    <t>reuniclus</t>
  </si>
  <si>
    <t>Reuniclus</t>
  </si>
  <si>
    <t>580</t>
  </si>
  <si>
    <t>ducklett</t>
  </si>
  <si>
    <t>Ducklett</t>
  </si>
  <si>
    <t>581</t>
  </si>
  <si>
    <t>swanna</t>
  </si>
  <si>
    <t>Swanna</t>
  </si>
  <si>
    <t>582</t>
  </si>
  <si>
    <t>vanillite</t>
  </si>
  <si>
    <t>Vanillite</t>
  </si>
  <si>
    <t>583</t>
  </si>
  <si>
    <t>vanillish</t>
  </si>
  <si>
    <t>Vanillish</t>
  </si>
  <si>
    <t>584</t>
  </si>
  <si>
    <t>vanilluxe</t>
  </si>
  <si>
    <t>Vanilluxe</t>
  </si>
  <si>
    <t>585</t>
  </si>
  <si>
    <t>deerling</t>
  </si>
  <si>
    <t>586</t>
  </si>
  <si>
    <t>sawsbuck</t>
  </si>
  <si>
    <t>587</t>
  </si>
  <si>
    <t>emolga</t>
  </si>
  <si>
    <t>Emolga</t>
  </si>
  <si>
    <t>588</t>
  </si>
  <si>
    <t>karrablast</t>
  </si>
  <si>
    <t>Karrablast</t>
  </si>
  <si>
    <t>589</t>
  </si>
  <si>
    <t>escavalier</t>
  </si>
  <si>
    <t>Escavalier</t>
  </si>
  <si>
    <t>590</t>
  </si>
  <si>
    <t>foongus</t>
  </si>
  <si>
    <t>591</t>
  </si>
  <si>
    <t>592</t>
  </si>
  <si>
    <t>frillish</t>
  </si>
  <si>
    <t>Frillish</t>
  </si>
  <si>
    <t>593</t>
  </si>
  <si>
    <t>jellicent</t>
  </si>
  <si>
    <t>Jellicent</t>
  </si>
  <si>
    <t>594</t>
  </si>
  <si>
    <t>alomomola</t>
  </si>
  <si>
    <t>595</t>
  </si>
  <si>
    <t>joltik</t>
  </si>
  <si>
    <t>Joltik</t>
  </si>
  <si>
    <t>596</t>
  </si>
  <si>
    <t>galvantula</t>
  </si>
  <si>
    <t>Galvantula</t>
  </si>
  <si>
    <t>597</t>
  </si>
  <si>
    <t>ferroseed</t>
  </si>
  <si>
    <t>Ferroseed</t>
  </si>
  <si>
    <t>Iron Barbs</t>
  </si>
  <si>
    <t>598</t>
  </si>
  <si>
    <t>ferrothorn</t>
  </si>
  <si>
    <t>Ferrothorn</t>
  </si>
  <si>
    <t>599</t>
  </si>
  <si>
    <t>klink</t>
  </si>
  <si>
    <t>Klink</t>
  </si>
  <si>
    <t>600</t>
  </si>
  <si>
    <t>klang</t>
  </si>
  <si>
    <t>Klang</t>
  </si>
  <si>
    <t>601</t>
  </si>
  <si>
    <t>klinklang</t>
  </si>
  <si>
    <t>Klinklang</t>
  </si>
  <si>
    <t>602</t>
  </si>
  <si>
    <t>tynamo</t>
  </si>
  <si>
    <t>603</t>
  </si>
  <si>
    <t>eelektrik</t>
  </si>
  <si>
    <t>604</t>
  </si>
  <si>
    <t>eelektross</t>
  </si>
  <si>
    <t>605</t>
  </si>
  <si>
    <t>elgyem</t>
  </si>
  <si>
    <t>Elgyem</t>
  </si>
  <si>
    <t>606</t>
  </si>
  <si>
    <t>beheeyem</t>
  </si>
  <si>
    <t>Beheeyem</t>
  </si>
  <si>
    <t>607</t>
  </si>
  <si>
    <t>litwick</t>
  </si>
  <si>
    <t>Litwick</t>
  </si>
  <si>
    <t>608</t>
  </si>
  <si>
    <t>lampent</t>
  </si>
  <si>
    <t>Lampent</t>
  </si>
  <si>
    <t>609</t>
  </si>
  <si>
    <t>chandelure</t>
  </si>
  <si>
    <t>Chandelure</t>
  </si>
  <si>
    <t>610</t>
  </si>
  <si>
    <t>axew</t>
  </si>
  <si>
    <t>611</t>
  </si>
  <si>
    <t>fraxure</t>
  </si>
  <si>
    <t>612</t>
  </si>
  <si>
    <t>haxorus</t>
  </si>
  <si>
    <t>613</t>
  </si>
  <si>
    <t>cubchoo</t>
  </si>
  <si>
    <t>614</t>
  </si>
  <si>
    <t>beartic</t>
  </si>
  <si>
    <t>615</t>
  </si>
  <si>
    <t>cryogonal</t>
  </si>
  <si>
    <t>616</t>
  </si>
  <si>
    <t>shelmet</t>
  </si>
  <si>
    <t>Shelmet</t>
  </si>
  <si>
    <t>617</t>
  </si>
  <si>
    <t>accelgor</t>
  </si>
  <si>
    <t>Accelgor</t>
  </si>
  <si>
    <t>618</t>
  </si>
  <si>
    <t>stunfisk</t>
  </si>
  <si>
    <t>Stunfisk</t>
  </si>
  <si>
    <t>618-g</t>
  </si>
  <si>
    <t>stunfisk-galar</t>
  </si>
  <si>
    <t>stunfisk-galarian</t>
  </si>
  <si>
    <t>Galarian Stunfisk</t>
  </si>
  <si>
    <t>Mimicry</t>
  </si>
  <si>
    <t>619</t>
  </si>
  <si>
    <t>mienfoo</t>
  </si>
  <si>
    <t>Mienfoo</t>
  </si>
  <si>
    <t>620</t>
  </si>
  <si>
    <t>mienshao</t>
  </si>
  <si>
    <t>Mienshao</t>
  </si>
  <si>
    <t>621</t>
  </si>
  <si>
    <t>druddigon</t>
  </si>
  <si>
    <t>Druddigon</t>
  </si>
  <si>
    <t>622</t>
  </si>
  <si>
    <t>golett</t>
  </si>
  <si>
    <t>Golett</t>
  </si>
  <si>
    <t>623</t>
  </si>
  <si>
    <t>golurk</t>
  </si>
  <si>
    <t>Golurk</t>
  </si>
  <si>
    <t>624</t>
  </si>
  <si>
    <t>pawniard</t>
  </si>
  <si>
    <t>625</t>
  </si>
  <si>
    <t>bisharp</t>
  </si>
  <si>
    <t>626</t>
  </si>
  <si>
    <t>bouffalant</t>
  </si>
  <si>
    <t>Bouffalant</t>
  </si>
  <si>
    <t>627</t>
  </si>
  <si>
    <t>rufflet</t>
  </si>
  <si>
    <t>628</t>
  </si>
  <si>
    <t>braviary</t>
  </si>
  <si>
    <t>628-h</t>
  </si>
  <si>
    <t>Hisuian Braviary</t>
  </si>
  <si>
    <t>629</t>
  </si>
  <si>
    <t>vullaby</t>
  </si>
  <si>
    <t>Vullaby</t>
  </si>
  <si>
    <t>630</t>
  </si>
  <si>
    <t>mandibuzz</t>
  </si>
  <si>
    <t>Mandibuzz</t>
  </si>
  <si>
    <t>631</t>
  </si>
  <si>
    <t>heatmor</t>
  </si>
  <si>
    <t>Heatmor</t>
  </si>
  <si>
    <t>632</t>
  </si>
  <si>
    <t>durant</t>
  </si>
  <si>
    <t>Durant</t>
  </si>
  <si>
    <t>633</t>
  </si>
  <si>
    <t>deino</t>
  </si>
  <si>
    <t>634</t>
  </si>
  <si>
    <t>zweilous</t>
  </si>
  <si>
    <t>635</t>
  </si>
  <si>
    <t>636</t>
  </si>
  <si>
    <t>larvesta</t>
  </si>
  <si>
    <t>637</t>
  </si>
  <si>
    <t>638</t>
  </si>
  <si>
    <t>cobalion</t>
  </si>
  <si>
    <t>Cobalion</t>
  </si>
  <si>
    <t>639</t>
  </si>
  <si>
    <t>terrakion</t>
  </si>
  <si>
    <t>Terrakion</t>
  </si>
  <si>
    <t>640</t>
  </si>
  <si>
    <t>virizion</t>
  </si>
  <si>
    <t>Virizion</t>
  </si>
  <si>
    <t>641</t>
  </si>
  <si>
    <t>tornadus</t>
  </si>
  <si>
    <t>Tornadus-Incarnate</t>
  </si>
  <si>
    <t>641-s</t>
  </si>
  <si>
    <t>tornadus-therian</t>
  </si>
  <si>
    <t>Tornadus-Therian</t>
  </si>
  <si>
    <t>642</t>
  </si>
  <si>
    <t>thundurus</t>
  </si>
  <si>
    <t>Thundurus-Incarnate</t>
  </si>
  <si>
    <t>642-s</t>
  </si>
  <si>
    <t>thundurus-therian</t>
  </si>
  <si>
    <t>Thundurus-Therian</t>
  </si>
  <si>
    <t>643</t>
  </si>
  <si>
    <t>Turboblaze</t>
  </si>
  <si>
    <t>644</t>
  </si>
  <si>
    <t>Teravolt</t>
  </si>
  <si>
    <t>645</t>
  </si>
  <si>
    <t>landorus</t>
  </si>
  <si>
    <t>Landorus-Incarnate</t>
  </si>
  <si>
    <t>645-s</t>
  </si>
  <si>
    <t>landorus-therian</t>
  </si>
  <si>
    <t>Landorus-Therian</t>
  </si>
  <si>
    <t>646</t>
  </si>
  <si>
    <t>kyurem</t>
  </si>
  <si>
    <t>Kyurem</t>
  </si>
  <si>
    <t>646-b</t>
  </si>
  <si>
    <t>646-w</t>
  </si>
  <si>
    <t>647</t>
  </si>
  <si>
    <t>keldeo</t>
  </si>
  <si>
    <t>Keldeo</t>
  </si>
  <si>
    <t>647-r</t>
  </si>
  <si>
    <t>keldeo-resolute</t>
  </si>
  <si>
    <t>Keldeo-Resolute</t>
  </si>
  <si>
    <t>648</t>
  </si>
  <si>
    <t>meloetta</t>
  </si>
  <si>
    <t>Meloetta</t>
  </si>
  <si>
    <t>648-p</t>
  </si>
  <si>
    <t>meloetta-pirouette</t>
  </si>
  <si>
    <t>Meloetta-Pirouette</t>
  </si>
  <si>
    <t>649</t>
  </si>
  <si>
    <t>genesect</t>
  </si>
  <si>
    <t>Genesect</t>
  </si>
  <si>
    <t>genesect-douse</t>
  </si>
  <si>
    <t>Genesect-Douse</t>
  </si>
  <si>
    <t>genesect-shock</t>
  </si>
  <si>
    <t>Genesect-Shock</t>
  </si>
  <si>
    <t>genesect-burn</t>
  </si>
  <si>
    <t>Genesect-Burn</t>
  </si>
  <si>
    <t>genesect-chill</t>
  </si>
  <si>
    <t>Genesect-Chill</t>
  </si>
  <si>
    <t>650</t>
  </si>
  <si>
    <t>chespin</t>
  </si>
  <si>
    <t>Chespin</t>
  </si>
  <si>
    <t>Bulletproof</t>
  </si>
  <si>
    <t>651</t>
  </si>
  <si>
    <t>quilladin</t>
  </si>
  <si>
    <t>Quilladin</t>
  </si>
  <si>
    <t>652</t>
  </si>
  <si>
    <t>chesnaught</t>
  </si>
  <si>
    <t>Chesnaught</t>
  </si>
  <si>
    <t>653</t>
  </si>
  <si>
    <t>fennekin</t>
  </si>
  <si>
    <t>Magician</t>
  </si>
  <si>
    <t>654</t>
  </si>
  <si>
    <t>braixen</t>
  </si>
  <si>
    <t>Braixen</t>
  </si>
  <si>
    <t>655</t>
  </si>
  <si>
    <t>delphox</t>
  </si>
  <si>
    <t>Delphox</t>
  </si>
  <si>
    <t>656</t>
  </si>
  <si>
    <t>froakie</t>
  </si>
  <si>
    <t>Froakie</t>
  </si>
  <si>
    <t>657</t>
  </si>
  <si>
    <t>frogadier</t>
  </si>
  <si>
    <t>Frogadier</t>
  </si>
  <si>
    <t>658</t>
  </si>
  <si>
    <t>greninja</t>
  </si>
  <si>
    <t>Greninja</t>
  </si>
  <si>
    <t>658-a</t>
  </si>
  <si>
    <t>greninja-ash</t>
  </si>
  <si>
    <t>Greninja-Ash</t>
  </si>
  <si>
    <t>Battle Bond</t>
  </si>
  <si>
    <t>659</t>
  </si>
  <si>
    <t>bunnelby</t>
  </si>
  <si>
    <t>Bunnelby</t>
  </si>
  <si>
    <t>Cheek Pouch</t>
  </si>
  <si>
    <t>660</t>
  </si>
  <si>
    <t>diggersby</t>
  </si>
  <si>
    <t>Diggersby</t>
  </si>
  <si>
    <t>661</t>
  </si>
  <si>
    <t>fletchling</t>
  </si>
  <si>
    <t>Gale Wings</t>
  </si>
  <si>
    <t>662</t>
  </si>
  <si>
    <t>fletchinder</t>
  </si>
  <si>
    <t>663</t>
  </si>
  <si>
    <t>664</t>
  </si>
  <si>
    <t>scatterbug</t>
  </si>
  <si>
    <t>665</t>
  </si>
  <si>
    <t>spewpa</t>
  </si>
  <si>
    <t>666</t>
  </si>
  <si>
    <t>vivillon</t>
  </si>
  <si>
    <t>666-f</t>
  </si>
  <si>
    <t>vivillon-fancy</t>
  </si>
  <si>
    <t>Vivillon-Fancy</t>
  </si>
  <si>
    <t>666-p</t>
  </si>
  <si>
    <t>vivillon-poke-ball</t>
  </si>
  <si>
    <t>vivillon-pokeball</t>
  </si>
  <si>
    <t>Vivillon-Pokéball</t>
  </si>
  <si>
    <t>667</t>
  </si>
  <si>
    <t>litleo</t>
  </si>
  <si>
    <t>668</t>
  </si>
  <si>
    <t>pyroar</t>
  </si>
  <si>
    <t>669</t>
  </si>
  <si>
    <t>flabebe</t>
  </si>
  <si>
    <t>Flabébé</t>
  </si>
  <si>
    <t>Flower Veil</t>
  </si>
  <si>
    <t>Symbiosis</t>
  </si>
  <si>
    <t>670</t>
  </si>
  <si>
    <t>floette</t>
  </si>
  <si>
    <t>670-e</t>
  </si>
  <si>
    <t>floette-eternal</t>
  </si>
  <si>
    <t>Floette-Eternal</t>
  </si>
  <si>
    <t>671</t>
  </si>
  <si>
    <t>florges</t>
  </si>
  <si>
    <t>672</t>
  </si>
  <si>
    <t>skiddo</t>
  </si>
  <si>
    <t>Skiddo</t>
  </si>
  <si>
    <t>Grass Pelt</t>
  </si>
  <si>
    <t>673</t>
  </si>
  <si>
    <t>gogoat</t>
  </si>
  <si>
    <t>674</t>
  </si>
  <si>
    <t>pancham</t>
  </si>
  <si>
    <t>Pancham</t>
  </si>
  <si>
    <t>675</t>
  </si>
  <si>
    <t>pangoro</t>
  </si>
  <si>
    <t>Pangoro</t>
  </si>
  <si>
    <t>676</t>
  </si>
  <si>
    <t>furfrou</t>
  </si>
  <si>
    <t>Furfrou</t>
  </si>
  <si>
    <t>677</t>
  </si>
  <si>
    <t>espurr</t>
  </si>
  <si>
    <t>Espurr</t>
  </si>
  <si>
    <t>678</t>
  </si>
  <si>
    <t>meowstic</t>
  </si>
  <si>
    <t>meowstic-male</t>
  </si>
  <si>
    <t>Meowstic-Male</t>
  </si>
  <si>
    <t>678-f</t>
  </si>
  <si>
    <t>meowstic-f</t>
  </si>
  <si>
    <t>meowstic-female</t>
  </si>
  <si>
    <t>Meowstic-Female</t>
  </si>
  <si>
    <t>679</t>
  </si>
  <si>
    <t>honedge</t>
  </si>
  <si>
    <t>Honedge</t>
  </si>
  <si>
    <t>680</t>
  </si>
  <si>
    <t>doublade</t>
  </si>
  <si>
    <t>Doublade</t>
  </si>
  <si>
    <t>681</t>
  </si>
  <si>
    <t>aegislash</t>
  </si>
  <si>
    <t>Aegislash</t>
  </si>
  <si>
    <t>Stance Change</t>
  </si>
  <si>
    <t>681-b</t>
  </si>
  <si>
    <t>aegislash-blade</t>
  </si>
  <si>
    <t>Aegislash-Blade</t>
  </si>
  <si>
    <t>682</t>
  </si>
  <si>
    <t>spritzee</t>
  </si>
  <si>
    <t>Spritzee</t>
  </si>
  <si>
    <t>Aroma Veil</t>
  </si>
  <si>
    <t>683</t>
  </si>
  <si>
    <t>aromatisse</t>
  </si>
  <si>
    <t>Aromatisse</t>
  </si>
  <si>
    <t>684</t>
  </si>
  <si>
    <t>swirlix</t>
  </si>
  <si>
    <t>Swirlix</t>
  </si>
  <si>
    <t>Sweet Veil</t>
  </si>
  <si>
    <t>685</t>
  </si>
  <si>
    <t>slurpuff</t>
  </si>
  <si>
    <t>Slurpuff</t>
  </si>
  <si>
    <t>686</t>
  </si>
  <si>
    <t>inkay</t>
  </si>
  <si>
    <t>Inkay</t>
  </si>
  <si>
    <t>687</t>
  </si>
  <si>
    <t>malamar</t>
  </si>
  <si>
    <t>Malamar</t>
  </si>
  <si>
    <t>688</t>
  </si>
  <si>
    <t>binacle</t>
  </si>
  <si>
    <t>Binacle</t>
  </si>
  <si>
    <t>689</t>
  </si>
  <si>
    <t>barbaracle</t>
  </si>
  <si>
    <t>Barbaracle</t>
  </si>
  <si>
    <t>690</t>
  </si>
  <si>
    <t>skrelp</t>
  </si>
  <si>
    <t>691</t>
  </si>
  <si>
    <t>dragalge</t>
  </si>
  <si>
    <t>692</t>
  </si>
  <si>
    <t>clauncher</t>
  </si>
  <si>
    <t>693</t>
  </si>
  <si>
    <t>clawitzer</t>
  </si>
  <si>
    <t>694</t>
  </si>
  <si>
    <t>helioptile</t>
  </si>
  <si>
    <t>Helioptile</t>
  </si>
  <si>
    <t>695</t>
  </si>
  <si>
    <t>heliolisk</t>
  </si>
  <si>
    <t>Heliolisk</t>
  </si>
  <si>
    <t>696</t>
  </si>
  <si>
    <t>tyrunt</t>
  </si>
  <si>
    <t>Tyrunt</t>
  </si>
  <si>
    <t>697</t>
  </si>
  <si>
    <t>tyrantrum</t>
  </si>
  <si>
    <t>Tyrantrum</t>
  </si>
  <si>
    <t>698</t>
  </si>
  <si>
    <t>amaura</t>
  </si>
  <si>
    <t>Amaura</t>
  </si>
  <si>
    <t>699</t>
  </si>
  <si>
    <t>aurorus</t>
  </si>
  <si>
    <t>Aurorus</t>
  </si>
  <si>
    <t>700</t>
  </si>
  <si>
    <t>701</t>
  </si>
  <si>
    <t>hawlucha</t>
  </si>
  <si>
    <t>702</t>
  </si>
  <si>
    <t>dedenne</t>
  </si>
  <si>
    <t>703</t>
  </si>
  <si>
    <t>carbink</t>
  </si>
  <si>
    <t>Carbink</t>
  </si>
  <si>
    <t>704</t>
  </si>
  <si>
    <t>goomy</t>
  </si>
  <si>
    <t>Gooey</t>
  </si>
  <si>
    <t>705</t>
  </si>
  <si>
    <t>sliggoo</t>
  </si>
  <si>
    <t>705-h</t>
  </si>
  <si>
    <t>Hisuian Sliggoo</t>
  </si>
  <si>
    <t>706</t>
  </si>
  <si>
    <t>goodra</t>
  </si>
  <si>
    <t>706-h</t>
  </si>
  <si>
    <t>Hisuian Goodra</t>
  </si>
  <si>
    <t>707</t>
  </si>
  <si>
    <t>klefki</t>
  </si>
  <si>
    <t>708</t>
  </si>
  <si>
    <t>phantump</t>
  </si>
  <si>
    <t>Phantump</t>
  </si>
  <si>
    <t>709</t>
  </si>
  <si>
    <t>trevenant</t>
  </si>
  <si>
    <t>Trevenant</t>
  </si>
  <si>
    <t>710</t>
  </si>
  <si>
    <t>pumpkaboo</t>
  </si>
  <si>
    <t>Pumpkaboo</t>
  </si>
  <si>
    <t>710-s</t>
  </si>
  <si>
    <t>pumpkaboo-small</t>
  </si>
  <si>
    <t>Pumpkaboo-Small</t>
  </si>
  <si>
    <t>710-l</t>
  </si>
  <si>
    <t>pumpkaboo-large</t>
  </si>
  <si>
    <t>Pumpkaboo-Large</t>
  </si>
  <si>
    <t>710-h</t>
  </si>
  <si>
    <t>pumpkaboo-super</t>
  </si>
  <si>
    <t>Pumpkaboo-Super</t>
  </si>
  <si>
    <t>711</t>
  </si>
  <si>
    <t>gourgeist</t>
  </si>
  <si>
    <t>Gourgeist</t>
  </si>
  <si>
    <t>711-s</t>
  </si>
  <si>
    <t>gourgeist-small</t>
  </si>
  <si>
    <t>Gourgeist-Small</t>
  </si>
  <si>
    <t>711-l</t>
  </si>
  <si>
    <t>gourgeist-large</t>
  </si>
  <si>
    <t>Gourgeist-Large</t>
  </si>
  <si>
    <t>711-h</t>
  </si>
  <si>
    <t>gourgeist-super</t>
  </si>
  <si>
    <t>Gourgeist-Super</t>
  </si>
  <si>
    <t>712</t>
  </si>
  <si>
    <t>bergmite</t>
  </si>
  <si>
    <t>713</t>
  </si>
  <si>
    <t>avalugg</t>
  </si>
  <si>
    <t>713-h</t>
  </si>
  <si>
    <t>avalugg-hisui</t>
  </si>
  <si>
    <t>Hisuian Avalugg</t>
  </si>
  <si>
    <t>714</t>
  </si>
  <si>
    <t>noibat</t>
  </si>
  <si>
    <t>715</t>
  </si>
  <si>
    <t>noivern</t>
  </si>
  <si>
    <t>716</t>
  </si>
  <si>
    <t>Fairy Aura</t>
  </si>
  <si>
    <t>717</t>
  </si>
  <si>
    <t>Dark Aura</t>
  </si>
  <si>
    <t>718</t>
  </si>
  <si>
    <t>zygarde</t>
  </si>
  <si>
    <t>Zygarde-50%</t>
  </si>
  <si>
    <t>Aura Break</t>
  </si>
  <si>
    <t>Power Construct</t>
  </si>
  <si>
    <t>718-10</t>
  </si>
  <si>
    <t>zygarde-10</t>
  </si>
  <si>
    <t>Zygarde-10%</t>
  </si>
  <si>
    <t>718-c</t>
  </si>
  <si>
    <t>zygarde-complete</t>
  </si>
  <si>
    <t>Zygarde-Complete</t>
  </si>
  <si>
    <t>719</t>
  </si>
  <si>
    <t>diancie</t>
  </si>
  <si>
    <t>Diancie</t>
  </si>
  <si>
    <t>719-m</t>
  </si>
  <si>
    <t>diancie-mega</t>
  </si>
  <si>
    <t>Mega Diancie</t>
  </si>
  <si>
    <t>720</t>
  </si>
  <si>
    <t>hoopa</t>
  </si>
  <si>
    <t>Hoopa</t>
  </si>
  <si>
    <t>720-u</t>
  </si>
  <si>
    <t>hoopa-unbound</t>
  </si>
  <si>
    <t>Hoopa-Unbound</t>
  </si>
  <si>
    <t>721</t>
  </si>
  <si>
    <t>volcanion</t>
  </si>
  <si>
    <t>Volcanion</t>
  </si>
  <si>
    <t>722</t>
  </si>
  <si>
    <t>rowlet</t>
  </si>
  <si>
    <t>Rowlet</t>
  </si>
  <si>
    <t>Long Reach</t>
  </si>
  <si>
    <t>723</t>
  </si>
  <si>
    <t>dartrix</t>
  </si>
  <si>
    <t>Dartrix</t>
  </si>
  <si>
    <t>724</t>
  </si>
  <si>
    <t>decidueye</t>
  </si>
  <si>
    <t>Decidueye</t>
  </si>
  <si>
    <t>724-h</t>
  </si>
  <si>
    <t>decidueye-hisui</t>
  </si>
  <si>
    <t>Hisuian Decidueye</t>
  </si>
  <si>
    <t>725</t>
  </si>
  <si>
    <t>litten</t>
  </si>
  <si>
    <t>Litten</t>
  </si>
  <si>
    <t>726</t>
  </si>
  <si>
    <t>torracat</t>
  </si>
  <si>
    <t>Torracat</t>
  </si>
  <si>
    <t>727</t>
  </si>
  <si>
    <t>incineroar</t>
  </si>
  <si>
    <t>Incineroar</t>
  </si>
  <si>
    <t>728</t>
  </si>
  <si>
    <t>popplio</t>
  </si>
  <si>
    <t>Popplio</t>
  </si>
  <si>
    <t>Liquid Voice</t>
  </si>
  <si>
    <t>729</t>
  </si>
  <si>
    <t>brionne</t>
  </si>
  <si>
    <t>Brionne</t>
  </si>
  <si>
    <t>730</t>
  </si>
  <si>
    <t>primarina</t>
  </si>
  <si>
    <t>Primarina</t>
  </si>
  <si>
    <t>731</t>
  </si>
  <si>
    <t>pikipek</t>
  </si>
  <si>
    <t>Pikipek</t>
  </si>
  <si>
    <t>732</t>
  </si>
  <si>
    <t>trumbeak</t>
  </si>
  <si>
    <t>Trumbeak</t>
  </si>
  <si>
    <t>733</t>
  </si>
  <si>
    <t>toucannon</t>
  </si>
  <si>
    <t>Toucannon</t>
  </si>
  <si>
    <t>734</t>
  </si>
  <si>
    <t>yungoos</t>
  </si>
  <si>
    <t>Stakeout</t>
  </si>
  <si>
    <t>735</t>
  </si>
  <si>
    <t>gumshoos</t>
  </si>
  <si>
    <t>736</t>
  </si>
  <si>
    <t>grubbin</t>
  </si>
  <si>
    <t>Grubbin</t>
  </si>
  <si>
    <t>737</t>
  </si>
  <si>
    <t>charjabug</t>
  </si>
  <si>
    <t>Charjabug</t>
  </si>
  <si>
    <t>Battery</t>
  </si>
  <si>
    <t>738</t>
  </si>
  <si>
    <t>vikavolt</t>
  </si>
  <si>
    <t>Vikavolt</t>
  </si>
  <si>
    <t>739</t>
  </si>
  <si>
    <t>crabrawler</t>
  </si>
  <si>
    <t>740</t>
  </si>
  <si>
    <t>crabominable</t>
  </si>
  <si>
    <t>741</t>
  </si>
  <si>
    <t>oricorio</t>
  </si>
  <si>
    <t>Dancer</t>
  </si>
  <si>
    <t>741-p</t>
  </si>
  <si>
    <t>oricorio-pom-pom</t>
  </si>
  <si>
    <t>oricorio-pompom</t>
  </si>
  <si>
    <t>Oricorio-Pom-Pom</t>
  </si>
  <si>
    <t>741-pau</t>
  </si>
  <si>
    <t>oricorio-pau</t>
  </si>
  <si>
    <t>Oricorio-Pa'u</t>
  </si>
  <si>
    <t>741-s</t>
  </si>
  <si>
    <t>oricorio-sensu</t>
  </si>
  <si>
    <t>Oricorio-Sensu</t>
  </si>
  <si>
    <t>742</t>
  </si>
  <si>
    <t>cutiefly</t>
  </si>
  <si>
    <t>Cutiefly</t>
  </si>
  <si>
    <t>743</t>
  </si>
  <si>
    <t>ribombee</t>
  </si>
  <si>
    <t>Ribombee</t>
  </si>
  <si>
    <t>744</t>
  </si>
  <si>
    <t>rockruff</t>
  </si>
  <si>
    <t>Rockruff</t>
  </si>
  <si>
    <t>745</t>
  </si>
  <si>
    <t>lycanroc</t>
  </si>
  <si>
    <t>745-m</t>
  </si>
  <si>
    <t>lycanroc-midnight</t>
  </si>
  <si>
    <t>745-d</t>
  </si>
  <si>
    <t>746</t>
  </si>
  <si>
    <t>wishiwashi</t>
  </si>
  <si>
    <t>Schooling</t>
  </si>
  <si>
    <t>746-s</t>
  </si>
  <si>
    <t>wishiwashi-school</t>
  </si>
  <si>
    <t>Wishiwashi-School</t>
  </si>
  <si>
    <t>747</t>
  </si>
  <si>
    <t>mareanie</t>
  </si>
  <si>
    <t>Merciless</t>
  </si>
  <si>
    <t>748</t>
  </si>
  <si>
    <t>749</t>
  </si>
  <si>
    <t>mudbray</t>
  </si>
  <si>
    <t>Stamina</t>
  </si>
  <si>
    <t>750</t>
  </si>
  <si>
    <t>751</t>
  </si>
  <si>
    <t>dewpider</t>
  </si>
  <si>
    <t>Dewpider</t>
  </si>
  <si>
    <t>Water Bubble</t>
  </si>
  <si>
    <t>752</t>
  </si>
  <si>
    <t>araquanid</t>
  </si>
  <si>
    <t>Araquanid</t>
  </si>
  <si>
    <t>753</t>
  </si>
  <si>
    <t>fomantis</t>
  </si>
  <si>
    <t>754</t>
  </si>
  <si>
    <t>lurantis</t>
  </si>
  <si>
    <t>755</t>
  </si>
  <si>
    <t>morelull</t>
  </si>
  <si>
    <t>Morelull</t>
  </si>
  <si>
    <t>756</t>
  </si>
  <si>
    <t>shiinotic</t>
  </si>
  <si>
    <t>Shiinotic</t>
  </si>
  <si>
    <t>757</t>
  </si>
  <si>
    <t>salandit</t>
  </si>
  <si>
    <t>Corrosion</t>
  </si>
  <si>
    <t>758</t>
  </si>
  <si>
    <t>salazzle</t>
  </si>
  <si>
    <t>759</t>
  </si>
  <si>
    <t>stufful</t>
  </si>
  <si>
    <t>Stufful</t>
  </si>
  <si>
    <t>Fluffy</t>
  </si>
  <si>
    <t>760</t>
  </si>
  <si>
    <t>bewear</t>
  </si>
  <si>
    <t>Bewear</t>
  </si>
  <si>
    <t>761</t>
  </si>
  <si>
    <t>bounsweet</t>
  </si>
  <si>
    <t>762</t>
  </si>
  <si>
    <t>steenee</t>
  </si>
  <si>
    <t>763</t>
  </si>
  <si>
    <t>tsareena</t>
  </si>
  <si>
    <t>Queenly Majesty</t>
  </si>
  <si>
    <t>764</t>
  </si>
  <si>
    <t>comfey</t>
  </si>
  <si>
    <t>Comfey</t>
  </si>
  <si>
    <t>Triage</t>
  </si>
  <si>
    <t>765</t>
  </si>
  <si>
    <t>766</t>
  </si>
  <si>
    <t>passimian</t>
  </si>
  <si>
    <t>Receiver</t>
  </si>
  <si>
    <t>767</t>
  </si>
  <si>
    <t>wimpod</t>
  </si>
  <si>
    <t>Wimpod</t>
  </si>
  <si>
    <t>Wimp Out</t>
  </si>
  <si>
    <t>768</t>
  </si>
  <si>
    <t>golisopod</t>
  </si>
  <si>
    <t>Golisopod</t>
  </si>
  <si>
    <t>Emergency Exit</t>
  </si>
  <si>
    <t>769</t>
  </si>
  <si>
    <t>sandygast</t>
  </si>
  <si>
    <t>Water Compaction</t>
  </si>
  <si>
    <t>770</t>
  </si>
  <si>
    <t>palossand</t>
  </si>
  <si>
    <t>771</t>
  </si>
  <si>
    <t>pyukumuku</t>
  </si>
  <si>
    <t>Innards Out</t>
  </si>
  <si>
    <t>772</t>
  </si>
  <si>
    <t>type-null</t>
  </si>
  <si>
    <t>typenull</t>
  </si>
  <si>
    <t>Type: Null</t>
  </si>
  <si>
    <t>773</t>
  </si>
  <si>
    <t>silvally</t>
  </si>
  <si>
    <t>Silvally</t>
  </si>
  <si>
    <t>RKS System</t>
  </si>
  <si>
    <t>silvally-bug</t>
  </si>
  <si>
    <t>Silvally-Bug</t>
  </si>
  <si>
    <t>silvally-dark</t>
  </si>
  <si>
    <t>Silvally-Dark</t>
  </si>
  <si>
    <t>silvally-dragon</t>
  </si>
  <si>
    <t>Silvally-Dragon</t>
  </si>
  <si>
    <t>silvally-electric</t>
  </si>
  <si>
    <t>Silvally-Electric</t>
  </si>
  <si>
    <t>silvally-fairy</t>
  </si>
  <si>
    <t>Silvally-Fairy</t>
  </si>
  <si>
    <t>silvally-fighting</t>
  </si>
  <si>
    <t>Silvally-Fighting</t>
  </si>
  <si>
    <t>silvally-fire</t>
  </si>
  <si>
    <t>Silvally-Fire</t>
  </si>
  <si>
    <t>silvally-flying</t>
  </si>
  <si>
    <t>Silvally-Flying</t>
  </si>
  <si>
    <t>silvally-ghost</t>
  </si>
  <si>
    <t>Silvally-Ghost</t>
  </si>
  <si>
    <t>silvally-grass</t>
  </si>
  <si>
    <t>Silvally-Grass</t>
  </si>
  <si>
    <t>silvally-ground</t>
  </si>
  <si>
    <t>Silvally-Ground</t>
  </si>
  <si>
    <t>silvally-ice</t>
  </si>
  <si>
    <t>Silvally-Ice</t>
  </si>
  <si>
    <t>silvally-poison</t>
  </si>
  <si>
    <t>Silvally-Poison</t>
  </si>
  <si>
    <t>silvally-psychic</t>
  </si>
  <si>
    <t>Silvally-Psychic</t>
  </si>
  <si>
    <t>silvally-rock</t>
  </si>
  <si>
    <t>Silvally-Rock</t>
  </si>
  <si>
    <t>silvally-steel</t>
  </si>
  <si>
    <t>Silvally-Steel</t>
  </si>
  <si>
    <t>silvally-water</t>
  </si>
  <si>
    <t>Silvally-Water</t>
  </si>
  <si>
    <t>774-r</t>
  </si>
  <si>
    <t>minior-red</t>
  </si>
  <si>
    <t>minior-red-core</t>
  </si>
  <si>
    <t>Minior</t>
  </si>
  <si>
    <t>Shields Down</t>
  </si>
  <si>
    <t>774</t>
  </si>
  <si>
    <t>minior</t>
  </si>
  <si>
    <t>minior-meteor</t>
  </si>
  <si>
    <t>Minior-Meteor</t>
  </si>
  <si>
    <t>775</t>
  </si>
  <si>
    <t>komala</t>
  </si>
  <si>
    <t>Comatose</t>
  </si>
  <si>
    <t>776</t>
  </si>
  <si>
    <t>turtonator</t>
  </si>
  <si>
    <t>Turtonator</t>
  </si>
  <si>
    <t>777</t>
  </si>
  <si>
    <t>togedemaru</t>
  </si>
  <si>
    <t>Togedemaru</t>
  </si>
  <si>
    <t>778</t>
  </si>
  <si>
    <t>Disguise</t>
  </si>
  <si>
    <t>779</t>
  </si>
  <si>
    <t>bruxish</t>
  </si>
  <si>
    <t>Dazzling</t>
  </si>
  <si>
    <t>780</t>
  </si>
  <si>
    <t>drampa</t>
  </si>
  <si>
    <t>Drampa</t>
  </si>
  <si>
    <t>781</t>
  </si>
  <si>
    <t>dhelmise</t>
  </si>
  <si>
    <t>Dhelmise</t>
  </si>
  <si>
    <t>Steelworker</t>
  </si>
  <si>
    <t>782</t>
  </si>
  <si>
    <t>jangmo-o</t>
  </si>
  <si>
    <t>jangmoo</t>
  </si>
  <si>
    <t>Jangmo-o</t>
  </si>
  <si>
    <t>783</t>
  </si>
  <si>
    <t>hakamo-o</t>
  </si>
  <si>
    <t>hakamoo</t>
  </si>
  <si>
    <t>Hakamo-o</t>
  </si>
  <si>
    <t>784</t>
  </si>
  <si>
    <t>kommo-o</t>
  </si>
  <si>
    <t>kommoo</t>
  </si>
  <si>
    <t>Kommo-o</t>
  </si>
  <si>
    <t>785</t>
  </si>
  <si>
    <t>tapu-koko</t>
  </si>
  <si>
    <t>tapukoko</t>
  </si>
  <si>
    <t>Tapu Koko</t>
  </si>
  <si>
    <t>Electric Surge</t>
  </si>
  <si>
    <t>786</t>
  </si>
  <si>
    <t>tapu-lele</t>
  </si>
  <si>
    <t>tapulele</t>
  </si>
  <si>
    <t>Tapu Lele</t>
  </si>
  <si>
    <t>Psychic Surge</t>
  </si>
  <si>
    <t>787</t>
  </si>
  <si>
    <t>tapu-bulu</t>
  </si>
  <si>
    <t>tapubulu</t>
  </si>
  <si>
    <t>Tapu Bulu</t>
  </si>
  <si>
    <t>Grassy Surge</t>
  </si>
  <si>
    <t>788</t>
  </si>
  <si>
    <t>tapu-fini</t>
  </si>
  <si>
    <t>tapufini</t>
  </si>
  <si>
    <t>Tapu Fini</t>
  </si>
  <si>
    <t>789</t>
  </si>
  <si>
    <t>cosmog</t>
  </si>
  <si>
    <t>Cosmog</t>
  </si>
  <si>
    <t>790</t>
  </si>
  <si>
    <t>cosmoem</t>
  </si>
  <si>
    <t>Cosmoem</t>
  </si>
  <si>
    <t>791</t>
  </si>
  <si>
    <t>Full Metal Body</t>
  </si>
  <si>
    <t>792</t>
  </si>
  <si>
    <t>Shadow Shield</t>
  </si>
  <si>
    <t>793</t>
  </si>
  <si>
    <t>nihilego</t>
  </si>
  <si>
    <t>Nihilego</t>
  </si>
  <si>
    <t>Beast Boost</t>
  </si>
  <si>
    <t>794</t>
  </si>
  <si>
    <t>buzzwole</t>
  </si>
  <si>
    <t>Buzzwole</t>
  </si>
  <si>
    <t>795</t>
  </si>
  <si>
    <t>pheromosa</t>
  </si>
  <si>
    <t>Pheromosa</t>
  </si>
  <si>
    <t>796</t>
  </si>
  <si>
    <t>xurkitree</t>
  </si>
  <si>
    <t>Xurkitree</t>
  </si>
  <si>
    <t>797</t>
  </si>
  <si>
    <t>celesteela</t>
  </si>
  <si>
    <t>Celesteela</t>
  </si>
  <si>
    <t>798</t>
  </si>
  <si>
    <t>kartana</t>
  </si>
  <si>
    <t>Kartana</t>
  </si>
  <si>
    <t>799</t>
  </si>
  <si>
    <t>guzzlord</t>
  </si>
  <si>
    <t>Guzzlord</t>
  </si>
  <si>
    <t>800</t>
  </si>
  <si>
    <t>necrozma</t>
  </si>
  <si>
    <t>Necrozma</t>
  </si>
  <si>
    <t>Prism Armor</t>
  </si>
  <si>
    <t>800-dm</t>
  </si>
  <si>
    <t>necrozma-dusk</t>
  </si>
  <si>
    <t>necrozma-dusk-mane</t>
  </si>
  <si>
    <t>Necrozma-Dusk-Mane</t>
  </si>
  <si>
    <t>800-dw</t>
  </si>
  <si>
    <t>necrozma-dawn</t>
  </si>
  <si>
    <t>necrozma-dawn-wings</t>
  </si>
  <si>
    <t>Necrozma-Dawn-Wings</t>
  </si>
  <si>
    <t>800-u</t>
  </si>
  <si>
    <t>Neuroforce</t>
  </si>
  <si>
    <t>801</t>
  </si>
  <si>
    <t>Soul-Heart</t>
  </si>
  <si>
    <t>801-o</t>
  </si>
  <si>
    <t>magearna-original</t>
  </si>
  <si>
    <t>Magearna-Original</t>
  </si>
  <si>
    <t>802</t>
  </si>
  <si>
    <t>marshadow</t>
  </si>
  <si>
    <t>Marshadow</t>
  </si>
  <si>
    <t>803</t>
  </si>
  <si>
    <t>poipole</t>
  </si>
  <si>
    <t>Poipole</t>
  </si>
  <si>
    <t>804</t>
  </si>
  <si>
    <t>naganadel</t>
  </si>
  <si>
    <t>Naganadel</t>
  </si>
  <si>
    <t>805</t>
  </si>
  <si>
    <t>stakataka</t>
  </si>
  <si>
    <t>Stakataka</t>
  </si>
  <si>
    <t>806</t>
  </si>
  <si>
    <t>blacephalon</t>
  </si>
  <si>
    <t>Blacephalon</t>
  </si>
  <si>
    <t>807</t>
  </si>
  <si>
    <t>zeraora</t>
  </si>
  <si>
    <t>Zeraora</t>
  </si>
  <si>
    <t>808</t>
  </si>
  <si>
    <t>meltan</t>
  </si>
  <si>
    <t>Meltan</t>
  </si>
  <si>
    <t>809</t>
  </si>
  <si>
    <t>melmetal</t>
  </si>
  <si>
    <t>Melmetal</t>
  </si>
  <si>
    <t>810</t>
  </si>
  <si>
    <t>grookey</t>
  </si>
  <si>
    <t>Grookey</t>
  </si>
  <si>
    <t>811</t>
  </si>
  <si>
    <t>thwackey</t>
  </si>
  <si>
    <t>Thwackey</t>
  </si>
  <si>
    <t>812</t>
  </si>
  <si>
    <t>rillaboom</t>
  </si>
  <si>
    <t>Rillaboom</t>
  </si>
  <si>
    <t>813</t>
  </si>
  <si>
    <t>scorbunny</t>
  </si>
  <si>
    <t>Scorbunny</t>
  </si>
  <si>
    <t>Libero</t>
  </si>
  <si>
    <t>814</t>
  </si>
  <si>
    <t>raboot</t>
  </si>
  <si>
    <t>Raboot</t>
  </si>
  <si>
    <t>815</t>
  </si>
  <si>
    <t>cinderace</t>
  </si>
  <si>
    <t>Cinderace</t>
  </si>
  <si>
    <t>816</t>
  </si>
  <si>
    <t>sobble</t>
  </si>
  <si>
    <t>Sobble</t>
  </si>
  <si>
    <t>817</t>
  </si>
  <si>
    <t>drizzile</t>
  </si>
  <si>
    <t>Drizzile</t>
  </si>
  <si>
    <t>818</t>
  </si>
  <si>
    <t>inteleon</t>
  </si>
  <si>
    <t>Inteleon</t>
  </si>
  <si>
    <t>819</t>
  </si>
  <si>
    <t>skwovet</t>
  </si>
  <si>
    <t>820</t>
  </si>
  <si>
    <t>greedent</t>
  </si>
  <si>
    <t>821</t>
  </si>
  <si>
    <t>rookidee</t>
  </si>
  <si>
    <t>822</t>
  </si>
  <si>
    <t>corvisquire</t>
  </si>
  <si>
    <t>823</t>
  </si>
  <si>
    <t>corviknight</t>
  </si>
  <si>
    <t>Mirror Armor</t>
  </si>
  <si>
    <t>824</t>
  </si>
  <si>
    <t>blipbug</t>
  </si>
  <si>
    <t>Blipbug</t>
  </si>
  <si>
    <t>825</t>
  </si>
  <si>
    <t>dottler</t>
  </si>
  <si>
    <t>Dottler</t>
  </si>
  <si>
    <t>826</t>
  </si>
  <si>
    <t>orbeetle</t>
  </si>
  <si>
    <t>Orbeetle</t>
  </si>
  <si>
    <t>827</t>
  </si>
  <si>
    <t>nickit</t>
  </si>
  <si>
    <t>Nickit</t>
  </si>
  <si>
    <t>828</t>
  </si>
  <si>
    <t>thievul</t>
  </si>
  <si>
    <t>Thievul</t>
  </si>
  <si>
    <t>829</t>
  </si>
  <si>
    <t>gossifleur</t>
  </si>
  <si>
    <t>Gossifleur</t>
  </si>
  <si>
    <t>Cotton Down</t>
  </si>
  <si>
    <t>830</t>
  </si>
  <si>
    <t>eldegoss</t>
  </si>
  <si>
    <t>Eldegoss</t>
  </si>
  <si>
    <t>831</t>
  </si>
  <si>
    <t>wooloo</t>
  </si>
  <si>
    <t>Wooloo</t>
  </si>
  <si>
    <t>832</t>
  </si>
  <si>
    <t>dubwool</t>
  </si>
  <si>
    <t>Dubwool</t>
  </si>
  <si>
    <t>833</t>
  </si>
  <si>
    <t>chewtle</t>
  </si>
  <si>
    <t>834</t>
  </si>
  <si>
    <t>drednaw</t>
  </si>
  <si>
    <t>835</t>
  </si>
  <si>
    <t>yamper</t>
  </si>
  <si>
    <t>Yamper</t>
  </si>
  <si>
    <t>Ball Fetch</t>
  </si>
  <si>
    <t>836</t>
  </si>
  <si>
    <t>boltund</t>
  </si>
  <si>
    <t>Boltund</t>
  </si>
  <si>
    <t>837</t>
  </si>
  <si>
    <t>rolycoly</t>
  </si>
  <si>
    <t>Steam Engine</t>
  </si>
  <si>
    <t>838</t>
  </si>
  <si>
    <t>carkol</t>
  </si>
  <si>
    <t>839</t>
  </si>
  <si>
    <t>coalossal</t>
  </si>
  <si>
    <t>840</t>
  </si>
  <si>
    <t>applin</t>
  </si>
  <si>
    <t>Ripen</t>
  </si>
  <si>
    <t>841</t>
  </si>
  <si>
    <t>flapple</t>
  </si>
  <si>
    <t>841-gi</t>
  </si>
  <si>
    <t>flapple-gmax</t>
  </si>
  <si>
    <t>flapple-gigantamax</t>
  </si>
  <si>
    <t>Gigantamax Flapple</t>
  </si>
  <si>
    <t>842</t>
  </si>
  <si>
    <t>appletun</t>
  </si>
  <si>
    <t>843</t>
  </si>
  <si>
    <t>silicobra</t>
  </si>
  <si>
    <t>Sand Spit</t>
  </si>
  <si>
    <t>844</t>
  </si>
  <si>
    <t>sandaconda</t>
  </si>
  <si>
    <t>845</t>
  </si>
  <si>
    <t>cramorant</t>
  </si>
  <si>
    <t>Cramorant</t>
  </si>
  <si>
    <t>Gulp Missile</t>
  </si>
  <si>
    <t>846</t>
  </si>
  <si>
    <t>arrokuda</t>
  </si>
  <si>
    <t>Propeller Tail</t>
  </si>
  <si>
    <t>847</t>
  </si>
  <si>
    <t>barraskewda</t>
  </si>
  <si>
    <t>848</t>
  </si>
  <si>
    <t>toxel</t>
  </si>
  <si>
    <t>849</t>
  </si>
  <si>
    <t>toxtricity-amped</t>
  </si>
  <si>
    <t>Punk Rock</t>
  </si>
  <si>
    <t>849-l</t>
  </si>
  <si>
    <t>toxtricity-lowkey</t>
  </si>
  <si>
    <t>toxtricity-low-key</t>
  </si>
  <si>
    <t>Toxtricity-Low-Key</t>
  </si>
  <si>
    <t>850</t>
  </si>
  <si>
    <t>sizzlipede</t>
  </si>
  <si>
    <t>Sizzlipede</t>
  </si>
  <si>
    <t>851</t>
  </si>
  <si>
    <t>centiskorch</t>
  </si>
  <si>
    <t>Centiskorch</t>
  </si>
  <si>
    <t>852</t>
  </si>
  <si>
    <t>clobbopus</t>
  </si>
  <si>
    <t>Clobbopus</t>
  </si>
  <si>
    <t>853</t>
  </si>
  <si>
    <t>grapploct</t>
  </si>
  <si>
    <t>Grapploct</t>
  </si>
  <si>
    <t>854</t>
  </si>
  <si>
    <t>sinistea</t>
  </si>
  <si>
    <t>855</t>
  </si>
  <si>
    <t>polteageist</t>
  </si>
  <si>
    <t>856</t>
  </si>
  <si>
    <t>hatenna</t>
  </si>
  <si>
    <t>857</t>
  </si>
  <si>
    <t>hattrem</t>
  </si>
  <si>
    <t>858</t>
  </si>
  <si>
    <t>hatterene</t>
  </si>
  <si>
    <t>859</t>
  </si>
  <si>
    <t>impidimp</t>
  </si>
  <si>
    <t>860</t>
  </si>
  <si>
    <t>morgrem</t>
  </si>
  <si>
    <t>861</t>
  </si>
  <si>
    <t>grimmsnarl</t>
  </si>
  <si>
    <t>862</t>
  </si>
  <si>
    <t>obstagoon</t>
  </si>
  <si>
    <t>Obstagoon</t>
  </si>
  <si>
    <t>863</t>
  </si>
  <si>
    <t>perrserker</t>
  </si>
  <si>
    <t>Perrserker</t>
  </si>
  <si>
    <t>Steely Spirit</t>
  </si>
  <si>
    <t>864</t>
  </si>
  <si>
    <t>cursola</t>
  </si>
  <si>
    <t>Cursola</t>
  </si>
  <si>
    <t>Perish Body</t>
  </si>
  <si>
    <t>865</t>
  </si>
  <si>
    <t>sirfetchd</t>
  </si>
  <si>
    <t>Sirfetch'd</t>
  </si>
  <si>
    <t>866</t>
  </si>
  <si>
    <t>mr-rime</t>
  </si>
  <si>
    <t>mrrime</t>
  </si>
  <si>
    <t>Mr. Rime</t>
  </si>
  <si>
    <t>867</t>
  </si>
  <si>
    <t>runerigus</t>
  </si>
  <si>
    <t>Runerigus</t>
  </si>
  <si>
    <t>868</t>
  </si>
  <si>
    <t>milcery</t>
  </si>
  <si>
    <t>Milcery</t>
  </si>
  <si>
    <t>869</t>
  </si>
  <si>
    <t>alcremie</t>
  </si>
  <si>
    <t>Alcremie</t>
  </si>
  <si>
    <t>870</t>
  </si>
  <si>
    <t>falinks</t>
  </si>
  <si>
    <t>871</t>
  </si>
  <si>
    <t>pincurchin</t>
  </si>
  <si>
    <t>Lightningrod</t>
  </si>
  <si>
    <t>872</t>
  </si>
  <si>
    <t>snom</t>
  </si>
  <si>
    <t>Ice Scales</t>
  </si>
  <si>
    <t>873</t>
  </si>
  <si>
    <t>frosmoth</t>
  </si>
  <si>
    <t>874</t>
  </si>
  <si>
    <t>stonjourner</t>
  </si>
  <si>
    <t>Power Spot</t>
  </si>
  <si>
    <t>875</t>
  </si>
  <si>
    <t>eiscue</t>
  </si>
  <si>
    <t>Ice Face</t>
  </si>
  <si>
    <t>875-n</t>
  </si>
  <si>
    <t>eiscue-noice</t>
  </si>
  <si>
    <t>Eiscue-No-Ice</t>
  </si>
  <si>
    <t>876</t>
  </si>
  <si>
    <t>indeedee</t>
  </si>
  <si>
    <t>indeedee-male</t>
  </si>
  <si>
    <t>876-f</t>
  </si>
  <si>
    <t>indeedee-f</t>
  </si>
  <si>
    <t>indeedee-female</t>
  </si>
  <si>
    <t>877</t>
  </si>
  <si>
    <t>morpeko</t>
  </si>
  <si>
    <t>Morpeko</t>
  </si>
  <si>
    <t>Hunger Switch</t>
  </si>
  <si>
    <t>877-h</t>
  </si>
  <si>
    <t>morpeko-hangry</t>
  </si>
  <si>
    <t>Morpeko-Hangry</t>
  </si>
  <si>
    <t>878</t>
  </si>
  <si>
    <t>cufant</t>
  </si>
  <si>
    <t>879</t>
  </si>
  <si>
    <t>copperajah</t>
  </si>
  <si>
    <t>880</t>
  </si>
  <si>
    <t>dracozolt</t>
  </si>
  <si>
    <t>Dracozolt</t>
  </si>
  <si>
    <t>881</t>
  </si>
  <si>
    <t>arctozolt</t>
  </si>
  <si>
    <t>Arctozolt</t>
  </si>
  <si>
    <t>882</t>
  </si>
  <si>
    <t>dracovish</t>
  </si>
  <si>
    <t>Dracovish</t>
  </si>
  <si>
    <t>883</t>
  </si>
  <si>
    <t>arctovish</t>
  </si>
  <si>
    <t>Arctovish</t>
  </si>
  <si>
    <t>884</t>
  </si>
  <si>
    <t>duraludon</t>
  </si>
  <si>
    <t>Duraludon</t>
  </si>
  <si>
    <t>Stalwart</t>
  </si>
  <si>
    <t>885</t>
  </si>
  <si>
    <t>dreepy</t>
  </si>
  <si>
    <t>886</t>
  </si>
  <si>
    <t>drakloak</t>
  </si>
  <si>
    <t>887</t>
  </si>
  <si>
    <t>888</t>
  </si>
  <si>
    <t>Intrepid Sword</t>
  </si>
  <si>
    <t>888-c</t>
  </si>
  <si>
    <t>zacian-crowned</t>
  </si>
  <si>
    <t>Zacian-Crowned</t>
  </si>
  <si>
    <t>889</t>
  </si>
  <si>
    <t>Dauntless Shield</t>
  </si>
  <si>
    <t>889-c</t>
  </si>
  <si>
    <t>zamazenta-crowned</t>
  </si>
  <si>
    <t>Zamazenta-Crowned</t>
  </si>
  <si>
    <t>890</t>
  </si>
  <si>
    <t>890-e</t>
  </si>
  <si>
    <t>eternatus-eternamax</t>
  </si>
  <si>
    <t>Eternamax Eternatus</t>
  </si>
  <si>
    <t>891</t>
  </si>
  <si>
    <t>kubfu</t>
  </si>
  <si>
    <t>Kubfu</t>
  </si>
  <si>
    <t>892</t>
  </si>
  <si>
    <t>urshifu</t>
  </si>
  <si>
    <t>urshifu-single-strike</t>
  </si>
  <si>
    <t>Urshifu-Single-Strike</t>
  </si>
  <si>
    <t>Unseen Fist</t>
  </si>
  <si>
    <t>892-r</t>
  </si>
  <si>
    <t>urshifu-rapid-strike</t>
  </si>
  <si>
    <t>urshifu-rapidstrike</t>
  </si>
  <si>
    <t>Urshifu-Rapid-Strike</t>
  </si>
  <si>
    <t>893</t>
  </si>
  <si>
    <t>zarude</t>
  </si>
  <si>
    <t>Zarude</t>
  </si>
  <si>
    <t>893-d</t>
  </si>
  <si>
    <t>zarude-dada</t>
  </si>
  <si>
    <t>Zarude-Dada</t>
  </si>
  <si>
    <t>894</t>
  </si>
  <si>
    <t>regieleki</t>
  </si>
  <si>
    <t>Regieleki</t>
  </si>
  <si>
    <t>Transistor</t>
  </si>
  <si>
    <t>895</t>
  </si>
  <si>
    <t>regidrago</t>
  </si>
  <si>
    <t>Regidrago</t>
  </si>
  <si>
    <t>Dragon's Maw</t>
  </si>
  <si>
    <t>896</t>
  </si>
  <si>
    <t>glastrier</t>
  </si>
  <si>
    <t>Glastrier</t>
  </si>
  <si>
    <t>Chilling Neigh</t>
  </si>
  <si>
    <t>897</t>
  </si>
  <si>
    <t>spectrier</t>
  </si>
  <si>
    <t>Spectrier</t>
  </si>
  <si>
    <t>Grim Neigh</t>
  </si>
  <si>
    <t>898</t>
  </si>
  <si>
    <t>calyrex</t>
  </si>
  <si>
    <t>Calyrex</t>
  </si>
  <si>
    <t>898-i</t>
  </si>
  <si>
    <t>calyrex-ice-rider</t>
  </si>
  <si>
    <t>Calyrex-Ice-Rider</t>
  </si>
  <si>
    <t>As One</t>
  </si>
  <si>
    <t>898-s</t>
  </si>
  <si>
    <t>calyrex-shadow-rider</t>
  </si>
  <si>
    <t>Calyrex-Shadow-Rider</t>
  </si>
  <si>
    <t>899</t>
  </si>
  <si>
    <t>wyrdeer</t>
  </si>
  <si>
    <t>Wyrdeer</t>
  </si>
  <si>
    <t>kleavor</t>
  </si>
  <si>
    <t>Kleavor</t>
  </si>
  <si>
    <t>ursaluna</t>
  </si>
  <si>
    <t>Ursaluna</t>
  </si>
  <si>
    <t>basculegion</t>
  </si>
  <si>
    <t>Basculegion</t>
  </si>
  <si>
    <t>902-f</t>
  </si>
  <si>
    <t>basculegion-female</t>
  </si>
  <si>
    <t>basculegion-f</t>
  </si>
  <si>
    <t>Basculegion-Female</t>
  </si>
  <si>
    <t>903</t>
  </si>
  <si>
    <t>sneasler</t>
  </si>
  <si>
    <t>Sneasler</t>
  </si>
  <si>
    <t>904</t>
  </si>
  <si>
    <t>overqwil</t>
  </si>
  <si>
    <t>Overqwil</t>
  </si>
  <si>
    <t>905</t>
  </si>
  <si>
    <t>enamorus</t>
  </si>
  <si>
    <t>Enamorus-Incarnate</t>
  </si>
  <si>
    <t>905-t</t>
  </si>
  <si>
    <t>enamorus-therian</t>
  </si>
  <si>
    <t>Enamorus-Therian</t>
  </si>
  <si>
    <t>906</t>
  </si>
  <si>
    <t>sprigatito</t>
  </si>
  <si>
    <t>floragato</t>
  </si>
  <si>
    <t>fuecoco</t>
  </si>
  <si>
    <t>crocalor</t>
  </si>
  <si>
    <t>quaxly</t>
  </si>
  <si>
    <t>quaxwell</t>
  </si>
  <si>
    <t>lechonk</t>
  </si>
  <si>
    <t>oinkologne</t>
  </si>
  <si>
    <t>Lingering Aroma</t>
  </si>
  <si>
    <t>916-f</t>
  </si>
  <si>
    <t>oinkologne-female</t>
  </si>
  <si>
    <t>oinkologne-f</t>
  </si>
  <si>
    <t>Oinkologne-Female</t>
  </si>
  <si>
    <t>917</t>
  </si>
  <si>
    <t>dudunsparce</t>
  </si>
  <si>
    <t>tarountula</t>
  </si>
  <si>
    <t>spidops</t>
  </si>
  <si>
    <t>nymble</t>
  </si>
  <si>
    <t>lokix</t>
  </si>
  <si>
    <t>rellor</t>
  </si>
  <si>
    <t>Compoundeyes</t>
  </si>
  <si>
    <t>rabsca</t>
  </si>
  <si>
    <t>greavard</t>
  </si>
  <si>
    <t>houndstone</t>
  </si>
  <si>
    <t>flittle</t>
  </si>
  <si>
    <t>Opportunist</t>
  </si>
  <si>
    <t>Cud Chew</t>
  </si>
  <si>
    <t>Armor Tail</t>
  </si>
  <si>
    <t>wiglett</t>
  </si>
  <si>
    <t>wugtrio</t>
  </si>
  <si>
    <t>veluza</t>
  </si>
  <si>
    <t>Sharpness</t>
  </si>
  <si>
    <t>finizen</t>
  </si>
  <si>
    <t>Finizen</t>
  </si>
  <si>
    <t>Zero to Hero</t>
  </si>
  <si>
    <t>934-h</t>
  </si>
  <si>
    <t>palafin-hero</t>
  </si>
  <si>
    <t>Palafin-Hero</t>
  </si>
  <si>
    <t>935</t>
  </si>
  <si>
    <t>smoliv</t>
  </si>
  <si>
    <t>dolliv</t>
  </si>
  <si>
    <t>Seed Sower</t>
  </si>
  <si>
    <t>capsakid</t>
  </si>
  <si>
    <t>scovillain</t>
  </si>
  <si>
    <t>tadbulb</t>
  </si>
  <si>
    <t>bellibolt</t>
  </si>
  <si>
    <t>Electromorphosis</t>
  </si>
  <si>
    <t>varoom</t>
  </si>
  <si>
    <t>revavroom</t>
  </si>
  <si>
    <t>Earth Eater</t>
  </si>
  <si>
    <t>tandemaus</t>
  </si>
  <si>
    <t>cetoddle</t>
  </si>
  <si>
    <t>frigibax</t>
  </si>
  <si>
    <t>Thermal Exchange</t>
  </si>
  <si>
    <t>arctibax</t>
  </si>
  <si>
    <t>Commander</t>
  </si>
  <si>
    <t>cyclizar</t>
  </si>
  <si>
    <t>pawmi</t>
  </si>
  <si>
    <t>pawmo</t>
  </si>
  <si>
    <t>wattrel</t>
  </si>
  <si>
    <t>Wind Power</t>
  </si>
  <si>
    <t>bombirdier</t>
  </si>
  <si>
    <t>Rocky Payload</t>
  </si>
  <si>
    <t>squawkabilly</t>
  </si>
  <si>
    <t>Costar</t>
  </si>
  <si>
    <t>klawf</t>
  </si>
  <si>
    <t>Anger Shell</t>
  </si>
  <si>
    <t>nacli</t>
  </si>
  <si>
    <t>Purifying Salt</t>
  </si>
  <si>
    <t>naclstack</t>
  </si>
  <si>
    <t>glimmet</t>
  </si>
  <si>
    <t>Toxic Debris</t>
  </si>
  <si>
    <t>glimmora</t>
  </si>
  <si>
    <t>shroodle</t>
  </si>
  <si>
    <t>fidough</t>
  </si>
  <si>
    <t>dachsbun</t>
  </si>
  <si>
    <t>Well-Baked Body</t>
  </si>
  <si>
    <t>maschiff</t>
  </si>
  <si>
    <t>mabosstiff</t>
  </si>
  <si>
    <t>Guard Dog</t>
  </si>
  <si>
    <t>bramblin</t>
  </si>
  <si>
    <t>Wind Rider</t>
  </si>
  <si>
    <t>brambleghast</t>
  </si>
  <si>
    <t>gimmighoul</t>
  </si>
  <si>
    <t>gholdengo</t>
  </si>
  <si>
    <t>Good as Gold</t>
  </si>
  <si>
    <t>great-tusk</t>
  </si>
  <si>
    <t>greattusk</t>
  </si>
  <si>
    <t>Great Tusk</t>
  </si>
  <si>
    <t>Protosynthesis</t>
  </si>
  <si>
    <t>brute-bonnet</t>
  </si>
  <si>
    <t>brutebonnet</t>
  </si>
  <si>
    <t>Brute Bonnet</t>
  </si>
  <si>
    <t>walking-wake</t>
  </si>
  <si>
    <t>walkingwake</t>
  </si>
  <si>
    <t>Walking Wake</t>
  </si>
  <si>
    <t>sandy-shocks</t>
  </si>
  <si>
    <t>sandyshocks</t>
  </si>
  <si>
    <t>Sandy Shocks</t>
  </si>
  <si>
    <t>scream-tail</t>
  </si>
  <si>
    <t>screamtail</t>
  </si>
  <si>
    <t>Scream Tail</t>
  </si>
  <si>
    <t>flutter-mane</t>
  </si>
  <si>
    <t>fluttermane</t>
  </si>
  <si>
    <t>Flutter Mane</t>
  </si>
  <si>
    <t>slither-wing</t>
  </si>
  <si>
    <t>slitherwing</t>
  </si>
  <si>
    <t>Slither Wing</t>
  </si>
  <si>
    <t>roaring-moon</t>
  </si>
  <si>
    <t>roaringmoon</t>
  </si>
  <si>
    <t>Roaring Moon</t>
  </si>
  <si>
    <t>iron-treads</t>
  </si>
  <si>
    <t>irontreads</t>
  </si>
  <si>
    <t>Iron Treads</t>
  </si>
  <si>
    <t>Quark Drive</t>
  </si>
  <si>
    <t>iron-leaves</t>
  </si>
  <si>
    <t>ironleaves</t>
  </si>
  <si>
    <t>Iron Leaves</t>
  </si>
  <si>
    <t>iron-moth</t>
  </si>
  <si>
    <t>ironmoth</t>
  </si>
  <si>
    <t>Iron Moth</t>
  </si>
  <si>
    <t>iron-hands</t>
  </si>
  <si>
    <t>ironhands</t>
  </si>
  <si>
    <t>Iron Hands</t>
  </si>
  <si>
    <t>iron-jugulis</t>
  </si>
  <si>
    <t>ironjugulis</t>
  </si>
  <si>
    <t>Iron Jugulis</t>
  </si>
  <si>
    <t>iron-thorns</t>
  </si>
  <si>
    <t>ironthorns</t>
  </si>
  <si>
    <t>Iron Thorns</t>
  </si>
  <si>
    <t>iron-bundle</t>
  </si>
  <si>
    <t>ironbundle</t>
  </si>
  <si>
    <t>Iron Bundle</t>
  </si>
  <si>
    <t>iron-valiant</t>
  </si>
  <si>
    <t>ironvaliant</t>
  </si>
  <si>
    <t>Iron Valiant</t>
  </si>
  <si>
    <t>ting-lu</t>
  </si>
  <si>
    <t>tinglu</t>
  </si>
  <si>
    <t>Ting-Lu</t>
  </si>
  <si>
    <t>Vessel of Ruin</t>
  </si>
  <si>
    <t>chien-pao</t>
  </si>
  <si>
    <t>chienpao</t>
  </si>
  <si>
    <t>Chien-Pao</t>
  </si>
  <si>
    <t>Sword of Ruin</t>
  </si>
  <si>
    <t>wo-chien</t>
  </si>
  <si>
    <t>wochien</t>
  </si>
  <si>
    <t>Wo-Chien</t>
  </si>
  <si>
    <t>Tablets of Ruin</t>
  </si>
  <si>
    <t>chi-yu</t>
  </si>
  <si>
    <t>chiyu</t>
  </si>
  <si>
    <t>Chi-Yu</t>
  </si>
  <si>
    <t>Beads of Ruin</t>
  </si>
  <si>
    <t>koraidon</t>
  </si>
  <si>
    <t>Koraidon</t>
  </si>
  <si>
    <t>Orichalcum Pulse</t>
  </si>
  <si>
    <t>miraidon</t>
  </si>
  <si>
    <t>Miraidon</t>
  </si>
  <si>
    <t>Hadron Engine</t>
  </si>
  <si>
    <t>tinkatink</t>
  </si>
  <si>
    <t>tinkatuff</t>
  </si>
  <si>
    <t>tinkaton</t>
  </si>
  <si>
    <t>charcadet</t>
  </si>
  <si>
    <t>ceruledge</t>
  </si>
  <si>
    <t>toedscool</t>
  </si>
  <si>
    <t>Mycelium Might</t>
  </si>
  <si>
    <t>toedscruel</t>
  </si>
  <si>
    <t>Supreme Overlord</t>
  </si>
  <si>
    <t>clodsire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</si>
</sst>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
    <numFmt numFmtId="165" formatCode="&quot;$&quot;#,##0.00"/>
  </numFmts>
  <fonts count="70">
    <font>
      <sz val="10.0"/>
      <color rgb="FF000000"/>
      <name val="Arial"/>
    </font>
    <font>
      <sz val="12.0"/>
      <color rgb="FF000000"/>
      <name val="Patua One"/>
    </font>
    <font>
      <name val="Trebuchet MS"/>
    </font>
    <font>
      <name val="Patua One"/>
    </font>
    <font>
      <b/>
      <name val="Trebuchet MS"/>
    </font>
    <font>
      <sz val="12.0"/>
      <color rgb="FF000000"/>
      <name val="Trebuchet MS"/>
    </font>
    <font>
      <color rgb="FF000000"/>
      <name val="Patua One"/>
    </font>
    <font>
      <sz val="18.0"/>
      <color rgb="FFEFEFEF"/>
      <name val="Patua One"/>
    </font>
    <font>
      <b/>
      <sz val="14.0"/>
      <name val="Trebuchet MS"/>
    </font>
    <font/>
    <font>
      <sz val="18.0"/>
      <color rgb="FF000000"/>
      <name val="Arial"/>
    </font>
    <font>
      <sz val="24.0"/>
      <color rgb="FFFFFFFF"/>
      <name val="Bree Serif"/>
    </font>
    <font>
      <sz val="10.0"/>
      <name val="Trebuchet MS"/>
    </font>
    <font>
      <sz val="10.0"/>
      <color rgb="FFFFFFFF"/>
      <name val="Patua One"/>
    </font>
    <font>
      <sz val="12.0"/>
      <color rgb="FF000000"/>
      <name val="Bree Serif"/>
    </font>
    <font>
      <b/>
      <sz val="10.0"/>
      <color rgb="FF000000"/>
      <name val="Merriweather Sans"/>
    </font>
    <font>
      <sz val="10.0"/>
      <color rgb="FFFFFFFF"/>
      <name val="Trebuchet MS"/>
    </font>
    <font>
      <sz val="12.0"/>
      <color rgb="FFEFEFEF"/>
      <name val="Patua One"/>
    </font>
    <font>
      <name val="Arial"/>
    </font>
    <font>
      <b/>
      <sz val="12.0"/>
      <name val="Trebuchet MS"/>
    </font>
    <font>
      <b/>
      <sz val="11.0"/>
      <name val="Trebuchet MS"/>
    </font>
    <font>
      <sz val="12.0"/>
      <name val="Trebuchet MS"/>
    </font>
    <font>
      <sz val="17.0"/>
      <color rgb="FF000000"/>
      <name val="Patua One"/>
    </font>
    <font>
      <b/>
      <i/>
      <sz val="10.0"/>
      <name val="Trebuchet MS"/>
    </font>
    <font>
      <b/>
      <sz val="10.0"/>
      <name val="Trebuchet MS"/>
    </font>
    <font>
      <b/>
      <sz val="12.0"/>
      <color rgb="FF000000"/>
      <name val="Trebuchet MS"/>
    </font>
    <font>
      <sz val="11.0"/>
      <name val="Patua One"/>
    </font>
    <font>
      <color rgb="FF000000"/>
      <name val="Trebuchet MS"/>
    </font>
    <font>
      <sz val="10.0"/>
      <color rgb="FF000000"/>
      <name val="Trebuchet MS"/>
    </font>
    <font>
      <b/>
      <sz val="14.0"/>
      <color rgb="FF000000"/>
      <name val="Trebuchet MS"/>
    </font>
    <font>
      <sz val="14.0"/>
      <color rgb="FF000000"/>
      <name val="Patua One"/>
    </font>
    <font>
      <b/>
      <sz val="11.0"/>
      <color rgb="FF000000"/>
      <name val="Trebuchet MS"/>
    </font>
    <font>
      <sz val="14.0"/>
      <name val="Patua One"/>
    </font>
    <font>
      <sz val="14.0"/>
      <color rgb="FFEFEFEF"/>
      <name val="Patua One"/>
    </font>
    <font>
      <sz val="14.0"/>
      <color rgb="FF000000"/>
      <name val="Trebuchet MS"/>
    </font>
    <font>
      <b/>
      <sz val="11.0"/>
      <name val="Arial"/>
    </font>
    <font>
      <b/>
      <color rgb="FF000000"/>
      <name val="Trebuchet MS"/>
    </font>
    <font>
      <b/>
      <sz val="10.0"/>
      <color rgb="FF000000"/>
      <name val="Trebuchet MS"/>
    </font>
    <font>
      <sz val="10.0"/>
      <color rgb="FF000000"/>
      <name val="Patua One"/>
    </font>
    <font>
      <color rgb="FFEFEFEF"/>
      <name val="Patua One"/>
    </font>
    <font>
      <color rgb="FF222241"/>
      <name val="Patua One"/>
    </font>
    <font>
      <sz val="9.0"/>
      <color rgb="FF000000"/>
      <name val="&quot;Google Sans Mono&quot;"/>
    </font>
    <font>
      <sz val="10.0"/>
      <color rgb="FF222241"/>
      <name val="Patua One"/>
    </font>
    <font>
      <color rgb="FFFFFFFF"/>
      <name val="Patua One"/>
    </font>
    <font>
      <sz val="9.0"/>
      <color rgb="FF000000"/>
      <name val="Trebuchet MS"/>
    </font>
    <font>
      <sz val="9.0"/>
      <color rgb="FF222241"/>
      <name val="Trebuchet MS"/>
    </font>
    <font>
      <sz val="10.0"/>
      <name val="Patua One"/>
    </font>
    <font>
      <color rgb="FFA6BFF8"/>
      <name val="Trebuchet MS"/>
    </font>
    <font>
      <sz val="9.0"/>
      <color rgb="FFF7981D"/>
      <name val="Trebuchet MS"/>
    </font>
    <font>
      <color rgb="FFF7981D"/>
      <name val="Trebuchet MS"/>
    </font>
    <font>
      <b/>
      <sz val="8.0"/>
      <name val="Trebuchet MS"/>
    </font>
    <font>
      <sz val="24.0"/>
      <color rgb="FF000000"/>
      <name val="Patua One"/>
    </font>
    <font>
      <sz val="18.0"/>
      <color rgb="FFFFDB43"/>
      <name val="Patua One"/>
    </font>
    <font>
      <sz val="14.0"/>
      <color rgb="FFFFDB43"/>
      <name val="Patua One"/>
    </font>
    <font>
      <b/>
      <u/>
      <sz val="10.0"/>
      <color rgb="FF0000FF"/>
      <name val="Trebuchet MS"/>
    </font>
    <font>
      <sz val="10.0"/>
      <name val="&quot;Trebuchet MS&quot;"/>
    </font>
    <font>
      <sz val="10.0"/>
      <name val="Arial"/>
    </font>
    <font>
      <sz val="9.0"/>
      <name val="Patua One"/>
    </font>
    <font>
      <sz val="12.0"/>
      <name val="&quot;Bree Serif&quot;"/>
    </font>
    <font>
      <sz val="10.0"/>
      <color rgb="FF000000"/>
      <name val="Inconsolata"/>
    </font>
    <font>
      <sz val="11.0"/>
      <color rgb="FF000000"/>
      <name val="Inconsolata"/>
    </font>
    <font>
      <b/>
      <u/>
      <sz val="10.0"/>
      <color rgb="FF0000FF"/>
      <name val="Trebuchet MS"/>
    </font>
    <font>
      <b/>
      <sz val="12.0"/>
      <name val="Patua One"/>
    </font>
    <font>
      <b/>
      <sz val="14.0"/>
      <name val="Patua One"/>
    </font>
    <font>
      <b/>
      <sz val="10.0"/>
      <name val="Ubuntu"/>
    </font>
    <font>
      <b/>
      <name val="Ubuntu"/>
    </font>
    <font>
      <name val="&quot;Trebuchet MS&quot;"/>
    </font>
    <font>
      <sz val="9.0"/>
      <name val="Hind"/>
    </font>
    <font>
      <color rgb="FFFFFFFF"/>
      <name val="&quot;Trebuchet MS&quot;"/>
    </font>
    <font>
      <u/>
      <color rgb="FF1155CC"/>
      <name val="Trebuchet MS"/>
    </font>
  </fonts>
  <fills count="101">
    <fill>
      <patternFill patternType="none"/>
    </fill>
    <fill>
      <patternFill patternType="lightGray"/>
    </fill>
    <fill>
      <patternFill patternType="solid">
        <fgColor rgb="FF121221"/>
        <bgColor rgb="FF121221"/>
      </patternFill>
    </fill>
    <fill>
      <patternFill patternType="solid">
        <fgColor rgb="FF222241"/>
        <bgColor rgb="FF222241"/>
      </patternFill>
    </fill>
    <fill>
      <patternFill patternType="solid">
        <fgColor rgb="FF759EFF"/>
        <bgColor rgb="FF759EFF"/>
      </patternFill>
    </fill>
    <fill>
      <patternFill patternType="solid">
        <fgColor rgb="FFA6BFF8"/>
        <bgColor rgb="FFA6BFF8"/>
      </patternFill>
    </fill>
    <fill>
      <patternFill patternType="solid">
        <fgColor rgb="FFE06FFF"/>
        <bgColor rgb="FFE06FFF"/>
      </patternFill>
    </fill>
    <fill>
      <patternFill patternType="solid">
        <fgColor rgb="FFFF693C"/>
        <bgColor rgb="FFFF693C"/>
      </patternFill>
    </fill>
    <fill>
      <patternFill patternType="solid">
        <fgColor rgb="FFFAD53E"/>
        <bgColor rgb="FFFAD53E"/>
      </patternFill>
    </fill>
    <fill>
      <patternFill patternType="solid">
        <fgColor rgb="FF39DD8A"/>
        <bgColor rgb="FF39DD8A"/>
      </patternFill>
    </fill>
    <fill>
      <patternFill patternType="solid">
        <fgColor rgb="FF97D67A"/>
        <bgColor rgb="FF97D67A"/>
      </patternFill>
    </fill>
    <fill>
      <patternFill patternType="solid">
        <fgColor rgb="FFEB3A16"/>
        <bgColor rgb="FFEB3A16"/>
      </patternFill>
    </fill>
    <fill>
      <patternFill patternType="solid">
        <fgColor rgb="FF6FA8DC"/>
        <bgColor rgb="FF6FA8DC"/>
      </patternFill>
    </fill>
    <fill>
      <patternFill patternType="solid">
        <fgColor rgb="FFB4E69D"/>
        <bgColor rgb="FFB4E69D"/>
      </patternFill>
    </fill>
    <fill>
      <patternFill patternType="solid">
        <fgColor rgb="FFE06666"/>
        <bgColor rgb="FFE06666"/>
      </patternFill>
    </fill>
    <fill>
      <patternFill patternType="solid">
        <fgColor rgb="FF8E7CC3"/>
        <bgColor rgb="FF8E7CC3"/>
      </patternFill>
    </fill>
    <fill>
      <patternFill patternType="solid">
        <fgColor rgb="FF674EA7"/>
        <bgColor rgb="FF674EA7"/>
      </patternFill>
    </fill>
    <fill>
      <patternFill patternType="solid">
        <fgColor rgb="FF351C75"/>
        <bgColor rgb="FF351C75"/>
      </patternFill>
    </fill>
    <fill>
      <patternFill patternType="solid">
        <fgColor rgb="FF4C1130"/>
        <bgColor rgb="FF4C1130"/>
      </patternFill>
    </fill>
    <fill>
      <patternFill patternType="solid">
        <fgColor rgb="FF741B47"/>
        <bgColor rgb="FF741B47"/>
      </patternFill>
    </fill>
    <fill>
      <patternFill patternType="solid">
        <fgColor rgb="FFA64D79"/>
        <bgColor rgb="FFA64D79"/>
      </patternFill>
    </fill>
    <fill>
      <patternFill patternType="solid">
        <fgColor rgb="FFC93C3C"/>
        <bgColor rgb="FFC93C3C"/>
      </patternFill>
    </fill>
    <fill>
      <patternFill patternType="solid">
        <fgColor rgb="FFFF4732"/>
        <bgColor rgb="FFFF4732"/>
      </patternFill>
    </fill>
    <fill>
      <patternFill patternType="solid">
        <fgColor rgb="FFF77D37"/>
        <bgColor rgb="FFF77D37"/>
      </patternFill>
    </fill>
    <fill>
      <patternFill patternType="solid">
        <fgColor rgb="FFE2811C"/>
        <bgColor rgb="FFE2811C"/>
      </patternFill>
    </fill>
    <fill>
      <patternFill patternType="solid">
        <fgColor rgb="FFE9BD24"/>
        <bgColor rgb="FFE9BD24"/>
      </patternFill>
    </fill>
    <fill>
      <patternFill patternType="solid">
        <fgColor rgb="FFE9DE24"/>
        <bgColor rgb="FFE9DE24"/>
      </patternFill>
    </fill>
    <fill>
      <patternFill patternType="solid">
        <fgColor rgb="FFC6E924"/>
        <bgColor rgb="FFC6E924"/>
      </patternFill>
    </fill>
    <fill>
      <patternFill patternType="solid">
        <fgColor rgb="FF8AE924"/>
        <bgColor rgb="FF8AE924"/>
      </patternFill>
    </fill>
    <fill>
      <patternFill patternType="solid">
        <fgColor rgb="FF60DFE7"/>
        <bgColor rgb="FF60DFE7"/>
      </patternFill>
    </fill>
    <fill>
      <patternFill patternType="solid">
        <fgColor rgb="FFFFD966"/>
        <bgColor rgb="FFFFD966"/>
      </patternFill>
    </fill>
    <fill>
      <patternFill patternType="solid">
        <fgColor rgb="FF4E7CE9"/>
        <bgColor rgb="FF4E7CE9"/>
      </patternFill>
    </fill>
    <fill>
      <patternFill patternType="solid">
        <fgColor rgb="FF24E94A"/>
        <bgColor rgb="FF24E94A"/>
      </patternFill>
    </fill>
    <fill>
      <patternFill patternType="solid">
        <fgColor rgb="FFFFE599"/>
        <bgColor rgb="FFFFE599"/>
      </patternFill>
    </fill>
    <fill>
      <patternFill patternType="solid">
        <fgColor rgb="FFF1AB9D"/>
        <bgColor rgb="FFF1AB9D"/>
      </patternFill>
    </fill>
    <fill>
      <patternFill patternType="solid">
        <fgColor rgb="FF9FC5E8"/>
        <bgColor rgb="FF9FC5E8"/>
      </patternFill>
    </fill>
    <fill>
      <patternFill patternType="solid">
        <fgColor rgb="FFE47070"/>
        <bgColor rgb="FFE47070"/>
      </patternFill>
    </fill>
    <fill>
      <patternFill patternType="solid">
        <fgColor rgb="FF000000"/>
        <bgColor rgb="FF000000"/>
      </patternFill>
    </fill>
    <fill>
      <patternFill patternType="solid">
        <fgColor rgb="FFFFFFFF"/>
        <bgColor rgb="FFFFFFFF"/>
      </patternFill>
    </fill>
    <fill>
      <patternFill patternType="solid">
        <fgColor rgb="FFD9D2E9"/>
        <bgColor rgb="FFD9D2E9"/>
      </patternFill>
    </fill>
    <fill>
      <patternFill patternType="solid">
        <fgColor rgb="FFEE9B9B"/>
        <bgColor rgb="FFEE9B9B"/>
      </patternFill>
    </fill>
    <fill>
      <patternFill patternType="solid">
        <fgColor rgb="FFFF3535"/>
        <bgColor rgb="FFFF3535"/>
      </patternFill>
    </fill>
    <fill>
      <patternFill patternType="solid">
        <fgColor rgb="FF609EFF"/>
        <bgColor rgb="FF609EFF"/>
      </patternFill>
    </fill>
    <fill>
      <patternFill patternType="solid">
        <fgColor rgb="FFD5A6BD"/>
        <bgColor rgb="FFD5A6BD"/>
      </patternFill>
    </fill>
    <fill>
      <patternFill patternType="solid">
        <fgColor rgb="FFDA8585"/>
        <bgColor rgb="FFDA8585"/>
      </patternFill>
    </fill>
    <fill>
      <patternFill patternType="solid">
        <fgColor rgb="FFF1C232"/>
        <bgColor rgb="FFF1C232"/>
      </patternFill>
    </fill>
    <fill>
      <patternFill patternType="solid">
        <fgColor rgb="FFF58C8C"/>
        <bgColor rgb="FFF58C8C"/>
      </patternFill>
    </fill>
    <fill>
      <patternFill patternType="solid">
        <fgColor rgb="FFF5B690"/>
        <bgColor rgb="FFF5B690"/>
      </patternFill>
    </fill>
    <fill>
      <patternFill patternType="solid">
        <fgColor rgb="FFEEB478"/>
        <bgColor rgb="FFEEB478"/>
      </patternFill>
    </fill>
    <fill>
      <patternFill patternType="solid">
        <fgColor rgb="FFF5DD89"/>
        <bgColor rgb="FFF5DD89"/>
      </patternFill>
    </fill>
    <fill>
      <patternFill patternType="solid">
        <fgColor rgb="FFF5F09F"/>
        <bgColor rgb="FFF5F09F"/>
      </patternFill>
    </fill>
    <fill>
      <patternFill patternType="solid">
        <fgColor rgb="FFDFF188"/>
        <bgColor rgb="FFDFF188"/>
      </patternFill>
    </fill>
    <fill>
      <patternFill patternType="solid">
        <fgColor rgb="FFCCCCCC"/>
        <bgColor rgb="FFCCCCCC"/>
      </patternFill>
    </fill>
    <fill>
      <patternFill patternType="solid">
        <fgColor rgb="FFC1EE91"/>
        <bgColor rgb="FFC1EE91"/>
      </patternFill>
    </fill>
    <fill>
      <patternFill patternType="solid">
        <fgColor rgb="FF9CF1AC"/>
        <bgColor rgb="FF9CF1AC"/>
      </patternFill>
    </fill>
    <fill>
      <patternFill patternType="solid">
        <fgColor rgb="FF24DCE9"/>
        <bgColor rgb="FF24DCE9"/>
      </patternFill>
    </fill>
    <fill>
      <patternFill patternType="solid">
        <fgColor rgb="FF95E5EB"/>
        <bgColor rgb="FF95E5EB"/>
      </patternFill>
    </fill>
    <fill>
      <patternFill patternType="solid">
        <fgColor rgb="FF24C1E9"/>
        <bgColor rgb="FF24C1E9"/>
      </patternFill>
    </fill>
    <fill>
      <patternFill patternType="solid">
        <fgColor rgb="FF2499E9"/>
        <bgColor rgb="FF2499E9"/>
      </patternFill>
    </fill>
    <fill>
      <patternFill patternType="solid">
        <fgColor rgb="FF88C3EB"/>
        <bgColor rgb="FF88C3EB"/>
      </patternFill>
    </fill>
    <fill>
      <patternFill patternType="solid">
        <fgColor rgb="FFB45F06"/>
        <bgColor rgb="FFB45F06"/>
      </patternFill>
    </fill>
    <fill>
      <patternFill patternType="solid">
        <fgColor rgb="FFA424E9"/>
        <bgColor rgb="FFA424E9"/>
      </patternFill>
    </fill>
    <fill>
      <patternFill patternType="solid">
        <fgColor rgb="FFCB89EE"/>
        <bgColor rgb="FFCB89EE"/>
      </patternFill>
    </fill>
    <fill>
      <patternFill patternType="solid">
        <fgColor rgb="FFDA24E9"/>
        <bgColor rgb="FFDA24E9"/>
      </patternFill>
    </fill>
    <fill>
      <patternFill patternType="solid">
        <fgColor rgb="FFEC92F3"/>
        <bgColor rgb="FFEC92F3"/>
      </patternFill>
    </fill>
    <fill>
      <patternFill patternType="solid">
        <fgColor rgb="FFE924A9"/>
        <bgColor rgb="FFE924A9"/>
      </patternFill>
    </fill>
    <fill>
      <patternFill patternType="solid">
        <fgColor rgb="FFF0A7D8"/>
        <bgColor rgb="FFF0A7D8"/>
      </patternFill>
    </fill>
    <fill>
      <patternFill patternType="solid">
        <fgColor rgb="FF9BF1F7"/>
        <bgColor rgb="FF9BF1F7"/>
      </patternFill>
    </fill>
    <fill>
      <patternFill patternType="solid">
        <fgColor rgb="FF8ED9EC"/>
        <bgColor rgb="FF8ED9EC"/>
      </patternFill>
    </fill>
    <fill>
      <patternFill patternType="solid">
        <fgColor rgb="FFFF978B"/>
        <bgColor rgb="FFFF978B"/>
      </patternFill>
    </fill>
    <fill>
      <patternFill patternType="solid">
        <fgColor rgb="FFA0EBD1"/>
        <bgColor rgb="FFA0EBD1"/>
      </patternFill>
    </fill>
    <fill>
      <patternFill patternType="solid">
        <fgColor rgb="FF8FECE3"/>
        <bgColor rgb="FF8FECE3"/>
      </patternFill>
    </fill>
    <fill>
      <patternFill patternType="solid">
        <fgColor rgb="FFFF9900"/>
        <bgColor rgb="FFFF9900"/>
      </patternFill>
    </fill>
    <fill>
      <patternFill patternType="solid">
        <fgColor rgb="FFFFFF00"/>
        <bgColor rgb="FFFFFF00"/>
      </patternFill>
    </fill>
    <fill>
      <patternFill patternType="solid">
        <fgColor rgb="FF657BFF"/>
        <bgColor rgb="FF657BFF"/>
      </patternFill>
    </fill>
    <fill>
      <patternFill patternType="solid">
        <fgColor rgb="FF434343"/>
        <bgColor rgb="FF434343"/>
      </patternFill>
    </fill>
    <fill>
      <patternFill patternType="solid">
        <fgColor rgb="FF5A73F8"/>
        <bgColor rgb="FF5A73F8"/>
      </patternFill>
    </fill>
    <fill>
      <patternFill patternType="solid">
        <fgColor rgb="FFE89AFD"/>
        <bgColor rgb="FFE89AFD"/>
      </patternFill>
    </fill>
    <fill>
      <patternFill patternType="solid">
        <fgColor rgb="FFFF997B"/>
        <bgColor rgb="FFFF997B"/>
      </patternFill>
    </fill>
    <fill>
      <patternFill patternType="solid">
        <fgColor rgb="FF9AA6EB"/>
        <bgColor rgb="FF9AA6EB"/>
      </patternFill>
    </fill>
    <fill>
      <patternFill patternType="solid">
        <fgColor rgb="FFF55151"/>
        <bgColor rgb="FFF55151"/>
      </patternFill>
    </fill>
    <fill>
      <patternFill patternType="solid">
        <fgColor rgb="FFEFEFEF"/>
        <bgColor rgb="FFEFEFEF"/>
      </patternFill>
    </fill>
    <fill>
      <patternFill patternType="solid">
        <fgColor rgb="FFEB4343"/>
        <bgColor rgb="FFEB4343"/>
      </patternFill>
    </fill>
    <fill>
      <patternFill patternType="solid">
        <fgColor rgb="FF88D668"/>
        <bgColor rgb="FF88D668"/>
      </patternFill>
    </fill>
    <fill>
      <patternFill patternType="solid">
        <fgColor rgb="FFA2549A"/>
        <bgColor rgb="FFA2549A"/>
      </patternFill>
    </fill>
    <fill>
      <patternFill patternType="solid">
        <fgColor rgb="FFC6482F"/>
        <bgColor rgb="FFC6482F"/>
      </patternFill>
    </fill>
    <fill>
      <patternFill patternType="solid">
        <fgColor rgb="FF87B1F0"/>
        <bgColor rgb="FF87B1F0"/>
      </patternFill>
    </fill>
    <fill>
      <patternFill patternType="solid">
        <fgColor rgb="FF5843AD"/>
        <bgColor rgb="FF5843AD"/>
      </patternFill>
    </fill>
    <fill>
      <patternFill patternType="solid">
        <fgColor rgb="FF48A4F4"/>
        <bgColor rgb="FF48A4F4"/>
      </patternFill>
    </fill>
    <fill>
      <patternFill patternType="solid">
        <fgColor rgb="FFB7CF51"/>
        <bgColor rgb="FFB7CF51"/>
      </patternFill>
    </fill>
    <fill>
      <patternFill patternType="solid">
        <fgColor rgb="FFB6B4A8"/>
        <bgColor rgb="FFB6B4A8"/>
      </patternFill>
    </fill>
    <fill>
      <patternFill patternType="solid">
        <fgColor rgb="FF908888"/>
        <bgColor rgb="FF908888"/>
      </patternFill>
    </fill>
    <fill>
      <patternFill patternType="solid">
        <fgColor rgb="FFF6D867"/>
        <bgColor rgb="FFF6D867"/>
      </patternFill>
    </fill>
    <fill>
      <patternFill patternType="solid">
        <fgColor rgb="FFE550A3"/>
        <bgColor rgb="FFE550A3"/>
      </patternFill>
    </fill>
    <fill>
      <patternFill patternType="solid">
        <fgColor rgb="FFD8C16A"/>
        <bgColor rgb="FFD8C16A"/>
      </patternFill>
    </fill>
    <fill>
      <patternFill patternType="solid">
        <fgColor rgb="FF7BDCF2"/>
        <bgColor rgb="FF7BDCF2"/>
      </patternFill>
    </fill>
    <fill>
      <patternFill patternType="solid">
        <fgColor rgb="FFB7B6C5"/>
        <bgColor rgb="FFB7B6C5"/>
      </patternFill>
    </fill>
    <fill>
      <patternFill patternType="solid">
        <fgColor rgb="FFDA9CDD"/>
        <bgColor rgb="FFDA9CDD"/>
      </patternFill>
    </fill>
    <fill>
      <patternFill patternType="solid">
        <fgColor rgb="FF87403B"/>
        <bgColor rgb="FF87403B"/>
      </patternFill>
    </fill>
    <fill>
      <patternFill patternType="solid">
        <fgColor rgb="FFBFB378"/>
        <bgColor rgb="FFBFB378"/>
      </patternFill>
    </fill>
    <fill>
      <patternFill patternType="solid">
        <fgColor rgb="FF7771BF"/>
        <bgColor rgb="FF7771BF"/>
      </patternFill>
    </fill>
  </fills>
  <borders count="121">
    <border/>
    <border>
      <left style="medium">
        <color rgb="FFC27BA0"/>
      </left>
      <top style="medium">
        <color rgb="FFC27BA0"/>
      </top>
    </border>
    <border>
      <top style="medium">
        <color rgb="FFC27BA0"/>
      </top>
    </border>
    <border>
      <left style="medium">
        <color rgb="FF363663"/>
      </left>
      <top style="medium">
        <color rgb="FF363663"/>
      </top>
    </border>
    <border>
      <left style="medium">
        <color rgb="FFC27BA0"/>
      </left>
    </border>
    <border>
      <top style="medium">
        <color rgb="FF363663"/>
      </top>
    </border>
    <border>
      <right style="medium">
        <color rgb="FF363663"/>
      </right>
      <top style="medium">
        <color rgb="FF363663"/>
      </top>
    </border>
    <border>
      <left style="medium">
        <color rgb="FF363663"/>
      </left>
    </border>
    <border>
      <left style="medium">
        <color rgb="FF363663"/>
      </left>
      <right style="medium">
        <color rgb="FF363663"/>
      </right>
      <top style="medium">
        <color rgb="FF363663"/>
      </top>
      <bottom style="medium">
        <color rgb="FF363663"/>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right style="medium">
        <color rgb="FF363663"/>
      </right>
    </border>
    <border>
      <left style="medium">
        <color rgb="FF363663"/>
      </left>
      <top style="medium">
        <color rgb="FF363663"/>
      </top>
      <bottom style="medium">
        <color rgb="FF363663"/>
      </bottom>
    </border>
    <border>
      <top style="medium">
        <color rgb="FF363663"/>
      </top>
      <bottom style="medium">
        <color rgb="FF363663"/>
      </bottom>
    </border>
    <border>
      <left style="medium">
        <color rgb="FF000000"/>
      </left>
      <right style="medium">
        <color rgb="FF000000"/>
      </right>
      <top style="medium">
        <color rgb="FF000000"/>
      </top>
    </border>
    <border>
      <left style="medium">
        <color rgb="FF363663"/>
      </left>
      <right style="medium">
        <color rgb="FF363663"/>
      </right>
    </border>
    <border>
      <left style="medium">
        <color rgb="FF363663"/>
      </left>
      <bottom style="medium">
        <color rgb="FF363663"/>
      </bottom>
    </border>
    <border>
      <bottom style="medium">
        <color rgb="FF363663"/>
      </bottom>
    </border>
    <border>
      <right style="medium">
        <color rgb="FF363663"/>
      </right>
      <bottom style="medium">
        <color rgb="FF363663"/>
      </bottom>
    </border>
    <border>
      <left style="medium">
        <color rgb="FF000000"/>
      </left>
      <right style="medium">
        <color rgb="FF000000"/>
      </right>
      <top style="thin">
        <color rgb="FF000000"/>
      </top>
      <bottom style="medium">
        <color rgb="FF000000"/>
      </bottom>
    </border>
    <border>
      <left style="medium">
        <color rgb="FF000000"/>
      </left>
      <top style="medium">
        <color rgb="FF000000"/>
      </top>
      <bottom style="thin">
        <color rgb="FF000000"/>
      </bottom>
    </border>
    <border>
      <left style="medium">
        <color rgb="FF363663"/>
      </left>
      <right style="medium">
        <color rgb="FF363663"/>
      </right>
      <top style="medium">
        <color rgb="FF363663"/>
      </top>
    </border>
    <border>
      <left style="medium">
        <color rgb="FF000000"/>
      </left>
      <right style="medium">
        <color rgb="FF000000"/>
      </right>
      <top style="thin">
        <color rgb="FF000000"/>
      </top>
    </border>
    <border>
      <left style="thin">
        <color rgb="FF000000"/>
      </left>
      <right style="medium">
        <color rgb="FF000000"/>
      </right>
      <top style="medium">
        <color rgb="FF000000"/>
      </top>
      <bottom style="thin">
        <color rgb="FF000000"/>
      </bottom>
    </border>
    <border>
      <left style="medium">
        <color rgb="FF000000"/>
      </left>
      <top style="medium">
        <color rgb="FF000000"/>
      </top>
    </border>
    <border>
      <left style="medium">
        <color rgb="FF363663"/>
      </left>
      <right style="medium">
        <color rgb="FF363663"/>
      </right>
      <bottom style="medium">
        <color rgb="FF363663"/>
      </bottom>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right style="medium">
        <color rgb="FF000000"/>
      </right>
      <bottom style="thin">
        <color rgb="FF000000"/>
      </bottom>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left style="medium">
        <color rgb="FF000000"/>
      </left>
      <right style="medium">
        <color rgb="FF000000"/>
      </right>
    </border>
    <border>
      <left style="medium">
        <color rgb="FF000000"/>
      </left>
      <top style="thin">
        <color rgb="FF000000"/>
      </top>
      <bottom style="medium">
        <color rgb="FF000000"/>
      </bottom>
    </border>
    <border>
      <right style="thin">
        <color rgb="FF000000"/>
      </right>
      <top style="thin">
        <color rgb="FF000000"/>
      </top>
      <bottom style="medium">
        <color rgb="FF000000"/>
      </bottom>
    </border>
    <border>
      <right style="thin">
        <color rgb="FF000000"/>
      </right>
      <top style="medium">
        <color rgb="FF000000"/>
      </top>
      <bottom style="medium">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thin">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top style="thin">
        <color rgb="FF000000"/>
      </top>
    </border>
    <border>
      <top style="thin">
        <color rgb="FF000000"/>
      </top>
    </border>
    <border>
      <right style="medium">
        <color rgb="FF000000"/>
      </right>
      <top style="thin">
        <color rgb="FF000000"/>
      </top>
    </border>
    <border>
      <left style="medium">
        <color rgb="FF000000"/>
      </left>
      <bottom style="thin">
        <color rgb="FF000000"/>
      </bottom>
    </border>
    <border>
      <bottom style="thin">
        <color rgb="FF000000"/>
      </bottom>
    </border>
    <border>
      <right style="medium">
        <color rgb="FF000000"/>
      </right>
      <bottom style="thin">
        <color rgb="FF000000"/>
      </bottom>
    </border>
    <border>
      <left style="medium">
        <color rgb="FF000000"/>
      </left>
      <right style="thin">
        <color rgb="FF000000"/>
      </right>
      <top style="medium">
        <color rgb="FF000000"/>
      </top>
    </border>
    <border>
      <top style="thin">
        <color rgb="FF000000"/>
      </top>
      <bottom style="thin">
        <color rgb="FF000000"/>
      </bottom>
    </border>
    <border>
      <left style="thin">
        <color rgb="FF000000"/>
      </left>
      <right style="thin">
        <color rgb="FF000000"/>
      </right>
      <top style="medium">
        <color rgb="FF000000"/>
      </top>
    </border>
    <border>
      <left style="thin">
        <color rgb="FF000000"/>
      </left>
      <right style="medium">
        <color rgb="FF000000"/>
      </right>
      <top style="medium">
        <color rgb="FF000000"/>
      </top>
    </border>
    <border>
      <left style="thin">
        <color rgb="FF000000"/>
      </left>
      <right style="thin">
        <color rgb="FF000000"/>
      </right>
    </border>
    <border>
      <left style="medium">
        <color rgb="FF000000"/>
      </left>
      <right style="thin">
        <color rgb="FF000000"/>
      </right>
    </border>
    <border>
      <left style="thin">
        <color rgb="FF000000"/>
      </left>
      <right style="medium">
        <color rgb="FF000000"/>
      </right>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bottom style="medium">
        <color rgb="FF000000"/>
      </bottom>
    </border>
    <border>
      <right style="thin">
        <color rgb="FF000000"/>
      </right>
      <bottom style="medium">
        <color rgb="FF000000"/>
      </bottom>
    </border>
    <border>
      <left style="thin">
        <color rgb="FF000000"/>
      </left>
      <right style="medium">
        <color rgb="FF000000"/>
      </right>
      <bottom style="medium">
        <color rgb="FF000000"/>
      </bottom>
    </border>
    <border>
      <left style="medium">
        <color rgb="FF000000"/>
      </left>
      <right style="thin">
        <color rgb="FF000000"/>
      </right>
      <bottom style="thin">
        <color rgb="FF000000"/>
      </bottom>
    </border>
    <border>
      <left style="medium">
        <color rgb="FF000000"/>
      </left>
      <right style="thin">
        <color rgb="FF000000"/>
      </right>
      <top style="thin">
        <color rgb="FF000000"/>
      </top>
      <bottom style="thin">
        <color rgb="FF000000"/>
      </bottom>
    </border>
    <border>
      <left style="medium">
        <color rgb="FF000000"/>
      </left>
      <right style="thin">
        <color rgb="FF000000"/>
      </right>
      <top style="thin">
        <color rgb="FF000000"/>
      </top>
    </border>
    <border>
      <left style="medium">
        <color rgb="FF000000"/>
      </left>
      <right style="thin">
        <color rgb="FF000000"/>
      </righ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right style="thin">
        <color rgb="FF000000"/>
      </right>
      <top style="medium">
        <color rgb="FF000000"/>
      </top>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bottom style="medium">
        <color rgb="FFF7981D"/>
      </bottom>
    </border>
    <border>
      <left style="medium">
        <color rgb="FFF7981D"/>
      </left>
      <top style="medium">
        <color rgb="FFF7981D"/>
      </top>
    </border>
    <border>
      <right style="medium">
        <color rgb="FFFF3535"/>
      </right>
      <top style="medium">
        <color rgb="FFFF3535"/>
      </top>
    </border>
    <border>
      <top style="medium">
        <color rgb="FFF7981D"/>
      </top>
    </border>
    <border>
      <right style="medium">
        <color rgb="FFF7981D"/>
      </right>
      <top style="medium">
        <color rgb="FFF7981D"/>
      </top>
    </border>
    <border>
      <right style="medium">
        <color rgb="FFFF3535"/>
      </right>
    </border>
    <border>
      <right style="medium">
        <color rgb="FFF7981D"/>
      </right>
    </border>
    <border>
      <bottom style="medium">
        <color rgb="FFFF3535"/>
      </bottom>
    </border>
    <border>
      <left style="medium">
        <color rgb="FFFF3535"/>
      </left>
      <bottom style="medium">
        <color rgb="FFFF3535"/>
      </bottom>
    </border>
    <border>
      <right style="medium">
        <color rgb="FFFF3535"/>
      </right>
      <bottom style="medium">
        <color rgb="FFFF3535"/>
      </bottom>
    </border>
    <border>
      <right style="medium">
        <color rgb="FFFF3535"/>
      </right>
      <bottom style="medium">
        <color rgb="FFF7981D"/>
      </bottom>
    </border>
    <border>
      <left style="medium">
        <color rgb="FFF7981D"/>
      </left>
      <bottom style="medium">
        <color rgb="FFF7981D"/>
      </bottom>
    </border>
    <border>
      <right style="medium">
        <color rgb="FFF7981D"/>
      </right>
      <bottom style="medium">
        <color rgb="FFF7981D"/>
      </bottom>
    </border>
    <border>
      <left style="medium">
        <color rgb="FFFF3535"/>
      </left>
    </border>
    <border>
      <top style="medium">
        <color rgb="FFFF3535"/>
      </top>
    </border>
    <border>
      <left style="medium">
        <color rgb="FF000000"/>
      </left>
      <right style="medium">
        <color rgb="FF000000"/>
      </right>
      <bottom style="medium">
        <color rgb="FF000000"/>
      </bottom>
    </border>
    <border>
      <left style="medium">
        <color rgb="FF000000"/>
      </left>
      <right style="medium">
        <color rgb="FF000000"/>
      </right>
      <top style="medium">
        <color rgb="FF000000"/>
      </top>
      <bottom style="medium">
        <color rgb="FF000000"/>
      </bottom>
    </border>
    <border>
      <right style="thin">
        <color rgb="FF000000"/>
      </right>
    </border>
    <border>
      <left style="thin">
        <color rgb="FF000000"/>
      </left>
      <right style="thin">
        <color rgb="FF000000"/>
      </right>
      <top style="thin">
        <color rgb="FF000000"/>
      </top>
    </border>
    <border>
      <left style="thin">
        <color rgb="FF000000"/>
      </left>
      <top style="thin">
        <color rgb="FF000000"/>
      </top>
    </border>
    <border>
      <left style="thin">
        <color rgb="FF000000"/>
      </left>
    </border>
    <border>
      <left style="thin">
        <color rgb="FF000000"/>
      </left>
      <right style="medium">
        <color rgb="FF000000"/>
      </right>
      <top style="thin">
        <color rgb="FF000000"/>
      </top>
    </border>
    <border>
      <left style="thin">
        <color rgb="FF000000"/>
      </left>
      <right style="medium">
        <color rgb="FF000000"/>
      </right>
      <bottom style="thin">
        <color rgb="FF000000"/>
      </bottom>
    </border>
    <border>
      <left style="medium">
        <color rgb="FF222241"/>
      </left>
      <top style="medium">
        <color rgb="FF222241"/>
      </top>
      <bottom style="medium">
        <color rgb="FF222241"/>
      </bottom>
    </border>
    <border>
      <top style="medium">
        <color rgb="FF222241"/>
      </top>
      <bottom style="medium">
        <color rgb="FF222241"/>
      </bottom>
    </border>
    <border>
      <right style="medium">
        <color rgb="FF222241"/>
      </right>
      <top style="medium">
        <color rgb="FF222241"/>
      </top>
      <bottom style="medium">
        <color rgb="FF222241"/>
      </bottom>
    </border>
    <border>
      <left style="medium">
        <color rgb="FF222241"/>
      </left>
      <top style="medium">
        <color rgb="FF222241"/>
      </top>
    </border>
    <border>
      <top style="medium">
        <color rgb="FF222241"/>
      </top>
    </border>
    <border>
      <right style="medium">
        <color rgb="FF222241"/>
      </right>
      <top style="medium">
        <color rgb="FF222241"/>
      </top>
    </border>
    <border>
      <right style="thin">
        <color rgb="FF000000"/>
      </right>
      <top style="medium">
        <color rgb="FF000000"/>
      </top>
    </border>
    <border>
      <left style="thin">
        <color rgb="FF000000"/>
      </left>
      <top style="medium">
        <color rgb="FF000000"/>
      </top>
    </border>
    <border>
      <right style="thin">
        <color rgb="FF000000"/>
      </right>
      <top style="thin">
        <color rgb="FF000000"/>
      </top>
    </border>
    <border>
      <left style="medium">
        <color rgb="FF222241"/>
      </left>
    </border>
    <border>
      <right style="medium">
        <color rgb="FF222241"/>
      </right>
    </border>
    <border>
      <left style="medium">
        <color rgb="FF222241"/>
      </left>
      <bottom style="medium">
        <color rgb="FF222241"/>
      </bottom>
    </border>
    <border>
      <bottom style="medium">
        <color rgb="FF222241"/>
      </bottom>
    </border>
    <border>
      <right style="medium">
        <color rgb="FF222241"/>
      </right>
      <bottom style="medium">
        <color rgb="FF222241"/>
      </bottom>
    </border>
  </borders>
  <cellStyleXfs count="1">
    <xf borderId="0" fillId="0" fontId="0" numFmtId="0" applyAlignment="1" applyFont="1"/>
  </cellStyleXfs>
  <cellXfs count="1009">
    <xf borderId="0" fillId="0" fontId="0" numFmtId="0" xfId="0" applyAlignment="1" applyFont="1">
      <alignment readingOrder="0" shrinkToFit="0" vertical="bottom" wrapText="0"/>
    </xf>
    <xf borderId="1" fillId="2" fontId="0" numFmtId="0" xfId="0" applyAlignment="1" applyBorder="1" applyFill="1" applyFont="1">
      <alignment horizontal="center" readingOrder="0" shrinkToFit="0" vertical="center" wrapText="0"/>
    </xf>
    <xf borderId="2" fillId="2" fontId="0" numFmtId="0" xfId="0" applyAlignment="1" applyBorder="1" applyFill="1" applyFont="1">
      <alignment horizontal="center" readingOrder="0" shrinkToFit="0" vertical="center" wrapText="0"/>
    </xf>
    <xf borderId="0" fillId="2" fontId="1" numFmtId="0" xfId="0" applyAlignment="1" applyFill="1" applyFont="1">
      <alignment horizontal="center" readingOrder="0" vertical="center"/>
    </xf>
    <xf borderId="0" fillId="2" fontId="2" numFmtId="0" xfId="0" applyAlignment="1" applyFill="1" applyFont="1">
      <alignment horizontal="center" readingOrder="0" shrinkToFit="0" vertical="center" wrapText="0"/>
    </xf>
    <xf borderId="0" fillId="2" fontId="2" numFmtId="0" xfId="0" applyAlignment="1" applyFill="1" applyFont="1">
      <alignment horizontal="center" shrinkToFit="0" vertical="center" wrapText="0"/>
    </xf>
    <xf borderId="0" fillId="2" fontId="1" numFmtId="0" xfId="0" applyAlignment="1" applyFill="1" applyFont="1">
      <alignment horizontal="left" readingOrder="0" vertical="center"/>
    </xf>
    <xf borderId="0" fillId="2" fontId="3" numFmtId="0" xfId="0" applyAlignment="1" applyFill="1" applyFont="1">
      <alignment horizontal="center" shrinkToFit="0" vertical="center" wrapText="0"/>
    </xf>
    <xf borderId="0" fillId="2" fontId="4" numFmtId="0" xfId="0" applyAlignment="1" applyFill="1" applyFont="1">
      <alignment horizontal="center" readingOrder="0" shrinkToFit="0" vertical="center" wrapText="0"/>
    </xf>
    <xf borderId="3" fillId="3" fontId="5" numFmtId="0" xfId="0" applyAlignment="1" applyBorder="1" applyFill="1" applyFont="1">
      <alignment horizontal="center" vertical="center"/>
    </xf>
    <xf borderId="0" fillId="2" fontId="3" numFmtId="0" xfId="0" applyAlignment="1" applyFill="1" applyFont="1">
      <alignment horizontal="center" vertical="center"/>
    </xf>
    <xf borderId="2" fillId="2" fontId="0" numFmtId="0" xfId="0" applyAlignment="1" applyBorder="1" applyFill="1" applyFont="1">
      <alignment horizontal="center" readingOrder="0" shrinkToFit="0" vertical="center" wrapText="1"/>
    </xf>
    <xf borderId="0" fillId="2" fontId="0" numFmtId="0" xfId="0" applyAlignment="1" applyFill="1" applyFont="1">
      <alignment horizontal="center" readingOrder="0" shrinkToFit="0" vertical="center" wrapText="0"/>
    </xf>
    <xf borderId="4" fillId="2" fontId="0" numFmtId="0" xfId="0" applyAlignment="1" applyBorder="1" applyFill="1" applyFont="1">
      <alignment horizontal="center" readingOrder="0" shrinkToFit="0" vertical="center" wrapText="0"/>
    </xf>
    <xf borderId="3" fillId="3" fontId="0" numFmtId="0" xfId="0" applyAlignment="1" applyBorder="1" applyFill="1" applyFont="1">
      <alignment horizontal="center" readingOrder="0" shrinkToFit="0" vertical="center" wrapText="0"/>
    </xf>
    <xf borderId="5" fillId="3" fontId="0" numFmtId="0" xfId="0" applyAlignment="1" applyBorder="1" applyFill="1" applyFont="1">
      <alignment horizontal="center" readingOrder="0" shrinkToFit="0" vertical="center" wrapText="0"/>
    </xf>
    <xf borderId="0" fillId="2" fontId="4" numFmtId="0" xfId="0" applyAlignment="1" applyFill="1" applyFont="1">
      <alignment horizontal="center" shrinkToFit="0" vertical="center" wrapText="0"/>
    </xf>
    <xf borderId="5" fillId="3" fontId="1" numFmtId="0" xfId="0" applyAlignment="1" applyBorder="1" applyFill="1" applyFont="1">
      <alignment horizontal="center" vertical="center"/>
    </xf>
    <xf borderId="5" fillId="3" fontId="5" numFmtId="0" xfId="0" applyAlignment="1" applyBorder="1" applyFill="1" applyFont="1">
      <alignment horizontal="center" vertical="center"/>
    </xf>
    <xf borderId="3" fillId="3" fontId="4" numFmtId="0" xfId="0" applyAlignment="1" applyBorder="1" applyFill="1" applyFont="1">
      <alignment horizontal="center" shrinkToFit="0" vertical="center" wrapText="0"/>
    </xf>
    <xf borderId="5" fillId="3" fontId="4" numFmtId="0" xfId="0" applyAlignment="1" applyBorder="1" applyFill="1" applyFont="1">
      <alignment horizontal="center" shrinkToFit="0" vertical="center" wrapText="0"/>
    </xf>
    <xf borderId="0" fillId="2" fontId="6" numFmtId="0" xfId="0" applyAlignment="1" applyFill="1" applyFont="1">
      <alignment horizontal="center" vertical="center"/>
    </xf>
    <xf borderId="5" fillId="3" fontId="0" numFmtId="0" xfId="0" applyAlignment="1" applyBorder="1" applyFill="1" applyFont="1">
      <alignment horizontal="center" readingOrder="0" shrinkToFit="0" vertical="center" wrapText="1"/>
    </xf>
    <xf borderId="6" fillId="3" fontId="0" numFmtId="0" xfId="0" applyAlignment="1" applyBorder="1" applyFill="1" applyFont="1">
      <alignment horizontal="center" readingOrder="0" shrinkToFit="0" vertical="center" wrapText="0"/>
    </xf>
    <xf borderId="6" fillId="3" fontId="5" numFmtId="0" xfId="0" applyAlignment="1" applyBorder="1" applyFill="1" applyFont="1">
      <alignment horizontal="center" vertical="center"/>
    </xf>
    <xf borderId="0" fillId="2" fontId="2" numFmtId="0" xfId="0" applyAlignment="1" applyFill="1" applyFont="1">
      <alignment vertical="center"/>
    </xf>
    <xf borderId="7" fillId="3" fontId="5" numFmtId="0" xfId="0" applyAlignment="1" applyBorder="1" applyFill="1" applyFont="1">
      <alignment horizontal="center" vertical="center"/>
    </xf>
    <xf borderId="6" fillId="3" fontId="4" numFmtId="0" xfId="0" applyAlignment="1" applyBorder="1" applyFill="1" applyFont="1">
      <alignment horizontal="center" shrinkToFit="0" vertical="center" wrapText="0"/>
    </xf>
    <xf borderId="7" fillId="3" fontId="4" numFmtId="0" xfId="0" applyAlignment="1" applyBorder="1" applyFill="1" applyFont="1">
      <alignment horizontal="center" shrinkToFit="0" vertical="center" wrapText="0"/>
    </xf>
    <xf borderId="0" fillId="2" fontId="6" numFmtId="0" xfId="0" applyAlignment="1" applyFill="1" applyFont="1">
      <alignment horizontal="left" vertical="center"/>
    </xf>
    <xf borderId="7" fillId="3" fontId="0" numFmtId="0" xfId="0" applyAlignment="1" applyBorder="1" applyFill="1" applyFont="1">
      <alignment horizontal="center" readingOrder="0" shrinkToFit="0" vertical="center" wrapText="0"/>
    </xf>
    <xf borderId="8" fillId="2" fontId="7" numFmtId="0" xfId="0" applyAlignment="1" applyBorder="1" applyFill="1" applyFont="1">
      <alignment horizontal="center" readingOrder="0" shrinkToFit="0" vertical="center" wrapText="1"/>
    </xf>
    <xf borderId="0" fillId="3" fontId="5" numFmtId="0" xfId="0" applyAlignment="1" applyFill="1" applyFont="1">
      <alignment horizontal="center" vertical="center"/>
    </xf>
    <xf borderId="9" fillId="4" fontId="8" numFmtId="3" xfId="0" applyAlignment="1" applyBorder="1" applyFill="1" applyFont="1" applyNumberFormat="1">
      <alignment horizontal="center" readingOrder="0" shrinkToFit="0" vertical="center" wrapText="0"/>
    </xf>
    <xf borderId="10" fillId="0" fontId="9" numFmtId="0" xfId="0" applyBorder="1" applyFont="1"/>
    <xf borderId="11" fillId="0" fontId="9" numFmtId="0" xfId="0" applyBorder="1" applyFont="1"/>
    <xf borderId="12" fillId="3" fontId="4" numFmtId="0" xfId="0" applyAlignment="1" applyBorder="1" applyFill="1" applyFont="1">
      <alignment horizontal="center" shrinkToFit="0" vertical="center" wrapText="0"/>
    </xf>
    <xf borderId="13" fillId="2" fontId="10" numFmtId="0" xfId="0" applyAlignment="1" applyBorder="1" applyFill="1" applyFont="1">
      <alignment horizontal="center" readingOrder="0" shrinkToFit="0" vertical="center" wrapText="0"/>
    </xf>
    <xf borderId="14" fillId="0" fontId="9" numFmtId="0" xfId="0" applyBorder="1" applyFont="1"/>
    <xf borderId="14" fillId="2" fontId="11" numFmtId="0" xfId="0" applyAlignment="1" applyBorder="1" applyFill="1" applyFont="1">
      <alignment horizontal="center" readingOrder="0" shrinkToFit="0" vertical="center" wrapText="1"/>
    </xf>
    <xf borderId="15" fillId="5" fontId="12" numFmtId="0" xfId="0" applyAlignment="1" applyBorder="1" applyFill="1" applyFont="1">
      <alignment horizontal="center" vertical="center"/>
    </xf>
    <xf borderId="0" fillId="2" fontId="13" numFmtId="0" xfId="0" applyAlignment="1" applyFill="1" applyFont="1">
      <alignment horizontal="center" vertical="center"/>
    </xf>
    <xf borderId="12" fillId="3" fontId="5" numFmtId="0" xfId="0" applyAlignment="1" applyBorder="1" applyFill="1" applyFont="1">
      <alignment horizontal="center" vertical="center"/>
    </xf>
    <xf borderId="15" fillId="4" fontId="8" numFmtId="3" xfId="0" applyAlignment="1" applyBorder="1" applyFill="1" applyFont="1" applyNumberFormat="1">
      <alignment horizontal="center" readingOrder="0" shrinkToFit="0" vertical="center" wrapText="0"/>
    </xf>
    <xf borderId="14" fillId="2" fontId="10" numFmtId="0" xfId="0" applyAlignment="1" applyBorder="1" applyFill="1" applyFont="1">
      <alignment horizontal="center" readingOrder="0" shrinkToFit="0" vertical="center" wrapText="0"/>
    </xf>
    <xf borderId="16" fillId="3" fontId="10" numFmtId="0" xfId="0" applyAlignment="1" applyBorder="1" applyFill="1" applyFont="1">
      <alignment horizontal="center" readingOrder="0" shrinkToFit="0" vertical="center" wrapText="0"/>
    </xf>
    <xf borderId="0" fillId="3" fontId="0" numFmtId="0" xfId="0" applyAlignment="1" applyFill="1" applyFont="1">
      <alignment horizontal="center" readingOrder="0" shrinkToFit="0" vertical="center" wrapText="0"/>
    </xf>
    <xf borderId="0" fillId="3" fontId="0" numFmtId="0" xfId="0" applyAlignment="1" applyFill="1" applyFont="1">
      <alignment horizontal="center" readingOrder="0" shrinkToFit="0" vertical="center" wrapText="1"/>
    </xf>
    <xf borderId="12" fillId="3" fontId="0" numFmtId="0" xfId="0" applyAlignment="1" applyBorder="1" applyFill="1" applyFont="1">
      <alignment horizontal="center" readingOrder="0" shrinkToFit="0" vertical="center" wrapText="0"/>
    </xf>
    <xf borderId="3" fillId="6" fontId="14" numFmtId="0" xfId="0" applyAlignment="1" applyBorder="1" applyFill="1" applyFont="1">
      <alignment horizontal="center" readingOrder="0" shrinkToFit="0" vertical="center" wrapText="0"/>
    </xf>
    <xf borderId="5" fillId="0" fontId="9" numFmtId="0" xfId="0" applyBorder="1" applyFont="1"/>
    <xf borderId="6" fillId="0" fontId="9" numFmtId="0" xfId="0" applyBorder="1" applyFont="1"/>
    <xf borderId="7" fillId="6" fontId="15" numFmtId="164" xfId="0" applyAlignment="1" applyBorder="1" applyFill="1" applyFont="1" applyNumberFormat="1">
      <alignment horizontal="center" readingOrder="0" shrinkToFit="0" vertical="top" wrapText="0"/>
    </xf>
    <xf borderId="0" fillId="3" fontId="16" numFmtId="0" xfId="0" applyAlignment="1" applyFill="1" applyFont="1">
      <alignment horizontal="left" readingOrder="0" shrinkToFit="0" vertical="center" wrapText="1"/>
    </xf>
    <xf borderId="12" fillId="0" fontId="9" numFmtId="0" xfId="0" applyBorder="1" applyFont="1"/>
    <xf borderId="0" fillId="3" fontId="16" numFmtId="0" xfId="0" applyAlignment="1" applyFill="1" applyFont="1">
      <alignment horizontal="left" readingOrder="0" shrinkToFit="0" vertical="center" wrapText="1"/>
    </xf>
    <xf borderId="17" fillId="6" fontId="15" numFmtId="164" xfId="0" applyAlignment="1" applyBorder="1" applyFill="1" applyFont="1" applyNumberFormat="1">
      <alignment horizontal="center" readingOrder="0" shrinkToFit="0" vertical="top" wrapText="0"/>
    </xf>
    <xf borderId="18" fillId="3" fontId="16" numFmtId="0" xfId="0" applyAlignment="1" applyBorder="1" applyFill="1" applyFont="1">
      <alignment horizontal="left" readingOrder="0" shrinkToFit="0" vertical="center" wrapText="1"/>
    </xf>
    <xf borderId="18" fillId="0" fontId="9" numFmtId="0" xfId="0" applyBorder="1" applyFont="1"/>
    <xf borderId="19" fillId="0" fontId="9" numFmtId="0" xfId="0" applyBorder="1" applyFont="1"/>
    <xf borderId="3" fillId="7" fontId="14" numFmtId="0" xfId="0" applyAlignment="1" applyBorder="1" applyFill="1" applyFont="1">
      <alignment horizontal="center" readingOrder="0" shrinkToFit="0" vertical="center" wrapText="0"/>
    </xf>
    <xf borderId="7" fillId="7" fontId="15" numFmtId="164" xfId="0" applyAlignment="1" applyBorder="1" applyFill="1" applyFont="1" applyNumberFormat="1">
      <alignment horizontal="center" readingOrder="0" shrinkToFit="0" vertical="top" wrapText="0"/>
    </xf>
    <xf borderId="0" fillId="3" fontId="16" numFmtId="0" xfId="0" applyAlignment="1" applyFill="1" applyFont="1">
      <alignment horizontal="left" readingOrder="0" shrinkToFit="0" vertical="center" wrapText="0"/>
    </xf>
    <xf borderId="18" fillId="3" fontId="16" numFmtId="0" xfId="0" applyAlignment="1" applyBorder="1" applyFill="1" applyFont="1">
      <alignment horizontal="left" readingOrder="0" shrinkToFit="0" vertical="center" wrapText="0"/>
    </xf>
    <xf borderId="3" fillId="8" fontId="14" numFmtId="0" xfId="0" applyAlignment="1" applyBorder="1" applyFill="1" applyFont="1">
      <alignment horizontal="center" readingOrder="0" shrinkToFit="0" vertical="center" wrapText="0"/>
    </xf>
    <xf borderId="7" fillId="8" fontId="15" numFmtId="164" xfId="0" applyAlignment="1" applyBorder="1" applyFill="1" applyFont="1" applyNumberFormat="1">
      <alignment horizontal="center" readingOrder="0" shrinkToFit="0" vertical="top" wrapText="0"/>
    </xf>
    <xf borderId="18" fillId="3" fontId="16" numFmtId="0" xfId="0" applyAlignment="1" applyBorder="1" applyFill="1" applyFont="1">
      <alignment horizontal="left" readingOrder="0" shrinkToFit="0" vertical="center" wrapText="1"/>
    </xf>
    <xf borderId="3" fillId="9" fontId="14" numFmtId="0" xfId="0" applyAlignment="1" applyBorder="1" applyFill="1" applyFont="1">
      <alignment horizontal="center" readingOrder="0" shrinkToFit="0" vertical="center" wrapText="0"/>
    </xf>
    <xf borderId="7" fillId="9" fontId="15" numFmtId="164" xfId="0" applyAlignment="1" applyBorder="1" applyFill="1" applyFont="1" applyNumberFormat="1">
      <alignment horizontal="center" readingOrder="0" shrinkToFit="0" vertical="top" wrapText="0"/>
    </xf>
    <xf borderId="0" fillId="2" fontId="13" numFmtId="0" xfId="0" applyAlignment="1" applyFill="1" applyFont="1">
      <alignment horizontal="left" vertical="center"/>
    </xf>
    <xf borderId="8" fillId="2" fontId="17" numFmtId="0" xfId="0" applyAlignment="1" applyBorder="1" applyFill="1" applyFont="1">
      <alignment horizontal="center" readingOrder="0" vertical="center"/>
    </xf>
    <xf borderId="0" fillId="2" fontId="18" numFmtId="0" xfId="0" applyFill="1" applyFont="1"/>
    <xf borderId="15" fillId="10" fontId="19" numFmtId="164" xfId="0" applyAlignment="1" applyBorder="1" applyFill="1" applyFont="1" applyNumberFormat="1">
      <alignment horizontal="center" readingOrder="0" shrinkToFit="0" vertical="center" wrapText="0"/>
    </xf>
    <xf borderId="17" fillId="3" fontId="0" numFmtId="0" xfId="0" applyAlignment="1" applyBorder="1" applyFill="1" applyFont="1">
      <alignment horizontal="center" readingOrder="0" shrinkToFit="0" vertical="center" wrapText="0"/>
    </xf>
    <xf borderId="0" fillId="3" fontId="1" numFmtId="0" xfId="0" applyAlignment="1" applyFill="1" applyFont="1">
      <alignment horizontal="center" readingOrder="0" vertical="center"/>
    </xf>
    <xf borderId="20" fillId="5" fontId="12" numFmtId="0" xfId="0" applyAlignment="1" applyBorder="1" applyFill="1" applyFont="1">
      <alignment horizontal="center" vertical="center"/>
    </xf>
    <xf borderId="21" fillId="10" fontId="20" numFmtId="164" xfId="0" applyAlignment="1" applyBorder="1" applyFill="1" applyFont="1" applyNumberFormat="1">
      <alignment horizontal="left" readingOrder="0" shrinkToFit="0" vertical="center" wrapText="0"/>
    </xf>
    <xf borderId="22" fillId="2" fontId="1" numFmtId="0" xfId="0" applyAlignment="1" applyBorder="1" applyFill="1" applyFont="1">
      <alignment horizontal="center" vertical="center"/>
    </xf>
    <xf borderId="23" fillId="5" fontId="12" numFmtId="0" xfId="0" applyAlignment="1" applyBorder="1" applyFill="1" applyFont="1">
      <alignment horizontal="center" vertical="center"/>
    </xf>
    <xf borderId="18" fillId="3" fontId="0" numFmtId="0" xfId="0" applyAlignment="1" applyBorder="1" applyFill="1" applyFont="1">
      <alignment horizontal="center" readingOrder="0" shrinkToFit="0" vertical="center" wrapText="0"/>
    </xf>
    <xf borderId="0" fillId="3" fontId="1" numFmtId="0" xfId="0" applyAlignment="1" applyFill="1" applyFont="1">
      <alignment horizontal="left" readingOrder="0" vertical="center"/>
    </xf>
    <xf borderId="24" fillId="10" fontId="20" numFmtId="0" xfId="0" applyAlignment="1" applyBorder="1" applyFill="1" applyFont="1">
      <alignment horizontal="center" shrinkToFit="0" vertical="center" wrapText="0"/>
    </xf>
    <xf borderId="16" fillId="0" fontId="9" numFmtId="0" xfId="0" applyBorder="1" applyFont="1"/>
    <xf borderId="18" fillId="3" fontId="0" numFmtId="0" xfId="0" applyAlignment="1" applyBorder="1" applyFill="1" applyFont="1">
      <alignment horizontal="center" readingOrder="0" shrinkToFit="0" vertical="center" wrapText="1"/>
    </xf>
    <xf borderId="25" fillId="10" fontId="20" numFmtId="0" xfId="0" applyAlignment="1" applyBorder="1" applyFill="1" applyFont="1">
      <alignment horizontal="center" readingOrder="0" shrinkToFit="0" vertical="center" wrapText="0"/>
    </xf>
    <xf borderId="26" fillId="0" fontId="9" numFmtId="0" xfId="0" applyBorder="1" applyFont="1"/>
    <xf borderId="27" fillId="10" fontId="20" numFmtId="0" xfId="0" applyAlignment="1" applyBorder="1" applyFill="1" applyFont="1">
      <alignment horizontal="center" readingOrder="0" shrinkToFit="0" vertical="center" wrapText="0"/>
    </xf>
    <xf borderId="0" fillId="3" fontId="3" numFmtId="0" xfId="0" applyAlignment="1" applyFill="1" applyFont="1">
      <alignment horizontal="center" vertical="center"/>
    </xf>
    <xf borderId="19" fillId="3" fontId="0" numFmtId="0" xfId="0" applyAlignment="1" applyBorder="1" applyFill="1" applyFont="1">
      <alignment horizontal="center" readingOrder="0" shrinkToFit="0" vertical="center" wrapText="0"/>
    </xf>
    <xf borderId="25" fillId="5" fontId="21" numFmtId="0" xfId="0" applyAlignment="1" applyBorder="1" applyFill="1" applyFont="1">
      <alignment horizontal="center" vertical="center"/>
    </xf>
    <xf borderId="0" fillId="2" fontId="0" numFmtId="0" xfId="0" applyAlignment="1" applyFill="1" applyFont="1">
      <alignment horizontal="center" readingOrder="0" shrinkToFit="0" vertical="center" wrapText="1"/>
    </xf>
    <xf borderId="27" fillId="0" fontId="9" numFmtId="0" xfId="0" applyBorder="1" applyFont="1"/>
    <xf borderId="28" fillId="0" fontId="9" numFmtId="0" xfId="0" applyBorder="1" applyFont="1"/>
    <xf borderId="0" fillId="3" fontId="6" numFmtId="0" xfId="0" applyAlignment="1" applyFill="1" applyFont="1">
      <alignment horizontal="center" vertical="center"/>
    </xf>
    <xf borderId="0" fillId="3" fontId="6" numFmtId="0" xfId="0" applyAlignment="1" applyFill="1" applyFont="1">
      <alignment horizontal="left" vertical="center"/>
    </xf>
    <xf borderId="28" fillId="10" fontId="20" numFmtId="164" xfId="0" applyAlignment="1" applyBorder="1" applyFill="1" applyFont="1" applyNumberFormat="1">
      <alignment horizontal="center" readingOrder="0" shrinkToFit="0" vertical="center" wrapText="0"/>
    </xf>
    <xf borderId="0" fillId="3" fontId="1" numFmtId="0" xfId="0" applyAlignment="1" applyFill="1" applyFont="1">
      <alignment horizontal="center" vertical="center"/>
    </xf>
    <xf borderId="29" fillId="0" fontId="9" numFmtId="0" xfId="0" applyBorder="1" applyFont="1"/>
    <xf borderId="30" fillId="0" fontId="9" numFmtId="0" xfId="0" applyBorder="1" applyFont="1"/>
    <xf borderId="0" fillId="3" fontId="13" numFmtId="0" xfId="0" applyAlignment="1" applyFill="1" applyFont="1">
      <alignment horizontal="center" vertical="center"/>
    </xf>
    <xf borderId="31" fillId="0" fontId="9" numFmtId="0" xfId="0" applyBorder="1" applyFont="1"/>
    <xf borderId="3" fillId="2" fontId="22" numFmtId="0" xfId="0" applyAlignment="1" applyBorder="1" applyFill="1" applyFont="1">
      <alignment horizontal="center" readingOrder="0" shrinkToFit="0" vertical="center" wrapText="1"/>
    </xf>
    <xf borderId="32" fillId="10" fontId="23" numFmtId="164" xfId="0" applyAlignment="1" applyBorder="1" applyFill="1" applyFont="1" applyNumberFormat="1">
      <alignment horizontal="left" readingOrder="0" shrinkToFit="0" vertical="center" wrapText="0"/>
    </xf>
    <xf borderId="33" fillId="0" fontId="9" numFmtId="0" xfId="0" applyBorder="1" applyFont="1"/>
    <xf borderId="0" fillId="3" fontId="13" numFmtId="0" xfId="0" applyAlignment="1" applyFill="1" applyFont="1">
      <alignment horizontal="left" vertical="center"/>
    </xf>
    <xf borderId="0" fillId="2" fontId="24" numFmtId="0" xfId="0" applyAlignment="1" applyFill="1" applyFont="1">
      <alignment horizontal="center" readingOrder="0" vertical="center"/>
    </xf>
    <xf borderId="29" fillId="10" fontId="20" numFmtId="0" xfId="0" applyAlignment="1" applyBorder="1" applyFill="1" applyFont="1">
      <alignment horizontal="center" readingOrder="0" shrinkToFit="0" vertical="center" wrapText="0"/>
    </xf>
    <xf borderId="7" fillId="3" fontId="25" numFmtId="0" xfId="0" applyAlignment="1" applyBorder="1" applyFill="1" applyFont="1">
      <alignment horizontal="center" readingOrder="0" shrinkToFit="0" vertical="center" wrapText="1"/>
    </xf>
    <xf borderId="3" fillId="3" fontId="24" numFmtId="0" xfId="0" applyAlignment="1" applyBorder="1" applyFill="1" applyFont="1">
      <alignment horizontal="center" readingOrder="0" vertical="center"/>
    </xf>
    <xf borderId="17" fillId="0" fontId="9" numFmtId="0" xfId="0" applyBorder="1" applyFont="1"/>
    <xf borderId="34" fillId="0" fontId="9" numFmtId="0" xfId="0" applyBorder="1" applyFont="1"/>
    <xf borderId="35" fillId="0" fontId="9" numFmtId="0" xfId="0" applyBorder="1" applyFont="1"/>
    <xf borderId="36" fillId="0" fontId="9" numFmtId="0" xfId="0" applyBorder="1" applyFont="1"/>
    <xf borderId="17" fillId="3" fontId="2" numFmtId="0" xfId="0" applyAlignment="1" applyBorder="1" applyFill="1" applyFont="1">
      <alignment horizontal="center" shrinkToFit="0" vertical="center" wrapText="0"/>
    </xf>
    <xf borderId="18" fillId="3" fontId="3" numFmtId="0" xfId="0" applyAlignment="1" applyBorder="1" applyFill="1" applyFont="1">
      <alignment horizontal="center" shrinkToFit="0" vertical="center" wrapText="0"/>
    </xf>
    <xf borderId="18" fillId="3" fontId="2" numFmtId="0" xfId="0" applyAlignment="1" applyBorder="1" applyFill="1" applyFont="1">
      <alignment horizontal="center" shrinkToFit="0" vertical="center" wrapText="0"/>
    </xf>
    <xf borderId="19" fillId="3" fontId="2" numFmtId="0" xfId="0" applyAlignment="1" applyBorder="1" applyFill="1" applyFont="1">
      <alignment horizontal="center" shrinkToFit="0" vertical="center" wrapText="0"/>
    </xf>
    <xf borderId="0" fillId="2" fontId="3" numFmtId="0" xfId="0" applyAlignment="1" applyFill="1" applyFont="1">
      <alignment horizontal="center" readingOrder="0" shrinkToFit="0" vertical="center" wrapText="0"/>
    </xf>
    <xf borderId="0" fillId="3" fontId="18" numFmtId="0" xfId="0" applyFill="1" applyFont="1"/>
    <xf borderId="0" fillId="10" fontId="20" numFmtId="0" xfId="0" applyAlignment="1" applyFill="1" applyFont="1">
      <alignment horizontal="center" readingOrder="0" shrinkToFit="0" vertical="center" wrapText="0"/>
    </xf>
    <xf borderId="5" fillId="3" fontId="24" numFmtId="0" xfId="0" applyAlignment="1" applyBorder="1" applyFill="1" applyFont="1">
      <alignment horizontal="center" readingOrder="0" vertical="center"/>
    </xf>
    <xf borderId="6" fillId="3" fontId="24" numFmtId="0" xfId="0" applyAlignment="1" applyBorder="1" applyFill="1" applyFont="1">
      <alignment horizontal="center" readingOrder="0" vertical="center"/>
    </xf>
    <xf borderId="7" fillId="3" fontId="24" numFmtId="0" xfId="0" applyAlignment="1" applyBorder="1" applyFill="1" applyFont="1">
      <alignment horizontal="center" readingOrder="0" vertical="center"/>
    </xf>
    <xf borderId="21" fillId="4" fontId="26" numFmtId="0" xfId="0" applyAlignment="1" applyBorder="1" applyFill="1" applyFont="1">
      <alignment horizontal="center" readingOrder="0" vertical="center"/>
    </xf>
    <xf borderId="37" fillId="0" fontId="9" numFmtId="0" xfId="0" applyBorder="1" applyFont="1"/>
    <xf borderId="38" fillId="0" fontId="9" numFmtId="0" xfId="0" applyBorder="1" applyFont="1"/>
    <xf borderId="0" fillId="3" fontId="24" numFmtId="0" xfId="0" applyAlignment="1" applyFill="1" applyFont="1">
      <alignment horizontal="center" readingOrder="0" vertical="center"/>
    </xf>
    <xf borderId="0" fillId="2" fontId="27" numFmtId="0" xfId="0" applyAlignment="1" applyFill="1" applyFont="1">
      <alignment readingOrder="0" vertical="center"/>
    </xf>
    <xf borderId="0" fillId="2" fontId="28" numFmtId="0" xfId="0" applyAlignment="1" applyFill="1" applyFont="1">
      <alignment readingOrder="0" vertical="center"/>
    </xf>
    <xf borderId="0" fillId="2" fontId="27" numFmtId="0" xfId="0" applyAlignment="1" applyFill="1" applyFont="1">
      <alignment vertical="center"/>
    </xf>
    <xf borderId="3" fillId="3" fontId="27" numFmtId="0" xfId="0" applyAlignment="1" applyBorder="1" applyFill="1" applyFont="1">
      <alignment readingOrder="0" vertical="center"/>
    </xf>
    <xf borderId="5" fillId="3" fontId="28" numFmtId="0" xfId="0" applyAlignment="1" applyBorder="1" applyFill="1" applyFont="1">
      <alignment readingOrder="0" vertical="center"/>
    </xf>
    <xf borderId="6" fillId="3" fontId="27" numFmtId="0" xfId="0" applyAlignment="1" applyBorder="1" applyFill="1" applyFont="1">
      <alignment vertical="center"/>
    </xf>
    <xf borderId="7" fillId="3" fontId="27" numFmtId="0" xfId="0" applyAlignment="1" applyBorder="1" applyFill="1" applyFont="1">
      <alignment readingOrder="0" vertical="center"/>
    </xf>
    <xf borderId="9" fillId="4" fontId="29" numFmtId="0" xfId="0" applyAlignment="1" applyBorder="1" applyFill="1" applyFont="1">
      <alignment horizontal="center" readingOrder="0" vertical="center"/>
    </xf>
    <xf borderId="12" fillId="3" fontId="29" numFmtId="0" xfId="0" applyAlignment="1" applyBorder="1" applyFill="1" applyFont="1">
      <alignment horizontal="center" readingOrder="0" vertical="center"/>
    </xf>
    <xf borderId="0" fillId="2" fontId="29" numFmtId="0" xfId="0" applyAlignment="1" applyFill="1" applyFont="1">
      <alignment horizontal="center" readingOrder="0" vertical="center"/>
    </xf>
    <xf borderId="30" fillId="10" fontId="20" numFmtId="164" xfId="0" applyAlignment="1" applyBorder="1" applyFill="1" applyFont="1" applyNumberFormat="1">
      <alignment horizontal="center" readingOrder="0" shrinkToFit="0" vertical="center" wrapText="0"/>
    </xf>
    <xf borderId="23" fillId="4" fontId="8" numFmtId="3" xfId="0" applyAlignment="1" applyBorder="1" applyFill="1" applyFont="1" applyNumberFormat="1">
      <alignment horizontal="center" readingOrder="0" shrinkToFit="0" vertical="center" wrapText="0"/>
    </xf>
    <xf borderId="0" fillId="2" fontId="30" numFmtId="0" xfId="0" applyAlignment="1" applyFill="1" applyFont="1">
      <alignment horizontal="center" readingOrder="0" vertical="center"/>
    </xf>
    <xf borderId="0" fillId="3" fontId="30" numFmtId="0" xfId="0" applyAlignment="1" applyFill="1" applyFont="1">
      <alignment horizontal="center" readingOrder="0" vertical="center"/>
    </xf>
    <xf borderId="12" fillId="3" fontId="24" numFmtId="0" xfId="0" applyAlignment="1" applyBorder="1" applyFill="1" applyFont="1">
      <alignment horizontal="center" vertical="center"/>
    </xf>
    <xf borderId="0" fillId="11" fontId="30" numFmtId="0" xfId="0" applyAlignment="1" applyFill="1" applyFont="1">
      <alignment horizontal="center" readingOrder="0" vertical="center"/>
    </xf>
    <xf borderId="0" fillId="12" fontId="30" numFmtId="0" xfId="0" applyAlignment="1" applyFill="1" applyFont="1">
      <alignment horizontal="center" readingOrder="0" vertical="center"/>
    </xf>
    <xf borderId="39" fillId="4" fontId="25" numFmtId="0" xfId="0" applyAlignment="1" applyBorder="1" applyFill="1" applyFont="1">
      <alignment horizontal="center" readingOrder="0" vertical="center"/>
    </xf>
    <xf borderId="40" fillId="4" fontId="31" numFmtId="0" xfId="0" applyAlignment="1" applyBorder="1" applyFill="1" applyFont="1">
      <alignment horizontal="center" readingOrder="0" vertical="center"/>
    </xf>
    <xf borderId="41" fillId="4" fontId="31" numFmtId="0" xfId="0" applyAlignment="1" applyBorder="1" applyFill="1" applyFont="1">
      <alignment horizontal="center" readingOrder="0" vertical="center"/>
    </xf>
    <xf borderId="42" fillId="13" fontId="19" numFmtId="164" xfId="0" applyAlignment="1" applyBorder="1" applyFill="1" applyFont="1" applyNumberFormat="1">
      <alignment horizontal="center" readingOrder="0" shrinkToFit="0" vertical="center" wrapText="0"/>
    </xf>
    <xf borderId="32" fillId="13" fontId="20" numFmtId="164" xfId="0" applyAlignment="1" applyBorder="1" applyFill="1" applyFont="1" applyNumberFormat="1">
      <alignment horizontal="left" readingOrder="0" shrinkToFit="0" vertical="center" wrapText="0"/>
    </xf>
    <xf borderId="0" fillId="2" fontId="24" numFmtId="0" xfId="0" applyAlignment="1" applyFill="1" applyFont="1">
      <alignment horizontal="center" vertical="center"/>
    </xf>
    <xf borderId="0" fillId="4" fontId="1" numFmtId="0" xfId="0" applyAlignment="1" applyFill="1" applyFont="1">
      <alignment horizontal="center" readingOrder="0" vertical="center"/>
    </xf>
    <xf borderId="43" fillId="4" fontId="24" numFmtId="0" xfId="0" applyAlignment="1" applyBorder="1" applyFill="1" applyFont="1">
      <alignment horizontal="center" readingOrder="0" vertical="center"/>
    </xf>
    <xf borderId="44" fillId="0" fontId="9" numFmtId="0" xfId="0" applyBorder="1" applyFont="1"/>
    <xf borderId="45" fillId="0" fontId="9" numFmtId="0" xfId="0" applyBorder="1" applyFont="1"/>
    <xf borderId="46" fillId="13" fontId="20" numFmtId="0" xfId="0" applyAlignment="1" applyBorder="1" applyFill="1" applyFont="1">
      <alignment horizontal="center" shrinkToFit="0" vertical="center" wrapText="0"/>
    </xf>
    <xf borderId="0" fillId="14" fontId="1" numFmtId="0" xfId="0" applyAlignment="1" applyFill="1" applyFont="1">
      <alignment horizontal="center" readingOrder="0" vertical="center"/>
    </xf>
    <xf borderId="0" fillId="3" fontId="32" numFmtId="0" xfId="0" applyAlignment="1" applyFill="1" applyFont="1">
      <alignment horizontal="center" vertical="center"/>
    </xf>
    <xf borderId="47" fillId="4" fontId="24" numFmtId="0" xfId="0" applyAlignment="1" applyBorder="1" applyFill="1" applyFont="1">
      <alignment horizontal="center" vertical="center"/>
    </xf>
    <xf borderId="0" fillId="3" fontId="24" numFmtId="0" xfId="0" applyAlignment="1" applyFill="1" applyFont="1">
      <alignment horizontal="center" vertical="center"/>
    </xf>
    <xf borderId="48" fillId="4" fontId="25" numFmtId="0" xfId="0" applyAlignment="1" applyBorder="1" applyFill="1" applyFont="1">
      <alignment horizontal="center" readingOrder="0" vertical="center"/>
    </xf>
    <xf borderId="49" fillId="13" fontId="20" numFmtId="0" xfId="0" applyAlignment="1" applyBorder="1" applyFill="1" applyFont="1">
      <alignment horizontal="center" readingOrder="0" shrinkToFit="0" vertical="center" wrapText="0"/>
    </xf>
    <xf borderId="0" fillId="15" fontId="33" numFmtId="0" xfId="0" applyAlignment="1" applyFill="1" applyFont="1">
      <alignment horizontal="center" readingOrder="0" vertical="center"/>
    </xf>
    <xf borderId="12" fillId="3" fontId="25" numFmtId="0" xfId="0" applyAlignment="1" applyBorder="1" applyFill="1" applyFont="1">
      <alignment horizontal="center" readingOrder="0" vertical="center"/>
    </xf>
    <xf borderId="0" fillId="16" fontId="33" numFmtId="0" xfId="0" applyAlignment="1" applyFill="1" applyFont="1">
      <alignment horizontal="center" readingOrder="0" vertical="center"/>
    </xf>
    <xf borderId="0" fillId="17" fontId="33" numFmtId="0" xfId="0" applyAlignment="1" applyFill="1" applyFont="1">
      <alignment horizontal="center" readingOrder="0" vertical="center"/>
    </xf>
    <xf borderId="0" fillId="18" fontId="33" numFmtId="0" xfId="0" applyAlignment="1" applyFill="1" applyFont="1">
      <alignment horizontal="center" readingOrder="0" vertical="center"/>
    </xf>
    <xf borderId="0" fillId="3" fontId="32" numFmtId="0" xfId="0" applyAlignment="1" applyFill="1" applyFont="1">
      <alignment horizontal="center" readingOrder="0" vertical="center"/>
    </xf>
    <xf borderId="0" fillId="19" fontId="33" numFmtId="0" xfId="0" applyAlignment="1" applyFill="1" applyFont="1">
      <alignment horizontal="center" readingOrder="0" vertical="center"/>
    </xf>
    <xf borderId="0" fillId="20" fontId="33" numFmtId="0" xfId="0" applyAlignment="1" applyFill="1" applyFont="1">
      <alignment horizontal="center" readingOrder="0" vertical="center"/>
    </xf>
    <xf borderId="7" fillId="3" fontId="24" numFmtId="0" xfId="0" applyAlignment="1" applyBorder="1" applyFill="1" applyFont="1">
      <alignment horizontal="center" vertical="center"/>
    </xf>
    <xf borderId="50" fillId="13" fontId="20" numFmtId="0" xfId="0" applyAlignment="1" applyBorder="1" applyFill="1" applyFont="1">
      <alignment horizontal="center" readingOrder="0" shrinkToFit="0" vertical="center" wrapText="0"/>
    </xf>
    <xf borderId="0" fillId="2" fontId="25" numFmtId="0" xfId="0" applyAlignment="1" applyFill="1" applyFont="1">
      <alignment horizontal="center" readingOrder="0" vertical="center"/>
    </xf>
    <xf borderId="0" fillId="3" fontId="28" numFmtId="0" xfId="0" applyAlignment="1" applyFill="1" applyFont="1">
      <alignment readingOrder="0" vertical="center"/>
    </xf>
    <xf borderId="12" fillId="3" fontId="28" numFmtId="0" xfId="0" applyAlignment="1" applyBorder="1" applyFill="1" applyFont="1">
      <alignment vertical="center"/>
    </xf>
    <xf borderId="0" fillId="2" fontId="28" numFmtId="0" xfId="0" applyAlignment="1" applyFill="1" applyFont="1">
      <alignment vertical="center"/>
    </xf>
    <xf borderId="0" fillId="21" fontId="30" numFmtId="0" xfId="0" applyAlignment="1" applyFill="1" applyFont="1">
      <alignment horizontal="center" readingOrder="0" vertical="center"/>
    </xf>
    <xf borderId="0" fillId="22" fontId="30" numFmtId="0" xfId="0" applyAlignment="1" applyFill="1" applyFont="1">
      <alignment horizontal="center" readingOrder="0" vertical="center"/>
    </xf>
    <xf borderId="0" fillId="23" fontId="30" numFmtId="0" xfId="0" applyAlignment="1" applyFill="1" applyFont="1">
      <alignment horizontal="center" readingOrder="0" vertical="center"/>
    </xf>
    <xf borderId="51" fillId="13" fontId="20" numFmtId="164" xfId="0" applyAlignment="1" applyBorder="1" applyFill="1" applyFont="1" applyNumberFormat="1">
      <alignment horizontal="center" readingOrder="0" shrinkToFit="0" vertical="center" wrapText="0"/>
    </xf>
    <xf borderId="0" fillId="2" fontId="34" numFmtId="0" xfId="0" applyAlignment="1" applyFill="1" applyFont="1">
      <alignment vertical="center"/>
    </xf>
    <xf borderId="0" fillId="24" fontId="30" numFmtId="0" xfId="0" applyAlignment="1" applyFill="1" applyFont="1">
      <alignment horizontal="center" readingOrder="0" vertical="center"/>
    </xf>
    <xf borderId="32" fillId="13" fontId="23" numFmtId="164" xfId="0" applyAlignment="1" applyBorder="1" applyFill="1" applyFont="1" applyNumberFormat="1">
      <alignment horizontal="left" readingOrder="0" shrinkToFit="0" vertical="center" wrapText="0"/>
    </xf>
    <xf borderId="0" fillId="25" fontId="30" numFmtId="0" xfId="0" applyAlignment="1" applyFill="1" applyFont="1">
      <alignment horizontal="center" readingOrder="0" vertical="center"/>
    </xf>
    <xf borderId="0" fillId="26" fontId="30" numFmtId="0" xfId="0" applyAlignment="1" applyFill="1" applyFont="1">
      <alignment horizontal="center" readingOrder="0" vertical="center"/>
    </xf>
    <xf borderId="52" fillId="13" fontId="20" numFmtId="0" xfId="0" applyAlignment="1" applyBorder="1" applyFill="1" applyFont="1">
      <alignment horizontal="center" readingOrder="0" shrinkToFit="0" vertical="center" wrapText="0"/>
    </xf>
    <xf borderId="0" fillId="27" fontId="30" numFmtId="0" xfId="0" applyAlignment="1" applyFill="1" applyFont="1">
      <alignment horizontal="center" readingOrder="0" vertical="center"/>
    </xf>
    <xf borderId="53" fillId="13" fontId="20" numFmtId="0" xfId="0" applyAlignment="1" applyBorder="1" applyFill="1" applyFont="1">
      <alignment horizontal="center" readingOrder="0" shrinkToFit="0" vertical="center" wrapText="0"/>
    </xf>
    <xf borderId="54" fillId="13" fontId="20" numFmtId="164" xfId="0" applyAlignment="1" applyBorder="1" applyFill="1" applyFont="1" applyNumberFormat="1">
      <alignment horizontal="center" readingOrder="0" shrinkToFit="0" vertical="center" wrapText="0"/>
    </xf>
    <xf borderId="7" fillId="3" fontId="34" numFmtId="0" xfId="0" applyAlignment="1" applyBorder="1" applyFill="1" applyFont="1">
      <alignment vertical="center"/>
    </xf>
    <xf borderId="0" fillId="28" fontId="30" numFmtId="0" xfId="0" applyAlignment="1" applyFill="1" applyFont="1">
      <alignment horizontal="center" readingOrder="0" vertical="center"/>
    </xf>
    <xf borderId="25" fillId="29" fontId="29" numFmtId="0" xfId="0" applyAlignment="1" applyBorder="1" applyFill="1" applyFont="1">
      <alignment horizontal="center" readingOrder="0" vertical="center"/>
    </xf>
    <xf borderId="42" fillId="30" fontId="19" numFmtId="164" xfId="0" applyAlignment="1" applyBorder="1" applyFill="1" applyFont="1" applyNumberFormat="1">
      <alignment horizontal="center" readingOrder="0" shrinkToFit="0" vertical="center" wrapText="0"/>
    </xf>
    <xf borderId="55" fillId="31" fontId="24" numFmtId="1" xfId="0" applyAlignment="1" applyBorder="1" applyFill="1" applyFont="1" applyNumberFormat="1">
      <alignment horizontal="center" readingOrder="0" shrinkToFit="0" vertical="center" wrapText="0"/>
    </xf>
    <xf borderId="0" fillId="32" fontId="30" numFmtId="0" xfId="0" applyAlignment="1" applyFill="1" applyFont="1">
      <alignment horizontal="center" readingOrder="0" vertical="center"/>
    </xf>
    <xf borderId="7" fillId="3" fontId="27" numFmtId="0" xfId="0" applyAlignment="1" applyBorder="1" applyFill="1" applyFont="1">
      <alignment vertical="center"/>
    </xf>
    <xf borderId="56" fillId="30" fontId="35" numFmtId="164" xfId="0" applyAlignment="1" applyBorder="1" applyFill="1" applyFont="1" applyNumberFormat="1">
      <alignment horizontal="left" vertical="center"/>
    </xf>
    <xf borderId="57" fillId="5" fontId="24" numFmtId="1" xfId="0" applyAlignment="1" applyBorder="1" applyFill="1" applyFont="1" applyNumberFormat="1">
      <alignment horizontal="left" readingOrder="0" shrinkToFit="0" vertical="center" wrapText="0"/>
    </xf>
    <xf borderId="46" fillId="30" fontId="20" numFmtId="0" xfId="0" applyAlignment="1" applyBorder="1" applyFill="1" applyFont="1">
      <alignment horizontal="center" shrinkToFit="0" vertical="center" wrapText="0"/>
    </xf>
    <xf borderId="29" fillId="30" fontId="20" numFmtId="0" xfId="0" applyAlignment="1" applyBorder="1" applyFill="1" applyFont="1">
      <alignment horizontal="center" readingOrder="0" shrinkToFit="0" vertical="center" wrapText="0"/>
    </xf>
    <xf borderId="0" fillId="30" fontId="20" numFmtId="0" xfId="0" applyAlignment="1" applyFill="1" applyFont="1">
      <alignment horizontal="center" readingOrder="0" shrinkToFit="0" vertical="center" wrapText="0"/>
    </xf>
    <xf borderId="0" fillId="32" fontId="30" numFmtId="0" xfId="0" applyAlignment="1" applyFill="1" applyFont="1">
      <alignment horizontal="center"/>
    </xf>
    <xf borderId="25" fillId="4" fontId="36" numFmtId="0" xfId="0" applyAlignment="1" applyBorder="1" applyFill="1" applyFont="1">
      <alignment horizontal="center" vertical="center"/>
    </xf>
    <xf borderId="58" fillId="31" fontId="24" numFmtId="0" xfId="0" applyAlignment="1" applyBorder="1" applyFill="1" applyFont="1">
      <alignment horizontal="center" readingOrder="0" vertical="center"/>
    </xf>
    <xf borderId="30" fillId="30" fontId="20" numFmtId="164" xfId="0" applyAlignment="1" applyBorder="1" applyFill="1" applyFont="1" applyNumberFormat="1">
      <alignment horizontal="center" readingOrder="0" shrinkToFit="0" vertical="center" wrapText="0"/>
    </xf>
    <xf borderId="0" fillId="4" fontId="1" numFmtId="0" xfId="0" applyAlignment="1" applyFill="1" applyFont="1">
      <alignment horizontal="center"/>
    </xf>
    <xf borderId="57" fillId="4" fontId="36" numFmtId="0" xfId="0" applyAlignment="1" applyBorder="1" applyFill="1" applyFont="1">
      <alignment horizontal="center" readingOrder="0" vertical="center"/>
    </xf>
    <xf borderId="32" fillId="30" fontId="23" numFmtId="164" xfId="0" applyAlignment="1" applyBorder="1" applyFill="1" applyFont="1" applyNumberFormat="1">
      <alignment horizontal="left" readingOrder="0" shrinkToFit="0" vertical="center" wrapText="0"/>
    </xf>
    <xf borderId="0" fillId="2" fontId="32" numFmtId="0" xfId="0" applyAlignment="1" applyFill="1" applyFont="1">
      <alignment horizontal="center" vertical="center"/>
    </xf>
    <xf borderId="52" fillId="30" fontId="20" numFmtId="0" xfId="0" applyAlignment="1" applyBorder="1" applyFill="1" applyFont="1">
      <alignment horizontal="center" readingOrder="0" shrinkToFit="0" vertical="center" wrapText="0"/>
    </xf>
    <xf borderId="0" fillId="3" fontId="17" numFmtId="0" xfId="0" applyAlignment="1" applyFill="1" applyFont="1">
      <alignment horizontal="center" readingOrder="0" vertical="center"/>
    </xf>
    <xf borderId="53" fillId="30" fontId="20" numFmtId="0" xfId="0" applyAlignment="1" applyBorder="1" applyFill="1" applyFont="1">
      <alignment horizontal="center" readingOrder="0" shrinkToFit="0" vertical="center" wrapText="0"/>
    </xf>
    <xf borderId="28" fillId="4" fontId="36" numFmtId="0" xfId="0" applyAlignment="1" applyBorder="1" applyFill="1" applyFont="1">
      <alignment horizontal="center" vertical="center"/>
    </xf>
    <xf borderId="12" fillId="3" fontId="37" numFmtId="0" xfId="0" applyAlignment="1" applyBorder="1" applyFill="1" applyFont="1">
      <alignment horizontal="center" readingOrder="0" vertical="center"/>
    </xf>
    <xf borderId="0" fillId="2" fontId="37" numFmtId="0" xfId="0" applyAlignment="1" applyFill="1" applyFont="1">
      <alignment horizontal="center" readingOrder="0" vertical="center"/>
    </xf>
    <xf borderId="29" fillId="5" fontId="36" numFmtId="0" xfId="0" applyAlignment="1" applyBorder="1" applyFill="1" applyFont="1">
      <alignment horizontal="center" vertical="center"/>
    </xf>
    <xf borderId="59" fillId="5" fontId="36" numFmtId="0" xfId="0" applyAlignment="1" applyBorder="1" applyFill="1" applyFont="1">
      <alignment horizontal="center" readingOrder="0" vertical="center"/>
    </xf>
    <xf borderId="59" fillId="5" fontId="36" numFmtId="0" xfId="0" applyAlignment="1" applyBorder="1" applyFill="1" applyFont="1">
      <alignment horizontal="center" vertical="center"/>
    </xf>
    <xf borderId="0" fillId="3" fontId="17" numFmtId="0" xfId="0" applyAlignment="1" applyFill="1" applyFont="1">
      <alignment horizontal="left" readingOrder="0" vertical="center"/>
    </xf>
    <xf borderId="54" fillId="30" fontId="20" numFmtId="164" xfId="0" applyAlignment="1" applyBorder="1" applyFill="1" applyFont="1" applyNumberFormat="1">
      <alignment horizontal="center" readingOrder="0" shrinkToFit="0" vertical="center" wrapText="0"/>
    </xf>
    <xf borderId="30" fillId="5" fontId="36" numFmtId="0" xfId="0" applyAlignment="1" applyBorder="1" applyFill="1" applyFont="1">
      <alignment horizontal="center" vertical="center"/>
    </xf>
    <xf borderId="29" fillId="4" fontId="36" numFmtId="0" xfId="0" applyAlignment="1" applyBorder="1" applyFill="1" applyFont="1">
      <alignment horizontal="center" vertical="center"/>
    </xf>
    <xf borderId="42" fillId="33" fontId="19" numFmtId="164" xfId="0" applyAlignment="1" applyBorder="1" applyFill="1" applyFont="1" applyNumberFormat="1">
      <alignment horizontal="center" readingOrder="0" shrinkToFit="0" vertical="center" wrapText="0"/>
    </xf>
    <xf borderId="59" fillId="4" fontId="36" numFmtId="0" xfId="0" applyAlignment="1" applyBorder="1" applyFill="1" applyFont="1">
      <alignment horizontal="center" vertical="center"/>
    </xf>
    <xf borderId="0" fillId="3" fontId="38" numFmtId="0" xfId="0" applyAlignment="1" applyFill="1" applyFont="1">
      <alignment horizontal="center" vertical="center"/>
    </xf>
    <xf borderId="56" fillId="33" fontId="35" numFmtId="164" xfId="0" applyAlignment="1" applyBorder="1" applyFill="1" applyFont="1" applyNumberFormat="1">
      <alignment horizontal="left" vertical="center"/>
    </xf>
    <xf borderId="30" fillId="4" fontId="36" numFmtId="0" xfId="0" applyAlignment="1" applyBorder="1" applyFill="1" applyFont="1">
      <alignment horizontal="center" vertical="center"/>
    </xf>
    <xf borderId="12" fillId="3" fontId="24" numFmtId="0" xfId="0" applyAlignment="1" applyBorder="1" applyFill="1" applyFont="1">
      <alignment horizontal="center" readingOrder="0" vertical="center"/>
    </xf>
    <xf borderId="60" fillId="31" fontId="24" numFmtId="1" xfId="0" applyAlignment="1" applyBorder="1" applyFill="1" applyFont="1" applyNumberFormat="1">
      <alignment horizontal="center" readingOrder="0" shrinkToFit="0" vertical="center" wrapText="0"/>
    </xf>
    <xf borderId="0" fillId="3" fontId="37" numFmtId="0" xfId="0" applyAlignment="1" applyFill="1" applyFont="1">
      <alignment horizontal="center" vertical="center"/>
    </xf>
    <xf borderId="12" fillId="3" fontId="37" numFmtId="0" xfId="0" applyAlignment="1" applyBorder="1" applyFill="1" applyFont="1">
      <alignment horizontal="center" vertical="center"/>
    </xf>
    <xf borderId="0" fillId="2" fontId="37" numFmtId="0" xfId="0" applyAlignment="1" applyFill="1" applyFont="1">
      <alignment horizontal="center" vertical="center"/>
    </xf>
    <xf borderId="46" fillId="33" fontId="20" numFmtId="0" xfId="0" applyAlignment="1" applyBorder="1" applyFill="1" applyFont="1">
      <alignment horizontal="center" shrinkToFit="0" vertical="center" wrapText="0"/>
    </xf>
    <xf borderId="59" fillId="5" fontId="24" numFmtId="1" xfId="0" applyAlignment="1" applyBorder="1" applyFill="1" applyFont="1" applyNumberFormat="1">
      <alignment horizontal="left" readingOrder="0" shrinkToFit="0" vertical="center" wrapText="0"/>
    </xf>
    <xf borderId="61" fillId="31" fontId="24" numFmtId="0" xfId="0" applyAlignment="1" applyBorder="1" applyFill="1" applyFont="1">
      <alignment horizontal="center" readingOrder="0" vertical="center"/>
    </xf>
    <xf borderId="0" fillId="11" fontId="6" numFmtId="0" xfId="0" applyAlignment="1" applyFill="1" applyFont="1">
      <alignment horizontal="center" vertical="center"/>
    </xf>
    <xf borderId="0" fillId="34" fontId="38" numFmtId="0" xfId="0" applyAlignment="1" applyFill="1" applyFont="1">
      <alignment horizontal="left" readingOrder="0" vertical="center"/>
    </xf>
    <xf borderId="57" fillId="4" fontId="36" numFmtId="0" xfId="0" applyAlignment="1" applyBorder="1" applyFill="1" applyFont="1">
      <alignment horizontal="center" vertical="center"/>
    </xf>
    <xf borderId="0" fillId="12" fontId="6" numFmtId="0" xfId="0" applyAlignment="1" applyFill="1" applyFont="1">
      <alignment horizontal="center" vertical="center"/>
    </xf>
    <xf borderId="0" fillId="35" fontId="6" numFmtId="0" xfId="0" applyAlignment="1" applyFill="1" applyFont="1">
      <alignment horizontal="center" readingOrder="0" vertical="center"/>
    </xf>
    <xf borderId="49" fillId="33" fontId="20" numFmtId="0" xfId="0" applyAlignment="1" applyBorder="1" applyFill="1" applyFont="1">
      <alignment horizontal="center" readingOrder="0" shrinkToFit="0" vertical="center" wrapText="0"/>
    </xf>
    <xf borderId="60" fillId="31" fontId="24" numFmtId="0" xfId="0" applyAlignment="1" applyBorder="1" applyFill="1" applyFont="1">
      <alignment horizontal="center" readingOrder="0" vertical="center"/>
    </xf>
    <xf borderId="50" fillId="33" fontId="20" numFmtId="0" xfId="0" applyAlignment="1" applyBorder="1" applyFill="1" applyFont="1">
      <alignment horizontal="center" readingOrder="0" shrinkToFit="0" vertical="center" wrapText="0"/>
    </xf>
    <xf borderId="0" fillId="4" fontId="6" numFmtId="0" xfId="0" applyAlignment="1" applyFill="1" applyFont="1">
      <alignment horizontal="center" vertical="center"/>
    </xf>
    <xf borderId="59" fillId="5" fontId="24" numFmtId="0" xfId="0" applyAlignment="1" applyBorder="1" applyFill="1" applyFont="1">
      <alignment horizontal="left" readingOrder="0" vertical="center"/>
    </xf>
    <xf borderId="51" fillId="33" fontId="20" numFmtId="164" xfId="0" applyAlignment="1" applyBorder="1" applyFill="1" applyFont="1" applyNumberFormat="1">
      <alignment horizontal="center" readingOrder="0" shrinkToFit="0" vertical="center" wrapText="0"/>
    </xf>
    <xf borderId="32" fillId="33" fontId="23" numFmtId="164" xfId="0" applyAlignment="1" applyBorder="1" applyFill="1" applyFont="1" applyNumberFormat="1">
      <alignment horizontal="left" readingOrder="0" shrinkToFit="0" vertical="center" wrapText="0"/>
    </xf>
    <xf borderId="60" fillId="31" fontId="4" numFmtId="0" xfId="0" applyAlignment="1" applyBorder="1" applyFill="1" applyFont="1">
      <alignment horizontal="center" readingOrder="0" vertical="center"/>
    </xf>
    <xf borderId="59" fillId="5" fontId="4" numFmtId="0" xfId="0" applyAlignment="1" applyBorder="1" applyFill="1" applyFont="1">
      <alignment horizontal="left" readingOrder="0" vertical="center"/>
    </xf>
    <xf borderId="52" fillId="33" fontId="20" numFmtId="0" xfId="0" applyAlignment="1" applyBorder="1" applyFill="1" applyFont="1">
      <alignment horizontal="center" readingOrder="0" shrinkToFit="0" vertical="center" wrapText="0"/>
    </xf>
    <xf borderId="53" fillId="33" fontId="20" numFmtId="0" xfId="0" applyAlignment="1" applyBorder="1" applyFill="1" applyFont="1">
      <alignment horizontal="center" readingOrder="0" shrinkToFit="0" vertical="center" wrapText="0"/>
    </xf>
    <xf borderId="54" fillId="33" fontId="20" numFmtId="164" xfId="0" applyAlignment="1" applyBorder="1" applyFill="1" applyFont="1" applyNumberFormat="1">
      <alignment horizontal="center" readingOrder="0" shrinkToFit="0" vertical="center" wrapText="0"/>
    </xf>
    <xf borderId="60" fillId="31" fontId="4" numFmtId="0" xfId="0" applyAlignment="1" applyBorder="1" applyFill="1" applyFont="1">
      <alignment horizontal="center" vertical="center"/>
    </xf>
    <xf borderId="42" fillId="36" fontId="19" numFmtId="164" xfId="0" applyAlignment="1" applyBorder="1" applyFill="1" applyFont="1" applyNumberFormat="1">
      <alignment horizontal="center" readingOrder="0" shrinkToFit="0" vertical="center" wrapText="0"/>
    </xf>
    <xf borderId="55" fillId="4" fontId="4" numFmtId="0" xfId="0" applyAlignment="1" applyBorder="1" applyFill="1" applyFont="1">
      <alignment horizontal="center" readingOrder="0" shrinkToFit="0" vertical="center" wrapText="0"/>
    </xf>
    <xf borderId="56" fillId="36" fontId="35" numFmtId="164" xfId="0" applyAlignment="1" applyBorder="1" applyFill="1" applyFont="1" applyNumberFormat="1">
      <alignment horizontal="left" vertical="center"/>
    </xf>
    <xf borderId="27" fillId="4" fontId="4" numFmtId="0" xfId="0" applyAlignment="1" applyBorder="1" applyFill="1" applyFont="1">
      <alignment horizontal="center" vertical="center"/>
    </xf>
    <xf borderId="46" fillId="36" fontId="20" numFmtId="0" xfId="0" applyAlignment="1" applyBorder="1" applyFill="1" applyFont="1">
      <alignment horizontal="center" shrinkToFit="0" vertical="center" wrapText="0"/>
    </xf>
    <xf borderId="49" fillId="36" fontId="20" numFmtId="0" xfId="0" applyAlignment="1" applyBorder="1" applyFill="1" applyFont="1">
      <alignment horizontal="center" readingOrder="0" shrinkToFit="0" vertical="center" wrapText="0"/>
    </xf>
    <xf borderId="50" fillId="36" fontId="20" numFmtId="0" xfId="0" applyAlignment="1" applyBorder="1" applyFill="1" applyFont="1">
      <alignment horizontal="center" readingOrder="0" shrinkToFit="0" vertical="center" wrapText="0"/>
    </xf>
    <xf borderId="17" fillId="3" fontId="24" numFmtId="0" xfId="0" applyAlignment="1" applyBorder="1" applyFill="1" applyFont="1">
      <alignment horizontal="center" readingOrder="0" vertical="center"/>
    </xf>
    <xf borderId="18" fillId="3" fontId="24" numFmtId="0" xfId="0" applyAlignment="1" applyBorder="1" applyFill="1" applyFont="1">
      <alignment horizontal="center" readingOrder="0" vertical="center"/>
    </xf>
    <xf borderId="19" fillId="3" fontId="24" numFmtId="0" xfId="0" applyAlignment="1" applyBorder="1" applyFill="1" applyFont="1">
      <alignment horizontal="center" readingOrder="0" vertical="center"/>
    </xf>
    <xf borderId="0" fillId="37" fontId="24" numFmtId="0" xfId="0" applyAlignment="1" applyFill="1" applyFont="1">
      <alignment horizontal="center" readingOrder="0" vertical="center"/>
    </xf>
    <xf borderId="62" fillId="38" fontId="31" numFmtId="0" xfId="0" applyAlignment="1" applyBorder="1" applyFill="1" applyFont="1">
      <alignment horizontal="center" readingOrder="0"/>
    </xf>
    <xf borderId="62" fillId="38" fontId="24" numFmtId="0" xfId="0" applyAlignment="1" applyBorder="1" applyFill="1" applyFont="1">
      <alignment horizontal="center" readingOrder="0" vertical="center"/>
    </xf>
    <xf borderId="59" fillId="38" fontId="37" numFmtId="0" xfId="0" applyAlignment="1" applyBorder="1" applyFill="1" applyFont="1">
      <alignment horizontal="center"/>
    </xf>
    <xf borderId="59" fillId="38" fontId="24" numFmtId="0" xfId="0" applyAlignment="1" applyBorder="1" applyFill="1" applyFont="1">
      <alignment horizontal="center" readingOrder="0" vertical="center"/>
    </xf>
    <xf borderId="0" fillId="14" fontId="6" numFmtId="0" xfId="0" applyAlignment="1" applyFill="1" applyFont="1">
      <alignment horizontal="center" vertical="center"/>
    </xf>
    <xf borderId="0" fillId="21" fontId="6" numFmtId="0" xfId="0" applyAlignment="1" applyFill="1" applyFont="1">
      <alignment horizontal="center" vertical="center"/>
    </xf>
    <xf borderId="0" fillId="15" fontId="6" numFmtId="0" xfId="0" applyAlignment="1" applyFill="1" applyFont="1">
      <alignment horizontal="center" vertical="center"/>
    </xf>
    <xf borderId="0" fillId="39" fontId="6" numFmtId="0" xfId="0" applyAlignment="1" applyFill="1" applyFont="1">
      <alignment horizontal="left" vertical="center"/>
    </xf>
    <xf borderId="59" fillId="38" fontId="37" numFmtId="0" xfId="0" applyAlignment="1" applyBorder="1" applyFill="1" applyFont="1">
      <alignment horizontal="center" readingOrder="0" vertical="center"/>
    </xf>
    <xf borderId="51" fillId="36" fontId="20" numFmtId="164" xfId="0" applyAlignment="1" applyBorder="1" applyFill="1" applyFont="1" applyNumberFormat="1">
      <alignment horizontal="center" readingOrder="0" shrinkToFit="0" vertical="center" wrapText="0"/>
    </xf>
    <xf borderId="0" fillId="2" fontId="4" numFmtId="0" xfId="0" applyAlignment="1" applyFill="1" applyFont="1">
      <alignment horizontal="center" readingOrder="0" shrinkToFit="0" vertical="center" wrapText="0"/>
    </xf>
    <xf borderId="63" fillId="38" fontId="37" numFmtId="0" xfId="0" applyAlignment="1" applyBorder="1" applyFill="1" applyFont="1">
      <alignment horizontal="center" readingOrder="0" vertical="center"/>
    </xf>
    <xf borderId="63" fillId="38" fontId="24" numFmtId="0" xfId="0" applyAlignment="1" applyBorder="1" applyFill="1" applyFont="1">
      <alignment horizontal="center" readingOrder="0" vertical="center"/>
    </xf>
    <xf borderId="32" fillId="36" fontId="23" numFmtId="164" xfId="0" applyAlignment="1" applyBorder="1" applyFill="1" applyFont="1" applyNumberFormat="1">
      <alignment horizontal="left" readingOrder="0" shrinkToFit="0" vertical="center" wrapText="0"/>
    </xf>
    <xf borderId="0" fillId="16" fontId="39" numFmtId="0" xfId="0" applyAlignment="1" applyFill="1" applyFont="1">
      <alignment horizontal="center" vertical="center"/>
    </xf>
    <xf borderId="17" fillId="3" fontId="27" numFmtId="0" xfId="0" applyAlignment="1" applyBorder="1" applyFill="1" applyFont="1">
      <alignment vertical="center"/>
    </xf>
    <xf borderId="18" fillId="3" fontId="36" numFmtId="0" xfId="0" applyAlignment="1" applyBorder="1" applyFill="1" applyFont="1">
      <alignment horizontal="center" vertical="center"/>
    </xf>
    <xf borderId="19" fillId="3" fontId="27" numFmtId="0" xfId="0" applyAlignment="1" applyBorder="1" applyFill="1" applyFont="1">
      <alignment vertical="center"/>
    </xf>
    <xf borderId="0" fillId="2" fontId="36" numFmtId="0" xfId="0" applyAlignment="1" applyFill="1" applyFont="1">
      <alignment horizontal="center" vertical="center"/>
    </xf>
    <xf borderId="52" fillId="36" fontId="20" numFmtId="0" xfId="0" applyAlignment="1" applyBorder="1" applyFill="1" applyFont="1">
      <alignment horizontal="center" readingOrder="0" shrinkToFit="0" vertical="center" wrapText="0"/>
    </xf>
    <xf borderId="53" fillId="36" fontId="20" numFmtId="0" xfId="0" applyAlignment="1" applyBorder="1" applyFill="1" applyFont="1">
      <alignment horizontal="center" readingOrder="0" shrinkToFit="0" vertical="center" wrapText="0"/>
    </xf>
    <xf borderId="54" fillId="36" fontId="20" numFmtId="164" xfId="0" applyAlignment="1" applyBorder="1" applyFill="1" applyFont="1" applyNumberFormat="1">
      <alignment horizontal="center" readingOrder="0" shrinkToFit="0" vertical="center" wrapText="0"/>
    </xf>
    <xf borderId="23" fillId="40" fontId="19" numFmtId="164" xfId="0" applyAlignment="1" applyBorder="1" applyFill="1" applyFont="1" applyNumberFormat="1">
      <alignment horizontal="center" readingOrder="0" shrinkToFit="0" vertical="center" wrapText="0"/>
    </xf>
    <xf borderId="0" fillId="15" fontId="39" numFmtId="0" xfId="0" applyAlignment="1" applyFill="1" applyFont="1">
      <alignment horizontal="left" vertical="center"/>
    </xf>
    <xf borderId="56" fillId="40" fontId="35" numFmtId="164" xfId="0" applyAlignment="1" applyBorder="1" applyFill="1" applyFont="1" applyNumberFormat="1">
      <alignment horizontal="left" vertical="center"/>
    </xf>
    <xf borderId="46" fillId="40" fontId="20" numFmtId="0" xfId="0" applyAlignment="1" applyBorder="1" applyFill="1" applyFont="1">
      <alignment horizontal="center" shrinkToFit="0" vertical="center" wrapText="0"/>
    </xf>
    <xf borderId="49" fillId="40" fontId="20" numFmtId="0" xfId="0" applyAlignment="1" applyBorder="1" applyFill="1" applyFont="1">
      <alignment horizontal="center" readingOrder="0" shrinkToFit="0" vertical="center" wrapText="0"/>
    </xf>
    <xf borderId="50" fillId="40" fontId="20" numFmtId="0" xfId="0" applyAlignment="1" applyBorder="1" applyFill="1" applyFont="1">
      <alignment horizontal="center" readingOrder="0" shrinkToFit="0" vertical="center" wrapText="0"/>
    </xf>
    <xf borderId="51" fillId="40" fontId="20" numFmtId="164" xfId="0" applyAlignment="1" applyBorder="1" applyFill="1" applyFont="1" applyNumberFormat="1">
      <alignment horizontal="center" readingOrder="0" shrinkToFit="0" vertical="center" wrapText="0"/>
    </xf>
    <xf borderId="32" fillId="40" fontId="23" numFmtId="164" xfId="0" applyAlignment="1" applyBorder="1" applyFill="1" applyFont="1" applyNumberFormat="1">
      <alignment horizontal="left" readingOrder="0" shrinkToFit="0" vertical="center" wrapText="0"/>
    </xf>
    <xf borderId="52" fillId="40" fontId="20" numFmtId="0" xfId="0" applyAlignment="1" applyBorder="1" applyFill="1" applyFont="1">
      <alignment horizontal="center" readingOrder="0" shrinkToFit="0" vertical="center" wrapText="0"/>
    </xf>
    <xf borderId="0" fillId="17" fontId="39" numFmtId="0" xfId="0" applyAlignment="1" applyFill="1" applyFont="1">
      <alignment horizontal="center" vertical="center"/>
    </xf>
    <xf borderId="53" fillId="40" fontId="20" numFmtId="0" xfId="0" applyAlignment="1" applyBorder="1" applyFill="1" applyFont="1">
      <alignment horizontal="center" readingOrder="0" shrinkToFit="0" vertical="center" wrapText="0"/>
    </xf>
    <xf borderId="54" fillId="40" fontId="20" numFmtId="164" xfId="0" applyAlignment="1" applyBorder="1" applyFill="1" applyFont="1" applyNumberFormat="1">
      <alignment horizontal="center" readingOrder="0" shrinkToFit="0" vertical="center" wrapText="0"/>
    </xf>
    <xf borderId="17" fillId="3" fontId="4" numFmtId="0" xfId="0" applyAlignment="1" applyBorder="1" applyFill="1" applyFont="1">
      <alignment horizontal="center" shrinkToFit="0" vertical="center" wrapText="0"/>
    </xf>
    <xf borderId="18" fillId="3" fontId="4" numFmtId="0" xfId="0" applyAlignment="1" applyBorder="1" applyFill="1" applyFont="1">
      <alignment horizontal="center" shrinkToFit="0" vertical="center" wrapText="0"/>
    </xf>
    <xf borderId="19" fillId="3" fontId="4" numFmtId="0" xfId="0" applyAlignment="1" applyBorder="1" applyFill="1" applyFont="1">
      <alignment horizontal="center" shrinkToFit="0" vertical="center" wrapText="0"/>
    </xf>
    <xf borderId="0" fillId="16" fontId="39" numFmtId="0" xfId="0" applyAlignment="1" applyFill="1" applyFont="1">
      <alignment horizontal="left" vertical="center"/>
    </xf>
    <xf borderId="0" fillId="2" fontId="2" numFmtId="0" xfId="0" applyAlignment="1" applyFill="1" applyFont="1">
      <alignment horizontal="center" vertical="center"/>
    </xf>
    <xf borderId="3" fillId="3" fontId="2" numFmtId="0" xfId="0" applyAlignment="1" applyBorder="1" applyFill="1" applyFont="1">
      <alignment horizontal="center" vertical="center"/>
    </xf>
    <xf borderId="5" fillId="3" fontId="2" numFmtId="0" xfId="0" applyAlignment="1" applyBorder="1" applyFill="1" applyFont="1">
      <alignment horizontal="center" vertical="center"/>
    </xf>
    <xf borderId="6" fillId="3" fontId="2" numFmtId="0" xfId="0" applyAlignment="1" applyBorder="1" applyFill="1" applyFont="1">
      <alignment horizontal="center" vertical="center"/>
    </xf>
    <xf borderId="0" fillId="2" fontId="4" numFmtId="0" xfId="0" applyAlignment="1" applyFill="1" applyFont="1">
      <alignment horizontal="center" vertical="center"/>
    </xf>
    <xf borderId="7" fillId="3" fontId="4" numFmtId="0" xfId="0" applyAlignment="1" applyBorder="1" applyFill="1" applyFont="1">
      <alignment horizontal="center" vertical="center"/>
    </xf>
    <xf borderId="9" fillId="4" fontId="8" numFmtId="0" xfId="0" applyAlignment="1" applyBorder="1" applyFill="1" applyFont="1">
      <alignment horizontal="center" readingOrder="0" vertical="center"/>
    </xf>
    <xf borderId="0" fillId="2" fontId="4" numFmtId="0" xfId="0" applyAlignment="1" applyFill="1" applyFont="1">
      <alignment horizontal="center" readingOrder="0" vertical="center"/>
    </xf>
    <xf borderId="0" fillId="2" fontId="4" numFmtId="0" xfId="0" applyAlignment="1" applyFill="1" applyFont="1">
      <alignment horizontal="center" vertical="center"/>
    </xf>
    <xf borderId="3" fillId="3" fontId="4" numFmtId="0" xfId="0" applyAlignment="1" applyBorder="1" applyFill="1" applyFont="1">
      <alignment horizontal="center" vertical="center"/>
    </xf>
    <xf borderId="5" fillId="3" fontId="4" numFmtId="0" xfId="0" applyAlignment="1" applyBorder="1" applyFill="1" applyFont="1">
      <alignment horizontal="center" vertical="center"/>
    </xf>
    <xf borderId="5" fillId="3" fontId="4" numFmtId="0" xfId="0" applyAlignment="1" applyBorder="1" applyFill="1" applyFont="1">
      <alignment horizontal="center" vertical="center"/>
    </xf>
    <xf borderId="0" fillId="18" fontId="39" numFmtId="0" xfId="0" applyAlignment="1" applyFill="1" applyFont="1">
      <alignment horizontal="center" vertical="center"/>
    </xf>
    <xf borderId="0" fillId="19" fontId="39" numFmtId="0" xfId="0" applyAlignment="1" applyFill="1" applyFont="1">
      <alignment horizontal="left" vertical="center"/>
    </xf>
    <xf borderId="0" fillId="3" fontId="4" numFmtId="0" xfId="0" applyAlignment="1" applyFill="1" applyFont="1">
      <alignment horizontal="center" vertical="center"/>
    </xf>
    <xf borderId="6" fillId="3" fontId="4" numFmtId="0" xfId="0" applyAlignment="1" applyBorder="1" applyFill="1" applyFont="1">
      <alignment horizontal="center" vertical="center"/>
    </xf>
    <xf borderId="0" fillId="2" fontId="20" numFmtId="0" xfId="0" applyAlignment="1" applyFill="1" applyFont="1">
      <alignment horizontal="center" vertical="center"/>
    </xf>
    <xf borderId="7" fillId="3" fontId="20" numFmtId="0" xfId="0" applyAlignment="1" applyBorder="1" applyFill="1" applyFont="1">
      <alignment horizontal="center" vertical="center"/>
    </xf>
    <xf borderId="12" fillId="3" fontId="8" numFmtId="0" xfId="0" applyAlignment="1" applyBorder="1" applyFill="1" applyFont="1">
      <alignment horizontal="center" readingOrder="0" vertical="center"/>
    </xf>
    <xf borderId="0" fillId="2" fontId="8" numFmtId="0" xfId="0" applyAlignment="1" applyFill="1" applyFont="1">
      <alignment horizontal="center" readingOrder="0" vertical="center"/>
    </xf>
    <xf borderId="0" fillId="19" fontId="39" numFmtId="0" xfId="0" applyAlignment="1" applyFill="1" applyFont="1">
      <alignment horizontal="center" vertical="center"/>
    </xf>
    <xf borderId="0" fillId="20" fontId="39" numFmtId="0" xfId="0" applyAlignment="1" applyFill="1" applyFont="1">
      <alignment horizontal="left" vertical="center"/>
    </xf>
    <xf borderId="9" fillId="4" fontId="8" numFmtId="0" xfId="0" applyAlignment="1" applyBorder="1" applyFill="1" applyFont="1">
      <alignment horizontal="center" readingOrder="0" vertical="center"/>
    </xf>
    <xf borderId="7" fillId="3" fontId="2" numFmtId="0" xfId="0" applyAlignment="1" applyBorder="1" applyFill="1" applyFont="1">
      <alignment horizontal="center" vertical="center"/>
    </xf>
    <xf borderId="0" fillId="3" fontId="2" numFmtId="0" xfId="0" applyAlignment="1" applyFill="1" applyFont="1">
      <alignment horizontal="center" vertical="center"/>
    </xf>
    <xf borderId="12" fillId="3" fontId="20" numFmtId="0" xfId="0" applyAlignment="1" applyBorder="1" applyFill="1" applyFont="1">
      <alignment horizontal="center" vertical="center"/>
    </xf>
    <xf borderId="12" fillId="3" fontId="2" numFmtId="0" xfId="0" applyAlignment="1" applyBorder="1" applyFill="1" applyFont="1">
      <alignment horizontal="center" vertical="center"/>
    </xf>
    <xf borderId="9" fillId="41" fontId="4" numFmtId="0" xfId="0" applyAlignment="1" applyBorder="1" applyFill="1" applyFont="1">
      <alignment horizontal="center" readingOrder="0" vertical="center"/>
    </xf>
    <xf borderId="41" fillId="41" fontId="4" numFmtId="0" xfId="0" applyAlignment="1" applyBorder="1" applyFill="1" applyFont="1">
      <alignment horizontal="center" readingOrder="0" vertical="center"/>
    </xf>
    <xf borderId="10" fillId="41" fontId="4" numFmtId="0" xfId="0" applyAlignment="1" applyBorder="1" applyFill="1" applyFont="1">
      <alignment horizontal="center" readingOrder="0" vertical="center"/>
    </xf>
    <xf borderId="9" fillId="42" fontId="4" numFmtId="0" xfId="0" applyAlignment="1" applyBorder="1" applyFill="1" applyFont="1">
      <alignment horizontal="center" readingOrder="0" vertical="center"/>
    </xf>
    <xf borderId="41" fillId="42" fontId="4" numFmtId="0" xfId="0" applyAlignment="1" applyBorder="1" applyFill="1" applyFont="1">
      <alignment horizontal="center" readingOrder="0" vertical="center"/>
    </xf>
    <xf borderId="0" fillId="20" fontId="6" numFmtId="0" xfId="0" applyAlignment="1" applyFill="1" applyFont="1">
      <alignment horizontal="center" vertical="center"/>
    </xf>
    <xf borderId="0" fillId="43" fontId="6" numFmtId="0" xfId="0" applyAlignment="1" applyFill="1" applyFont="1">
      <alignment horizontal="left" vertical="center"/>
    </xf>
    <xf borderId="9" fillId="29" fontId="8" numFmtId="0" xfId="0" applyAlignment="1" applyBorder="1" applyFill="1" applyFont="1">
      <alignment horizontal="center" readingOrder="0" vertical="center"/>
    </xf>
    <xf borderId="10" fillId="42" fontId="4" numFmtId="0" xfId="0" applyAlignment="1" applyBorder="1" applyFill="1" applyFont="1">
      <alignment horizontal="center" readingOrder="0" vertical="center"/>
    </xf>
    <xf borderId="11" fillId="42" fontId="4" numFmtId="0" xfId="0" applyAlignment="1" applyBorder="1" applyFill="1" applyFont="1">
      <alignment horizontal="center" readingOrder="0" vertical="center"/>
    </xf>
    <xf borderId="64" fillId="4" fontId="20" numFmtId="0" xfId="0" applyAlignment="1" applyBorder="1" applyFill="1" applyFont="1">
      <alignment horizontal="center" readingOrder="0" vertical="center"/>
    </xf>
    <xf borderId="65" fillId="4" fontId="20" numFmtId="0" xfId="0" applyAlignment="1" applyBorder="1" applyFill="1" applyFont="1">
      <alignment horizontal="center" readingOrder="0" vertical="center"/>
    </xf>
    <xf borderId="0" fillId="44" fontId="3" numFmtId="0" xfId="0" applyFill="1" applyFont="1"/>
    <xf borderId="66" fillId="4" fontId="20" numFmtId="0" xfId="0" applyAlignment="1" applyBorder="1" applyFill="1" applyFont="1">
      <alignment horizontal="center" readingOrder="0" vertical="center"/>
    </xf>
    <xf borderId="67" fillId="0" fontId="9" numFmtId="0" xfId="0" applyBorder="1" applyFont="1"/>
    <xf borderId="68" fillId="4" fontId="20" numFmtId="0" xfId="0" applyAlignment="1" applyBorder="1" applyFill="1" applyFont="1">
      <alignment horizontal="center" readingOrder="0" vertical="center"/>
    </xf>
    <xf borderId="64" fillId="29" fontId="20" numFmtId="0" xfId="0" applyAlignment="1" applyBorder="1" applyFill="1" applyFont="1">
      <alignment horizontal="center" readingOrder="0" vertical="center"/>
    </xf>
    <xf borderId="0" fillId="14" fontId="38" numFmtId="0" xfId="0" applyAlignment="1" applyFill="1" applyFont="1">
      <alignment horizontal="center" readingOrder="0" vertical="center"/>
    </xf>
    <xf borderId="66" fillId="29" fontId="20" numFmtId="0" xfId="0" applyAlignment="1" applyBorder="1" applyFill="1" applyFont="1">
      <alignment horizontal="center" readingOrder="0" vertical="center"/>
    </xf>
    <xf borderId="69" fillId="5" fontId="2" numFmtId="0" xfId="0" applyAlignment="1" applyBorder="1" applyFill="1" applyFont="1">
      <alignment horizontal="center" readingOrder="0" vertical="center"/>
    </xf>
    <xf borderId="65" fillId="29" fontId="20" numFmtId="0" xfId="0" applyAlignment="1" applyBorder="1" applyFill="1" applyFont="1">
      <alignment horizontal="center" readingOrder="0" vertical="center"/>
    </xf>
    <xf borderId="68" fillId="29" fontId="20" numFmtId="0" xfId="0" applyAlignment="1" applyBorder="1" applyFill="1" applyFont="1">
      <alignment horizontal="center" readingOrder="0" vertical="center"/>
    </xf>
    <xf borderId="0" fillId="3" fontId="4" numFmtId="0" xfId="0" applyAlignment="1" applyFill="1" applyFont="1">
      <alignment horizontal="center" vertical="center"/>
    </xf>
    <xf borderId="12" fillId="3" fontId="4" numFmtId="0" xfId="0" applyAlignment="1" applyBorder="1" applyFill="1" applyFont="1">
      <alignment horizontal="center" vertical="center"/>
    </xf>
    <xf borderId="55" fillId="45" fontId="24" numFmtId="0" xfId="0" applyAlignment="1" applyBorder="1" applyFill="1" applyFont="1">
      <alignment horizontal="center" readingOrder="0" vertical="center"/>
    </xf>
    <xf borderId="57" fillId="45" fontId="24" numFmtId="0" xfId="0" applyAlignment="1" applyBorder="1" applyFill="1" applyFont="1">
      <alignment horizontal="center" vertical="center"/>
    </xf>
    <xf borderId="57" fillId="45" fontId="24" numFmtId="0" xfId="0" applyAlignment="1" applyBorder="1" applyFill="1" applyFont="1">
      <alignment horizontal="center" readingOrder="0" vertical="center"/>
    </xf>
    <xf borderId="57" fillId="45" fontId="24" numFmtId="1" xfId="0" applyAlignment="1" applyBorder="1" applyFill="1" applyFont="1" applyNumberFormat="1">
      <alignment horizontal="left" readingOrder="0" vertical="center"/>
    </xf>
    <xf borderId="57" fillId="45" fontId="24" numFmtId="0" xfId="0" applyAlignment="1" applyBorder="1" applyFill="1" applyFont="1">
      <alignment horizontal="center" readingOrder="0" vertical="center"/>
    </xf>
    <xf borderId="57" fillId="45" fontId="24" numFmtId="1" xfId="0" applyAlignment="1" applyBorder="1" applyFill="1" applyFont="1" applyNumberFormat="1">
      <alignment horizontal="center" readingOrder="0" vertical="center"/>
    </xf>
    <xf borderId="58" fillId="45" fontId="24" numFmtId="1" xfId="0" applyAlignment="1" applyBorder="1" applyFill="1" applyFont="1" applyNumberFormat="1">
      <alignment horizontal="center" readingOrder="0" vertical="center"/>
    </xf>
    <xf borderId="0" fillId="22" fontId="6" numFmtId="0" xfId="0" applyAlignment="1" applyFill="1" applyFont="1">
      <alignment horizontal="center" vertical="center"/>
    </xf>
    <xf borderId="0" fillId="46" fontId="38" numFmtId="0" xfId="0" applyAlignment="1" applyFill="1" applyFont="1">
      <alignment horizontal="left" readingOrder="0" vertical="center"/>
    </xf>
    <xf borderId="53" fillId="5" fontId="2" numFmtId="0" xfId="0" applyAlignment="1" applyBorder="1" applyFill="1" applyFont="1">
      <alignment horizontal="center" readingOrder="0" vertical="center"/>
    </xf>
    <xf borderId="53" fillId="5" fontId="2" numFmtId="0" xfId="0" applyAlignment="1" applyBorder="1" applyFill="1" applyFont="1">
      <alignment horizontal="center" vertical="center"/>
    </xf>
    <xf borderId="0" fillId="4" fontId="38" numFmtId="0" xfId="0" applyAlignment="1" applyFill="1" applyFont="1">
      <alignment horizontal="center" readingOrder="0" vertical="center"/>
    </xf>
    <xf borderId="0" fillId="23" fontId="6" numFmtId="0" xfId="0" applyAlignment="1" applyFill="1" applyFont="1">
      <alignment horizontal="center" vertical="center"/>
    </xf>
    <xf borderId="0" fillId="47" fontId="6" numFmtId="0" xfId="0" applyFill="1" applyFont="1"/>
    <xf borderId="69" fillId="5" fontId="2" numFmtId="0" xfId="0" applyAlignment="1" applyBorder="1" applyFill="1" applyFont="1">
      <alignment horizontal="center" vertical="center"/>
    </xf>
    <xf borderId="57" fillId="45" fontId="24" numFmtId="0" xfId="0" applyAlignment="1" applyBorder="1" applyFill="1" applyFont="1">
      <alignment horizontal="left" readingOrder="0" vertical="center"/>
    </xf>
    <xf borderId="0" fillId="24" fontId="6" numFmtId="0" xfId="0" applyAlignment="1" applyFill="1" applyFont="1">
      <alignment horizontal="center" vertical="center"/>
    </xf>
    <xf borderId="0" fillId="48" fontId="3" numFmtId="0" xfId="0" applyFill="1" applyFont="1"/>
    <xf borderId="70" fillId="5" fontId="2" numFmtId="0" xfId="0" applyAlignment="1" applyBorder="1" applyFill="1" applyFont="1">
      <alignment horizontal="center" readingOrder="0" vertical="center"/>
    </xf>
    <xf borderId="56" fillId="5" fontId="2" numFmtId="0" xfId="0" applyAlignment="1" applyBorder="1" applyFill="1" applyFont="1">
      <alignment horizontal="center" readingOrder="0" vertical="center"/>
    </xf>
    <xf borderId="0" fillId="26" fontId="6" numFmtId="0" xfId="0" applyAlignment="1" applyFill="1" applyFont="1">
      <alignment horizontal="center" vertical="center"/>
    </xf>
    <xf borderId="0" fillId="49" fontId="3" numFmtId="0" xfId="0" applyFill="1" applyFont="1"/>
    <xf borderId="70" fillId="5" fontId="2" numFmtId="0" xfId="0" applyAlignment="1" applyBorder="1" applyFill="1" applyFont="1">
      <alignment horizontal="center" vertical="center"/>
    </xf>
    <xf borderId="56" fillId="5" fontId="2" numFmtId="0" xfId="0" applyAlignment="1" applyBorder="1" applyFill="1" applyFont="1">
      <alignment horizontal="center" vertical="center"/>
    </xf>
    <xf borderId="0" fillId="50" fontId="3" numFmtId="0" xfId="0" applyFill="1" applyFont="1"/>
    <xf borderId="71" fillId="5" fontId="2" numFmtId="0" xfId="0" applyAlignment="1" applyBorder="1" applyFill="1" applyFont="1">
      <alignment horizontal="center" readingOrder="0" vertical="center"/>
    </xf>
    <xf borderId="50" fillId="5" fontId="2" numFmtId="0" xfId="0" applyAlignment="1" applyBorder="1" applyFill="1" applyFont="1">
      <alignment horizontal="center" readingOrder="0" vertical="center"/>
    </xf>
    <xf borderId="58" fillId="45" fontId="24" numFmtId="0" xfId="0" applyAlignment="1" applyBorder="1" applyFill="1" applyFont="1">
      <alignment horizontal="center" readingOrder="0" vertical="center"/>
    </xf>
    <xf borderId="0" fillId="27" fontId="6" numFmtId="0" xfId="0" applyAlignment="1" applyFill="1" applyFont="1">
      <alignment horizontal="center" vertical="center"/>
    </xf>
    <xf borderId="71" fillId="5" fontId="2" numFmtId="0" xfId="0" applyAlignment="1" applyBorder="1" applyFill="1" applyFont="1">
      <alignment horizontal="center" vertical="center"/>
    </xf>
    <xf borderId="0" fillId="51" fontId="3" numFmtId="0" xfId="0" applyFill="1" applyFont="1"/>
    <xf borderId="60" fillId="52" fontId="24" numFmtId="0" xfId="0" applyAlignment="1" applyBorder="1" applyFill="1" applyFont="1">
      <alignment horizontal="center" readingOrder="0" vertical="center"/>
    </xf>
    <xf borderId="50" fillId="5" fontId="2" numFmtId="0" xfId="0" applyAlignment="1" applyBorder="1" applyFill="1" applyFont="1">
      <alignment horizontal="center" vertical="center"/>
    </xf>
    <xf borderId="0" fillId="28" fontId="6" numFmtId="0" xfId="0" applyAlignment="1" applyFill="1" applyFont="1">
      <alignment horizontal="center" vertical="center"/>
    </xf>
    <xf borderId="0" fillId="53" fontId="3" numFmtId="0" xfId="0" applyFill="1" applyFont="1"/>
    <xf borderId="0" fillId="32" fontId="6" numFmtId="0" xfId="0" applyAlignment="1" applyFill="1" applyFont="1">
      <alignment horizontal="center" vertical="center"/>
    </xf>
    <xf borderId="0" fillId="54" fontId="6" numFmtId="0" xfId="0" applyFill="1" applyFont="1"/>
    <xf borderId="0" fillId="3" fontId="38" numFmtId="0" xfId="0" applyAlignment="1" applyFill="1" applyFont="1">
      <alignment horizontal="center" readingOrder="0" vertical="center"/>
    </xf>
    <xf borderId="0" fillId="32" fontId="18" numFmtId="0" xfId="0" applyFill="1" applyFont="1"/>
    <xf borderId="0" fillId="54" fontId="6" numFmtId="0" xfId="0" applyAlignment="1" applyFill="1" applyFont="1">
      <alignment vertical="bottom"/>
    </xf>
    <xf borderId="0" fillId="4" fontId="6" numFmtId="0" xfId="0" applyAlignment="1" applyFill="1" applyFont="1">
      <alignment horizontal="center"/>
    </xf>
    <xf borderId="0" fillId="3" fontId="38" numFmtId="0" xfId="0" applyAlignment="1" applyFill="1" applyFont="1">
      <alignment horizontal="left" readingOrder="0" vertical="center"/>
    </xf>
    <xf borderId="0" fillId="3" fontId="9" numFmtId="0" xfId="0" applyFill="1" applyFont="1"/>
    <xf borderId="59" fillId="52" fontId="24" numFmtId="0" xfId="0" applyAlignment="1" applyBorder="1" applyFill="1" applyFont="1">
      <alignment horizontal="center" readingOrder="0" vertical="center"/>
    </xf>
    <xf borderId="72" fillId="5" fontId="4" numFmtId="0" xfId="0" applyAlignment="1" applyBorder="1" applyFill="1" applyFont="1">
      <alignment horizontal="center" readingOrder="0" vertical="center"/>
    </xf>
    <xf borderId="0" fillId="44" fontId="38" numFmtId="0" xfId="0" applyAlignment="1" applyFill="1" applyFont="1">
      <alignment horizontal="left" readingOrder="0" vertical="center"/>
    </xf>
    <xf borderId="73" fillId="5" fontId="2" numFmtId="0" xfId="0" applyAlignment="1" applyBorder="1" applyFill="1" applyFont="1">
      <alignment horizontal="center" vertical="center"/>
    </xf>
    <xf borderId="73" fillId="0" fontId="9" numFmtId="0" xfId="0" applyBorder="1" applyFont="1"/>
    <xf borderId="0" fillId="46" fontId="3" numFmtId="0" xfId="0" applyFill="1" applyFont="1"/>
    <xf borderId="74" fillId="0" fontId="9" numFmtId="0" xfId="0" applyBorder="1" applyFont="1"/>
    <xf borderId="0" fillId="25" fontId="6" numFmtId="0" xfId="0" applyAlignment="1" applyFill="1" applyFont="1">
      <alignment horizontal="center" vertical="center"/>
    </xf>
    <xf borderId="59" fillId="52" fontId="24" numFmtId="0" xfId="0" applyAlignment="1" applyBorder="1" applyFill="1" applyFont="1">
      <alignment horizontal="center" readingOrder="0" vertical="center"/>
    </xf>
    <xf borderId="0" fillId="54" fontId="38" numFmtId="0" xfId="0" applyAlignment="1" applyFill="1" applyFont="1">
      <alignment horizontal="left" readingOrder="0" vertical="center"/>
    </xf>
    <xf borderId="59" fillId="52" fontId="24" numFmtId="1" xfId="0" applyAlignment="1" applyBorder="1" applyFill="1" applyFont="1" applyNumberFormat="1">
      <alignment horizontal="left" readingOrder="0" vertical="center"/>
    </xf>
    <xf borderId="0" fillId="2" fontId="6" numFmtId="0" xfId="0" applyAlignment="1" applyFill="1" applyFont="1">
      <alignment horizontal="center" readingOrder="0" vertical="center"/>
    </xf>
    <xf borderId="0" fillId="3" fontId="6" numFmtId="0" xfId="0" applyAlignment="1" applyFill="1" applyFont="1">
      <alignment horizontal="center" readingOrder="0" vertical="center"/>
    </xf>
    <xf borderId="0" fillId="3" fontId="40" numFmtId="0" xfId="0" applyAlignment="1" applyFill="1" applyFont="1">
      <alignment horizontal="center" vertical="center"/>
    </xf>
    <xf borderId="75" fillId="38" fontId="41" numFmtId="0" xfId="0" applyAlignment="1" applyBorder="1" applyFill="1" applyFont="1">
      <alignment horizontal="center"/>
    </xf>
    <xf borderId="56" fillId="0" fontId="9" numFmtId="0" xfId="0" applyBorder="1" applyFont="1"/>
    <xf borderId="76" fillId="0" fontId="9" numFmtId="0" xfId="0" applyBorder="1" applyFont="1"/>
    <xf borderId="44" fillId="5" fontId="4" numFmtId="0" xfId="0" applyAlignment="1" applyBorder="1" applyFill="1" applyFont="1">
      <alignment horizontal="center" readingOrder="0" vertical="center"/>
    </xf>
    <xf borderId="0" fillId="55" fontId="6" numFmtId="0" xfId="0" applyAlignment="1" applyFill="1" applyFont="1">
      <alignment horizontal="center" vertical="center"/>
    </xf>
    <xf borderId="0" fillId="56" fontId="38" numFmtId="0" xfId="0" applyAlignment="1" applyFill="1" applyFont="1">
      <alignment horizontal="left" readingOrder="0" vertical="center"/>
    </xf>
    <xf borderId="0" fillId="57" fontId="6" numFmtId="0" xfId="0" applyAlignment="1" applyFill="1" applyFont="1">
      <alignment horizontal="center" vertical="center"/>
    </xf>
    <xf borderId="7" fillId="3" fontId="2" numFmtId="0" xfId="0" applyAlignment="1" applyBorder="1" applyFill="1" applyFont="1">
      <alignment horizontal="center" shrinkToFit="0" vertical="center" wrapText="0"/>
    </xf>
    <xf borderId="77" fillId="4" fontId="4" numFmtId="0" xfId="0" applyAlignment="1" applyBorder="1" applyFill="1" applyFont="1">
      <alignment horizontal="center" readingOrder="0" shrinkToFit="0" vertical="center" wrapText="0"/>
    </xf>
    <xf borderId="78" fillId="4" fontId="4" numFmtId="0" xfId="0" applyAlignment="1" applyBorder="1" applyFill="1" applyFont="1">
      <alignment horizontal="center" readingOrder="0" shrinkToFit="0" vertical="center" wrapText="0"/>
    </xf>
    <xf borderId="79" fillId="0" fontId="9" numFmtId="0" xfId="0" applyBorder="1" applyFont="1"/>
    <xf borderId="0" fillId="3" fontId="2" numFmtId="0" xfId="0" applyAlignment="1" applyFill="1" applyFont="1">
      <alignment horizontal="center" shrinkToFit="0" vertical="center" wrapText="0"/>
    </xf>
    <xf borderId="59" fillId="52" fontId="24" numFmtId="1" xfId="0" applyAlignment="1" applyBorder="1" applyFill="1" applyFont="1" applyNumberFormat="1">
      <alignment horizontal="center" readingOrder="0" vertical="center"/>
    </xf>
    <xf borderId="61" fillId="52" fontId="24" numFmtId="1" xfId="0" applyAlignment="1" applyBorder="1" applyFill="1" applyFont="1" applyNumberFormat="1">
      <alignment horizontal="center" readingOrder="0" vertical="center"/>
    </xf>
    <xf borderId="0" fillId="58" fontId="6" numFmtId="0" xfId="0" applyAlignment="1" applyFill="1" applyFont="1">
      <alignment horizontal="center" vertical="center"/>
    </xf>
    <xf borderId="0" fillId="59" fontId="38" numFmtId="0" xfId="0" applyAlignment="1" applyFill="1" applyFont="1">
      <alignment horizontal="left" readingOrder="0" vertical="center"/>
    </xf>
    <xf borderId="61" fillId="52" fontId="24" numFmtId="0" xfId="0" applyAlignment="1" applyBorder="1" applyFill="1" applyFont="1">
      <alignment horizontal="center" readingOrder="0" vertical="center"/>
    </xf>
    <xf borderId="0" fillId="5" fontId="38" numFmtId="0" xfId="0" applyAlignment="1" applyFill="1" applyFont="1">
      <alignment horizontal="left" readingOrder="0" vertical="center"/>
    </xf>
    <xf borderId="60" fillId="60" fontId="24" numFmtId="0" xfId="0" applyAlignment="1" applyBorder="1" applyFill="1" applyFont="1">
      <alignment horizontal="center" readingOrder="0" vertical="center"/>
    </xf>
    <xf borderId="80" fillId="4" fontId="4" numFmtId="0" xfId="0" applyAlignment="1" applyBorder="1" applyFill="1" applyFont="1">
      <alignment horizontal="center" readingOrder="0" shrinkToFit="0" vertical="center" wrapText="0"/>
    </xf>
    <xf borderId="0" fillId="61" fontId="6" numFmtId="0" xfId="0" applyAlignment="1" applyFill="1" applyFont="1">
      <alignment horizontal="center" vertical="center"/>
    </xf>
    <xf borderId="0" fillId="62" fontId="38" numFmtId="0" xfId="0" applyAlignment="1" applyFill="1" applyFont="1">
      <alignment horizontal="left" readingOrder="0" vertical="center"/>
    </xf>
    <xf borderId="59" fillId="60" fontId="24" numFmtId="0" xfId="0" applyAlignment="1" applyBorder="1" applyFill="1" applyFont="1">
      <alignment horizontal="center" readingOrder="0" vertical="center"/>
    </xf>
    <xf borderId="59" fillId="60" fontId="24" numFmtId="0" xfId="0" applyAlignment="1" applyBorder="1" applyFill="1" applyFont="1">
      <alignment horizontal="center" readingOrder="0" vertical="center"/>
    </xf>
    <xf borderId="59" fillId="60" fontId="24" numFmtId="1" xfId="0" applyAlignment="1" applyBorder="1" applyFill="1" applyFont="1" applyNumberFormat="1">
      <alignment horizontal="left" readingOrder="0" vertical="center"/>
    </xf>
    <xf borderId="59" fillId="60" fontId="24" numFmtId="1" xfId="0" applyAlignment="1" applyBorder="1" applyFill="1" applyFont="1" applyNumberFormat="1">
      <alignment horizontal="center" readingOrder="0" vertical="center"/>
    </xf>
    <xf borderId="61" fillId="60" fontId="24" numFmtId="1" xfId="0" applyAlignment="1" applyBorder="1" applyFill="1" applyFont="1" applyNumberFormat="1">
      <alignment horizontal="center" readingOrder="0" vertical="center"/>
    </xf>
    <xf borderId="53" fillId="0" fontId="9" numFmtId="0" xfId="0" applyBorder="1" applyFont="1"/>
    <xf borderId="81" fillId="0" fontId="9" numFmtId="0" xfId="0" applyBorder="1" applyFont="1"/>
    <xf borderId="54" fillId="0" fontId="9" numFmtId="0" xfId="0" applyBorder="1" applyFont="1"/>
    <xf borderId="0" fillId="63" fontId="6" numFmtId="0" xfId="0" applyAlignment="1" applyFill="1" applyFont="1">
      <alignment horizontal="center" vertical="center"/>
    </xf>
    <xf borderId="12" fillId="3" fontId="2" numFmtId="0" xfId="0" applyAlignment="1" applyBorder="1" applyFill="1" applyFont="1">
      <alignment horizontal="center" shrinkToFit="0" vertical="center" wrapText="0"/>
    </xf>
    <xf borderId="0" fillId="64" fontId="38" numFmtId="0" xfId="0" applyAlignment="1" applyFill="1" applyFont="1">
      <alignment horizontal="left" readingOrder="0" vertical="center"/>
    </xf>
    <xf borderId="0" fillId="65" fontId="6" numFmtId="0" xfId="0" applyAlignment="1" applyFill="1" applyFont="1">
      <alignment horizontal="center" vertical="center"/>
    </xf>
    <xf borderId="0" fillId="66" fontId="38" numFmtId="0" xfId="0" applyAlignment="1" applyFill="1" applyFont="1">
      <alignment horizontal="left" readingOrder="0" vertical="center"/>
    </xf>
    <xf borderId="61" fillId="60" fontId="24" numFmtId="0" xfId="0" applyAlignment="1" applyBorder="1" applyFill="1" applyFont="1">
      <alignment horizontal="center" readingOrder="0" vertical="center"/>
    </xf>
    <xf borderId="72" fillId="4" fontId="4" numFmtId="0" xfId="0" applyAlignment="1" applyBorder="1" applyFill="1" applyFont="1">
      <alignment horizontal="center" readingOrder="0" shrinkToFit="0" vertical="center" wrapText="0"/>
    </xf>
    <xf borderId="0" fillId="2" fontId="3" numFmtId="0" xfId="0" applyAlignment="1" applyFill="1" applyFont="1">
      <alignment horizontal="center" readingOrder="0" vertical="center"/>
    </xf>
    <xf borderId="0" fillId="3" fontId="3" numFmtId="0" xfId="0" applyAlignment="1" applyFill="1" applyFont="1">
      <alignment horizontal="center" readingOrder="0" vertical="center"/>
    </xf>
    <xf borderId="60" fillId="4" fontId="24" numFmtId="0" xfId="0" applyAlignment="1" applyBorder="1" applyFill="1" applyFont="1">
      <alignment horizontal="center" readingOrder="0" vertical="center"/>
    </xf>
    <xf borderId="82" fillId="4" fontId="36" numFmtId="0" xfId="0" applyAlignment="1" applyBorder="1" applyFill="1" applyFont="1">
      <alignment horizontal="center" readingOrder="0" shrinkToFit="0" vertical="center" wrapText="0"/>
    </xf>
    <xf borderId="0" fillId="21" fontId="6" numFmtId="0" xfId="0" applyAlignment="1" applyFill="1" applyFont="1">
      <alignment horizontal="left" vertical="center"/>
    </xf>
    <xf borderId="59" fillId="5" fontId="24" numFmtId="0" xfId="0" applyAlignment="1" applyBorder="1" applyFill="1" applyFont="1">
      <alignment horizontal="center" readingOrder="0" vertical="center"/>
    </xf>
    <xf borderId="82" fillId="4" fontId="4" numFmtId="0" xfId="0" applyAlignment="1" applyBorder="1" applyFill="1" applyFont="1">
      <alignment horizontal="center" readingOrder="0" shrinkToFit="0" vertical="center" wrapText="0"/>
    </xf>
    <xf borderId="83" fillId="4" fontId="4" numFmtId="0" xfId="0" applyAlignment="1" applyBorder="1" applyFill="1" applyFont="1">
      <alignment horizontal="center" readingOrder="0" shrinkToFit="0" vertical="center" wrapText="0"/>
    </xf>
    <xf borderId="59" fillId="5" fontId="24" numFmtId="0" xfId="0" applyAlignment="1" applyBorder="1" applyFill="1" applyFont="1">
      <alignment horizontal="center" readingOrder="0" vertical="center"/>
    </xf>
    <xf borderId="0" fillId="50" fontId="38" numFmtId="0" xfId="0" applyAlignment="1" applyFill="1" applyFont="1">
      <alignment horizontal="left" readingOrder="0" vertical="center"/>
    </xf>
    <xf borderId="43" fillId="4" fontId="4" numFmtId="0" xfId="0" applyAlignment="1" applyBorder="1" applyFill="1" applyFont="1">
      <alignment horizontal="center" readingOrder="0" shrinkToFit="0" vertical="center" wrapText="0"/>
    </xf>
    <xf borderId="59" fillId="5" fontId="24" numFmtId="1" xfId="0" applyAlignment="1" applyBorder="1" applyFill="1" applyFont="1" applyNumberFormat="1">
      <alignment horizontal="left" readingOrder="0" vertical="center"/>
    </xf>
    <xf borderId="59" fillId="5" fontId="24" numFmtId="1" xfId="0" applyAlignment="1" applyBorder="1" applyFill="1" applyFont="1" applyNumberFormat="1">
      <alignment horizontal="center" readingOrder="0" vertical="center"/>
    </xf>
    <xf borderId="61" fillId="5" fontId="24" numFmtId="1" xfId="0" applyAlignment="1" applyBorder="1" applyFill="1" applyFont="1" applyNumberFormat="1">
      <alignment horizontal="center" readingOrder="0" vertical="center"/>
    </xf>
    <xf borderId="60" fillId="29" fontId="24" numFmtId="0" xfId="0" applyAlignment="1" applyBorder="1" applyFill="1" applyFont="1">
      <alignment horizontal="center" readingOrder="0" vertical="center"/>
    </xf>
    <xf borderId="0" fillId="54" fontId="6" numFmtId="0" xfId="0" applyAlignment="1" applyFill="1" applyFont="1">
      <alignment vertical="bottom"/>
    </xf>
    <xf borderId="59" fillId="67" fontId="24" numFmtId="0" xfId="0" applyAlignment="1" applyBorder="1" applyFill="1" applyFont="1">
      <alignment horizontal="center" readingOrder="0" vertical="center"/>
    </xf>
    <xf borderId="59" fillId="67" fontId="24" numFmtId="1" xfId="0" applyAlignment="1" applyBorder="1" applyFill="1" applyFont="1" applyNumberFormat="1">
      <alignment horizontal="left" readingOrder="0" vertical="center"/>
    </xf>
    <xf borderId="59" fillId="67" fontId="24" numFmtId="0" xfId="0" applyAlignment="1" applyBorder="1" applyFill="1" applyFont="1">
      <alignment horizontal="center" readingOrder="0" vertical="center"/>
    </xf>
    <xf borderId="61" fillId="67" fontId="24" numFmtId="0" xfId="0" applyAlignment="1" applyBorder="1" applyFill="1" applyFont="1">
      <alignment horizontal="center" readingOrder="0" vertical="center"/>
    </xf>
    <xf borderId="61" fillId="5" fontId="24" numFmtId="0" xfId="0" applyAlignment="1" applyBorder="1" applyFill="1" applyFont="1">
      <alignment horizontal="center" readingOrder="0" vertical="center"/>
    </xf>
    <xf borderId="82" fillId="4" fontId="4" numFmtId="0" xfId="0" applyAlignment="1" applyBorder="1" applyFill="1" applyFont="1">
      <alignment horizontal="center" readingOrder="0" shrinkToFit="0" vertical="center" wrapText="0"/>
    </xf>
    <xf borderId="0" fillId="68" fontId="38" numFmtId="0" xfId="0" applyAlignment="1" applyFill="1" applyFont="1">
      <alignment horizontal="left" readingOrder="0" vertical="center"/>
    </xf>
    <xf borderId="47" fillId="4" fontId="4" numFmtId="0" xfId="0" applyAlignment="1" applyBorder="1" applyFill="1" applyFont="1">
      <alignment horizontal="center" readingOrder="0" shrinkToFit="0" vertical="center" wrapText="0"/>
    </xf>
    <xf borderId="0" fillId="3" fontId="2" numFmtId="0" xfId="0" applyAlignment="1" applyFill="1" applyFont="1">
      <alignment horizontal="center" shrinkToFit="0" vertical="center" wrapText="0"/>
    </xf>
    <xf borderId="72" fillId="4" fontId="4" numFmtId="0" xfId="0" applyAlignment="1" applyBorder="1" applyFill="1" applyFont="1">
      <alignment horizontal="center" readingOrder="0" shrinkToFit="0" vertical="center" wrapText="0"/>
    </xf>
    <xf borderId="82" fillId="4" fontId="36" numFmtId="0" xfId="0" applyAlignment="1" applyBorder="1" applyFill="1" applyFont="1">
      <alignment horizontal="center" readingOrder="0" shrinkToFit="0" vertical="center" wrapText="0"/>
    </xf>
    <xf borderId="83" fillId="4" fontId="36" numFmtId="0" xfId="0" applyAlignment="1" applyBorder="1" applyFill="1" applyFont="1">
      <alignment horizontal="center" readingOrder="0" shrinkToFit="0" vertical="center" wrapText="0"/>
    </xf>
    <xf borderId="0" fillId="3" fontId="42" numFmtId="0" xfId="0" applyAlignment="1" applyFill="1" applyFont="1">
      <alignment horizontal="center" readingOrder="0" vertical="center"/>
    </xf>
    <xf borderId="0" fillId="14" fontId="42" numFmtId="0" xfId="0" applyAlignment="1" applyFill="1" applyFont="1">
      <alignment horizontal="center" readingOrder="0" vertical="center"/>
    </xf>
    <xf borderId="83" fillId="4" fontId="36" numFmtId="0" xfId="0" applyAlignment="1" applyBorder="1" applyFill="1" applyFont="1">
      <alignment horizontal="center" readingOrder="0" shrinkToFit="0" vertical="center" wrapText="0"/>
    </xf>
    <xf borderId="0" fillId="48" fontId="38" numFmtId="0" xfId="0" applyAlignment="1" applyFill="1" applyFont="1">
      <alignment horizontal="left" readingOrder="0" vertical="center"/>
    </xf>
    <xf borderId="0" fillId="49" fontId="38" numFmtId="0" xfId="0" applyAlignment="1" applyFill="1" applyFont="1">
      <alignment horizontal="left" readingOrder="0" vertical="center"/>
    </xf>
    <xf borderId="83" fillId="4" fontId="4" numFmtId="0" xfId="0" applyAlignment="1" applyBorder="1" applyFill="1" applyFont="1">
      <alignment horizontal="center" readingOrder="0" shrinkToFit="0" vertical="center" wrapText="0"/>
    </xf>
    <xf borderId="0" fillId="47" fontId="38" numFmtId="0" xfId="0" applyAlignment="1" applyFill="1" applyFont="1">
      <alignment horizontal="left" readingOrder="0" vertical="center"/>
    </xf>
    <xf borderId="0" fillId="3" fontId="2" numFmtId="0" xfId="0" applyAlignment="1" applyFill="1" applyFont="1">
      <alignment horizontal="center" vertical="center"/>
    </xf>
    <xf borderId="41" fillId="41" fontId="4" numFmtId="0" xfId="0" applyAlignment="1" applyBorder="1" applyFill="1" applyFont="1">
      <alignment horizontal="center" readingOrder="0" vertical="center"/>
    </xf>
    <xf borderId="10" fillId="41" fontId="4" numFmtId="0" xfId="0" applyAlignment="1" applyBorder="1" applyFill="1" applyFont="1">
      <alignment horizontal="center" readingOrder="0" vertical="center"/>
    </xf>
    <xf borderId="9" fillId="42" fontId="4" numFmtId="0" xfId="0" applyAlignment="1" applyBorder="1" applyFill="1" applyFont="1">
      <alignment horizontal="center" readingOrder="0" vertical="center"/>
    </xf>
    <xf borderId="41" fillId="42" fontId="4" numFmtId="0" xfId="0" applyAlignment="1" applyBorder="1" applyFill="1" applyFont="1">
      <alignment horizontal="center" readingOrder="0" vertical="center"/>
    </xf>
    <xf borderId="10" fillId="42" fontId="4" numFmtId="0" xfId="0" applyAlignment="1" applyBorder="1" applyFill="1" applyFont="1">
      <alignment horizontal="center" readingOrder="0" vertical="center"/>
    </xf>
    <xf borderId="11" fillId="42" fontId="4" numFmtId="0" xfId="0" applyAlignment="1" applyBorder="1" applyFill="1" applyFont="1">
      <alignment horizontal="center" readingOrder="0" vertical="center"/>
    </xf>
    <xf borderId="9" fillId="41" fontId="4" numFmtId="0" xfId="0" applyAlignment="1" applyBorder="1" applyFill="1" applyFont="1">
      <alignment horizontal="center" readingOrder="0" vertical="center"/>
    </xf>
    <xf borderId="0" fillId="54" fontId="6" numFmtId="0" xfId="0" applyFill="1" applyFont="1"/>
    <xf borderId="0" fillId="53" fontId="38" numFmtId="0" xfId="0" applyAlignment="1" applyFill="1" applyFont="1">
      <alignment horizontal="left" readingOrder="0" vertical="center"/>
    </xf>
    <xf borderId="53" fillId="5" fontId="2" numFmtId="0" xfId="0" applyAlignment="1" applyBorder="1" applyFill="1" applyFont="1">
      <alignment horizontal="center" readingOrder="0" vertical="center"/>
    </xf>
    <xf borderId="0" fillId="51" fontId="38" numFmtId="0" xfId="0" applyAlignment="1" applyFill="1" applyFont="1">
      <alignment horizontal="left" readingOrder="0" vertical="center"/>
    </xf>
    <xf borderId="54" fillId="5" fontId="2" numFmtId="0" xfId="0" applyAlignment="1" applyBorder="1" applyFill="1" applyFont="1">
      <alignment horizontal="center" vertical="center"/>
    </xf>
    <xf borderId="69" fillId="5" fontId="2" numFmtId="0" xfId="0" applyAlignment="1" applyBorder="1" applyFill="1" applyFont="1">
      <alignment horizontal="center" readingOrder="0" vertical="center"/>
    </xf>
    <xf borderId="0" fillId="21" fontId="43" numFmtId="0" xfId="0" applyAlignment="1" applyFill="1" applyFont="1">
      <alignment horizontal="center" readingOrder="0" vertical="center"/>
    </xf>
    <xf borderId="0" fillId="21" fontId="43" numFmtId="0" xfId="0" applyAlignment="1" applyFill="1" applyFont="1">
      <alignment horizontal="left" readingOrder="0" vertical="center"/>
    </xf>
    <xf borderId="0" fillId="3" fontId="40" numFmtId="0" xfId="0" applyAlignment="1" applyFill="1" applyFont="1">
      <alignment horizontal="center" readingOrder="0" vertical="center"/>
    </xf>
    <xf borderId="77" fillId="5" fontId="2" numFmtId="0" xfId="0" applyAlignment="1" applyBorder="1" applyFill="1" applyFont="1">
      <alignment horizontal="center"/>
    </xf>
    <xf borderId="0" fillId="2" fontId="38" numFmtId="0" xfId="0" applyAlignment="1" applyFill="1" applyFont="1">
      <alignment horizontal="center" readingOrder="0" vertical="center"/>
    </xf>
    <xf borderId="54" fillId="5" fontId="2" numFmtId="0" xfId="0" applyAlignment="1" applyBorder="1" applyFill="1" applyFont="1">
      <alignment horizontal="center" readingOrder="0" vertical="center"/>
    </xf>
    <xf borderId="0" fillId="44" fontId="6" numFmtId="0" xfId="0" applyAlignment="1" applyFill="1" applyFont="1">
      <alignment horizontal="left" readingOrder="0" vertical="center"/>
    </xf>
    <xf borderId="53" fillId="5" fontId="2" numFmtId="0" xfId="0" applyAlignment="1" applyBorder="1" applyFill="1" applyFont="1">
      <alignment horizontal="center" vertical="center"/>
    </xf>
    <xf borderId="56" fillId="5" fontId="2" numFmtId="0" xfId="0" applyAlignment="1" applyBorder="1" applyFill="1" applyFont="1">
      <alignment horizontal="center" readingOrder="0" vertical="center"/>
    </xf>
    <xf borderId="70" fillId="5" fontId="2" numFmtId="0" xfId="0" applyAlignment="1" applyBorder="1" applyFill="1" applyFont="1">
      <alignment horizontal="center" readingOrder="0" vertical="center"/>
    </xf>
    <xf borderId="69" fillId="5" fontId="2" numFmtId="0" xfId="0" applyAlignment="1" applyBorder="1" applyFill="1" applyFont="1">
      <alignment horizontal="center"/>
    </xf>
    <xf borderId="0" fillId="3" fontId="42" numFmtId="0" xfId="0" applyAlignment="1" applyFill="1" applyFont="1">
      <alignment horizontal="left" readingOrder="0" vertical="center"/>
    </xf>
    <xf borderId="56" fillId="5" fontId="2" numFmtId="0" xfId="0" applyAlignment="1" applyBorder="1" applyFill="1" applyFont="1">
      <alignment horizontal="center" vertical="center"/>
    </xf>
    <xf borderId="0" fillId="4" fontId="42" numFmtId="0" xfId="0" applyAlignment="1" applyFill="1" applyFont="1">
      <alignment horizontal="center" readingOrder="0" vertical="center"/>
    </xf>
    <xf borderId="0" fillId="44" fontId="38" numFmtId="0" xfId="0" applyAlignment="1" applyFill="1" applyFont="1">
      <alignment horizontal="center" readingOrder="0" vertical="center"/>
    </xf>
    <xf borderId="50" fillId="5" fontId="2" numFmtId="0" xfId="0" applyAlignment="1" applyBorder="1" applyFill="1" applyFont="1">
      <alignment horizontal="center" readingOrder="0" vertical="center"/>
    </xf>
    <xf borderId="71" fillId="5" fontId="2" numFmtId="0" xfId="0" applyAlignment="1" applyBorder="1" applyFill="1" applyFont="1">
      <alignment horizontal="center" readingOrder="0" vertical="center"/>
    </xf>
    <xf borderId="83" fillId="5" fontId="44" numFmtId="0" xfId="0" applyAlignment="1" applyBorder="1" applyFill="1" applyFont="1">
      <alignment horizontal="center"/>
    </xf>
    <xf borderId="83" fillId="5" fontId="45" numFmtId="0" xfId="0" applyAlignment="1" applyBorder="1" applyFill="1" applyFont="1">
      <alignment horizontal="center"/>
    </xf>
    <xf borderId="50" fillId="5" fontId="2" numFmtId="0" xfId="0" applyAlignment="1" applyBorder="1" applyFill="1" applyFont="1">
      <alignment horizontal="center" vertical="center"/>
    </xf>
    <xf borderId="73" fillId="5" fontId="2" numFmtId="0" xfId="0" applyAlignment="1" applyBorder="1" applyFill="1" applyFont="1">
      <alignment horizontal="center" vertical="center"/>
    </xf>
    <xf borderId="72" fillId="5" fontId="4" numFmtId="0" xfId="0" applyAlignment="1" applyBorder="1" applyFill="1" applyFont="1">
      <alignment horizontal="center" readingOrder="0" vertical="center"/>
    </xf>
    <xf borderId="0" fillId="47" fontId="42" numFmtId="0" xfId="0" applyAlignment="1" applyFill="1" applyFont="1">
      <alignment horizontal="left" readingOrder="0" vertical="center"/>
    </xf>
    <xf borderId="0" fillId="69" fontId="38" numFmtId="0" xfId="0" applyAlignment="1" applyFill="1" applyFont="1">
      <alignment horizontal="left" readingOrder="0" vertical="center"/>
    </xf>
    <xf borderId="73" fillId="5" fontId="2" numFmtId="0" xfId="0" applyAlignment="1" applyBorder="1" applyFill="1" applyFont="1">
      <alignment horizontal="center" readingOrder="0" vertical="center"/>
    </xf>
    <xf borderId="0" fillId="70" fontId="38" numFmtId="0" xfId="0" applyAlignment="1" applyFill="1" applyFont="1">
      <alignment horizontal="left" readingOrder="0" vertical="center"/>
    </xf>
    <xf borderId="78" fillId="4" fontId="4" numFmtId="0" xfId="0" applyAlignment="1" applyBorder="1" applyFill="1" applyFont="1">
      <alignment horizontal="center" readingOrder="0" shrinkToFit="0" vertical="center" wrapText="0"/>
    </xf>
    <xf borderId="77" fillId="4" fontId="4" numFmtId="0" xfId="0" applyAlignment="1" applyBorder="1" applyFill="1" applyFont="1">
      <alignment horizontal="center" readingOrder="0" shrinkToFit="0" vertical="center" wrapText="0"/>
    </xf>
    <xf borderId="0" fillId="71" fontId="38" numFmtId="0" xfId="0" applyAlignment="1" applyFill="1" applyFont="1">
      <alignment horizontal="left" readingOrder="0" vertical="center"/>
    </xf>
    <xf borderId="0" fillId="69" fontId="38" numFmtId="0" xfId="0" applyAlignment="1" applyFill="1" applyFont="1">
      <alignment horizontal="center" readingOrder="0" vertical="center"/>
    </xf>
    <xf borderId="0" fillId="47" fontId="38" numFmtId="0" xfId="0" applyAlignment="1" applyFill="1" applyFont="1">
      <alignment horizontal="center" readingOrder="0" vertical="center"/>
    </xf>
    <xf borderId="0" fillId="3" fontId="4" numFmtId="0" xfId="0" applyAlignment="1" applyFill="1" applyFont="1">
      <alignment horizontal="center" readingOrder="0" vertical="center"/>
    </xf>
    <xf borderId="0" fillId="54" fontId="42" numFmtId="0" xfId="0" applyAlignment="1" applyFill="1" applyFont="1">
      <alignment horizontal="left" readingOrder="0" vertical="center"/>
    </xf>
    <xf borderId="77" fillId="5" fontId="2" numFmtId="0" xfId="0" applyAlignment="1" applyBorder="1" applyFill="1" applyFont="1">
      <alignment horizontal="center" readingOrder="0"/>
    </xf>
    <xf borderId="0" fillId="54" fontId="40" numFmtId="0" xfId="0" applyFill="1" applyFont="1"/>
    <xf borderId="0" fillId="3" fontId="2" numFmtId="0" xfId="0" applyAlignment="1" applyFill="1" applyFont="1">
      <alignment horizontal="center" readingOrder="0" vertical="center"/>
    </xf>
    <xf borderId="69" fillId="5" fontId="2" numFmtId="0" xfId="0" applyAlignment="1" applyBorder="1" applyFill="1" applyFont="1">
      <alignment horizontal="center" readingOrder="0"/>
    </xf>
    <xf borderId="0" fillId="4" fontId="18" numFmtId="0" xfId="0" applyFill="1" applyFont="1"/>
    <xf borderId="0" fillId="3" fontId="46" numFmtId="0" xfId="0" applyAlignment="1" applyFill="1" applyFont="1">
      <alignment horizontal="center" readingOrder="0" vertical="center"/>
    </xf>
    <xf borderId="0" fillId="2" fontId="46" numFmtId="0" xfId="0" applyAlignment="1" applyFill="1" applyFont="1">
      <alignment horizontal="center" readingOrder="0" vertical="center"/>
    </xf>
    <xf borderId="0" fillId="54" fontId="38" numFmtId="0" xfId="0" applyAlignment="1" applyFill="1" applyFont="1">
      <alignment horizontal="center" readingOrder="0" vertical="center"/>
    </xf>
    <xf borderId="37" fillId="5" fontId="2" numFmtId="0" xfId="0" applyAlignment="1" applyBorder="1" applyFill="1" applyFont="1">
      <alignment horizontal="center" readingOrder="0"/>
    </xf>
    <xf borderId="38" fillId="5" fontId="2" numFmtId="0" xfId="0" applyAlignment="1" applyBorder="1" applyFill="1" applyFont="1">
      <alignment horizontal="center"/>
    </xf>
    <xf borderId="79" fillId="5" fontId="2" numFmtId="0" xfId="0" applyAlignment="1" applyBorder="1" applyFill="1" applyFont="1">
      <alignment horizontal="center"/>
    </xf>
    <xf borderId="0" fillId="72" fontId="38" numFmtId="0" xfId="0" applyAlignment="1" applyFill="1" applyFont="1">
      <alignment horizontal="left" readingOrder="0" vertical="center"/>
    </xf>
    <xf borderId="37" fillId="5" fontId="2" numFmtId="0" xfId="0" applyAlignment="1" applyBorder="1" applyFill="1" applyFont="1">
      <alignment horizontal="center"/>
    </xf>
    <xf borderId="17" fillId="3" fontId="4" numFmtId="0" xfId="0" applyAlignment="1" applyBorder="1" applyFill="1" applyFont="1">
      <alignment horizontal="center" vertical="center"/>
    </xf>
    <xf borderId="18" fillId="3" fontId="4" numFmtId="0" xfId="0" applyAlignment="1" applyBorder="1" applyFill="1" applyFont="1">
      <alignment horizontal="center" vertical="center"/>
    </xf>
    <xf borderId="0" fillId="2" fontId="4" numFmtId="0" xfId="0" applyAlignment="1" applyFill="1" applyFont="1">
      <alignment horizontal="center" readingOrder="0" vertical="center"/>
    </xf>
    <xf borderId="0" fillId="2" fontId="20" numFmtId="0" xfId="0" applyAlignment="1" applyFill="1" applyFont="1">
      <alignment horizontal="center" vertical="center"/>
    </xf>
    <xf borderId="37" fillId="5" fontId="2" numFmtId="0" xfId="0" applyAlignment="1" applyBorder="1" applyFill="1" applyFont="1">
      <alignment horizontal="center"/>
    </xf>
    <xf borderId="0" fillId="3" fontId="4" numFmtId="0" xfId="0" applyAlignment="1" applyFill="1" applyFont="1">
      <alignment horizontal="center" readingOrder="0" shrinkToFit="0" vertical="center" wrapText="0"/>
    </xf>
    <xf borderId="0" fillId="73" fontId="46" numFmtId="0" xfId="0" applyAlignment="1" applyFill="1" applyFont="1">
      <alignment horizontal="left" readingOrder="0" vertical="center"/>
    </xf>
    <xf borderId="0" fillId="2" fontId="4" numFmtId="0" xfId="0" applyAlignment="1" applyFill="1" applyFont="1">
      <alignment horizontal="center" vertical="center"/>
    </xf>
    <xf borderId="5" fillId="2" fontId="4" numFmtId="0" xfId="0" applyAlignment="1" applyBorder="1" applyFill="1" applyFont="1">
      <alignment horizontal="center" vertical="center"/>
    </xf>
    <xf borderId="53" fillId="5" fontId="18" numFmtId="0" xfId="0" applyBorder="1" applyFill="1" applyFont="1"/>
    <xf borderId="53" fillId="5" fontId="18" numFmtId="0" xfId="0" applyAlignment="1" applyBorder="1" applyFill="1" applyFont="1">
      <alignment readingOrder="0"/>
    </xf>
    <xf borderId="54" fillId="5" fontId="2" numFmtId="0" xfId="0" applyAlignment="1" applyBorder="1" applyFill="1" applyFont="1">
      <alignment horizontal="center"/>
    </xf>
    <xf borderId="81" fillId="5" fontId="2" numFmtId="0" xfId="0" applyAlignment="1" applyBorder="1" applyFill="1" applyFont="1">
      <alignment horizontal="center"/>
    </xf>
    <xf borderId="53" fillId="5" fontId="2" numFmtId="0" xfId="0" applyAlignment="1" applyBorder="1" applyFill="1" applyFont="1">
      <alignment horizontal="center"/>
    </xf>
    <xf borderId="0" fillId="3" fontId="36" numFmtId="0" xfId="0" applyAlignment="1" applyFill="1" applyFont="1">
      <alignment horizontal="center" readingOrder="0" shrinkToFit="0" vertical="center" wrapText="0"/>
    </xf>
    <xf borderId="0" fillId="3" fontId="2" numFmtId="0" xfId="0" applyAlignment="1" applyFill="1" applyFont="1">
      <alignment horizontal="center" readingOrder="0" vertical="center"/>
    </xf>
    <xf borderId="0" fillId="50" fontId="38" numFmtId="0" xfId="0" applyAlignment="1" applyFill="1" applyFont="1">
      <alignment horizontal="center" readingOrder="0" vertical="center"/>
    </xf>
    <xf borderId="84" fillId="3" fontId="2" numFmtId="0" xfId="0" applyAlignment="1" applyBorder="1" applyFill="1" applyFont="1">
      <alignment horizontal="center" vertical="center"/>
    </xf>
    <xf borderId="0" fillId="3" fontId="47" numFmtId="0" xfId="0" applyAlignment="1" applyFill="1" applyFont="1">
      <alignment horizontal="center" readingOrder="0" vertical="center"/>
    </xf>
    <xf borderId="0" fillId="48" fontId="38" numFmtId="0" xfId="0" applyAlignment="1" applyFill="1" applyFont="1">
      <alignment horizontal="center" readingOrder="0" vertical="center"/>
    </xf>
    <xf borderId="0" fillId="25" fontId="40" numFmtId="0" xfId="0" applyAlignment="1" applyFill="1" applyFont="1">
      <alignment horizontal="center" vertical="center"/>
    </xf>
    <xf borderId="0" fillId="49" fontId="46" numFmtId="0" xfId="0" applyAlignment="1" applyFill="1" applyFont="1">
      <alignment horizontal="left" readingOrder="0" vertical="center"/>
    </xf>
    <xf borderId="0" fillId="3" fontId="48" numFmtId="0" xfId="0" applyAlignment="1" applyFill="1" applyFont="1">
      <alignment vertical="center"/>
    </xf>
    <xf borderId="0" fillId="3" fontId="49" numFmtId="0" xfId="0" applyAlignment="1" applyFill="1" applyFont="1">
      <alignment horizontal="center" vertical="center"/>
    </xf>
    <xf borderId="7" fillId="3" fontId="47" numFmtId="0" xfId="0" applyAlignment="1" applyBorder="1" applyFill="1" applyFont="1">
      <alignment horizontal="left" readingOrder="0" vertical="center"/>
    </xf>
    <xf borderId="0" fillId="51" fontId="38" numFmtId="0" xfId="0" applyAlignment="1" applyFill="1" applyFont="1">
      <alignment horizontal="center" readingOrder="0" vertical="center"/>
    </xf>
    <xf borderId="0" fillId="3" fontId="48" numFmtId="0" xfId="0" applyAlignment="1" applyFill="1" applyFont="1">
      <alignment horizontal="left" vertical="center"/>
    </xf>
    <xf borderId="85" fillId="3" fontId="2" numFmtId="0" xfId="0" applyAlignment="1" applyBorder="1" applyFill="1" applyFont="1">
      <alignment horizontal="center" vertical="center"/>
    </xf>
    <xf borderId="0" fillId="2" fontId="19" numFmtId="0" xfId="0" applyAlignment="1" applyFill="1" applyFont="1">
      <alignment horizontal="center" vertical="center"/>
    </xf>
    <xf borderId="86" fillId="3" fontId="2" numFmtId="0" xfId="0" applyAlignment="1" applyBorder="1" applyFill="1" applyFont="1">
      <alignment horizontal="center" vertical="center"/>
    </xf>
    <xf borderId="0" fillId="2" fontId="50" numFmtId="0" xfId="0" applyAlignment="1" applyFill="1" applyFont="1">
      <alignment horizontal="center" vertical="center"/>
    </xf>
    <xf borderId="87" fillId="3" fontId="2" numFmtId="0" xfId="0" applyAlignment="1" applyBorder="1" applyFill="1" applyFont="1">
      <alignment horizontal="center" vertical="center"/>
    </xf>
    <xf borderId="88" fillId="3" fontId="2" numFmtId="0" xfId="0" applyAlignment="1" applyBorder="1" applyFill="1" applyFont="1">
      <alignment horizontal="center" vertical="center"/>
    </xf>
    <xf borderId="64" fillId="5" fontId="4" numFmtId="0" xfId="0" applyAlignment="1" applyBorder="1" applyFill="1" applyFont="1">
      <alignment horizontal="center"/>
    </xf>
    <xf borderId="5" fillId="3" fontId="19" numFmtId="0" xfId="0" applyAlignment="1" applyBorder="1" applyFill="1" applyFont="1">
      <alignment horizontal="center" vertical="center"/>
    </xf>
    <xf borderId="89" fillId="3" fontId="2" numFmtId="0" xfId="0" applyAlignment="1" applyBorder="1" applyFill="1" applyFont="1">
      <alignment horizontal="center" vertical="center"/>
    </xf>
    <xf borderId="90" fillId="3" fontId="2" numFmtId="0" xfId="0" applyAlignment="1" applyBorder="1" applyFill="1" applyFont="1">
      <alignment horizontal="center" vertical="center"/>
    </xf>
    <xf borderId="5" fillId="3" fontId="50" numFmtId="0" xfId="0" applyAlignment="1" applyBorder="1" applyFill="1" applyFont="1">
      <alignment horizontal="center" vertical="center"/>
    </xf>
    <xf borderId="0" fillId="3" fontId="19" numFmtId="0" xfId="0" applyAlignment="1" applyFill="1" applyFont="1">
      <alignment horizontal="center" vertical="center"/>
    </xf>
    <xf borderId="9" fillId="74" fontId="51" numFmtId="0" xfId="0" applyAlignment="1" applyBorder="1" applyFill="1" applyFont="1">
      <alignment horizontal="center" readingOrder="0" vertical="center"/>
    </xf>
    <xf borderId="9" fillId="7" fontId="51" numFmtId="0" xfId="0" applyAlignment="1" applyBorder="1" applyFill="1" applyFont="1">
      <alignment horizontal="center" readingOrder="0" vertical="center"/>
    </xf>
    <xf borderId="0" fillId="3" fontId="50" numFmtId="0" xfId="0" applyAlignment="1" applyFill="1" applyFont="1">
      <alignment horizontal="center" vertical="center"/>
    </xf>
    <xf borderId="15" fillId="75" fontId="52" numFmtId="0" xfId="0" applyAlignment="1" applyBorder="1" applyFill="1" applyFont="1">
      <alignment horizontal="center" readingOrder="0" textRotation="90" vertical="center"/>
    </xf>
    <xf borderId="25" fillId="74" fontId="19" numFmtId="0" xfId="0" applyAlignment="1" applyBorder="1" applyFill="1" applyFont="1">
      <alignment horizontal="center" readingOrder="0" vertical="center"/>
    </xf>
    <xf borderId="28" fillId="75" fontId="53" numFmtId="0" xfId="0" applyAlignment="1" applyBorder="1" applyFill="1" applyFont="1">
      <alignment horizontal="center" readingOrder="0" textRotation="180" vertical="center"/>
    </xf>
    <xf borderId="25" fillId="5" fontId="19" numFmtId="0" xfId="0" applyAlignment="1" applyBorder="1" applyFill="1" applyFont="1">
      <alignment horizontal="center" readingOrder="0" vertical="center"/>
    </xf>
    <xf borderId="0" fillId="3" fontId="19" numFmtId="0" xfId="0" applyAlignment="1" applyFill="1" applyFont="1">
      <alignment horizontal="center" readingOrder="0" vertical="center"/>
    </xf>
    <xf borderId="25" fillId="7" fontId="19" numFmtId="0" xfId="0" applyAlignment="1" applyBorder="1" applyFill="1" applyFont="1">
      <alignment horizontal="center" readingOrder="0" vertical="center"/>
    </xf>
    <xf borderId="25" fillId="36" fontId="19" numFmtId="0" xfId="0" applyAlignment="1" applyBorder="1" applyFill="1" applyFont="1">
      <alignment horizontal="center" readingOrder="0" vertical="center"/>
    </xf>
    <xf borderId="42" fillId="0" fontId="9" numFmtId="0" xfId="0" applyBorder="1" applyFont="1"/>
    <xf borderId="35" fillId="5" fontId="2" numFmtId="0" xfId="0" applyAlignment="1" applyBorder="1" applyFill="1" applyFont="1">
      <alignment horizontal="center"/>
    </xf>
    <xf borderId="67" fillId="5" fontId="4" numFmtId="0" xfId="0" applyAlignment="1" applyBorder="1" applyFill="1" applyFont="1">
      <alignment horizontal="center"/>
    </xf>
    <xf borderId="0" fillId="58" fontId="40" numFmtId="0" xfId="0" applyAlignment="1" applyFill="1" applyFont="1">
      <alignment horizontal="center" vertical="center"/>
    </xf>
    <xf borderId="7" fillId="3" fontId="47" numFmtId="0" xfId="0" applyAlignment="1" applyBorder="1" applyFill="1" applyFont="1">
      <alignment horizontal="center" vertical="center"/>
    </xf>
    <xf borderId="91" fillId="3" fontId="2" numFmtId="0" xfId="0" applyAlignment="1" applyBorder="1" applyFill="1" applyFont="1">
      <alignment horizontal="center" vertical="center"/>
    </xf>
    <xf borderId="92" fillId="3" fontId="2" numFmtId="0" xfId="0" applyAlignment="1" applyBorder="1" applyFill="1" applyFont="1">
      <alignment horizontal="center" vertical="center"/>
    </xf>
    <xf borderId="87" fillId="3" fontId="2" numFmtId="0" xfId="0" applyAlignment="1" applyBorder="1" applyFill="1" applyFont="1">
      <alignment horizontal="center" readingOrder="0" vertical="center"/>
    </xf>
    <xf borderId="7" fillId="3" fontId="47" numFmtId="0" xfId="0" applyAlignment="1" applyBorder="1" applyFill="1" applyFont="1">
      <alignment horizontal="center" readingOrder="0" vertical="center"/>
    </xf>
    <xf borderId="93" fillId="3" fontId="2" numFmtId="0" xfId="0" applyAlignment="1" applyBorder="1" applyFill="1" applyFont="1">
      <alignment horizontal="center" vertical="center"/>
    </xf>
    <xf borderId="94" fillId="3" fontId="2" numFmtId="0" xfId="0" applyAlignment="1" applyBorder="1" applyFill="1" applyFont="1">
      <alignment horizontal="center" vertical="center"/>
    </xf>
    <xf borderId="95" fillId="3" fontId="2" numFmtId="0" xfId="0" applyAlignment="1" applyBorder="1" applyFill="1" applyFont="1">
      <alignment horizontal="center" vertical="center"/>
    </xf>
    <xf borderId="69" fillId="4" fontId="4" numFmtId="0" xfId="0" applyAlignment="1" applyBorder="1" applyFill="1" applyFont="1">
      <alignment horizontal="center" shrinkToFit="0" wrapText="0"/>
    </xf>
    <xf borderId="96" fillId="3" fontId="2" numFmtId="0" xfId="0" applyAlignment="1" applyBorder="1" applyFill="1" applyFont="1">
      <alignment horizontal="center" vertical="center"/>
    </xf>
    <xf borderId="53" fillId="4" fontId="4" numFmtId="0" xfId="0" applyAlignment="1" applyBorder="1" applyFill="1" applyFont="1">
      <alignment horizontal="center" shrinkToFit="0" wrapText="0"/>
    </xf>
    <xf borderId="0" fillId="53" fontId="38" numFmtId="0" xfId="0" applyAlignment="1" applyFill="1" applyFont="1">
      <alignment horizontal="center" readingOrder="0" vertical="center"/>
    </xf>
    <xf borderId="81" fillId="4" fontId="4" numFmtId="0" xfId="0" applyAlignment="1" applyBorder="1" applyFill="1" applyFont="1">
      <alignment horizontal="center" shrinkToFit="0" wrapText="0"/>
    </xf>
    <xf borderId="34" fillId="74" fontId="19" numFmtId="164" xfId="0" applyAlignment="1" applyBorder="1" applyFill="1" applyFont="1" applyNumberFormat="1">
      <alignment horizontal="center" readingOrder="0" vertical="center"/>
    </xf>
    <xf borderId="34" fillId="74" fontId="19" numFmtId="0" xfId="0" applyAlignment="1" applyBorder="1" applyFill="1" applyFont="1">
      <alignment horizontal="center" readingOrder="0" vertical="center"/>
    </xf>
    <xf borderId="0" fillId="49" fontId="38" numFmtId="0" xfId="0" applyAlignment="1" applyFill="1" applyFont="1">
      <alignment horizontal="center" readingOrder="0" vertical="center"/>
    </xf>
    <xf borderId="34" fillId="5" fontId="19" numFmtId="164" xfId="0" applyAlignment="1" applyBorder="1" applyFill="1" applyFont="1" applyNumberFormat="1">
      <alignment horizontal="center" readingOrder="0" vertical="center"/>
    </xf>
    <xf borderId="97" fillId="3" fontId="2" numFmtId="0" xfId="0" applyAlignment="1" applyBorder="1" applyFill="1" applyFont="1">
      <alignment horizontal="center" vertical="center"/>
    </xf>
    <xf borderId="98" fillId="3" fontId="2" numFmtId="0" xfId="0" applyAlignment="1" applyBorder="1" applyFill="1" applyFont="1">
      <alignment horizontal="center" vertical="center"/>
    </xf>
    <xf borderId="34" fillId="7" fontId="19" numFmtId="0" xfId="0" applyAlignment="1" applyBorder="1" applyFill="1" applyFont="1">
      <alignment horizontal="center" readingOrder="0" vertical="center"/>
    </xf>
    <xf borderId="34" fillId="36" fontId="19" numFmtId="0" xfId="0" applyAlignment="1" applyBorder="1" applyFill="1" applyFont="1">
      <alignment horizontal="center" readingOrder="0" vertical="center"/>
    </xf>
    <xf borderId="0" fillId="3" fontId="48" numFmtId="0" xfId="0" applyAlignment="1" applyFill="1" applyFont="1">
      <alignment vertical="center"/>
    </xf>
    <xf borderId="0" fillId="3" fontId="2" numFmtId="0" xfId="0" applyAlignment="1" applyFill="1" applyFont="1">
      <alignment vertical="center"/>
    </xf>
    <xf borderId="52" fillId="74" fontId="19" numFmtId="0" xfId="0" applyAlignment="1" applyBorder="1" applyFill="1" applyFont="1">
      <alignment horizontal="center" readingOrder="0" vertical="center"/>
    </xf>
    <xf borderId="80" fillId="74" fontId="19" numFmtId="0" xfId="0" applyAlignment="1" applyBorder="1" applyFill="1" applyFont="1">
      <alignment horizontal="center" readingOrder="0" vertical="center"/>
    </xf>
    <xf borderId="52" fillId="5" fontId="19" numFmtId="0" xfId="0" applyAlignment="1" applyBorder="1" applyFill="1" applyFont="1">
      <alignment horizontal="center" readingOrder="0" vertical="center"/>
    </xf>
    <xf borderId="80" fillId="5" fontId="19" numFmtId="0" xfId="0" applyAlignment="1" applyBorder="1" applyFill="1" applyFont="1">
      <alignment horizontal="center" readingOrder="0" vertical="center"/>
    </xf>
    <xf borderId="0" fillId="64" fontId="42" numFmtId="0" xfId="0" applyAlignment="1" applyFill="1" applyFont="1">
      <alignment horizontal="left" readingOrder="0" vertical="center"/>
    </xf>
    <xf borderId="52" fillId="7" fontId="19" numFmtId="0" xfId="0" applyAlignment="1" applyBorder="1" applyFill="1" applyFont="1">
      <alignment horizontal="center" readingOrder="0" vertical="center"/>
    </xf>
    <xf borderId="17" fillId="3" fontId="2" numFmtId="0" xfId="0" applyAlignment="1" applyBorder="1" applyFill="1" applyFont="1">
      <alignment horizontal="center" vertical="center"/>
    </xf>
    <xf borderId="18" fillId="3" fontId="2" numFmtId="0" xfId="0" applyAlignment="1" applyBorder="1" applyFill="1" applyFont="1">
      <alignment horizontal="center" vertical="center"/>
    </xf>
    <xf borderId="80" fillId="7" fontId="19" numFmtId="0" xfId="0" applyAlignment="1" applyBorder="1" applyFill="1" applyFont="1">
      <alignment horizontal="center" readingOrder="0" vertical="center"/>
    </xf>
    <xf borderId="52" fillId="36" fontId="19" numFmtId="0" xfId="0" applyAlignment="1" applyBorder="1" applyFill="1" applyFont="1">
      <alignment horizontal="center" readingOrder="0" vertical="center"/>
    </xf>
    <xf borderId="19" fillId="3" fontId="2" numFmtId="0" xfId="0" applyAlignment="1" applyBorder="1" applyFill="1" applyFont="1">
      <alignment horizontal="center" vertical="center"/>
    </xf>
    <xf borderId="0" fillId="76" fontId="6" numFmtId="0" xfId="0" applyAlignment="1" applyFill="1" applyFont="1">
      <alignment horizontal="center" vertical="center"/>
    </xf>
    <xf borderId="0" fillId="2" fontId="2" numFmtId="0" xfId="0" applyAlignment="1" applyFill="1" applyFont="1">
      <alignment horizontal="center" readingOrder="0" vertical="center"/>
    </xf>
    <xf borderId="80" fillId="36" fontId="19" numFmtId="0" xfId="0" applyAlignment="1" applyBorder="1" applyFill="1" applyFont="1">
      <alignment horizontal="center" readingOrder="0" vertical="center"/>
    </xf>
    <xf borderId="18" fillId="3" fontId="2" numFmtId="0" xfId="0" applyAlignment="1" applyBorder="1" applyFill="1" applyFont="1">
      <alignment horizontal="center" readingOrder="0" vertical="center"/>
    </xf>
    <xf borderId="0" fillId="56" fontId="38" numFmtId="0" xfId="0" applyAlignment="1" applyFill="1" applyFont="1">
      <alignment horizontal="center" readingOrder="0" vertical="center"/>
    </xf>
    <xf borderId="0" fillId="68" fontId="38" numFmtId="0" xfId="0" applyAlignment="1" applyFill="1" applyFont="1">
      <alignment horizontal="center" readingOrder="0" vertical="center"/>
    </xf>
    <xf borderId="0" fillId="59" fontId="38" numFmtId="0" xfId="0" applyAlignment="1" applyFill="1" applyFont="1">
      <alignment horizontal="center" readingOrder="0" vertical="center"/>
    </xf>
    <xf borderId="43" fillId="74" fontId="19" numFmtId="0" xfId="0" applyAlignment="1" applyBorder="1" applyFill="1" applyFont="1">
      <alignment horizontal="center" readingOrder="0" vertical="center"/>
    </xf>
    <xf borderId="83" fillId="74" fontId="19" numFmtId="0" xfId="0" applyAlignment="1" applyBorder="1" applyFill="1" applyFont="1">
      <alignment horizontal="center" readingOrder="0" vertical="center"/>
    </xf>
    <xf borderId="0" fillId="77" fontId="38" numFmtId="0" xfId="0" applyAlignment="1" applyFill="1" applyFont="1">
      <alignment horizontal="center" readingOrder="0" vertical="center"/>
    </xf>
    <xf borderId="0" fillId="78" fontId="38" numFmtId="0" xfId="0" applyAlignment="1" applyFill="1" applyFont="1">
      <alignment horizontal="center" readingOrder="0" vertical="center"/>
    </xf>
    <xf borderId="43" fillId="5" fontId="19" numFmtId="0" xfId="0" applyAlignment="1" applyBorder="1" applyFill="1" applyFont="1">
      <alignment horizontal="center" readingOrder="0" vertical="center"/>
    </xf>
    <xf borderId="83" fillId="5" fontId="19" numFmtId="0" xfId="0" applyAlignment="1" applyBorder="1" applyFill="1" applyFont="1">
      <alignment horizontal="center" readingOrder="0" vertical="center"/>
    </xf>
    <xf borderId="0" fillId="79" fontId="38" numFmtId="0" xfId="0" applyAlignment="1" applyFill="1" applyFont="1">
      <alignment horizontal="left" readingOrder="0" vertical="center"/>
    </xf>
    <xf borderId="43" fillId="7" fontId="19" numFmtId="0" xfId="0" applyAlignment="1" applyBorder="1" applyFill="1" applyFont="1">
      <alignment horizontal="center" readingOrder="0" vertical="center"/>
    </xf>
    <xf borderId="83" fillId="7" fontId="19" numFmtId="0" xfId="0" applyAlignment="1" applyBorder="1" applyFill="1" applyFont="1">
      <alignment horizontal="center" readingOrder="0" vertical="center"/>
    </xf>
    <xf borderId="43" fillId="36" fontId="19" numFmtId="0" xfId="0" applyAlignment="1" applyBorder="1" applyFill="1" applyFont="1">
      <alignment horizontal="center" readingOrder="0" vertical="center"/>
    </xf>
    <xf borderId="83" fillId="36" fontId="19" numFmtId="0" xfId="0" applyAlignment="1" applyBorder="1" applyFill="1" applyFont="1">
      <alignment horizontal="center" readingOrder="0" vertical="center"/>
    </xf>
    <xf borderId="21" fillId="80" fontId="26" numFmtId="0" xfId="0" applyAlignment="1" applyBorder="1" applyFill="1" applyFont="1">
      <alignment horizontal="center" readingOrder="0" vertical="center"/>
    </xf>
    <xf borderId="99" fillId="0" fontId="9" numFmtId="0" xfId="0" applyBorder="1" applyFont="1"/>
    <xf borderId="9" fillId="81" fontId="24" numFmtId="0" xfId="0" applyAlignment="1" applyBorder="1" applyFill="1" applyFont="1">
      <alignment horizontal="center" readingOrder="0" vertical="center"/>
    </xf>
    <xf borderId="43" fillId="80" fontId="24" numFmtId="0" xfId="0" applyAlignment="1" applyBorder="1" applyFill="1" applyFont="1">
      <alignment horizontal="center" readingOrder="0" vertical="center"/>
    </xf>
    <xf borderId="10" fillId="81" fontId="54" numFmtId="0" xfId="0" applyAlignment="1" applyBorder="1" applyFill="1" applyFont="1">
      <alignment horizontal="center" readingOrder="0" vertical="center"/>
    </xf>
    <xf borderId="47" fillId="80" fontId="24" numFmtId="0" xfId="0" applyAlignment="1" applyBorder="1" applyFill="1" applyFont="1">
      <alignment horizontal="center" vertical="center"/>
    </xf>
    <xf borderId="0" fillId="3" fontId="50" numFmtId="0" xfId="0" applyAlignment="1" applyFill="1" applyFont="1">
      <alignment horizontal="center" readingOrder="0" vertical="center"/>
    </xf>
    <xf borderId="9" fillId="81" fontId="24" numFmtId="0" xfId="0" applyAlignment="1" applyBorder="1" applyFill="1" applyFont="1">
      <alignment horizontal="center" readingOrder="0" vertical="center"/>
    </xf>
    <xf borderId="62" fillId="75" fontId="16" numFmtId="0" xfId="0" applyAlignment="1" applyBorder="1" applyFill="1" applyFont="1">
      <alignment horizontal="center" vertical="center"/>
    </xf>
    <xf borderId="62" fillId="75" fontId="13" numFmtId="0" xfId="0" applyAlignment="1" applyBorder="1" applyFill="1" applyFont="1">
      <alignment horizontal="center" vertical="center"/>
    </xf>
    <xf borderId="0" fillId="38" fontId="28" numFmtId="0" xfId="0" applyAlignment="1" applyFill="1" applyFont="1">
      <alignment vertical="center"/>
    </xf>
    <xf borderId="29" fillId="0" fontId="12" numFmtId="0" xfId="0" applyAlignment="1" applyBorder="1" applyFont="1">
      <alignment horizontal="center" readingOrder="0" vertical="center"/>
    </xf>
    <xf borderId="100" fillId="0" fontId="12" numFmtId="0" xfId="0" applyAlignment="1" applyBorder="1" applyFont="1">
      <alignment horizontal="center" readingOrder="0" vertical="center"/>
    </xf>
    <xf borderId="10" fillId="81" fontId="37" numFmtId="0" xfId="0" applyAlignment="1" applyBorder="1" applyFill="1" applyFont="1">
      <alignment horizontal="center" readingOrder="0" vertical="center"/>
    </xf>
    <xf borderId="0" fillId="3" fontId="50" numFmtId="0" xfId="0" applyAlignment="1" applyFill="1" applyFont="1">
      <alignment horizontal="center" vertical="center"/>
    </xf>
    <xf borderId="9" fillId="0" fontId="12" numFmtId="0" xfId="0" applyAlignment="1" applyBorder="1" applyFont="1">
      <alignment horizontal="center" readingOrder="0" vertical="center"/>
    </xf>
    <xf borderId="0" fillId="0" fontId="12" numFmtId="0" xfId="0" applyAlignment="1" applyFont="1">
      <alignment horizontal="center" readingOrder="0" vertical="center"/>
    </xf>
    <xf borderId="9" fillId="4" fontId="12" numFmtId="0" xfId="0" applyAlignment="1" applyBorder="1" applyFill="1" applyFont="1">
      <alignment horizontal="center" readingOrder="0" vertical="center"/>
    </xf>
    <xf borderId="55" fillId="82" fontId="24" numFmtId="1" xfId="0" applyAlignment="1" applyBorder="1" applyFill="1" applyFont="1" applyNumberFormat="1">
      <alignment horizontal="center" readingOrder="0" shrinkToFit="0" vertical="center" wrapText="0"/>
    </xf>
    <xf borderId="0" fillId="12" fontId="55" numFmtId="0" xfId="0" applyAlignment="1" applyFill="1" applyFont="1">
      <alignment horizontal="center"/>
    </xf>
    <xf borderId="57" fillId="46" fontId="24" numFmtId="1" xfId="0" applyAlignment="1" applyBorder="1" applyFill="1" applyFont="1" applyNumberFormat="1">
      <alignment horizontal="left" readingOrder="0" shrinkToFit="0" vertical="center" wrapText="0"/>
    </xf>
    <xf borderId="58" fillId="82" fontId="24" numFmtId="0" xfId="0" applyAlignment="1" applyBorder="1" applyFill="1" applyFont="1">
      <alignment horizontal="center" readingOrder="0" vertical="center"/>
    </xf>
    <xf borderId="0" fillId="0" fontId="56" numFmtId="0" xfId="0" applyFont="1"/>
    <xf borderId="0" fillId="3" fontId="50" numFmtId="0" xfId="0" applyAlignment="1" applyFill="1" applyFont="1">
      <alignment horizontal="center" readingOrder="0" vertical="center"/>
    </xf>
    <xf borderId="0" fillId="3" fontId="19" numFmtId="0" xfId="0" applyAlignment="1" applyFill="1" applyFont="1">
      <alignment horizontal="center" readingOrder="0" vertical="center"/>
    </xf>
    <xf borderId="0" fillId="3" fontId="19" numFmtId="0" xfId="0" applyAlignment="1" applyFill="1" applyFont="1">
      <alignment horizontal="center" vertical="center"/>
    </xf>
    <xf borderId="0" fillId="3" fontId="4" numFmtId="0" xfId="0" applyAlignment="1" applyFill="1" applyFont="1">
      <alignment horizontal="center" vertical="center"/>
    </xf>
    <xf borderId="62" fillId="38" fontId="28" numFmtId="0" xfId="0" applyAlignment="1" applyBorder="1" applyFill="1" applyFont="1">
      <alignment horizontal="center" vertical="center"/>
    </xf>
    <xf borderId="61" fillId="0" fontId="57" numFmtId="0" xfId="0" applyAlignment="1" applyBorder="1" applyFont="1">
      <alignment horizontal="center"/>
    </xf>
    <xf borderId="101" fillId="0" fontId="58" numFmtId="0" xfId="0" applyAlignment="1" applyBorder="1" applyFont="1">
      <alignment horizontal="center" readingOrder="0" vertical="bottom"/>
    </xf>
    <xf borderId="0" fillId="38" fontId="28" numFmtId="0" xfId="0" applyAlignment="1" applyFill="1" applyFont="1">
      <alignment horizontal="center" readingOrder="0" vertical="center"/>
    </xf>
    <xf borderId="0" fillId="0" fontId="12" numFmtId="0" xfId="0" applyAlignment="1" applyFont="1">
      <alignment horizontal="center" vertical="center"/>
    </xf>
    <xf borderId="25" fillId="0" fontId="12" numFmtId="0" xfId="0" applyAlignment="1" applyBorder="1" applyFont="1">
      <alignment horizontal="center" readingOrder="0" vertical="center"/>
    </xf>
    <xf borderId="58" fillId="0" fontId="12" numFmtId="0" xfId="0" applyAlignment="1" applyBorder="1" applyFont="1">
      <alignment horizontal="center" readingOrder="0" vertical="center"/>
    </xf>
    <xf borderId="15" fillId="0" fontId="12" numFmtId="0" xfId="0" applyAlignment="1" applyBorder="1" applyFont="1">
      <alignment horizontal="center" readingOrder="0" vertical="center"/>
    </xf>
    <xf borderId="55" fillId="0" fontId="12" numFmtId="0" xfId="0" applyAlignment="1" applyBorder="1" applyFont="1">
      <alignment horizontal="center" readingOrder="0" vertical="center"/>
    </xf>
    <xf borderId="27" fillId="0" fontId="12" numFmtId="0" xfId="0" applyAlignment="1" applyBorder="1" applyFont="1">
      <alignment horizontal="center" readingOrder="0" vertical="center"/>
    </xf>
    <xf borderId="28" fillId="0" fontId="12" numFmtId="0" xfId="0" applyAlignment="1" applyBorder="1" applyFont="1">
      <alignment horizontal="center" readingOrder="0" vertical="center"/>
    </xf>
    <xf borderId="102" fillId="0" fontId="55" numFmtId="0" xfId="0" applyAlignment="1" applyBorder="1" applyFont="1">
      <alignment horizontal="center"/>
    </xf>
    <xf borderId="42" fillId="0" fontId="12" numFmtId="0" xfId="0" applyAlignment="1" applyBorder="1" applyFont="1">
      <alignment horizontal="center" readingOrder="0" vertical="center"/>
    </xf>
    <xf borderId="30" fillId="0" fontId="12" numFmtId="0" xfId="0" applyAlignment="1" applyBorder="1" applyFont="1">
      <alignment horizontal="center" readingOrder="0" vertical="center"/>
    </xf>
    <xf borderId="42" fillId="0" fontId="12" numFmtId="0" xfId="0" applyAlignment="1" applyBorder="1" applyFont="1">
      <alignment horizontal="center" vertical="center"/>
    </xf>
    <xf borderId="30" fillId="38" fontId="28" numFmtId="0" xfId="0" applyAlignment="1" applyBorder="1" applyFill="1" applyFont="1">
      <alignment horizontal="center" readingOrder="0"/>
    </xf>
    <xf borderId="77" fillId="0" fontId="55" numFmtId="0" xfId="0" applyAlignment="1" applyBorder="1" applyFont="1">
      <alignment horizontal="center" readingOrder="0" vertical="bottom"/>
    </xf>
    <xf borderId="24" fillId="0" fontId="55" numFmtId="0" xfId="0" applyAlignment="1" applyBorder="1" applyFont="1">
      <alignment horizontal="center" readingOrder="0" vertical="bottom"/>
    </xf>
    <xf borderId="0" fillId="3" fontId="8" numFmtId="0" xfId="0" applyAlignment="1" applyFill="1" applyFont="1">
      <alignment horizontal="center" readingOrder="0" vertical="center"/>
    </xf>
    <xf borderId="55" fillId="0" fontId="12" numFmtId="0" xfId="0" applyAlignment="1" applyBorder="1" applyFont="1">
      <alignment horizontal="center" vertical="center"/>
    </xf>
    <xf borderId="27" fillId="0" fontId="12" numFmtId="1" xfId="0" applyAlignment="1" applyBorder="1" applyFont="1" applyNumberFormat="1">
      <alignment horizontal="center" readingOrder="0" vertical="center"/>
    </xf>
    <xf borderId="25" fillId="7" fontId="19" numFmtId="0" xfId="0" applyAlignment="1" applyBorder="1" applyFill="1" applyFont="1">
      <alignment horizontal="center" readingOrder="0" vertical="center"/>
    </xf>
    <xf borderId="28" fillId="75" fontId="53" numFmtId="0" xfId="0" applyAlignment="1" applyBorder="1" applyFill="1" applyFont="1">
      <alignment horizontal="center" readingOrder="0" textRotation="180" vertical="center"/>
    </xf>
    <xf borderId="25" fillId="36" fontId="19" numFmtId="0" xfId="0" applyAlignment="1" applyBorder="1" applyFill="1" applyFont="1">
      <alignment horizontal="center" readingOrder="0" vertical="center"/>
    </xf>
    <xf borderId="27" fillId="38" fontId="59" numFmtId="0" xfId="0" applyAlignment="1" applyBorder="1" applyFill="1" applyFont="1">
      <alignment horizontal="center"/>
    </xf>
    <xf borderId="0" fillId="38" fontId="28" numFmtId="0" xfId="0" applyAlignment="1" applyFill="1" applyFont="1">
      <alignment horizontal="center" readingOrder="0" vertical="center"/>
    </xf>
    <xf borderId="0" fillId="0" fontId="9" numFmtId="0" xfId="0" applyAlignment="1" applyFont="1">
      <alignment horizontal="center" readingOrder="0"/>
    </xf>
    <xf borderId="70" fillId="0" fontId="55" numFmtId="0" xfId="0" applyAlignment="1" applyBorder="1" applyFont="1">
      <alignment horizontal="center" readingOrder="0" vertical="bottom"/>
    </xf>
    <xf borderId="46" fillId="0" fontId="55" numFmtId="0" xfId="0" applyAlignment="1" applyBorder="1" applyFont="1">
      <alignment horizontal="center" readingOrder="0" vertical="bottom"/>
    </xf>
    <xf borderId="60" fillId="0" fontId="12" numFmtId="0" xfId="0" applyAlignment="1" applyBorder="1" applyFont="1">
      <alignment horizontal="center" vertical="center"/>
    </xf>
    <xf borderId="0" fillId="0" fontId="12" numFmtId="1" xfId="0" applyAlignment="1" applyFont="1" applyNumberFormat="1">
      <alignment horizontal="center" readingOrder="0" vertical="center"/>
    </xf>
    <xf borderId="0" fillId="38" fontId="28" numFmtId="0" xfId="0" applyAlignment="1" applyFill="1" applyFont="1">
      <alignment horizontal="center" vertical="center"/>
    </xf>
    <xf borderId="103" fillId="5" fontId="19" numFmtId="0" xfId="0" applyAlignment="1" applyBorder="1" applyFill="1" applyFont="1">
      <alignment horizontal="center" readingOrder="0" vertical="center"/>
    </xf>
    <xf borderId="50" fillId="0" fontId="9" numFmtId="0" xfId="0" applyBorder="1" applyFont="1"/>
    <xf borderId="51" fillId="0" fontId="9" numFmtId="0" xfId="0" applyBorder="1" applyFont="1"/>
    <xf borderId="61" fillId="0" fontId="57" numFmtId="0" xfId="0" applyAlignment="1" applyBorder="1" applyFont="1">
      <alignment horizontal="center"/>
    </xf>
    <xf borderId="70" fillId="0" fontId="55" numFmtId="0" xfId="0" applyAlignment="1" applyBorder="1" applyFont="1">
      <alignment horizontal="center" vertical="bottom"/>
    </xf>
    <xf borderId="46" fillId="0" fontId="55" numFmtId="0" xfId="0" applyAlignment="1" applyBorder="1" applyFont="1">
      <alignment horizontal="center" vertical="bottom"/>
    </xf>
    <xf borderId="60" fillId="82" fontId="24" numFmtId="1" xfId="0" applyAlignment="1" applyBorder="1" applyFill="1" applyFont="1" applyNumberFormat="1">
      <alignment horizontal="center" readingOrder="0" shrinkToFit="0" vertical="center" wrapText="0"/>
    </xf>
    <xf borderId="59" fillId="46" fontId="24" numFmtId="1" xfId="0" applyAlignment="1" applyBorder="1" applyFill="1" applyFont="1" applyNumberFormat="1">
      <alignment horizontal="left" readingOrder="0" shrinkToFit="0" vertical="center" wrapText="0"/>
    </xf>
    <xf borderId="61" fillId="82" fontId="24" numFmtId="0" xfId="0" applyAlignment="1" applyBorder="1" applyFill="1" applyFont="1">
      <alignment horizontal="center" readingOrder="0" vertical="center"/>
    </xf>
    <xf borderId="99" fillId="0" fontId="12" numFmtId="0" xfId="0" applyAlignment="1" applyBorder="1" applyFont="1">
      <alignment horizontal="center" readingOrder="0" vertical="center"/>
    </xf>
    <xf borderId="35" fillId="0" fontId="12" numFmtId="0" xfId="0" applyAlignment="1" applyBorder="1" applyFont="1">
      <alignment horizontal="center" readingOrder="0" vertical="center"/>
    </xf>
    <xf borderId="36" fillId="0" fontId="12" numFmtId="0" xfId="0" applyAlignment="1" applyBorder="1" applyFont="1">
      <alignment horizontal="center" vertical="center"/>
    </xf>
    <xf borderId="59" fillId="46" fontId="4" numFmtId="0" xfId="0" applyAlignment="1" applyBorder="1" applyFill="1" applyFont="1">
      <alignment horizontal="left" readingOrder="0" vertical="center"/>
    </xf>
    <xf borderId="103" fillId="36" fontId="19" numFmtId="0" xfId="0" applyAlignment="1" applyBorder="1" applyFill="1" applyFont="1">
      <alignment horizontal="center" readingOrder="0" vertical="center"/>
    </xf>
    <xf borderId="60" fillId="82" fontId="24" numFmtId="0" xfId="0" applyAlignment="1" applyBorder="1" applyFill="1" applyFont="1">
      <alignment horizontal="center" readingOrder="0" vertical="center"/>
    </xf>
    <xf borderId="59" fillId="46" fontId="24" numFmtId="0" xfId="0" applyAlignment="1" applyBorder="1" applyFill="1" applyFont="1">
      <alignment horizontal="left" readingOrder="0" vertical="center"/>
    </xf>
    <xf borderId="104" fillId="0" fontId="9" numFmtId="0" xfId="0" applyBorder="1" applyFont="1"/>
    <xf borderId="71" fillId="0" fontId="55" numFmtId="0" xfId="0" applyAlignment="1" applyBorder="1" applyFont="1">
      <alignment horizontal="center" vertical="bottom"/>
    </xf>
    <xf borderId="105" fillId="0" fontId="55" numFmtId="0" xfId="0" applyAlignment="1" applyBorder="1" applyFont="1">
      <alignment horizontal="center" vertical="bottom"/>
    </xf>
    <xf borderId="80" fillId="0" fontId="9" numFmtId="0" xfId="0" applyBorder="1" applyFont="1"/>
    <xf borderId="60" fillId="82" fontId="4" numFmtId="0" xfId="0" applyAlignment="1" applyBorder="1" applyFill="1" applyFont="1">
      <alignment horizontal="center" readingOrder="0" vertical="center"/>
    </xf>
    <xf borderId="60" fillId="82" fontId="4" numFmtId="0" xfId="0" applyAlignment="1" applyBorder="1" applyFill="1" applyFont="1">
      <alignment horizontal="center" vertical="center"/>
    </xf>
    <xf borderId="34" fillId="0" fontId="12" numFmtId="0" xfId="0" applyAlignment="1" applyBorder="1" applyFont="1">
      <alignment horizontal="center" readingOrder="0" vertical="center"/>
    </xf>
    <xf borderId="39" fillId="80" fontId="4" numFmtId="0" xfId="0" applyAlignment="1" applyBorder="1" applyFill="1" applyFont="1">
      <alignment horizontal="center" readingOrder="0" vertical="center"/>
    </xf>
    <xf borderId="36" fillId="0" fontId="12" numFmtId="0" xfId="0" applyAlignment="1" applyBorder="1" applyFont="1">
      <alignment horizontal="center" readingOrder="0" vertical="center"/>
    </xf>
    <xf borderId="10" fillId="80" fontId="4" numFmtId="0" xfId="0" applyAlignment="1" applyBorder="1" applyFill="1" applyFont="1">
      <alignment horizontal="center" vertical="center"/>
    </xf>
    <xf borderId="39" fillId="80" fontId="4" numFmtId="0" xfId="0" applyAlignment="1" applyBorder="1" applyFill="1" applyFont="1">
      <alignment horizontal="center" vertical="center"/>
    </xf>
    <xf borderId="34" fillId="7" fontId="19" numFmtId="0" xfId="0" applyAlignment="1" applyBorder="1" applyFill="1" applyFont="1">
      <alignment horizontal="center" readingOrder="0" vertical="center"/>
    </xf>
    <xf borderId="34" fillId="36" fontId="19" numFmtId="0" xfId="0" applyAlignment="1" applyBorder="1" applyFill="1" applyFont="1">
      <alignment horizontal="center" readingOrder="0" vertical="center"/>
    </xf>
    <xf borderId="61" fillId="0" fontId="57" numFmtId="0" xfId="0" applyAlignment="1" applyBorder="1" applyFont="1">
      <alignment horizontal="center" readingOrder="0"/>
    </xf>
    <xf borderId="39" fillId="80" fontId="4" numFmtId="0" xfId="0" applyAlignment="1" applyBorder="1" applyFill="1" applyFont="1">
      <alignment horizontal="center" vertical="center"/>
    </xf>
    <xf borderId="62" fillId="0" fontId="12" numFmtId="0" xfId="0" applyAlignment="1" applyBorder="1" applyFont="1">
      <alignment horizontal="center" vertical="center"/>
    </xf>
    <xf borderId="29" fillId="5" fontId="19" numFmtId="0" xfId="0" applyAlignment="1" applyBorder="1" applyFill="1" applyFont="1">
      <alignment horizontal="center" readingOrder="0" vertical="center"/>
    </xf>
    <xf borderId="101" fillId="0" fontId="9" numFmtId="0" xfId="0" applyBorder="1" applyFont="1"/>
    <xf borderId="52" fillId="7" fontId="19" numFmtId="0" xfId="0" applyAlignment="1" applyBorder="1" applyFill="1" applyFont="1">
      <alignment horizontal="center" readingOrder="0" vertical="center"/>
    </xf>
    <xf borderId="0" fillId="0" fontId="28" numFmtId="0" xfId="0" applyAlignment="1" applyFont="1">
      <alignment horizontal="center" vertical="center"/>
    </xf>
    <xf borderId="80" fillId="7" fontId="19" numFmtId="0" xfId="0" applyAlignment="1" applyBorder="1" applyFill="1" applyFont="1">
      <alignment horizontal="center" readingOrder="0" vertical="center"/>
    </xf>
    <xf borderId="0" fillId="0" fontId="28" numFmtId="0" xfId="0" applyAlignment="1" applyFont="1">
      <alignment horizontal="center"/>
    </xf>
    <xf borderId="0" fillId="0" fontId="12" numFmtId="0" xfId="0" applyAlignment="1" applyFont="1">
      <alignment vertical="center"/>
    </xf>
    <xf borderId="52" fillId="36" fontId="19" numFmtId="0" xfId="0" applyAlignment="1" applyBorder="1" applyFill="1" applyFont="1">
      <alignment horizontal="center" readingOrder="0" vertical="center"/>
    </xf>
    <xf borderId="80" fillId="36" fontId="19" numFmtId="0" xfId="0" applyAlignment="1" applyBorder="1" applyFill="1" applyFont="1">
      <alignment horizontal="center" readingOrder="0" vertical="center"/>
    </xf>
    <xf borderId="30" fillId="0" fontId="12" numFmtId="0" xfId="0" applyAlignment="1" applyBorder="1" applyFont="1">
      <alignment horizontal="center" vertical="center"/>
    </xf>
    <xf borderId="73" fillId="5" fontId="19" numFmtId="0" xfId="0" applyAlignment="1" applyBorder="1" applyFill="1" applyFont="1">
      <alignment horizontal="center" readingOrder="0" vertical="center"/>
    </xf>
    <xf borderId="43" fillId="7" fontId="19" numFmtId="0" xfId="0" applyAlignment="1" applyBorder="1" applyFill="1" applyFont="1">
      <alignment horizontal="center" readingOrder="0" vertical="center"/>
    </xf>
    <xf borderId="83" fillId="7" fontId="19" numFmtId="0" xfId="0" applyAlignment="1" applyBorder="1" applyFill="1" applyFont="1">
      <alignment horizontal="center" readingOrder="0" vertical="center"/>
    </xf>
    <xf borderId="35" fillId="0" fontId="12" numFmtId="0" xfId="0" applyAlignment="1" applyBorder="1" applyFont="1">
      <alignment horizontal="center" vertical="center"/>
    </xf>
    <xf borderId="43" fillId="36" fontId="19" numFmtId="0" xfId="0" applyAlignment="1" applyBorder="1" applyFill="1" applyFont="1">
      <alignment horizontal="center" readingOrder="0" vertical="center"/>
    </xf>
    <xf borderId="83" fillId="36" fontId="19" numFmtId="0" xfId="0" applyAlignment="1" applyBorder="1" applyFill="1" applyFont="1">
      <alignment horizontal="center" readingOrder="0" vertical="center"/>
    </xf>
    <xf borderId="35" fillId="0" fontId="12" numFmtId="1" xfId="0" applyAlignment="1" applyBorder="1" applyFont="1" applyNumberFormat="1">
      <alignment horizontal="center" vertical="center"/>
    </xf>
    <xf borderId="27" fillId="0" fontId="12" numFmtId="0" xfId="0" applyAlignment="1" applyBorder="1" applyFont="1">
      <alignment horizontal="center" vertical="center"/>
    </xf>
    <xf borderId="27" fillId="0" fontId="12" numFmtId="1" xfId="0" applyAlignment="1" applyBorder="1" applyFont="1" applyNumberFormat="1">
      <alignment horizontal="center" vertical="center"/>
    </xf>
    <xf borderId="28" fillId="0" fontId="12" numFmtId="0" xfId="0" applyAlignment="1" applyBorder="1" applyFont="1">
      <alignment horizontal="center" vertical="center"/>
    </xf>
    <xf borderId="10" fillId="81" fontId="37" numFmtId="0" xfId="0" applyAlignment="1" applyBorder="1" applyFill="1" applyFont="1">
      <alignment horizontal="center" readingOrder="0" vertical="center"/>
    </xf>
    <xf borderId="0" fillId="0" fontId="12" numFmtId="1" xfId="0" applyAlignment="1" applyFont="1" applyNumberFormat="1">
      <alignment horizontal="center" vertical="center"/>
    </xf>
    <xf borderId="0" fillId="38" fontId="60" numFmtId="0" xfId="0" applyFill="1" applyFont="1"/>
    <xf borderId="35" fillId="81" fontId="61" numFmtId="0" xfId="0" applyAlignment="1" applyBorder="1" applyFill="1" applyFont="1">
      <alignment horizontal="center" readingOrder="0" vertical="center"/>
    </xf>
    <xf borderId="61" fillId="0" fontId="57" numFmtId="0" xfId="0" applyAlignment="1" applyBorder="1" applyFont="1">
      <alignment horizontal="center" readingOrder="0" shrinkToFit="0" wrapText="0"/>
    </xf>
    <xf borderId="69" fillId="0" fontId="55" numFmtId="0" xfId="0" applyAlignment="1" applyBorder="1" applyFont="1">
      <alignment horizontal="center" readingOrder="0" vertical="bottom"/>
    </xf>
    <xf borderId="106" fillId="0" fontId="55" numFmtId="0" xfId="0" applyAlignment="1" applyBorder="1" applyFont="1">
      <alignment horizontal="center" readingOrder="0" vertical="bottom"/>
    </xf>
    <xf borderId="107" fillId="74" fontId="62" numFmtId="0" xfId="0" applyAlignment="1" applyBorder="1" applyFill="1" applyFont="1">
      <alignment horizontal="center" readingOrder="0" shrinkToFit="0" vertical="center" wrapText="1"/>
    </xf>
    <xf borderId="108" fillId="0" fontId="9" numFmtId="0" xfId="0" applyBorder="1" applyFont="1"/>
    <xf borderId="109" fillId="0" fontId="9" numFmtId="0" xfId="0" applyBorder="1" applyFont="1"/>
    <xf borderId="0" fillId="38" fontId="12" numFmtId="0" xfId="0" applyAlignment="1" applyFill="1" applyFont="1">
      <alignment horizontal="center" readingOrder="0" vertical="center"/>
    </xf>
    <xf borderId="75" fillId="7" fontId="62" numFmtId="0" xfId="0" applyAlignment="1" applyBorder="1" applyFill="1" applyFont="1">
      <alignment horizontal="center" readingOrder="0" shrinkToFit="0" vertical="center" wrapText="1"/>
    </xf>
    <xf borderId="0" fillId="38" fontId="12" numFmtId="0" xfId="0" applyAlignment="1" applyFill="1" applyFont="1">
      <alignment horizontal="center" vertical="center"/>
    </xf>
    <xf borderId="0" fillId="3" fontId="62" numFmtId="0" xfId="0" applyAlignment="1" applyFill="1" applyFont="1">
      <alignment horizontal="center" readingOrder="0" shrinkToFit="0" vertical="center" wrapText="0"/>
    </xf>
    <xf borderId="0" fillId="3" fontId="62" numFmtId="0" xfId="0" applyAlignment="1" applyFill="1" applyFont="1">
      <alignment horizontal="center" readingOrder="0" shrinkToFit="0" vertical="center" wrapText="1"/>
    </xf>
    <xf borderId="0" fillId="38" fontId="12" numFmtId="0" xfId="0" applyAlignment="1" applyFill="1" applyFont="1">
      <alignment horizontal="center" vertical="center"/>
    </xf>
    <xf borderId="0" fillId="3" fontId="63" numFmtId="0" xfId="0" applyAlignment="1" applyFill="1" applyFont="1">
      <alignment horizontal="center" readingOrder="0" shrinkToFit="0" vertical="center" wrapText="1"/>
    </xf>
    <xf borderId="110" fillId="5" fontId="63" numFmtId="0" xfId="0" applyAlignment="1" applyBorder="1" applyFill="1" applyFont="1">
      <alignment horizontal="center" readingOrder="0" shrinkToFit="0" vertical="center" wrapText="1"/>
    </xf>
    <xf borderId="111" fillId="0" fontId="9" numFmtId="0" xfId="0" applyBorder="1" applyFont="1"/>
    <xf borderId="112" fillId="0" fontId="9" numFmtId="0" xfId="0" applyBorder="1" applyFont="1"/>
    <xf borderId="72" fillId="0" fontId="55" numFmtId="0" xfId="0" applyAlignment="1" applyBorder="1" applyFont="1">
      <alignment horizontal="center" vertical="bottom"/>
    </xf>
    <xf borderId="47" fillId="0" fontId="55" numFmtId="0" xfId="0" applyAlignment="1" applyBorder="1" applyFont="1">
      <alignment horizontal="center" vertical="bottom"/>
    </xf>
    <xf borderId="64" fillId="0" fontId="12" numFmtId="0" xfId="0" applyAlignment="1" applyBorder="1" applyFont="1">
      <alignment horizontal="center" vertical="center"/>
    </xf>
    <xf borderId="10" fillId="0" fontId="12" numFmtId="0" xfId="0" applyAlignment="1" applyBorder="1" applyFont="1">
      <alignment horizontal="center" readingOrder="0" vertical="center"/>
    </xf>
    <xf borderId="50" fillId="2" fontId="24" numFmtId="0" xfId="0" applyAlignment="1" applyBorder="1" applyFill="1" applyFont="1">
      <alignment horizontal="center" readingOrder="0" vertical="center"/>
    </xf>
    <xf borderId="0" fillId="2" fontId="31" numFmtId="0" xfId="0" applyAlignment="1" applyFill="1" applyFont="1">
      <alignment horizontal="center" readingOrder="0"/>
    </xf>
    <xf borderId="104" fillId="38" fontId="31" numFmtId="0" xfId="0" applyAlignment="1" applyBorder="1" applyFill="1" applyFont="1">
      <alignment horizontal="center"/>
    </xf>
    <xf borderId="0" fillId="2" fontId="31" numFmtId="0" xfId="0" applyAlignment="1" applyFill="1" applyFont="1">
      <alignment horizontal="center"/>
    </xf>
    <xf borderId="25" fillId="4" fontId="2" numFmtId="0" xfId="0" applyAlignment="1" applyBorder="1" applyFill="1" applyFont="1">
      <alignment horizontal="center" readingOrder="0"/>
    </xf>
    <xf borderId="53" fillId="2" fontId="24" numFmtId="0" xfId="0" applyAlignment="1" applyBorder="1" applyFill="1" applyFont="1">
      <alignment horizontal="center" readingOrder="0" vertical="center"/>
    </xf>
    <xf borderId="72" fillId="0" fontId="55" numFmtId="0" xfId="0" applyAlignment="1" applyBorder="1" applyFont="1">
      <alignment horizontal="center" readingOrder="0" vertical="bottom"/>
    </xf>
    <xf borderId="47" fillId="0" fontId="55" numFmtId="0" xfId="0" applyAlignment="1" applyBorder="1" applyFont="1">
      <alignment horizontal="center" readingOrder="0" vertical="bottom"/>
    </xf>
    <xf borderId="64" fillId="0" fontId="12" numFmtId="0" xfId="0" applyAlignment="1" applyBorder="1" applyFont="1">
      <alignment horizontal="center" readingOrder="0" vertical="center"/>
    </xf>
    <xf borderId="106" fillId="0" fontId="55" numFmtId="0" xfId="0" applyAlignment="1" applyBorder="1" applyFont="1">
      <alignment horizontal="center" vertical="bottom"/>
    </xf>
    <xf borderId="69" fillId="0" fontId="55" numFmtId="0" xfId="0" applyAlignment="1" applyBorder="1" applyFont="1">
      <alignment horizontal="center" vertical="bottom"/>
    </xf>
    <xf borderId="60" fillId="0" fontId="12" numFmtId="0" xfId="0" applyAlignment="1" applyBorder="1" applyFont="1">
      <alignment horizontal="center" readingOrder="0" vertical="center"/>
    </xf>
    <xf borderId="53" fillId="4" fontId="19" numFmtId="0" xfId="0" applyAlignment="1" applyBorder="1" applyFill="1" applyFont="1">
      <alignment horizontal="center" readingOrder="0" vertical="center"/>
    </xf>
    <xf borderId="9" fillId="4" fontId="19" numFmtId="0" xfId="0" applyAlignment="1" applyBorder="1" applyFill="1" applyFont="1">
      <alignment horizontal="center" readingOrder="0" vertical="center"/>
    </xf>
    <xf borderId="0" fillId="38" fontId="28" numFmtId="0" xfId="0" applyAlignment="1" applyFill="1" applyFont="1">
      <alignment horizontal="center" vertical="center"/>
    </xf>
    <xf borderId="77" fillId="0" fontId="55" numFmtId="0" xfId="0" applyAlignment="1" applyBorder="1" applyFont="1">
      <alignment horizontal="center" vertical="bottom"/>
    </xf>
    <xf borderId="12" fillId="3" fontId="19" numFmtId="0" xfId="0" applyAlignment="1" applyBorder="1" applyFill="1" applyFont="1">
      <alignment horizontal="center" readingOrder="0" vertical="center"/>
    </xf>
    <xf borderId="0" fillId="2" fontId="19" numFmtId="0" xfId="0" applyAlignment="1" applyFill="1" applyFont="1">
      <alignment horizontal="center" readingOrder="0" vertical="center"/>
    </xf>
    <xf borderId="24" fillId="0" fontId="55" numFmtId="0" xfId="0" applyAlignment="1" applyBorder="1" applyFont="1">
      <alignment horizontal="center" vertical="bottom"/>
    </xf>
    <xf borderId="56" fillId="4" fontId="2" numFmtId="0" xfId="0" applyAlignment="1" applyBorder="1" applyFill="1" applyFont="1">
      <alignment horizontal="center" readingOrder="0" vertical="center"/>
    </xf>
    <xf borderId="75" fillId="4" fontId="2" numFmtId="0" xfId="0" applyAlignment="1" applyBorder="1" applyFill="1" applyFont="1">
      <alignment horizontal="center" readingOrder="0" vertical="center"/>
    </xf>
    <xf borderId="62" fillId="4" fontId="2" numFmtId="0" xfId="0" applyAlignment="1" applyBorder="1" applyFill="1" applyFont="1">
      <alignment horizontal="center" readingOrder="0" vertical="center"/>
    </xf>
    <xf borderId="100" fillId="4" fontId="2" numFmtId="0" xfId="0" applyAlignment="1" applyBorder="1" applyFill="1" applyFont="1">
      <alignment horizontal="center" readingOrder="0" vertical="center"/>
    </xf>
    <xf borderId="28" fillId="4" fontId="2" numFmtId="0" xfId="0" applyAlignment="1" applyBorder="1" applyFill="1" applyFont="1">
      <alignment horizontal="center" readingOrder="0" vertical="center"/>
    </xf>
    <xf borderId="15" fillId="4" fontId="2" numFmtId="0" xfId="0" applyAlignment="1" applyBorder="1" applyFill="1" applyFont="1">
      <alignment horizontal="center" readingOrder="0" vertical="center"/>
    </xf>
    <xf borderId="10" fillId="4" fontId="2" numFmtId="0" xfId="0" applyAlignment="1" applyBorder="1" applyFill="1" applyFont="1">
      <alignment horizontal="center" readingOrder="0" vertical="center"/>
    </xf>
    <xf borderId="11" fillId="4" fontId="2" numFmtId="0" xfId="0" applyAlignment="1" applyBorder="1" applyFill="1" applyFont="1">
      <alignment horizontal="center" readingOrder="0" vertical="center"/>
    </xf>
    <xf borderId="27" fillId="4" fontId="2" numFmtId="0" xfId="0" applyAlignment="1" applyBorder="1" applyFill="1" applyFont="1">
      <alignment horizontal="center" readingOrder="0" vertical="center"/>
    </xf>
    <xf borderId="113" fillId="4" fontId="2" numFmtId="0" xfId="0" applyAlignment="1" applyBorder="1" applyFill="1" applyFont="1">
      <alignment horizontal="center" readingOrder="0" vertical="center"/>
    </xf>
    <xf borderId="57" fillId="4" fontId="2" numFmtId="0" xfId="0" applyAlignment="1" applyBorder="1" applyFill="1" applyFont="1">
      <alignment horizontal="center" readingOrder="0" vertical="center"/>
    </xf>
    <xf borderId="114" fillId="4" fontId="2" numFmtId="0" xfId="0" applyAlignment="1" applyBorder="1" applyFill="1" applyFont="1">
      <alignment horizontal="center" readingOrder="0" vertical="center"/>
    </xf>
    <xf borderId="64" fillId="0" fontId="55" numFmtId="0" xfId="0" applyAlignment="1" applyBorder="1" applyFont="1">
      <alignment horizontal="center" vertical="bottom"/>
    </xf>
    <xf borderId="68" fillId="0" fontId="55" numFmtId="0" xfId="0" applyAlignment="1" applyBorder="1" applyFont="1">
      <alignment horizontal="center" vertical="bottom"/>
    </xf>
    <xf borderId="12" fillId="3" fontId="2" numFmtId="0" xfId="0" applyAlignment="1" applyBorder="1" applyFill="1" applyFont="1">
      <alignment horizontal="center" readingOrder="0" vertical="center"/>
    </xf>
    <xf borderId="115" fillId="4" fontId="19" numFmtId="0" xfId="0" applyAlignment="1" applyBorder="1" applyFill="1" applyFont="1">
      <alignment horizontal="center" textRotation="90" vertical="center"/>
    </xf>
    <xf borderId="62" fillId="5" fontId="2" numFmtId="0" xfId="0" applyAlignment="1" applyBorder="1" applyFill="1" applyFont="1">
      <alignment horizontal="center" vertical="center"/>
    </xf>
    <xf borderId="0" fillId="0" fontId="55" numFmtId="0" xfId="0" applyAlignment="1" applyFont="1">
      <alignment horizontal="center" vertical="bottom"/>
    </xf>
    <xf borderId="116" fillId="0" fontId="9" numFmtId="0" xfId="0" applyBorder="1" applyFont="1"/>
    <xf borderId="117" fillId="0" fontId="9" numFmtId="0" xfId="0" applyBorder="1" applyFont="1"/>
    <xf borderId="0" fillId="0" fontId="12" numFmtId="0" xfId="0" applyAlignment="1" applyFont="1">
      <alignment horizontal="center" vertical="center"/>
    </xf>
    <xf borderId="0" fillId="0" fontId="12" numFmtId="0" xfId="0" applyAlignment="1" applyFont="1">
      <alignment vertical="center"/>
    </xf>
    <xf borderId="62" fillId="5" fontId="2" numFmtId="1" xfId="0" applyAlignment="1" applyBorder="1" applyFill="1" applyFont="1" applyNumberFormat="1">
      <alignment horizontal="center" vertical="center"/>
    </xf>
    <xf borderId="0" fillId="54" fontId="6" numFmtId="0" xfId="0" applyAlignment="1" applyFill="1" applyFont="1">
      <alignment shrinkToFit="0" wrapText="0"/>
    </xf>
    <xf borderId="118" fillId="0" fontId="9" numFmtId="0" xfId="0" applyBorder="1" applyFont="1"/>
    <xf borderId="119" fillId="0" fontId="9" numFmtId="0" xfId="0" applyBorder="1" applyFont="1"/>
    <xf borderId="120" fillId="0" fontId="9" numFmtId="0" xfId="0" applyBorder="1" applyFont="1"/>
    <xf borderId="75" fillId="5" fontId="2" numFmtId="1" xfId="0" applyAlignment="1" applyBorder="1" applyFill="1" applyFont="1" applyNumberFormat="1">
      <alignment horizontal="center" vertical="center"/>
    </xf>
    <xf borderId="25" fillId="4" fontId="2" numFmtId="0" xfId="0" applyAlignment="1" applyBorder="1" applyFill="1" applyFont="1">
      <alignment horizontal="center" readingOrder="0" vertical="center"/>
    </xf>
    <xf borderId="15" fillId="5" fontId="2" numFmtId="0" xfId="0" applyAlignment="1" applyBorder="1" applyFill="1" applyFont="1">
      <alignment horizontal="center" vertical="center"/>
    </xf>
    <xf borderId="113" fillId="5" fontId="2" numFmtId="0" xfId="0" applyAlignment="1" applyBorder="1" applyFill="1" applyFont="1">
      <alignment horizontal="center" vertical="center"/>
    </xf>
    <xf borderId="114" fillId="5" fontId="2" numFmtId="0" xfId="0" applyAlignment="1" applyBorder="1" applyFill="1" applyFont="1">
      <alignment horizontal="center" vertical="center"/>
    </xf>
    <xf borderId="28" fillId="5" fontId="2" numFmtId="0" xfId="0" applyAlignment="1" applyBorder="1" applyFill="1" applyFont="1">
      <alignment horizontal="center" vertical="center"/>
    </xf>
    <xf borderId="27" fillId="5" fontId="2" numFmtId="0" xfId="0" applyAlignment="1" applyBorder="1" applyFill="1" applyFont="1">
      <alignment horizontal="center" readingOrder="0" vertical="center"/>
    </xf>
    <xf borderId="27" fillId="5" fontId="2" numFmtId="0" xfId="0" applyAlignment="1" applyBorder="1" applyFill="1" applyFont="1">
      <alignment horizontal="center" vertical="center"/>
    </xf>
    <xf borderId="25" fillId="5" fontId="2" numFmtId="0" xfId="0" applyAlignment="1" applyBorder="1" applyFill="1" applyFont="1">
      <alignment horizontal="center" readingOrder="0" shrinkToFit="0" vertical="center" wrapText="0"/>
    </xf>
    <xf borderId="27" fillId="5" fontId="2" numFmtId="0" xfId="0" applyAlignment="1" applyBorder="1" applyFill="1" applyFont="1">
      <alignment horizontal="center" readingOrder="0" shrinkToFit="0" vertical="center" wrapText="0"/>
    </xf>
    <xf borderId="28" fillId="5" fontId="2" numFmtId="0" xfId="0" applyAlignment="1" applyBorder="1" applyFill="1" applyFont="1">
      <alignment horizontal="center" readingOrder="0" shrinkToFit="0" vertical="center" wrapText="0"/>
    </xf>
    <xf borderId="55" fillId="5" fontId="2" numFmtId="0" xfId="0" applyAlignment="1" applyBorder="1" applyFill="1" applyFont="1">
      <alignment horizontal="center" vertical="center"/>
    </xf>
    <xf borderId="57" fillId="5" fontId="2" numFmtId="0" xfId="0" applyAlignment="1" applyBorder="1" applyFill="1" applyFont="1">
      <alignment horizontal="center" vertical="center"/>
    </xf>
    <xf borderId="42" fillId="5" fontId="2" numFmtId="0" xfId="0" applyAlignment="1" applyBorder="1" applyFill="1" applyFont="1">
      <alignment horizontal="center" vertical="center"/>
    </xf>
    <xf borderId="29" fillId="4" fontId="2" numFmtId="0" xfId="0" applyAlignment="1" applyBorder="1" applyFill="1" applyFont="1">
      <alignment horizontal="center" readingOrder="0" vertical="center"/>
    </xf>
    <xf borderId="101" fillId="5" fontId="2" numFmtId="0" xfId="0" applyAlignment="1" applyBorder="1" applyFill="1" applyFont="1">
      <alignment horizontal="center" vertical="center"/>
    </xf>
    <xf borderId="104" fillId="5" fontId="2" numFmtId="0" xfId="0" applyAlignment="1" applyBorder="1" applyFill="1" applyFont="1">
      <alignment horizontal="center" vertical="center"/>
    </xf>
    <xf borderId="42" fillId="5" fontId="2" numFmtId="0" xfId="0" applyAlignment="1" applyBorder="1" applyFill="1" applyFont="1">
      <alignment horizontal="center" readingOrder="0" vertical="center"/>
    </xf>
    <xf borderId="30" fillId="5" fontId="2" numFmtId="0" xfId="0" applyAlignment="1" applyBorder="1" applyFill="1" applyFont="1">
      <alignment horizontal="center" vertical="center"/>
    </xf>
    <xf borderId="0" fillId="5" fontId="2" numFmtId="0" xfId="0" applyAlignment="1" applyFill="1" applyFont="1">
      <alignment horizontal="center" vertical="center"/>
    </xf>
    <xf borderId="29" fillId="5" fontId="2" numFmtId="0" xfId="0" applyAlignment="1" applyBorder="1" applyFill="1" applyFont="1">
      <alignment horizontal="center" readingOrder="0" shrinkToFit="0" vertical="center" wrapText="0"/>
    </xf>
    <xf borderId="0" fillId="5" fontId="2" numFmtId="0" xfId="0" applyAlignment="1" applyFill="1" applyFont="1">
      <alignment horizontal="center" readingOrder="0" shrinkToFit="0" vertical="center" wrapText="0"/>
    </xf>
    <xf borderId="30" fillId="5" fontId="2" numFmtId="0" xfId="0" applyAlignment="1" applyBorder="1" applyFill="1" applyFont="1">
      <alignment horizontal="center" readingOrder="0" shrinkToFit="0" vertical="center" wrapText="0"/>
    </xf>
    <xf borderId="60" fillId="5" fontId="2" numFmtId="0" xfId="0" applyAlignment="1" applyBorder="1" applyFill="1" applyFont="1">
      <alignment horizontal="center" vertical="center"/>
    </xf>
    <xf borderId="59" fillId="5" fontId="2" numFmtId="0" xfId="0" applyAlignment="1" applyBorder="1" applyFill="1" applyFont="1">
      <alignment horizontal="center" vertical="center"/>
    </xf>
    <xf borderId="101" fillId="0" fontId="58" numFmtId="0" xfId="0" applyAlignment="1" applyBorder="1" applyFont="1">
      <alignment horizontal="center" vertical="bottom"/>
    </xf>
    <xf borderId="75" fillId="5" fontId="2" numFmtId="0" xfId="0" applyAlignment="1" applyBorder="1" applyFill="1" applyFont="1">
      <alignment horizontal="center" vertical="center"/>
    </xf>
    <xf borderId="34" fillId="4" fontId="2" numFmtId="0" xfId="0" applyAlignment="1" applyBorder="1" applyFill="1" applyFont="1">
      <alignment horizontal="center" readingOrder="0" vertical="center"/>
    </xf>
    <xf borderId="99" fillId="5" fontId="2" numFmtId="0" xfId="0" applyAlignment="1" applyBorder="1" applyFill="1" applyFont="1">
      <alignment horizontal="center" vertical="center"/>
    </xf>
    <xf borderId="67" fillId="5" fontId="2" numFmtId="0" xfId="0" applyAlignment="1" applyBorder="1" applyFill="1" applyFont="1">
      <alignment horizontal="center" vertical="center"/>
    </xf>
    <xf borderId="66" fillId="5" fontId="2" numFmtId="0" xfId="0" applyAlignment="1" applyBorder="1" applyFill="1" applyFont="1">
      <alignment horizontal="center" vertical="center"/>
    </xf>
    <xf borderId="36" fillId="5" fontId="2" numFmtId="0" xfId="0" applyAlignment="1" applyBorder="1" applyFill="1" applyFont="1">
      <alignment horizontal="center" vertical="center"/>
    </xf>
    <xf borderId="35" fillId="5" fontId="2" numFmtId="0" xfId="0" applyAlignment="1" applyBorder="1" applyFill="1" applyFont="1">
      <alignment horizontal="center" vertical="center"/>
    </xf>
    <xf borderId="34" fillId="5" fontId="2" numFmtId="0" xfId="0" applyAlignment="1" applyBorder="1" applyFill="1" applyFont="1">
      <alignment horizontal="center" readingOrder="0" shrinkToFit="0" vertical="center" wrapText="0"/>
    </xf>
    <xf borderId="35" fillId="5" fontId="2" numFmtId="0" xfId="0" applyAlignment="1" applyBorder="1" applyFill="1" applyFont="1">
      <alignment horizontal="center" readingOrder="0" shrinkToFit="0" vertical="center" wrapText="0"/>
    </xf>
    <xf borderId="36" fillId="5" fontId="2" numFmtId="0" xfId="0" applyAlignment="1" applyBorder="1" applyFill="1" applyFont="1">
      <alignment horizontal="center" readingOrder="0" shrinkToFit="0" vertical="center" wrapText="0"/>
    </xf>
    <xf borderId="64" fillId="5" fontId="2" numFmtId="0" xfId="0" applyAlignment="1" applyBorder="1" applyFill="1" applyFont="1">
      <alignment horizontal="center" vertical="center"/>
    </xf>
    <xf borderId="65" fillId="5" fontId="2" numFmtId="0" xfId="0" applyAlignment="1" applyBorder="1" applyFill="1" applyFont="1">
      <alignment horizontal="center" vertical="center"/>
    </xf>
    <xf borderId="9" fillId="80" fontId="8" numFmtId="0" xfId="0" applyAlignment="1" applyBorder="1" applyFill="1" applyFont="1">
      <alignment horizontal="center" readingOrder="0" vertical="center"/>
    </xf>
    <xf borderId="0" fillId="3" fontId="2" numFmtId="0" xfId="0" applyAlignment="1" applyFill="1" applyFont="1">
      <alignment horizontal="center" readingOrder="0" shrinkToFit="0" vertical="center" wrapText="0"/>
    </xf>
    <xf borderId="62" fillId="38" fontId="28" numFmtId="0" xfId="0" applyAlignment="1" applyBorder="1" applyFill="1" applyFont="1">
      <alignment horizontal="center" vertical="center"/>
    </xf>
    <xf borderId="0" fillId="65" fontId="13" numFmtId="0" xfId="0" applyAlignment="1" applyFill="1" applyFont="1">
      <alignment horizontal="center" vertical="center"/>
    </xf>
    <xf borderId="0" fillId="66" fontId="38" numFmtId="0" xfId="0" applyAlignment="1" applyFill="1" applyFont="1">
      <alignment horizontal="left" vertical="center"/>
    </xf>
    <xf borderId="69" fillId="46" fontId="2" numFmtId="0" xfId="0" applyAlignment="1" applyBorder="1" applyFill="1" applyFont="1">
      <alignment horizontal="center" readingOrder="0" vertical="center"/>
    </xf>
    <xf borderId="53" fillId="46" fontId="2" numFmtId="0" xfId="0" applyAlignment="1" applyBorder="1" applyFill="1" applyFont="1">
      <alignment horizontal="center" readingOrder="0" vertical="center"/>
    </xf>
    <xf borderId="53" fillId="46" fontId="2" numFmtId="0" xfId="0" applyAlignment="1" applyBorder="1" applyFill="1" applyFont="1">
      <alignment horizontal="center" vertical="center"/>
    </xf>
    <xf borderId="0" fillId="3" fontId="42" numFmtId="0" xfId="0" applyAlignment="1" applyFill="1" applyFont="1">
      <alignment horizontal="left" vertical="center"/>
    </xf>
    <xf borderId="0" fillId="3" fontId="42" numFmtId="0" xfId="0" applyAlignment="1" applyFill="1" applyFont="1">
      <alignment horizontal="center" vertical="center"/>
    </xf>
    <xf borderId="70" fillId="46" fontId="2" numFmtId="0" xfId="0" applyAlignment="1" applyBorder="1" applyFill="1" applyFont="1">
      <alignment horizontal="center" readingOrder="0" vertical="center"/>
    </xf>
    <xf borderId="56" fillId="46" fontId="2" numFmtId="0" xfId="0" applyAlignment="1" applyBorder="1" applyFill="1" applyFont="1">
      <alignment horizontal="center" readingOrder="0" vertical="center"/>
    </xf>
    <xf borderId="71" fillId="46" fontId="2" numFmtId="0" xfId="0" applyAlignment="1" applyBorder="1" applyFill="1" applyFont="1">
      <alignment horizontal="center" readingOrder="0" vertical="center"/>
    </xf>
    <xf borderId="50" fillId="46" fontId="2" numFmtId="0" xfId="0" applyAlignment="1" applyBorder="1" applyFill="1" applyFont="1">
      <alignment horizontal="center" readingOrder="0" vertical="center"/>
    </xf>
    <xf borderId="62" fillId="0" fontId="12" numFmtId="0" xfId="0" applyAlignment="1" applyBorder="1" applyFont="1">
      <alignment horizontal="center" vertical="center"/>
    </xf>
    <xf borderId="71" fillId="46" fontId="4" numFmtId="0" xfId="0" applyAlignment="1" applyBorder="1" applyFill="1" applyFont="1">
      <alignment horizontal="center" readingOrder="0" vertical="center"/>
    </xf>
    <xf borderId="50" fillId="46" fontId="2" numFmtId="0" xfId="0" applyAlignment="1" applyBorder="1" applyFill="1" applyFont="1">
      <alignment horizontal="center" vertical="center"/>
    </xf>
    <xf borderId="61" fillId="0" fontId="57" numFmtId="165" xfId="0" applyAlignment="1" applyBorder="1" applyFont="1" applyNumberFormat="1">
      <alignment horizontal="center"/>
    </xf>
    <xf borderId="77" fillId="80" fontId="36" numFmtId="0" xfId="0" applyAlignment="1" applyBorder="1" applyFill="1" applyFont="1">
      <alignment horizontal="center" readingOrder="0" shrinkToFit="0" wrapText="0"/>
    </xf>
    <xf borderId="37" fillId="80" fontId="36" numFmtId="0" xfId="0" applyAlignment="1" applyBorder="1" applyFill="1" applyFont="1">
      <alignment horizontal="center" readingOrder="0" shrinkToFit="0" wrapText="0"/>
    </xf>
    <xf borderId="64" fillId="80" fontId="36" numFmtId="0" xfId="0" applyAlignment="1" applyBorder="1" applyFill="1" applyFont="1">
      <alignment horizontal="center" shrinkToFit="0" wrapText="0"/>
    </xf>
    <xf borderId="35" fillId="80" fontId="36" numFmtId="0" xfId="0" applyAlignment="1" applyBorder="1" applyFill="1" applyFont="1">
      <alignment horizontal="center" readingOrder="0" shrinkToFit="0" wrapText="0"/>
    </xf>
    <xf borderId="34" fillId="80" fontId="36" numFmtId="0" xfId="0" applyAlignment="1" applyBorder="1" applyFill="1" applyFont="1">
      <alignment horizontal="center" shrinkToFit="0" wrapText="0"/>
    </xf>
    <xf borderId="67" fillId="80" fontId="36" numFmtId="0" xfId="0" applyAlignment="1" applyBorder="1" applyFill="1" applyFont="1">
      <alignment horizontal="center" shrinkToFit="0" wrapText="0"/>
    </xf>
    <xf borderId="36" fillId="80" fontId="36" numFmtId="0" xfId="0" applyAlignment="1" applyBorder="1" applyFill="1" applyFont="1">
      <alignment horizontal="center" shrinkToFit="0" wrapText="0"/>
    </xf>
    <xf borderId="64" fillId="80" fontId="36" numFmtId="0" xfId="0" applyAlignment="1" applyBorder="1" applyFill="1" applyFont="1">
      <alignment horizontal="center" shrinkToFit="0" wrapText="0"/>
    </xf>
    <xf borderId="0" fillId="3" fontId="6" numFmtId="0" xfId="0" applyFill="1" applyFont="1"/>
    <xf borderId="35" fillId="80" fontId="36" numFmtId="0" xfId="0" applyAlignment="1" applyBorder="1" applyFill="1" applyFont="1">
      <alignment horizontal="center" readingOrder="0" shrinkToFit="0" wrapText="0"/>
    </xf>
    <xf borderId="0" fillId="3" fontId="43" numFmtId="0" xfId="0" applyFill="1" applyFont="1"/>
    <xf borderId="34" fillId="80" fontId="36" numFmtId="0" xfId="0" applyAlignment="1" applyBorder="1" applyFill="1" applyFont="1">
      <alignment horizontal="center" shrinkToFit="0" wrapText="0"/>
    </xf>
    <xf borderId="67" fillId="80" fontId="36" numFmtId="0" xfId="0" applyAlignment="1" applyBorder="1" applyFill="1" applyFont="1">
      <alignment horizontal="center" shrinkToFit="0" wrapText="0"/>
    </xf>
    <xf borderId="36" fillId="80" fontId="36" numFmtId="0" xfId="0" applyAlignment="1" applyBorder="1" applyFill="1" applyFont="1">
      <alignment horizontal="center" shrinkToFit="0" wrapText="0"/>
    </xf>
    <xf borderId="53" fillId="46" fontId="2" numFmtId="0" xfId="0" applyAlignment="1" applyBorder="1" applyFill="1" applyFont="1">
      <alignment horizontal="center" readingOrder="0" vertical="center"/>
    </xf>
    <xf borderId="53" fillId="46" fontId="2" numFmtId="0" xfId="0" applyAlignment="1" applyBorder="1" applyFill="1" applyFont="1">
      <alignment horizontal="center" vertical="center"/>
    </xf>
    <xf borderId="69" fillId="46" fontId="2" numFmtId="0" xfId="0" applyAlignment="1" applyBorder="1" applyFill="1" applyFont="1">
      <alignment horizontal="center" readingOrder="0" vertical="center"/>
    </xf>
    <xf borderId="56" fillId="46" fontId="2" numFmtId="0" xfId="0" applyAlignment="1" applyBorder="1" applyFill="1" applyFont="1">
      <alignment horizontal="center" readingOrder="0" vertical="center"/>
    </xf>
    <xf borderId="70" fillId="46" fontId="2" numFmtId="0" xfId="0" applyAlignment="1" applyBorder="1" applyFill="1" applyFont="1">
      <alignment horizontal="center" readingOrder="0" vertical="center"/>
    </xf>
    <xf borderId="61" fillId="0" fontId="57" numFmtId="0" xfId="0" applyAlignment="1" applyBorder="1" applyFont="1">
      <alignment horizontal="center" shrinkToFit="0" wrapText="0"/>
    </xf>
    <xf borderId="25" fillId="5" fontId="2" numFmtId="0" xfId="0" applyAlignment="1" applyBorder="1" applyFill="1" applyFont="1">
      <alignment horizontal="center" vertical="center"/>
    </xf>
    <xf borderId="29" fillId="5" fontId="2" numFmtId="0" xfId="0" applyAlignment="1" applyBorder="1" applyFill="1" applyFont="1">
      <alignment horizontal="center" vertical="center"/>
    </xf>
    <xf borderId="50" fillId="46" fontId="2" numFmtId="0" xfId="0" applyAlignment="1" applyBorder="1" applyFill="1" applyFont="1">
      <alignment horizontal="center" readingOrder="0" vertical="center"/>
    </xf>
    <xf borderId="71" fillId="46" fontId="2" numFmtId="0" xfId="0" applyAlignment="1" applyBorder="1" applyFill="1" applyFont="1">
      <alignment horizontal="center" readingOrder="0" vertical="center"/>
    </xf>
    <xf borderId="75" fillId="38" fontId="28" numFmtId="0" xfId="0" applyAlignment="1" applyBorder="1" applyFill="1" applyFont="1">
      <alignment horizontal="center" vertical="center"/>
    </xf>
    <xf borderId="53" fillId="38" fontId="28" numFmtId="0" xfId="0" applyAlignment="1" applyBorder="1" applyFill="1" applyFont="1">
      <alignment horizontal="center" vertical="center"/>
    </xf>
    <xf borderId="56" fillId="38" fontId="28" numFmtId="0" xfId="0" applyAlignment="1" applyBorder="1" applyFill="1" applyFont="1">
      <alignment horizontal="center" vertical="center"/>
    </xf>
    <xf borderId="71" fillId="46" fontId="4" numFmtId="0" xfId="0" applyAlignment="1" applyBorder="1" applyFill="1" applyFont="1">
      <alignment horizontal="center" readingOrder="0" vertical="center"/>
    </xf>
    <xf borderId="37" fillId="80" fontId="36" numFmtId="0" xfId="0" applyAlignment="1" applyBorder="1" applyFill="1" applyFont="1">
      <alignment horizontal="center" readingOrder="0" shrinkToFit="0" wrapText="0"/>
    </xf>
    <xf borderId="77" fillId="80" fontId="36" numFmtId="0" xfId="0" applyAlignment="1" applyBorder="1" applyFill="1" applyFont="1">
      <alignment horizontal="center" readingOrder="0" shrinkToFit="0" wrapText="0"/>
    </xf>
    <xf borderId="34" fillId="5" fontId="2" numFmtId="0" xfId="0" applyAlignment="1" applyBorder="1" applyFill="1" applyFont="1">
      <alignment horizontal="center" vertical="center"/>
    </xf>
    <xf borderId="67" fillId="80" fontId="36" numFmtId="0" xfId="0" applyAlignment="1" applyBorder="1" applyFill="1" applyFont="1">
      <alignment horizontal="center" readingOrder="0" shrinkToFit="0" wrapText="0"/>
    </xf>
    <xf borderId="36" fillId="80" fontId="36" numFmtId="0" xfId="0" applyAlignment="1" applyBorder="1" applyFill="1" applyFont="1">
      <alignment horizontal="center" readingOrder="0" shrinkToFit="0" wrapText="0"/>
    </xf>
    <xf borderId="0" fillId="3" fontId="38" numFmtId="0" xfId="0" applyAlignment="1" applyFill="1" applyFont="1">
      <alignment horizontal="left" vertical="center"/>
    </xf>
    <xf borderId="50" fillId="46" fontId="2" numFmtId="0" xfId="0" applyAlignment="1" applyBorder="1" applyFill="1" applyFont="1">
      <alignment horizontal="center" vertical="center"/>
    </xf>
    <xf borderId="0" fillId="0" fontId="64" numFmtId="0" xfId="0" applyAlignment="1" applyFont="1">
      <alignment horizontal="center" shrinkToFit="0" vertical="center" wrapText="0"/>
    </xf>
    <xf borderId="69" fillId="0" fontId="64" numFmtId="49" xfId="0" applyAlignment="1" applyBorder="1" applyFont="1" applyNumberFormat="1">
      <alignment horizontal="center" readingOrder="0" shrinkToFit="0" vertical="center" wrapText="0"/>
    </xf>
    <xf borderId="63" fillId="0" fontId="64" numFmtId="0" xfId="0" applyAlignment="1" applyBorder="1" applyFont="1">
      <alignment horizontal="center" readingOrder="0" shrinkToFit="0" vertical="center" wrapText="0"/>
    </xf>
    <xf borderId="80" fillId="0" fontId="64" numFmtId="0" xfId="0" applyAlignment="1" applyBorder="1" applyFont="1">
      <alignment horizontal="center" readingOrder="0" shrinkToFit="0" vertical="center" wrapText="0"/>
    </xf>
    <xf borderId="106" fillId="0" fontId="64" numFmtId="0" xfId="0" applyAlignment="1" applyBorder="1" applyFont="1">
      <alignment horizontal="center" readingOrder="0" shrinkToFit="0" vertical="center" wrapText="0"/>
    </xf>
    <xf borderId="0" fillId="0" fontId="64" numFmtId="0" xfId="0" applyAlignment="1" applyFont="1">
      <alignment horizontal="center" readingOrder="0" shrinkToFit="0" vertical="center" wrapText="0"/>
    </xf>
    <xf borderId="69" fillId="38" fontId="64" numFmtId="0" xfId="0" applyAlignment="1" applyBorder="1" applyFill="1" applyFont="1">
      <alignment horizontal="center" readingOrder="0" shrinkToFit="0" vertical="center" wrapText="0"/>
    </xf>
    <xf borderId="81" fillId="38" fontId="65" numFmtId="0" xfId="0" applyAlignment="1" applyBorder="1" applyFill="1" applyFont="1">
      <alignment horizontal="center" readingOrder="0" shrinkToFit="0" vertical="center" wrapText="0"/>
    </xf>
    <xf borderId="53" fillId="0" fontId="65" numFmtId="0" xfId="0" applyAlignment="1" applyBorder="1" applyFont="1">
      <alignment horizontal="left" readingOrder="0" shrinkToFit="0" vertical="center" wrapText="0"/>
    </xf>
    <xf borderId="81" fillId="0" fontId="64" numFmtId="0" xfId="0" applyAlignment="1" applyBorder="1" applyFont="1">
      <alignment horizontal="center" readingOrder="0" shrinkToFit="0" vertical="center" wrapText="0"/>
    </xf>
    <xf borderId="54" fillId="0" fontId="64" numFmtId="0" xfId="0" applyAlignment="1" applyBorder="1" applyFont="1">
      <alignment horizontal="center" readingOrder="0" shrinkToFit="0" vertical="center" wrapText="0"/>
    </xf>
    <xf borderId="70" fillId="0" fontId="65" numFmtId="0" xfId="0" applyAlignment="1" applyBorder="1" applyFont="1">
      <alignment horizontal="center" readingOrder="0" shrinkToFit="0" vertical="center" wrapText="0"/>
    </xf>
    <xf borderId="33" fillId="0" fontId="65" numFmtId="0" xfId="0" applyAlignment="1" applyBorder="1" applyFont="1">
      <alignment horizontal="center" readingOrder="0" shrinkToFit="0" vertical="center" wrapText="0"/>
    </xf>
    <xf borderId="0" fillId="0" fontId="12" numFmtId="0" xfId="0" applyAlignment="1" applyFont="1">
      <alignment horizontal="center" shrinkToFit="0" vertical="center" wrapText="0"/>
    </xf>
    <xf borderId="71" fillId="0" fontId="18" numFmtId="49" xfId="0" applyAlignment="1" applyBorder="1" applyFont="1" applyNumberFormat="1">
      <alignment horizontal="center"/>
    </xf>
    <xf borderId="115" fillId="0" fontId="66" numFmtId="0" xfId="0" applyAlignment="1" applyBorder="1" applyFont="1">
      <alignment horizontal="center"/>
    </xf>
    <xf borderId="51" fillId="0" fontId="66" numFmtId="0" xfId="0" applyAlignment="1" applyBorder="1" applyFont="1">
      <alignment horizontal="center"/>
    </xf>
    <xf borderId="30" fillId="0" fontId="18" numFmtId="0" xfId="0" applyBorder="1" applyFont="1"/>
    <xf borderId="115" fillId="81" fontId="18" numFmtId="0" xfId="0" applyBorder="1" applyFill="1" applyFont="1"/>
    <xf borderId="115" fillId="81" fontId="66" numFmtId="0" xfId="0" applyAlignment="1" applyBorder="1" applyFill="1" applyFont="1">
      <alignment horizontal="center"/>
    </xf>
    <xf borderId="115" fillId="0" fontId="18" numFmtId="0" xfId="0" applyAlignment="1" applyBorder="1" applyFont="1">
      <alignment horizontal="center"/>
    </xf>
    <xf borderId="60" fillId="0" fontId="2" numFmtId="0" xfId="0" applyAlignment="1" applyBorder="1" applyFont="1">
      <alignment horizontal="center" readingOrder="0" shrinkToFit="0" vertical="center" wrapText="0"/>
    </xf>
    <xf borderId="30" fillId="0" fontId="2" numFmtId="0" xfId="0" applyAlignment="1" applyBorder="1" applyFont="1">
      <alignment horizontal="center" readingOrder="0" shrinkToFit="0" vertical="center" wrapText="0"/>
    </xf>
    <xf borderId="60" fillId="0" fontId="58" numFmtId="49" xfId="0" applyAlignment="1" applyBorder="1" applyFont="1" applyNumberFormat="1">
      <alignment horizontal="center"/>
    </xf>
    <xf borderId="101" fillId="0" fontId="67" numFmtId="0" xfId="0" applyAlignment="1" applyBorder="1" applyFont="1">
      <alignment horizontal="center"/>
    </xf>
    <xf borderId="30" fillId="0" fontId="67" numFmtId="0" xfId="0" applyAlignment="1" applyBorder="1" applyFont="1">
      <alignment horizontal="center"/>
    </xf>
    <xf borderId="101" fillId="81" fontId="18" numFmtId="0" xfId="0" applyBorder="1" applyFill="1" applyFont="1"/>
    <xf borderId="101" fillId="81" fontId="66" numFmtId="0" xfId="0" applyAlignment="1" applyBorder="1" applyFill="1" applyFont="1">
      <alignment horizontal="center"/>
    </xf>
    <xf borderId="101" fillId="0" fontId="67" numFmtId="0" xfId="0" applyBorder="1" applyFont="1"/>
    <xf borderId="101" fillId="83" fontId="68" numFmtId="0" xfId="0" applyAlignment="1" applyBorder="1" applyFill="1" applyFont="1">
      <alignment horizontal="center"/>
    </xf>
    <xf borderId="101" fillId="84" fontId="68" numFmtId="0" xfId="0" applyAlignment="1" applyBorder="1" applyFill="1" applyFont="1">
      <alignment horizontal="center"/>
    </xf>
    <xf borderId="101" fillId="0" fontId="58" numFmtId="0" xfId="0" applyAlignment="1" applyBorder="1" applyFont="1">
      <alignment horizontal="center"/>
    </xf>
    <xf borderId="0" fillId="3" fontId="19" numFmtId="0" xfId="0" applyAlignment="1" applyFill="1" applyFont="1">
      <alignment horizontal="center" textRotation="90" vertical="center"/>
    </xf>
    <xf borderId="18" fillId="3" fontId="9" numFmtId="0" xfId="0" applyBorder="1" applyFill="1" applyFont="1"/>
    <xf borderId="0" fillId="2" fontId="9" numFmtId="0" xfId="0" applyFill="1" applyFont="1"/>
    <xf borderId="101" fillId="0" fontId="66" numFmtId="0" xfId="0" applyAlignment="1" applyBorder="1" applyFont="1">
      <alignment horizontal="center"/>
    </xf>
    <xf borderId="101" fillId="0" fontId="18" numFmtId="0" xfId="0" applyBorder="1" applyFont="1"/>
    <xf borderId="30" fillId="0" fontId="66" numFmtId="0" xfId="0" applyAlignment="1" applyBorder="1" applyFont="1">
      <alignment horizontal="center"/>
    </xf>
    <xf borderId="60" fillId="0" fontId="2" numFmtId="0" xfId="0" applyAlignment="1" applyBorder="1" applyFont="1">
      <alignment horizontal="center" shrinkToFit="0" vertical="center" wrapText="0"/>
    </xf>
    <xf borderId="30" fillId="0" fontId="2" numFmtId="0" xfId="0" applyAlignment="1" applyBorder="1" applyFont="1">
      <alignment horizontal="center" shrinkToFit="0" vertical="center" wrapText="0"/>
    </xf>
    <xf borderId="101" fillId="85" fontId="68" numFmtId="0" xfId="0" applyAlignment="1" applyBorder="1" applyFill="1" applyFont="1">
      <alignment horizontal="center"/>
    </xf>
    <xf borderId="101" fillId="0" fontId="67" numFmtId="0" xfId="0" applyBorder="1" applyFont="1"/>
    <xf borderId="101" fillId="86" fontId="68" numFmtId="0" xfId="0" applyAlignment="1" applyBorder="1" applyFill="1" applyFont="1">
      <alignment horizontal="center"/>
    </xf>
    <xf borderId="101" fillId="87" fontId="68" numFmtId="0" xfId="0" applyAlignment="1" applyBorder="1" applyFill="1" applyFont="1">
      <alignment horizontal="center"/>
    </xf>
    <xf borderId="101" fillId="88" fontId="68" numFmtId="0" xfId="0" applyAlignment="1" applyBorder="1" applyFill="1" applyFont="1">
      <alignment horizontal="center"/>
    </xf>
    <xf borderId="0" fillId="0" fontId="12" numFmtId="0" xfId="0" applyAlignment="1" applyFont="1">
      <alignment horizontal="center" readingOrder="0" shrinkToFit="0" vertical="center" wrapText="0"/>
    </xf>
    <xf borderId="101" fillId="0" fontId="66" numFmtId="0" xfId="0" applyAlignment="1" applyBorder="1" applyFont="1">
      <alignment horizontal="center"/>
    </xf>
    <xf borderId="30" fillId="0" fontId="66" numFmtId="0" xfId="0" applyAlignment="1" applyBorder="1" applyFont="1">
      <alignment horizontal="center"/>
    </xf>
    <xf borderId="30" fillId="0" fontId="67" numFmtId="0" xfId="0" applyAlignment="1" applyBorder="1" applyFont="1">
      <alignment horizontal="center"/>
    </xf>
    <xf borderId="101" fillId="89" fontId="68" numFmtId="0" xfId="0" applyAlignment="1" applyBorder="1" applyFill="1" applyFont="1">
      <alignment horizontal="center"/>
    </xf>
    <xf borderId="101" fillId="90" fontId="68" numFmtId="0" xfId="0" applyAlignment="1" applyBorder="1" applyFill="1" applyFont="1">
      <alignment horizontal="center"/>
    </xf>
    <xf borderId="101" fillId="91" fontId="68" numFmtId="0" xfId="0" applyAlignment="1" applyBorder="1" applyFill="1" applyFont="1">
      <alignment horizontal="center"/>
    </xf>
    <xf borderId="101" fillId="92" fontId="68" numFmtId="0" xfId="0" applyAlignment="1" applyBorder="1" applyFill="1" applyFont="1">
      <alignment horizontal="center"/>
    </xf>
    <xf borderId="101" fillId="0" fontId="67" numFmtId="0" xfId="0" applyAlignment="1" applyBorder="1" applyFont="1">
      <alignment horizontal="center"/>
    </xf>
    <xf borderId="101" fillId="92" fontId="68" numFmtId="0" xfId="0" applyAlignment="1" applyBorder="1" applyFill="1" applyFont="1">
      <alignment horizontal="center"/>
    </xf>
    <xf borderId="101" fillId="0" fontId="18" numFmtId="0" xfId="0" applyBorder="1" applyFont="1"/>
    <xf borderId="101" fillId="0" fontId="58" numFmtId="0" xfId="0" applyAlignment="1" applyBorder="1" applyFont="1">
      <alignment horizontal="center"/>
    </xf>
    <xf borderId="101" fillId="93" fontId="68" numFmtId="0" xfId="0" applyAlignment="1" applyBorder="1" applyFill="1" applyFont="1">
      <alignment horizontal="center"/>
    </xf>
    <xf borderId="101" fillId="94" fontId="68" numFmtId="0" xfId="0" applyAlignment="1" applyBorder="1" applyFill="1" applyFont="1">
      <alignment horizontal="center"/>
    </xf>
    <xf borderId="101" fillId="95" fontId="68" numFmtId="0" xfId="0" applyAlignment="1" applyBorder="1" applyFill="1" applyFont="1">
      <alignment horizontal="center"/>
    </xf>
    <xf borderId="101" fillId="96" fontId="68" numFmtId="0" xfId="0" applyAlignment="1" applyBorder="1" applyFill="1" applyFont="1">
      <alignment horizontal="center"/>
    </xf>
    <xf borderId="69" fillId="46" fontId="2" numFmtId="0" xfId="0" applyAlignment="1" applyBorder="1" applyFill="1" applyFont="1">
      <alignment horizontal="center" vertical="center"/>
    </xf>
    <xf borderId="101" fillId="97" fontId="68" numFmtId="0" xfId="0" applyAlignment="1" applyBorder="1" applyFill="1" applyFont="1">
      <alignment horizontal="center"/>
    </xf>
    <xf borderId="101" fillId="85" fontId="68" numFmtId="0" xfId="0" applyAlignment="1" applyBorder="1" applyFill="1" applyFont="1">
      <alignment horizontal="center"/>
    </xf>
    <xf borderId="70" fillId="46" fontId="2" numFmtId="0" xfId="0" applyAlignment="1" applyBorder="1" applyFill="1" applyFont="1">
      <alignment horizontal="center" vertical="center"/>
    </xf>
    <xf borderId="101" fillId="84" fontId="68" numFmtId="0" xfId="0" applyAlignment="1" applyBorder="1" applyFill="1" applyFont="1">
      <alignment horizontal="center"/>
    </xf>
    <xf borderId="101" fillId="86" fontId="68" numFmtId="0" xfId="0" applyAlignment="1" applyBorder="1" applyFill="1" applyFont="1">
      <alignment horizontal="center"/>
    </xf>
    <xf borderId="71" fillId="46" fontId="2" numFmtId="0" xfId="0" applyAlignment="1" applyBorder="1" applyFill="1" applyFont="1">
      <alignment horizontal="center" vertical="center"/>
    </xf>
    <xf borderId="101" fillId="88" fontId="68" numFmtId="0" xfId="0" applyAlignment="1" applyBorder="1" applyFill="1" applyFont="1">
      <alignment horizontal="center"/>
    </xf>
    <xf borderId="101" fillId="98" fontId="68" numFmtId="0" xfId="0" applyAlignment="1" applyBorder="1" applyFill="1" applyFont="1">
      <alignment horizontal="center"/>
    </xf>
    <xf borderId="101" fillId="98" fontId="68" numFmtId="0" xfId="0" applyAlignment="1" applyBorder="1" applyFill="1" applyFont="1">
      <alignment horizontal="center"/>
    </xf>
    <xf borderId="101" fillId="99" fontId="68" numFmtId="0" xfId="0" applyAlignment="1" applyBorder="1" applyFill="1" applyFont="1">
      <alignment horizontal="center"/>
    </xf>
    <xf borderId="101" fillId="93" fontId="68" numFmtId="0" xfId="0" applyAlignment="1" applyBorder="1" applyFill="1" applyFont="1">
      <alignment horizontal="center"/>
    </xf>
    <xf borderId="101" fillId="90" fontId="68" numFmtId="0" xfId="0" applyAlignment="1" applyBorder="1" applyFill="1" applyFont="1">
      <alignment horizontal="center"/>
    </xf>
    <xf borderId="30" fillId="0" fontId="18" numFmtId="0" xfId="0" applyBorder="1" applyFont="1"/>
    <xf borderId="101" fillId="81" fontId="18" numFmtId="0" xfId="0" applyBorder="1" applyFill="1" applyFont="1"/>
    <xf borderId="101" fillId="100" fontId="68" numFmtId="0" xfId="0" applyAlignment="1" applyBorder="1" applyFill="1" applyFont="1">
      <alignment horizontal="center"/>
    </xf>
    <xf borderId="101" fillId="100" fontId="68" numFmtId="0" xfId="0" applyAlignment="1" applyBorder="1" applyFill="1" applyFont="1">
      <alignment horizontal="center"/>
    </xf>
    <xf borderId="101" fillId="99" fontId="68" numFmtId="0" xfId="0" applyAlignment="1" applyBorder="1" applyFill="1" applyFont="1">
      <alignment horizontal="center"/>
    </xf>
    <xf borderId="101" fillId="94" fontId="68" numFmtId="0" xfId="0" applyAlignment="1" applyBorder="1" applyFill="1" applyFont="1">
      <alignment horizontal="center"/>
    </xf>
    <xf borderId="101" fillId="95" fontId="68" numFmtId="0" xfId="0" applyAlignment="1" applyBorder="1" applyFill="1" applyFont="1">
      <alignment horizontal="center"/>
    </xf>
    <xf borderId="101" fillId="89" fontId="68" numFmtId="0" xfId="0" applyAlignment="1" applyBorder="1" applyFill="1" applyFont="1">
      <alignment horizontal="center"/>
    </xf>
    <xf borderId="56" fillId="46" fontId="2" numFmtId="0" xfId="0" applyAlignment="1" applyBorder="1" applyFill="1" applyFont="1">
      <alignment horizontal="center" readingOrder="0" vertical="center"/>
    </xf>
    <xf borderId="50" fillId="46" fontId="2" numFmtId="0" xfId="0" applyAlignment="1" applyBorder="1" applyFill="1" applyFont="1">
      <alignment horizontal="center" readingOrder="0" vertical="center"/>
    </xf>
    <xf borderId="101" fillId="83" fontId="68" numFmtId="0" xfId="0" applyAlignment="1" applyBorder="1" applyFill="1" applyFont="1">
      <alignment horizontal="center"/>
    </xf>
    <xf borderId="101" fillId="91" fontId="68" numFmtId="0" xfId="0" applyAlignment="1" applyBorder="1" applyFill="1" applyFont="1">
      <alignment horizontal="center"/>
    </xf>
    <xf borderId="0" fillId="0" fontId="67" numFmtId="0" xfId="0" applyFont="1"/>
    <xf borderId="101" fillId="87" fontId="68" numFmtId="0" xfId="0" applyAlignment="1" applyBorder="1" applyFill="1" applyFont="1">
      <alignment horizontal="center"/>
    </xf>
    <xf borderId="30" fillId="0" fontId="69" numFmtId="0" xfId="0" applyAlignment="1" applyBorder="1" applyFont="1">
      <alignment horizontal="center" readingOrder="0" shrinkToFit="0" vertical="center" wrapText="0"/>
    </xf>
    <xf borderId="101" fillId="96" fontId="68" numFmtId="0" xfId="0" applyAlignment="1" applyBorder="1" applyFill="1" applyFont="1">
      <alignment horizontal="center"/>
    </xf>
    <xf borderId="101" fillId="97" fontId="68" numFmtId="0" xfId="0" applyAlignment="1" applyBorder="1" applyFill="1" applyFont="1">
      <alignment horizontal="center"/>
    </xf>
  </cellXfs>
  <cellStyles count="1">
    <cellStyle xfId="0" name="Normal" builtinId="0"/>
  </cellStyles>
  <dxfs count="28">
    <dxf>
      <font/>
      <fill>
        <patternFill patternType="solid">
          <fgColor rgb="FF00FF00"/>
          <bgColor rgb="FF00FF00"/>
        </patternFill>
      </fill>
      <border/>
    </dxf>
    <dxf>
      <font/>
      <fill>
        <patternFill patternType="solid">
          <fgColor rgb="FFFF0000"/>
          <bgColor rgb="FFFF0000"/>
        </patternFill>
      </fill>
      <border/>
    </dxf>
    <dxf>
      <font>
        <color rgb="FF38761D"/>
      </font>
      <fill>
        <patternFill patternType="none"/>
      </fill>
      <border/>
    </dxf>
    <dxf>
      <font>
        <color rgb="FF990000"/>
      </font>
      <fill>
        <patternFill patternType="none"/>
      </fill>
      <border/>
    </dxf>
    <dxf>
      <font>
        <b/>
        <strike/>
        <color rgb="FFFF0000"/>
      </font>
      <fill>
        <patternFill patternType="solid">
          <fgColor rgb="FF000000"/>
          <bgColor rgb="FF000000"/>
        </patternFill>
      </fill>
      <border/>
    </dxf>
    <dxf>
      <font>
        <color rgb="FFFFFFFF"/>
      </font>
      <fill>
        <patternFill patternType="solid">
          <fgColor rgb="FFFF0000"/>
          <bgColor rgb="FFFF0000"/>
        </patternFill>
      </fill>
      <border/>
    </dxf>
    <dxf>
      <font>
        <color rgb="FF000000"/>
      </font>
      <fill>
        <patternFill patternType="solid">
          <fgColor rgb="FF222241"/>
          <bgColor rgb="FF222241"/>
        </patternFill>
      </fill>
      <border/>
    </dxf>
    <dxf>
      <font>
        <strike/>
        <color rgb="FFFFFFFF"/>
      </font>
      <fill>
        <patternFill patternType="solid">
          <fgColor rgb="FF666666"/>
          <bgColor rgb="FF666666"/>
        </patternFill>
      </fill>
      <border/>
    </dxf>
    <dxf>
      <font>
        <color rgb="FFEFEFEF"/>
      </font>
      <fill>
        <patternFill patternType="solid">
          <fgColor rgb="FF222241"/>
          <bgColor rgb="FF222241"/>
        </patternFill>
      </fill>
      <border/>
    </dxf>
    <dxf>
      <font>
        <color rgb="FFFFFFFF"/>
      </font>
      <fill>
        <patternFill patternType="solid">
          <fgColor rgb="FFB6B4A8"/>
          <bgColor rgb="FFB6B4A8"/>
        </patternFill>
      </fill>
      <border/>
    </dxf>
    <dxf>
      <font>
        <color rgb="FFFFFFFF"/>
      </font>
      <fill>
        <patternFill patternType="solid">
          <fgColor rgb="FF88D668"/>
          <bgColor rgb="FF88D668"/>
        </patternFill>
      </fill>
      <border/>
    </dxf>
    <dxf>
      <font>
        <color rgb="FFFFFFFF"/>
      </font>
      <fill>
        <patternFill patternType="solid">
          <fgColor rgb="FFC6482F"/>
          <bgColor rgb="FFC6482F"/>
        </patternFill>
      </fill>
      <border/>
    </dxf>
    <dxf>
      <font>
        <color rgb="FFFFFFFF"/>
      </font>
      <fill>
        <patternFill patternType="solid">
          <fgColor rgb="FF48A4F4"/>
          <bgColor rgb="FF48A4F4"/>
        </patternFill>
      </fill>
      <border/>
    </dxf>
    <dxf>
      <font>
        <color rgb="FFFFFFFF"/>
      </font>
      <fill>
        <patternFill patternType="solid">
          <fgColor rgb="FF87403B"/>
          <bgColor rgb="FF87403B"/>
        </patternFill>
      </fill>
      <border/>
    </dxf>
    <dxf>
      <font>
        <color rgb="FFFFFFFF"/>
      </font>
      <fill>
        <patternFill patternType="solid">
          <fgColor rgb="FF87B1F0"/>
          <bgColor rgb="FF87B1F0"/>
        </patternFill>
      </fill>
      <border/>
    </dxf>
    <dxf>
      <font>
        <color rgb="FFFFFFFF"/>
      </font>
      <fill>
        <patternFill patternType="solid">
          <fgColor rgb="FFA2549A"/>
          <bgColor rgb="FFA2549A"/>
        </patternFill>
      </fill>
      <border/>
    </dxf>
    <dxf>
      <font>
        <color rgb="FFFFFFFF"/>
      </font>
      <fill>
        <patternFill patternType="solid">
          <fgColor rgb="FFD8C16A"/>
          <bgColor rgb="FFD8C16A"/>
        </patternFill>
      </fill>
      <border/>
    </dxf>
    <dxf>
      <font>
        <color rgb="FFFFFFFF"/>
      </font>
      <fill>
        <patternFill patternType="solid">
          <fgColor rgb="FFBFB378"/>
          <bgColor rgb="FFBFB378"/>
        </patternFill>
      </fill>
      <border/>
    </dxf>
    <dxf>
      <font>
        <color rgb="FFFFFFFF"/>
      </font>
      <fill>
        <patternFill patternType="solid">
          <fgColor rgb="FFB7CF51"/>
          <bgColor rgb="FFB7CF51"/>
        </patternFill>
      </fill>
      <border/>
    </dxf>
    <dxf>
      <font>
        <color rgb="FFFFFFFF"/>
      </font>
      <fill>
        <patternFill patternType="solid">
          <fgColor rgb="FF7771BF"/>
          <bgColor rgb="FF7771BF"/>
        </patternFill>
      </fill>
      <border/>
    </dxf>
    <dxf>
      <font>
        <color rgb="FFFFFFFF"/>
      </font>
      <fill>
        <patternFill patternType="solid">
          <fgColor rgb="FFF6D867"/>
          <bgColor rgb="FFF6D867"/>
        </patternFill>
      </fill>
      <border/>
    </dxf>
    <dxf>
      <font>
        <color rgb="FFFFFFFF"/>
      </font>
      <fill>
        <patternFill patternType="solid">
          <fgColor rgb="FFE550A3"/>
          <bgColor rgb="FFE550A3"/>
        </patternFill>
      </fill>
      <border/>
    </dxf>
    <dxf>
      <font>
        <color rgb="FFFFFFFF"/>
      </font>
      <fill>
        <patternFill patternType="solid">
          <fgColor rgb="FF7BDCF2"/>
          <bgColor rgb="FF7BDCF2"/>
        </patternFill>
      </fill>
      <border/>
    </dxf>
    <dxf>
      <font>
        <color rgb="FFFFFFFF"/>
      </font>
      <fill>
        <patternFill patternType="solid">
          <fgColor rgb="FF5843AD"/>
          <bgColor rgb="FF5843AD"/>
        </patternFill>
      </fill>
      <border/>
    </dxf>
    <dxf>
      <font>
        <color rgb="FFFFFFFF"/>
      </font>
      <fill>
        <patternFill patternType="solid">
          <fgColor rgb="FF908888"/>
          <bgColor rgb="FF908888"/>
        </patternFill>
      </fill>
      <border/>
    </dxf>
    <dxf>
      <font>
        <color rgb="FFFFFFFF"/>
      </font>
      <fill>
        <patternFill patternType="solid">
          <fgColor rgb="FFB7B6C5"/>
          <bgColor rgb="FFB7B6C5"/>
        </patternFill>
      </fill>
      <border/>
    </dxf>
    <dxf>
      <font>
        <color rgb="FFFFFFFF"/>
      </font>
      <fill>
        <patternFill patternType="solid">
          <fgColor rgb="FFDA9CDD"/>
          <bgColor rgb="FFDA9CDD"/>
        </patternFill>
      </fill>
      <border/>
    </dxf>
    <dxf>
      <font>
        <color rgb="FFFFFFFF"/>
      </font>
      <fill>
        <patternFill patternType="solid">
          <fgColor rgb="FF59BE90"/>
          <bgColor rgb="FF59BE90"/>
        </patternFill>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123825</xdr:colOff>
      <xdr:row>6</xdr:row>
      <xdr:rowOff>276225</xdr:rowOff>
    </xdr:from>
    <xdr:ext cx="4429125" cy="2495550"/>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152400</xdr:colOff>
      <xdr:row>4</xdr:row>
      <xdr:rowOff>152400</xdr:rowOff>
    </xdr:from>
    <xdr:ext cx="1905000" cy="190500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2</xdr:row>
      <xdr:rowOff>0</xdr:rowOff>
    </xdr:from>
    <xdr:ext cx="200025" cy="20002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2</xdr:row>
      <xdr:rowOff>0</xdr:rowOff>
    </xdr:from>
    <xdr:ext cx="200025" cy="20002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0" Type="http://schemas.openxmlformats.org/officeDocument/2006/relationships/hyperlink" Target="https://replay.pokemonshowdown.com/sports-gen8nationaldexvgc-745520" TargetMode="External"/><Relationship Id="rId22" Type="http://schemas.openxmlformats.org/officeDocument/2006/relationships/hyperlink" Target="https://replay.pokemonshowdown.com/sports-gen8nationaldexvgc-745405" TargetMode="External"/><Relationship Id="rId21" Type="http://schemas.openxmlformats.org/officeDocument/2006/relationships/hyperlink" Target="https://replay.pokemonshowdown.com/sports-gen8nationaldexvgc-745521" TargetMode="External"/><Relationship Id="rId24" Type="http://schemas.openxmlformats.org/officeDocument/2006/relationships/hyperlink" Target="https://replay.pokemonshowdown.com/sports-gen8nationaldexvgc-745407" TargetMode="External"/><Relationship Id="rId23" Type="http://schemas.openxmlformats.org/officeDocument/2006/relationships/hyperlink" Target="https://replay.pokemonshowdown.com/sports-gen8nationaldexvgc-745406" TargetMode="External"/><Relationship Id="rId1" Type="http://schemas.openxmlformats.org/officeDocument/2006/relationships/hyperlink" Target="https://replay.pokemonshowdown.com/sports-gen8nationaldexvgc-743683-mfifyc5zgxixmc36sbamh5fgoomah6hpw" TargetMode="External"/><Relationship Id="rId2" Type="http://schemas.openxmlformats.org/officeDocument/2006/relationships/hyperlink" Target="https://replay.pokemonshowdown.com/sports-gen8nationaldexvgc-743684-msn9g1k9dr7y8bks1msdbsru4ivrdorpw" TargetMode="External"/><Relationship Id="rId3" Type="http://schemas.openxmlformats.org/officeDocument/2006/relationships/hyperlink" Target="https://replay.pokemonshowdown.com/sports-gen8nationaldexvgc-743686-a9b3hsuhxvx0dldevd4xyndzrx03f4bpw" TargetMode="External"/><Relationship Id="rId4" Type="http://schemas.openxmlformats.org/officeDocument/2006/relationships/hyperlink" Target="https://replay.pokemonshowdown.com/sports-gen8nationaldexvgc-743838" TargetMode="External"/><Relationship Id="rId9" Type="http://schemas.openxmlformats.org/officeDocument/2006/relationships/hyperlink" Target="https://replay.pokemonshowdown.com/sports-gen8nationaldexvgc-743471" TargetMode="External"/><Relationship Id="rId26" Type="http://schemas.openxmlformats.org/officeDocument/2006/relationships/hyperlink" Target="https://replay.pokemonshowdown.com/sports-gen8nationaldexvgc-744741" TargetMode="External"/><Relationship Id="rId25" Type="http://schemas.openxmlformats.org/officeDocument/2006/relationships/hyperlink" Target="https://replay.pokemonshowdown.com/sports-gen8nationaldexvgc-745576" TargetMode="External"/><Relationship Id="rId28" Type="http://schemas.openxmlformats.org/officeDocument/2006/relationships/hyperlink" Target="https://replay.pokemonshowdown.com/sports-gen8nationaldexvgc-744744" TargetMode="External"/><Relationship Id="rId27" Type="http://schemas.openxmlformats.org/officeDocument/2006/relationships/hyperlink" Target="https://replay.pokemonshowdown.com/sports-gen8nationaldexvgc-744742" TargetMode="External"/><Relationship Id="rId5" Type="http://schemas.openxmlformats.org/officeDocument/2006/relationships/hyperlink" Target="https://replay.pokemonshowdown.com/sports-gen8nationaldexvgc-743839" TargetMode="External"/><Relationship Id="rId6" Type="http://schemas.openxmlformats.org/officeDocument/2006/relationships/hyperlink" Target="https://replay.pokemonshowdown.com/sports-gen8nationaldexvgc-743406" TargetMode="External"/><Relationship Id="rId29" Type="http://schemas.openxmlformats.org/officeDocument/2006/relationships/hyperlink" Target="https://replay.pokemonshowdown.com/sports-gen8nationaldexvgc-747393" TargetMode="External"/><Relationship Id="rId7" Type="http://schemas.openxmlformats.org/officeDocument/2006/relationships/hyperlink" Target="https://replay.pokemonshowdown.com/sports-gen8nationaldexvgc-743407" TargetMode="External"/><Relationship Id="rId8" Type="http://schemas.openxmlformats.org/officeDocument/2006/relationships/hyperlink" Target="https://replay.pokemonshowdown.com/sports-gen8nationaldexvgc-743470" TargetMode="External"/><Relationship Id="rId31" Type="http://schemas.openxmlformats.org/officeDocument/2006/relationships/hyperlink" Target="https://replay.pokemonshowdown.com/sports-gen8nationaldexvgc-747905" TargetMode="External"/><Relationship Id="rId30" Type="http://schemas.openxmlformats.org/officeDocument/2006/relationships/hyperlink" Target="https://replay.pokemonshowdown.com/sports-gen8nationaldexvgc-747392" TargetMode="External"/><Relationship Id="rId11" Type="http://schemas.openxmlformats.org/officeDocument/2006/relationships/hyperlink" Target="https://replay.pokemonshowdown.com/sports-gen8nationaldexvgc-743617" TargetMode="External"/><Relationship Id="rId33" Type="http://schemas.openxmlformats.org/officeDocument/2006/relationships/drawing" Target="../drawings/drawing11.xml"/><Relationship Id="rId10" Type="http://schemas.openxmlformats.org/officeDocument/2006/relationships/hyperlink" Target="https://replay.pokemonshowdown.com/sports-gen8nationaldexvgc-743472" TargetMode="External"/><Relationship Id="rId32" Type="http://schemas.openxmlformats.org/officeDocument/2006/relationships/hyperlink" Target="https://replay.pokemonshowdown.com/sports-gen8nationaldexvgc-747906" TargetMode="External"/><Relationship Id="rId13" Type="http://schemas.openxmlformats.org/officeDocument/2006/relationships/hyperlink" Target="https://replay.pokemonshowdown.com/sports-gen8nationaldexvgc-743620" TargetMode="External"/><Relationship Id="rId12" Type="http://schemas.openxmlformats.org/officeDocument/2006/relationships/hyperlink" Target="https://replay.pokemonshowdown.com/sports-gen8nationaldexvgc-743619" TargetMode="External"/><Relationship Id="rId15" Type="http://schemas.openxmlformats.org/officeDocument/2006/relationships/hyperlink" Target="https://replay.pokemonshowdown.com/sports-gen8nationaldexvgc-742976" TargetMode="External"/><Relationship Id="rId14" Type="http://schemas.openxmlformats.org/officeDocument/2006/relationships/hyperlink" Target="https://replay.pokemonshowdown.com/sports-gen8nationaldexvgc-742975" TargetMode="External"/><Relationship Id="rId17" Type="http://schemas.openxmlformats.org/officeDocument/2006/relationships/hyperlink" Target="https://replay.pokemonshowdown.com/sports-gen8nationaldexvgc-744088" TargetMode="External"/><Relationship Id="rId16" Type="http://schemas.openxmlformats.org/officeDocument/2006/relationships/hyperlink" Target="https://replay.pokemonshowdown.com/sports-gen8nationaldexvgc-742977" TargetMode="External"/><Relationship Id="rId19" Type="http://schemas.openxmlformats.org/officeDocument/2006/relationships/hyperlink" Target="https://replay.pokemonshowdown.com/sports-gen8nationaldexvgc-744089" TargetMode="External"/><Relationship Id="rId18" Type="http://schemas.openxmlformats.org/officeDocument/2006/relationships/hyperlink" Target="https://replay.pokemonshowdown.com/sports-gen8nationaldexvgc-744089"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3.xml"/><Relationship Id="rId3" Type="http://schemas.openxmlformats.org/officeDocument/2006/relationships/vmlDrawing" Target="../drawings/vmlDrawing1.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6.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22241"/>
    <outlinePr summaryBelow="0" summaryRight="0"/>
  </sheetPr>
  <sheetViews>
    <sheetView showGridLines="0" workbookViewId="0"/>
  </sheetViews>
  <sheetFormatPr customHeight="1" defaultColWidth="12.63" defaultRowHeight="15.75"/>
  <cols>
    <col customWidth="1" min="1" max="2" width="1.38"/>
    <col customWidth="1" min="3" max="3" width="31.38"/>
    <col customWidth="1" min="4" max="4" width="2.0"/>
    <col customWidth="1" min="5" max="7" width="20.63"/>
    <col customWidth="1" min="8" max="9" width="1.38"/>
  </cols>
  <sheetData>
    <row r="1" ht="7.5" customHeight="1">
      <c r="A1" s="4"/>
      <c r="B1" s="5"/>
      <c r="C1" s="7"/>
      <c r="D1" s="5"/>
      <c r="E1" s="5"/>
      <c r="F1" s="5"/>
      <c r="G1" s="5"/>
      <c r="H1" s="5"/>
      <c r="I1" s="5"/>
    </row>
    <row r="2" ht="7.5" customHeight="1">
      <c r="A2" s="5"/>
      <c r="B2" s="9"/>
      <c r="C2" s="17"/>
      <c r="D2" s="18"/>
      <c r="E2" s="18"/>
      <c r="F2" s="18"/>
      <c r="G2" s="18"/>
      <c r="H2" s="24"/>
      <c r="I2" s="25"/>
    </row>
    <row r="3">
      <c r="A3" s="5"/>
      <c r="B3" s="26"/>
      <c r="C3" s="31" t="s">
        <v>1</v>
      </c>
      <c r="D3" s="32"/>
      <c r="E3" s="40" t="str">
        <f>Source!$J$3</f>
        <v/>
      </c>
      <c r="F3" s="40" t="str">
        <f>Source!$J$4</f>
        <v/>
      </c>
      <c r="G3" s="40" t="str">
        <f>Source!$J$5</f>
        <v/>
      </c>
      <c r="H3" s="42"/>
      <c r="I3" s="25"/>
    </row>
    <row r="4" ht="15.75" customHeight="1">
      <c r="A4" s="5"/>
      <c r="B4" s="26"/>
      <c r="C4" s="70" t="s">
        <v>4</v>
      </c>
      <c r="D4" s="32"/>
      <c r="E4" s="75" t="str">
        <f>Source!$F$3</f>
        <v>Jackson McLoughlin</v>
      </c>
      <c r="F4" s="75" t="str">
        <f>Source!$F$6</f>
        <v>Ian Heslin</v>
      </c>
      <c r="G4" s="75" t="str">
        <f>Source!$F$5</f>
        <v>Dick Hansen</v>
      </c>
      <c r="H4" s="42"/>
      <c r="I4" s="25"/>
    </row>
    <row r="5" ht="60.0" customHeight="1">
      <c r="A5" s="5"/>
      <c r="B5" s="26"/>
      <c r="C5" s="77"/>
      <c r="D5" s="32"/>
      <c r="E5" s="78" t="str">
        <f>Source!$J$6</f>
        <v/>
      </c>
      <c r="F5" s="78" t="str">
        <f>Source!$J$7</f>
        <v/>
      </c>
      <c r="G5" s="78" t="str">
        <f>Source!$J$8</f>
        <v/>
      </c>
      <c r="H5" s="42"/>
      <c r="I5" s="25"/>
    </row>
    <row r="6" ht="15.75" customHeight="1">
      <c r="A6" s="5"/>
      <c r="B6" s="26"/>
      <c r="C6" s="82"/>
      <c r="D6" s="32"/>
      <c r="E6" s="78" t="str">
        <f>Source!$F$4</f>
        <v>Zach VanSickle</v>
      </c>
      <c r="F6" s="78" t="str">
        <f>Source!$F$7</f>
        <v>Ryan Tidey</v>
      </c>
      <c r="G6" s="78" t="str">
        <f>Source!$F$8</f>
        <v>Tyler Gottfredsen</v>
      </c>
      <c r="H6" s="42"/>
      <c r="I6" s="25"/>
    </row>
    <row r="7" ht="112.5" customHeight="1">
      <c r="A7" s="5"/>
      <c r="B7" s="26"/>
      <c r="C7" s="85"/>
      <c r="D7" s="32"/>
      <c r="E7" s="89"/>
      <c r="F7" s="91"/>
      <c r="G7" s="92"/>
      <c r="H7" s="42"/>
      <c r="I7" s="25"/>
    </row>
    <row r="8" ht="7.5" customHeight="1">
      <c r="A8" s="5"/>
      <c r="B8" s="26"/>
      <c r="C8" s="96"/>
      <c r="D8" s="32"/>
      <c r="E8" s="97"/>
      <c r="G8" s="98"/>
      <c r="H8" s="42"/>
      <c r="I8" s="25"/>
    </row>
    <row r="9" ht="112.5" customHeight="1">
      <c r="A9" s="5"/>
      <c r="B9" s="26"/>
      <c r="C9" s="101"/>
      <c r="D9" s="107"/>
      <c r="E9" s="97"/>
      <c r="G9" s="98"/>
      <c r="H9" s="42"/>
      <c r="I9" s="25"/>
    </row>
    <row r="10" ht="15.75" customHeight="1">
      <c r="A10" s="5"/>
      <c r="B10" s="26"/>
      <c r="C10" s="109"/>
      <c r="D10" s="107"/>
      <c r="E10" s="110"/>
      <c r="F10" s="111"/>
      <c r="G10" s="112"/>
      <c r="H10" s="42"/>
      <c r="I10" s="5"/>
    </row>
    <row r="11" ht="7.5" customHeight="1">
      <c r="A11" s="5"/>
      <c r="B11" s="113"/>
      <c r="C11" s="114"/>
      <c r="D11" s="115"/>
      <c r="E11" s="115"/>
      <c r="F11" s="115"/>
      <c r="G11" s="115"/>
      <c r="H11" s="116"/>
      <c r="I11" s="5"/>
    </row>
    <row r="12" ht="7.5" customHeight="1">
      <c r="A12" s="5"/>
      <c r="B12" s="5"/>
      <c r="C12" s="117"/>
      <c r="D12" s="5"/>
      <c r="E12" s="5"/>
      <c r="F12" s="5"/>
      <c r="G12" s="5"/>
      <c r="H12" s="5"/>
      <c r="I12" s="5"/>
    </row>
  </sheetData>
  <mergeCells count="3">
    <mergeCell ref="C5:C7"/>
    <mergeCell ref="E7:G10"/>
    <mergeCell ref="C9:C1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22241"/>
    <outlinePr summaryBelow="0" summaryRight="0"/>
  </sheetPr>
  <sheetViews>
    <sheetView showGridLines="0" workbookViewId="0"/>
  </sheetViews>
  <sheetFormatPr customHeight="1" defaultColWidth="12.63" defaultRowHeight="15.75"/>
  <cols>
    <col customWidth="1" min="1" max="2" width="1.38"/>
    <col customWidth="1" min="3" max="4" width="3.88"/>
    <col customWidth="1" min="5" max="5" width="82.63"/>
    <col customWidth="1" min="6" max="6" width="7.63"/>
    <col customWidth="1" min="7" max="8" width="1.38"/>
  </cols>
  <sheetData>
    <row r="1" ht="7.5" customHeight="1">
      <c r="A1" s="1"/>
      <c r="B1" s="2"/>
      <c r="C1" s="2"/>
      <c r="D1" s="2"/>
      <c r="E1" s="11"/>
      <c r="F1" s="2"/>
      <c r="G1" s="2"/>
      <c r="H1" s="12"/>
    </row>
    <row r="2" ht="7.5" customHeight="1">
      <c r="A2" s="13"/>
      <c r="B2" s="14"/>
      <c r="C2" s="15"/>
      <c r="D2" s="15"/>
      <c r="E2" s="22"/>
      <c r="F2" s="15"/>
      <c r="G2" s="23"/>
      <c r="H2" s="12"/>
    </row>
    <row r="3">
      <c r="A3" s="13"/>
      <c r="B3" s="30"/>
      <c r="C3" s="37"/>
      <c r="D3" s="38"/>
      <c r="E3" s="39" t="s">
        <v>3</v>
      </c>
      <c r="F3" s="44"/>
      <c r="G3" s="45"/>
      <c r="H3" s="12"/>
    </row>
    <row r="4" ht="3.75" customHeight="1">
      <c r="A4" s="13"/>
      <c r="B4" s="30"/>
      <c r="C4" s="46"/>
      <c r="D4" s="46"/>
      <c r="E4" s="47"/>
      <c r="F4" s="46"/>
      <c r="G4" s="48"/>
      <c r="H4" s="12"/>
    </row>
    <row r="5">
      <c r="A5" s="13"/>
      <c r="B5" s="30"/>
      <c r="C5" s="49" t="s">
        <v>5</v>
      </c>
      <c r="D5" s="50"/>
      <c r="E5" s="50"/>
      <c r="F5" s="51"/>
      <c r="G5" s="48"/>
      <c r="H5" s="12"/>
    </row>
    <row r="6">
      <c r="A6" s="13"/>
      <c r="B6" s="30"/>
      <c r="C6" s="52" t="s">
        <v>6</v>
      </c>
      <c r="D6" s="53" t="s">
        <v>7</v>
      </c>
      <c r="F6" s="54"/>
      <c r="G6" s="48"/>
      <c r="H6" s="12"/>
    </row>
    <row r="7">
      <c r="A7" s="13"/>
      <c r="B7" s="30"/>
      <c r="C7" s="52" t="s">
        <v>8</v>
      </c>
      <c r="D7" s="55" t="s">
        <v>9</v>
      </c>
      <c r="F7" s="54"/>
      <c r="G7" s="48"/>
      <c r="H7" s="12"/>
    </row>
    <row r="8">
      <c r="A8" s="13"/>
      <c r="B8" s="30"/>
      <c r="C8" s="56" t="s">
        <v>10</v>
      </c>
      <c r="D8" s="57" t="s">
        <v>11</v>
      </c>
      <c r="E8" s="58"/>
      <c r="F8" s="59"/>
      <c r="G8" s="48"/>
      <c r="H8" s="12"/>
    </row>
    <row r="9" ht="7.5" customHeight="1">
      <c r="A9" s="13"/>
      <c r="B9" s="30"/>
      <c r="C9" s="46"/>
      <c r="D9" s="46"/>
      <c r="E9" s="47"/>
      <c r="F9" s="46"/>
      <c r="G9" s="48"/>
      <c r="H9" s="12"/>
    </row>
    <row r="10">
      <c r="A10" s="13"/>
      <c r="B10" s="30"/>
      <c r="C10" s="60" t="s">
        <v>12</v>
      </c>
      <c r="D10" s="50"/>
      <c r="E10" s="50"/>
      <c r="F10" s="51"/>
      <c r="G10" s="48"/>
      <c r="H10" s="12"/>
    </row>
    <row r="11">
      <c r="A11" s="13"/>
      <c r="B11" s="30"/>
      <c r="C11" s="61" t="s">
        <v>6</v>
      </c>
      <c r="D11" s="62" t="s">
        <v>13</v>
      </c>
      <c r="F11" s="54"/>
      <c r="G11" s="48"/>
      <c r="H11" s="12"/>
    </row>
    <row r="12">
      <c r="A12" s="13"/>
      <c r="B12" s="30"/>
      <c r="C12" s="61">
        <v>2.0</v>
      </c>
      <c r="D12" s="62" t="s">
        <v>14</v>
      </c>
      <c r="F12" s="54"/>
      <c r="G12" s="48"/>
      <c r="H12" s="12"/>
    </row>
    <row r="13">
      <c r="A13" s="13"/>
      <c r="B13" s="30"/>
      <c r="C13" s="61">
        <v>3.0</v>
      </c>
      <c r="D13" s="53" t="s">
        <v>15</v>
      </c>
      <c r="F13" s="54"/>
      <c r="G13" s="48"/>
      <c r="H13" s="12"/>
    </row>
    <row r="14">
      <c r="A14" s="13"/>
      <c r="B14" s="30"/>
      <c r="C14" s="61">
        <v>4.0</v>
      </c>
      <c r="D14" s="63" t="s">
        <v>16</v>
      </c>
      <c r="E14" s="58"/>
      <c r="F14" s="59"/>
      <c r="G14" s="48"/>
      <c r="H14" s="12"/>
    </row>
    <row r="15" ht="7.5" customHeight="1">
      <c r="A15" s="13"/>
      <c r="B15" s="30"/>
      <c r="C15" s="46"/>
      <c r="D15" s="46"/>
      <c r="E15" s="47"/>
      <c r="F15" s="46"/>
      <c r="G15" s="48"/>
      <c r="H15" s="12"/>
    </row>
    <row r="16">
      <c r="A16" s="13"/>
      <c r="B16" s="30"/>
      <c r="C16" s="64" t="s">
        <v>17</v>
      </c>
      <c r="D16" s="50"/>
      <c r="E16" s="50"/>
      <c r="F16" s="51"/>
      <c r="G16" s="48"/>
      <c r="H16" s="12"/>
    </row>
    <row r="17">
      <c r="A17" s="13"/>
      <c r="B17" s="30"/>
      <c r="C17" s="65" t="s">
        <v>6</v>
      </c>
      <c r="D17" s="53" t="s">
        <v>18</v>
      </c>
      <c r="F17" s="54"/>
      <c r="G17" s="48"/>
      <c r="H17" s="12"/>
    </row>
    <row r="18">
      <c r="A18" s="13"/>
      <c r="B18" s="30"/>
      <c r="C18" s="65" t="s">
        <v>8</v>
      </c>
      <c r="D18" s="53" t="s">
        <v>19</v>
      </c>
      <c r="F18" s="54"/>
      <c r="G18" s="48"/>
      <c r="H18" s="12"/>
    </row>
    <row r="19">
      <c r="A19" s="13"/>
      <c r="B19" s="30"/>
      <c r="C19" s="65" t="s">
        <v>10</v>
      </c>
      <c r="D19" s="53" t="s">
        <v>20</v>
      </c>
      <c r="F19" s="54"/>
      <c r="G19" s="48"/>
      <c r="H19" s="12"/>
    </row>
    <row r="20">
      <c r="A20" s="13"/>
      <c r="B20" s="30"/>
      <c r="C20" s="65" t="s">
        <v>21</v>
      </c>
      <c r="D20" s="66" t="s">
        <v>22</v>
      </c>
      <c r="E20" s="58"/>
      <c r="F20" s="59"/>
      <c r="G20" s="48"/>
      <c r="H20" s="12"/>
    </row>
    <row r="21" ht="7.5" customHeight="1">
      <c r="A21" s="13"/>
      <c r="B21" s="30"/>
      <c r="C21" s="46"/>
      <c r="D21" s="46"/>
      <c r="E21" s="47"/>
      <c r="F21" s="46"/>
      <c r="G21" s="48"/>
      <c r="H21" s="12"/>
    </row>
    <row r="22">
      <c r="A22" s="13"/>
      <c r="B22" s="30"/>
      <c r="C22" s="67" t="s">
        <v>23</v>
      </c>
      <c r="D22" s="50"/>
      <c r="E22" s="50"/>
      <c r="F22" s="51"/>
      <c r="G22" s="48"/>
      <c r="H22" s="12"/>
    </row>
    <row r="23">
      <c r="A23" s="13"/>
      <c r="B23" s="30"/>
      <c r="C23" s="68" t="s">
        <v>6</v>
      </c>
      <c r="D23" s="53" t="s">
        <v>24</v>
      </c>
      <c r="F23" s="54"/>
      <c r="G23" s="48"/>
      <c r="H23" s="12"/>
    </row>
    <row r="24">
      <c r="A24" s="13"/>
      <c r="B24" s="30"/>
      <c r="C24" s="68" t="s">
        <v>8</v>
      </c>
      <c r="D24" s="53" t="s">
        <v>25</v>
      </c>
      <c r="F24" s="54"/>
      <c r="G24" s="48"/>
      <c r="H24" s="12"/>
    </row>
    <row r="25">
      <c r="A25" s="13"/>
      <c r="B25" s="30"/>
      <c r="C25" s="68" t="s">
        <v>10</v>
      </c>
      <c r="D25" s="62" t="s">
        <v>26</v>
      </c>
      <c r="F25" s="54"/>
      <c r="G25" s="48"/>
      <c r="H25" s="12"/>
    </row>
    <row r="26">
      <c r="A26" s="13"/>
      <c r="B26" s="30"/>
      <c r="C26" s="68" t="s">
        <v>21</v>
      </c>
      <c r="D26" s="53" t="s">
        <v>27</v>
      </c>
      <c r="F26" s="54"/>
      <c r="G26" s="48"/>
      <c r="H26" s="12"/>
    </row>
    <row r="27">
      <c r="A27" s="13"/>
      <c r="B27" s="30"/>
      <c r="C27" s="68" t="s">
        <v>28</v>
      </c>
      <c r="D27" s="66" t="s">
        <v>29</v>
      </c>
      <c r="E27" s="58"/>
      <c r="F27" s="59"/>
      <c r="G27" s="48"/>
      <c r="H27" s="12"/>
    </row>
    <row r="28" ht="7.5" customHeight="1">
      <c r="A28" s="13"/>
      <c r="B28" s="73"/>
      <c r="C28" s="79"/>
      <c r="D28" s="79"/>
      <c r="E28" s="83"/>
      <c r="F28" s="79"/>
      <c r="G28" s="88"/>
      <c r="H28" s="12"/>
    </row>
    <row r="29" ht="7.5" customHeight="1">
      <c r="A29" s="12"/>
      <c r="B29" s="12"/>
      <c r="C29" s="12"/>
      <c r="D29" s="12"/>
      <c r="E29" s="90"/>
      <c r="F29" s="12"/>
      <c r="G29" s="12"/>
      <c r="H29" s="12"/>
    </row>
  </sheetData>
  <mergeCells count="21">
    <mergeCell ref="C3:D3"/>
    <mergeCell ref="C5:F5"/>
    <mergeCell ref="D6:F6"/>
    <mergeCell ref="D7:F7"/>
    <mergeCell ref="D8:F8"/>
    <mergeCell ref="C10:F10"/>
    <mergeCell ref="D11:F11"/>
    <mergeCell ref="D20:F20"/>
    <mergeCell ref="C22:F22"/>
    <mergeCell ref="D23:F23"/>
    <mergeCell ref="D24:F24"/>
    <mergeCell ref="D25:F25"/>
    <mergeCell ref="D26:F26"/>
    <mergeCell ref="D27:F27"/>
    <mergeCell ref="D12:F12"/>
    <mergeCell ref="D13:F13"/>
    <mergeCell ref="D14:F14"/>
    <mergeCell ref="C16:F16"/>
    <mergeCell ref="D17:F17"/>
    <mergeCell ref="D18:F18"/>
    <mergeCell ref="D19:F19"/>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22241"/>
    <outlinePr summaryBelow="0" summaryRight="0"/>
  </sheetPr>
  <sheetViews>
    <sheetView showGridLines="0" workbookViewId="0"/>
  </sheetViews>
  <sheetFormatPr customHeight="1" defaultColWidth="12.63" defaultRowHeight="15.75"/>
  <cols>
    <col customWidth="1" min="1" max="2" width="1.38"/>
    <col customWidth="1" min="3" max="3" width="3.88"/>
    <col customWidth="1" min="4" max="4" width="6.38"/>
    <col customWidth="1" min="5" max="5" width="19.13"/>
    <col customWidth="1" min="6" max="6" width="12.63"/>
    <col customWidth="1" min="7" max="11" width="3.25"/>
    <col customWidth="1" min="12" max="12" width="1.25"/>
    <col customWidth="1" min="13" max="13" width="1.38"/>
  </cols>
  <sheetData>
    <row r="1" ht="7.5" customHeight="1">
      <c r="A1" s="8" t="s">
        <v>0</v>
      </c>
      <c r="B1" s="16"/>
      <c r="C1" s="16"/>
      <c r="D1" s="16"/>
      <c r="E1" s="16"/>
      <c r="F1" s="16"/>
      <c r="G1" s="16"/>
      <c r="H1" s="16"/>
      <c r="I1" s="16"/>
      <c r="J1" s="16"/>
      <c r="K1" s="16"/>
      <c r="L1" s="16"/>
      <c r="M1" s="16"/>
    </row>
    <row r="2" ht="7.5" customHeight="1">
      <c r="A2" s="16"/>
      <c r="B2" s="19"/>
      <c r="C2" s="20"/>
      <c r="D2" s="20"/>
      <c r="E2" s="20"/>
      <c r="F2" s="20"/>
      <c r="G2" s="20"/>
      <c r="H2" s="20"/>
      <c r="I2" s="20"/>
      <c r="J2" s="20"/>
      <c r="K2" s="20"/>
      <c r="L2" s="27"/>
      <c r="M2" s="16"/>
    </row>
    <row r="3" ht="22.5" customHeight="1">
      <c r="A3" s="16"/>
      <c r="B3" s="28"/>
      <c r="C3" s="33" t="s">
        <v>2</v>
      </c>
      <c r="D3" s="34"/>
      <c r="E3" s="34"/>
      <c r="F3" s="34"/>
      <c r="G3" s="34"/>
      <c r="H3" s="34"/>
      <c r="I3" s="34"/>
      <c r="J3" s="34"/>
      <c r="K3" s="35"/>
      <c r="L3" s="36"/>
      <c r="M3" s="16"/>
    </row>
    <row r="4" ht="17.25" customHeight="1">
      <c r="A4" s="16"/>
      <c r="B4" s="28"/>
      <c r="C4" s="43">
        <v>1.0</v>
      </c>
      <c r="D4" s="72" t="str">
        <f>vlookup(E4,Source!$F$3:$K$18,5,FALSE)</f>
        <v/>
      </c>
      <c r="E4" s="76" t="str">
        <f>Data!$AN$5</f>
        <v>Ian Heslin</v>
      </c>
      <c r="F4" s="81" t="str">
        <f>CountIF(G4:K5,"W")&amp;"-"&amp;CountIF(G4:K5,"L")</f>
        <v>7-0</v>
      </c>
      <c r="G4" s="84" t="str">
        <f>vlookup(E4,Data!$M$5:$X$10,6,FALSE)</f>
        <v>W</v>
      </c>
      <c r="H4" s="86" t="str">
        <f>vlookup(E4,Data!$M$5:$X$10,7,FALSE)</f>
        <v>W</v>
      </c>
      <c r="I4" s="86" t="str">
        <f>vlookup(E4,Data!$M$5:$X$10,8,FALSE)</f>
        <v>W</v>
      </c>
      <c r="J4" s="86" t="str">
        <f>vlookup(E4,Data!$M$5:$X$10,9,FALSE)</f>
        <v>W</v>
      </c>
      <c r="K4" s="95" t="str">
        <f>vlookup(E4,Data!$M$5:$X$10,10,FALSE)</f>
        <v>W</v>
      </c>
      <c r="L4" s="36"/>
      <c r="M4" s="16"/>
    </row>
    <row r="5" ht="17.25" customHeight="1">
      <c r="A5" s="16"/>
      <c r="B5" s="28"/>
      <c r="C5" s="100"/>
      <c r="D5" s="100"/>
      <c r="E5" s="102" t="str">
        <f>vlookup(E4,Source!$F$3:$K$18,2,FALSE)</f>
        <v>Ian's Team</v>
      </c>
      <c r="F5" s="103"/>
      <c r="G5" s="106" t="str">
        <f>vlookup(E4,Data!$M$5:$X$10,11,FALSE)</f>
        <v>W</v>
      </c>
      <c r="H5" s="119" t="str">
        <f>vlookup(E4,Data!$M$5:$X$10,12,FALSE)</f>
        <v>W</v>
      </c>
      <c r="I5" s="119"/>
      <c r="J5" s="119"/>
      <c r="K5" s="137"/>
      <c r="L5" s="36"/>
      <c r="M5" s="16"/>
    </row>
    <row r="6" ht="17.25" customHeight="1">
      <c r="A6" s="16"/>
      <c r="B6" s="28"/>
      <c r="C6" s="138">
        <v>2.0</v>
      </c>
      <c r="D6" s="147" t="str">
        <f>vlookup(E6,Source!$F$3:$K$18,5,FALSE)</f>
        <v/>
      </c>
      <c r="E6" s="148" t="str">
        <f>Data!$AN$6</f>
        <v>Zach VanSickle</v>
      </c>
      <c r="F6" s="154" t="str">
        <f>CountIF(G6:K7,"W")&amp;"-"&amp;CountIF(G6:K7,"L")</f>
        <v>4-3</v>
      </c>
      <c r="G6" s="160" t="str">
        <f>vlookup(E6,Data!$M$5:$X$10,6,FALSE)</f>
        <v>W</v>
      </c>
      <c r="H6" s="170" t="str">
        <f>vlookup(E6,Data!$M$5:$X$10,7,FALSE)</f>
        <v>W</v>
      </c>
      <c r="I6" s="170" t="str">
        <f>vlookup(E6,Data!$M$5:$X$10,8,FALSE)</f>
        <v>L</v>
      </c>
      <c r="J6" s="170" t="str">
        <f>vlookup(E6,Data!$M$5:$X$10,9,FALSE)</f>
        <v>L</v>
      </c>
      <c r="K6" s="178" t="str">
        <f>vlookup(E6,Data!$M$5:$X$10,10,FALSE)</f>
        <v>W</v>
      </c>
      <c r="L6" s="36"/>
      <c r="M6" s="16"/>
    </row>
    <row r="7" ht="17.25" customHeight="1">
      <c r="A7" s="16"/>
      <c r="B7" s="28"/>
      <c r="C7" s="100"/>
      <c r="D7" s="100"/>
      <c r="E7" s="181" t="str">
        <f>vlookup(E6,Source!$F$3:$K$18,2,FALSE)</f>
        <v>Zach's Team</v>
      </c>
      <c r="F7" s="103"/>
      <c r="G7" s="184" t="str">
        <f>vlookup(E6,Data!$M$5:$X$10,11,FALSE)</f>
        <v>W</v>
      </c>
      <c r="H7" s="186" t="str">
        <f>vlookup(E6,Data!$M$5:$X$10,12,FALSE)</f>
        <v>L</v>
      </c>
      <c r="I7" s="186"/>
      <c r="J7" s="186"/>
      <c r="K7" s="187"/>
      <c r="L7" s="36"/>
      <c r="M7" s="16"/>
    </row>
    <row r="8" ht="17.25" customHeight="1">
      <c r="A8" s="16"/>
      <c r="B8" s="28"/>
      <c r="C8" s="138">
        <v>3.0</v>
      </c>
      <c r="D8" s="191" t="str">
        <f>vlookup(E8,Source!$F$3:$K$18,5,FALSE)</f>
        <v/>
      </c>
      <c r="E8" s="195" t="str">
        <f>Data!$AN$7</f>
        <v>Tyler Gottfredsen</v>
      </c>
      <c r="F8" s="197" t="str">
        <f>CountIF(G8:K9,"W")&amp;"-"&amp;CountIF(G8:K9,"L")</f>
        <v>4-3</v>
      </c>
      <c r="G8" s="198" t="str">
        <f>vlookup(E8,Data!$M$5:$X$10,6,FALSE)</f>
        <v>L</v>
      </c>
      <c r="H8" s="199" t="str">
        <f>vlookup(E8,Data!$M$5:$X$10,7,FALSE)</f>
        <v>L</v>
      </c>
      <c r="I8" s="199" t="str">
        <f>vlookup(E8,Data!$M$5:$X$10,8,FALSE)</f>
        <v>W</v>
      </c>
      <c r="J8" s="199" t="str">
        <f>vlookup(E8,Data!$M$5:$X$10,9,FALSE)</f>
        <v>W</v>
      </c>
      <c r="K8" s="203" t="str">
        <f>vlookup(E8,Data!$M$5:$X$10,10,FALSE)</f>
        <v>L</v>
      </c>
      <c r="L8" s="36"/>
      <c r="M8" s="16"/>
    </row>
    <row r="9" ht="17.25" customHeight="1">
      <c r="A9" s="16"/>
      <c r="B9" s="28"/>
      <c r="C9" s="100"/>
      <c r="D9" s="100"/>
      <c r="E9" s="206" t="str">
        <f>vlookup(E8,Source!$F$3:$K$18,2,FALSE)</f>
        <v>Tyler's Team</v>
      </c>
      <c r="F9" s="103"/>
      <c r="G9" s="208" t="str">
        <f>vlookup(E8,Data!$M$5:$X$10,11,FALSE)</f>
        <v>W</v>
      </c>
      <c r="H9" s="210" t="str">
        <f>vlookup(E8,Data!$M$5:$X$10,12,FALSE)</f>
        <v>W</v>
      </c>
      <c r="I9" s="210"/>
      <c r="J9" s="210"/>
      <c r="K9" s="218"/>
      <c r="L9" s="36"/>
      <c r="M9" s="16"/>
    </row>
    <row r="10" ht="17.25" customHeight="1">
      <c r="A10" s="16"/>
      <c r="B10" s="28"/>
      <c r="C10" s="138">
        <v>4.0</v>
      </c>
      <c r="D10" s="221" t="str">
        <f>vlookup(E10,Source!$F$3:$K$18,5,FALSE)</f>
        <v/>
      </c>
      <c r="E10" s="224" t="str">
        <f>Data!$AN$8</f>
        <v>Jackson McLoughlin</v>
      </c>
      <c r="F10" s="231" t="str">
        <f>CountIF(G10:K11,"W")&amp;"-"&amp;CountIF(G10:K11,"L")</f>
        <v>3-4</v>
      </c>
      <c r="G10" s="239" t="str">
        <f>vlookup(E10,Data!$M$5:$X$10,6,FALSE)</f>
        <v>L</v>
      </c>
      <c r="H10" s="241" t="str">
        <f>vlookup(E10,Data!$M$5:$X$10,7,FALSE)</f>
        <v>W</v>
      </c>
      <c r="I10" s="241" t="str">
        <f>vlookup(E10,Data!$M$5:$X$10,8,FALSE)</f>
        <v>W</v>
      </c>
      <c r="J10" s="241" t="str">
        <f>vlookup(E10,Data!$M$5:$X$10,9,FALSE)</f>
        <v>L</v>
      </c>
      <c r="K10" s="244" t="str">
        <f>vlookup(E10,Data!$M$5:$X$10,10,FALSE)</f>
        <v>L</v>
      </c>
      <c r="L10" s="36"/>
      <c r="M10" s="16"/>
    </row>
    <row r="11" ht="17.25" customHeight="1">
      <c r="A11" s="16"/>
      <c r="B11" s="28"/>
      <c r="C11" s="100"/>
      <c r="D11" s="100"/>
      <c r="E11" s="245" t="str">
        <f>vlookup(E10,Source!$F$3:$K$18,2,FALSE)</f>
        <v>Jackson's Team</v>
      </c>
      <c r="F11" s="103"/>
      <c r="G11" s="248" t="str">
        <f>vlookup(E10,Data!$M$5:$X$10,11,FALSE)</f>
        <v>L</v>
      </c>
      <c r="H11" s="249" t="str">
        <f>vlookup(E10,Data!$M$5:$X$10,12,FALSE)</f>
        <v>W</v>
      </c>
      <c r="I11" s="249"/>
      <c r="J11" s="249"/>
      <c r="K11" s="250"/>
      <c r="L11" s="36"/>
      <c r="M11" s="16"/>
    </row>
    <row r="12" ht="17.25" customHeight="1">
      <c r="A12" s="16"/>
      <c r="B12" s="28"/>
      <c r="C12" s="138">
        <v>5.0</v>
      </c>
      <c r="D12" s="252" t="str">
        <f>vlookup(E12,Source!$F$3:$K$18,5,FALSE)</f>
        <v/>
      </c>
      <c r="E12" s="254" t="str">
        <f>Data!$AN$9</f>
        <v>Ryan Tidey</v>
      </c>
      <c r="F12" s="256" t="str">
        <f>CountIF(G12:K13,"W")&amp;"-"&amp;CountIF(G12:K13,"L")</f>
        <v>3-4</v>
      </c>
      <c r="G12" s="257" t="str">
        <f>vlookup(E12,Data!$M$5:$X$10,6,FALSE)</f>
        <v>W</v>
      </c>
      <c r="H12" s="258" t="str">
        <f>vlookup(E12,Data!$M$5:$X$10,7,FALSE)</f>
        <v>L</v>
      </c>
      <c r="I12" s="258" t="str">
        <f>vlookup(E12,Data!$M$5:$X$10,8,FALSE)</f>
        <v>L</v>
      </c>
      <c r="J12" s="258" t="str">
        <f>vlookup(E12,Data!$M$5:$X$10,9,FALSE)</f>
        <v>W</v>
      </c>
      <c r="K12" s="272" t="str">
        <f>vlookup(E12,Data!$M$5:$X$10,10,FALSE)</f>
        <v>W</v>
      </c>
      <c r="L12" s="36"/>
      <c r="M12" s="273"/>
    </row>
    <row r="13" ht="17.25" customHeight="1">
      <c r="A13" s="16"/>
      <c r="B13" s="28"/>
      <c r="C13" s="100"/>
      <c r="D13" s="100"/>
      <c r="E13" s="276" t="str">
        <f>vlookup(E12,Source!$F$3:$K$18,2,FALSE)</f>
        <v>Ryan's Team</v>
      </c>
      <c r="F13" s="103"/>
      <c r="G13" s="282" t="str">
        <f>vlookup(E12,Data!$M$5:$X$10,11,FALSE)</f>
        <v>L</v>
      </c>
      <c r="H13" s="283" t="str">
        <f>vlookup(E12,Data!$M$5:$X$10,12,FALSE)</f>
        <v>L</v>
      </c>
      <c r="I13" s="283"/>
      <c r="J13" s="283"/>
      <c r="K13" s="284"/>
      <c r="L13" s="36"/>
      <c r="M13" s="16"/>
    </row>
    <row r="14" ht="17.25" customHeight="1">
      <c r="A14" s="16"/>
      <c r="B14" s="28"/>
      <c r="C14" s="138">
        <v>6.0</v>
      </c>
      <c r="D14" s="285" t="str">
        <f>vlookup(E14,Source!$F$3:$K$18,5,FALSE)</f>
        <v/>
      </c>
      <c r="E14" s="287" t="str">
        <f>Data!$AN$10</f>
        <v>Dick Hansen</v>
      </c>
      <c r="F14" s="288" t="str">
        <f>CountIF(G14:K15,"W")&amp;"-"&amp;CountIF(G14:K15,"L")</f>
        <v>0-7</v>
      </c>
      <c r="G14" s="289" t="str">
        <f>vlookup(E14,Data!$M$5:$X$10,6,FALSE)</f>
        <v>L</v>
      </c>
      <c r="H14" s="290" t="str">
        <f>vlookup(E14,Data!$M$5:$X$10,7,FALSE)</f>
        <v>L</v>
      </c>
      <c r="I14" s="290" t="str">
        <f>vlookup(E14,Data!$M$5:$X$10,8,FALSE)</f>
        <v>L</v>
      </c>
      <c r="J14" s="290" t="str">
        <f>vlookup(E14,Data!$M$5:$X$10,9,FALSE)</f>
        <v>L</v>
      </c>
      <c r="K14" s="291" t="str">
        <f>vlookup(E14,Data!$M$5:$X$10,10,FALSE)</f>
        <v>L</v>
      </c>
      <c r="L14" s="36"/>
      <c r="M14" s="16"/>
    </row>
    <row r="15" ht="17.25" customHeight="1">
      <c r="A15" s="16"/>
      <c r="B15" s="28"/>
      <c r="C15" s="100"/>
      <c r="D15" s="100"/>
      <c r="E15" s="292" t="str">
        <f>vlookup(E14,Source!$F$3:$K$18,2,FALSE)</f>
        <v>Dick's Team</v>
      </c>
      <c r="F15" s="103"/>
      <c r="G15" s="293" t="str">
        <f>vlookup(E14,Data!$M$5:$X$10,11,FALSE)</f>
        <v>L</v>
      </c>
      <c r="H15" s="295" t="str">
        <f>vlookup(E14,Data!$M$5:$X$10,12,FALSE)</f>
        <v>L</v>
      </c>
      <c r="I15" s="295"/>
      <c r="J15" s="295"/>
      <c r="K15" s="296"/>
      <c r="L15" s="36"/>
      <c r="M15" s="16"/>
    </row>
    <row r="16" ht="7.5" customHeight="1">
      <c r="A16" s="16"/>
      <c r="B16" s="297"/>
      <c r="C16" s="298"/>
      <c r="D16" s="298"/>
      <c r="E16" s="298"/>
      <c r="F16" s="298"/>
      <c r="G16" s="298"/>
      <c r="H16" s="298"/>
      <c r="I16" s="298"/>
      <c r="J16" s="298"/>
      <c r="K16" s="298"/>
      <c r="L16" s="299"/>
      <c r="M16" s="16"/>
    </row>
    <row r="17" ht="7.5" customHeight="1">
      <c r="A17" s="16"/>
      <c r="B17" s="16"/>
      <c r="C17" s="16"/>
      <c r="D17" s="16"/>
      <c r="E17" s="16"/>
      <c r="F17" s="16"/>
      <c r="G17" s="16"/>
      <c r="H17" s="16"/>
      <c r="I17" s="16"/>
      <c r="J17" s="16"/>
      <c r="K17" s="16"/>
      <c r="L17" s="16"/>
      <c r="M17" s="16"/>
    </row>
  </sheetData>
  <mergeCells count="19">
    <mergeCell ref="C3:K3"/>
    <mergeCell ref="C4:C5"/>
    <mergeCell ref="D4:D5"/>
    <mergeCell ref="E5:F5"/>
    <mergeCell ref="C6:C7"/>
    <mergeCell ref="D6:D7"/>
    <mergeCell ref="E7:F7"/>
    <mergeCell ref="D12:D13"/>
    <mergeCell ref="E13:F13"/>
    <mergeCell ref="C14:C15"/>
    <mergeCell ref="D14:D15"/>
    <mergeCell ref="E15:F15"/>
    <mergeCell ref="C8:C9"/>
    <mergeCell ref="D8:D9"/>
    <mergeCell ref="E9:F9"/>
    <mergeCell ref="C10:C11"/>
    <mergeCell ref="D10:D11"/>
    <mergeCell ref="E11:F11"/>
    <mergeCell ref="C12:C13"/>
  </mergeCells>
  <conditionalFormatting sqref="G4:K15">
    <cfRule type="cellIs" dxfId="2" priority="1" operator="equal">
      <formula>"W"</formula>
    </cfRule>
  </conditionalFormatting>
  <conditionalFormatting sqref="G4:K15">
    <cfRule type="cellIs" dxfId="3" priority="2" operator="equal">
      <formula>"L"</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1F5FF"/>
    <outlinePr summaryBelow="0" summaryRight="0"/>
  </sheetPr>
  <sheetViews>
    <sheetView showGridLines="0" workbookViewId="0"/>
  </sheetViews>
  <sheetFormatPr customHeight="1" defaultColWidth="12.63" defaultRowHeight="15.75"/>
  <cols>
    <col customWidth="1" min="1" max="1" width="1.38"/>
    <col customWidth="1" hidden="1" min="2" max="2" width="1.38"/>
    <col customWidth="1" hidden="1" min="3" max="3" width="3.88"/>
    <col customWidth="1" hidden="1" min="4" max="4" width="14.5"/>
    <col customWidth="1" hidden="1" min="5" max="5" width="0.75"/>
    <col customWidth="1" hidden="1" min="6" max="6" width="4.13"/>
    <col customWidth="1" hidden="1" min="7" max="7" width="13.88"/>
    <col customWidth="1" hidden="1" min="8" max="9" width="3.38"/>
    <col customWidth="1" hidden="1" min="10" max="10" width="0.75"/>
    <col customWidth="1" hidden="1" min="11" max="11" width="4.13"/>
    <col customWidth="1" hidden="1" min="12" max="12" width="11.88"/>
    <col customWidth="1" hidden="1" min="13" max="14" width="3.38"/>
    <col customWidth="1" hidden="1" min="15" max="15" width="0.75"/>
    <col customWidth="1" hidden="1" min="16" max="16" width="4.13"/>
    <col customWidth="1" hidden="1" min="17" max="17" width="12.38"/>
    <col customWidth="1" hidden="1" min="18" max="19" width="3.38"/>
    <col customWidth="1" hidden="1" min="20" max="20" width="0.75"/>
    <col customWidth="1" hidden="1" min="21" max="21" width="4.13"/>
    <col customWidth="1" hidden="1" min="22" max="22" width="14.63"/>
    <col customWidth="1" hidden="1" min="23" max="24" width="3.38"/>
    <col customWidth="1" hidden="1" min="25" max="25" width="0.75"/>
    <col customWidth="1" hidden="1" min="26" max="26" width="4.13"/>
    <col customWidth="1" hidden="1" min="27" max="27" width="14.63"/>
    <col customWidth="1" hidden="1" min="28" max="29" width="3.38"/>
    <col customWidth="1" hidden="1" min="30" max="30" width="0.75"/>
    <col customWidth="1" hidden="1" min="31" max="31" width="4.13"/>
    <col customWidth="1" hidden="1" min="32" max="32" width="9.75"/>
    <col customWidth="1" hidden="1" min="33" max="34" width="3.38"/>
    <col customWidth="1" hidden="1" min="35" max="35" width="0.75"/>
    <col customWidth="1" hidden="1" min="36" max="36" width="4.13"/>
    <col customWidth="1" hidden="1" min="37" max="37" width="10.88"/>
    <col customWidth="1" hidden="1" min="38" max="39" width="3.38"/>
    <col customWidth="1" hidden="1" min="40" max="40" width="0.75"/>
    <col customWidth="1" min="41" max="41" width="4.13"/>
    <col customWidth="1" min="42" max="42" width="13.25"/>
    <col customWidth="1" min="43" max="44" width="3.38"/>
    <col customWidth="1" min="45" max="45" width="0.63"/>
    <col customWidth="1" min="46" max="46" width="4.13"/>
    <col customWidth="1" min="47" max="47" width="12.13"/>
    <col customWidth="1" min="48" max="49" width="3.38"/>
    <col customWidth="1" min="50" max="50" width="0.75"/>
    <col customWidth="1" min="51" max="51" width="4.13"/>
    <col customWidth="1" min="52" max="52" width="14.63"/>
    <col customWidth="1" min="53" max="54" width="3.38"/>
    <col customWidth="1" min="55" max="55" width="0.75"/>
    <col customWidth="1" min="56" max="56" width="4.13"/>
    <col customWidth="1" min="57" max="57" width="13.5"/>
    <col customWidth="1" min="58" max="59" width="3.38"/>
    <col customWidth="1" min="60" max="60" width="0.75"/>
    <col customWidth="1" min="61" max="61" width="4.13"/>
    <col customWidth="1" min="62" max="62" width="13.38"/>
    <col customWidth="1" min="63" max="64" width="3.38"/>
    <col customWidth="1" min="65" max="65" width="0.75"/>
    <col customWidth="1" min="66" max="66" width="4.13"/>
    <col customWidth="1" min="67" max="67" width="14.75"/>
    <col customWidth="1" min="68" max="69" width="3.38"/>
    <col customWidth="1" min="70" max="70" width="0.75"/>
    <col customWidth="1" min="71" max="71" width="4.13"/>
    <col customWidth="1" min="72" max="72" width="14.75"/>
    <col customWidth="1" min="73" max="74" width="3.38"/>
    <col customWidth="1" min="75" max="75" width="0.75"/>
    <col customWidth="1" min="76" max="76" width="4.13"/>
    <col customWidth="1" min="77" max="77" width="10.88"/>
    <col customWidth="1" min="78" max="79" width="3.38"/>
    <col customWidth="1" min="80" max="80" width="0.75"/>
    <col customWidth="1" min="81" max="81" width="4.13"/>
    <col customWidth="1" min="82" max="82" width="13.13"/>
    <col customWidth="1" min="83" max="84" width="3.38"/>
    <col customWidth="1" min="85" max="85" width="0.75"/>
    <col customWidth="1" min="86" max="86" width="4.13"/>
    <col customWidth="1" min="87" max="87" width="13.13"/>
    <col customWidth="1" min="88" max="89" width="3.38"/>
    <col customWidth="1" min="90" max="90" width="0.75"/>
    <col customWidth="1" min="91" max="91" width="4.13"/>
    <col customWidth="1" min="92" max="92" width="15.13"/>
    <col customWidth="1" min="93" max="94" width="3.38"/>
    <col customWidth="1" min="95" max="95" width="0.75"/>
    <col customWidth="1" min="96" max="96" width="4.13"/>
    <col customWidth="1" min="97" max="97" width="13.25"/>
    <col customWidth="1" min="98" max="99" width="3.38"/>
    <col customWidth="1" min="100" max="100" width="0.75"/>
    <col customWidth="1" min="101" max="101" width="4.13"/>
    <col customWidth="1" min="102" max="102" width="13.0"/>
    <col customWidth="1" min="103" max="104" width="3.38"/>
    <col customWidth="1" min="105" max="105" width="0.75"/>
    <col customWidth="1" min="106" max="106" width="4.13"/>
    <col customWidth="1" min="107" max="107" width="12.63"/>
    <col customWidth="1" min="108" max="109" width="3.38"/>
    <col customWidth="1" min="110" max="110" width="0.75"/>
    <col customWidth="1" min="111" max="111" width="4.13"/>
    <col customWidth="1" min="112" max="112" width="11.13"/>
    <col customWidth="1" min="113" max="114" width="3.38"/>
    <col customWidth="1" min="115" max="115" width="0.75"/>
    <col customWidth="1" min="116" max="116" width="4.13"/>
    <col customWidth="1" min="117" max="117" width="15.25"/>
    <col customWidth="1" min="118" max="119" width="3.38"/>
    <col customWidth="1" min="120" max="120" width="0.75"/>
    <col customWidth="1" min="121" max="121" width="4.13"/>
    <col customWidth="1" min="122" max="122" width="12.0"/>
    <col customWidth="1" min="123" max="124" width="3.38"/>
    <col customWidth="1" min="125" max="125" width="0.75"/>
    <col customWidth="1" min="126" max="126" width="4.13"/>
    <col customWidth="1" min="127" max="127" width="13.88"/>
    <col customWidth="1" min="128" max="129" width="3.38"/>
    <col customWidth="1" min="130" max="131" width="1.38"/>
  </cols>
  <sheetData>
    <row r="1" ht="7.5" customHeight="1">
      <c r="A1" s="3"/>
      <c r="B1" s="3"/>
      <c r="C1" s="3"/>
      <c r="D1" s="3"/>
      <c r="E1" s="3"/>
      <c r="F1" s="3"/>
      <c r="G1" s="3"/>
      <c r="H1" s="3"/>
      <c r="I1" s="3"/>
      <c r="J1" s="3"/>
      <c r="K1" s="3"/>
      <c r="L1" s="6"/>
      <c r="M1" s="3"/>
      <c r="N1" s="3"/>
      <c r="O1" s="3"/>
      <c r="P1" s="3"/>
      <c r="Q1" s="6"/>
      <c r="R1" s="3"/>
      <c r="S1" s="3"/>
      <c r="T1" s="3"/>
      <c r="U1" s="3"/>
      <c r="V1" s="6"/>
      <c r="W1" s="3"/>
      <c r="X1" s="3"/>
      <c r="Y1" s="3"/>
      <c r="Z1" s="3"/>
      <c r="AA1" s="6"/>
      <c r="AB1" s="3"/>
      <c r="AC1" s="3"/>
      <c r="AD1" s="3"/>
      <c r="AE1" s="3"/>
      <c r="AF1" s="6"/>
      <c r="AG1" s="3"/>
      <c r="AH1" s="3"/>
      <c r="AI1" s="3"/>
      <c r="AJ1" s="3"/>
      <c r="AK1" s="6"/>
      <c r="AL1" s="3"/>
      <c r="AM1" s="3"/>
      <c r="AN1" s="3"/>
      <c r="AO1" s="3"/>
      <c r="AP1" s="6"/>
      <c r="AQ1" s="3"/>
      <c r="AR1" s="6"/>
      <c r="AS1" s="10"/>
      <c r="AT1" s="21"/>
      <c r="AU1" s="29"/>
      <c r="AV1" s="21"/>
      <c r="AW1" s="29"/>
      <c r="AX1" s="10"/>
      <c r="AY1" s="21"/>
      <c r="AZ1" s="29"/>
      <c r="BA1" s="21"/>
      <c r="BB1" s="29"/>
      <c r="BC1" s="10"/>
      <c r="BD1" s="21"/>
      <c r="BE1" s="29"/>
      <c r="BF1" s="21"/>
      <c r="BG1" s="29"/>
      <c r="BH1" s="10"/>
      <c r="BI1" s="41"/>
      <c r="BJ1" s="69"/>
      <c r="BK1" s="41"/>
      <c r="BL1" s="69"/>
      <c r="BM1" s="41"/>
      <c r="BN1" s="41"/>
      <c r="BO1" s="69"/>
      <c r="BP1" s="41"/>
      <c r="BQ1" s="69"/>
      <c r="BR1" s="41"/>
      <c r="BS1" s="41"/>
      <c r="BT1" s="69"/>
      <c r="BU1" s="41"/>
      <c r="BV1" s="69"/>
      <c r="BW1" s="41"/>
      <c r="BX1" s="41"/>
      <c r="BY1" s="69"/>
      <c r="BZ1" s="41"/>
      <c r="CA1" s="69"/>
      <c r="CB1" s="41"/>
      <c r="CC1" s="41"/>
      <c r="CD1" s="69"/>
      <c r="CE1" s="41"/>
      <c r="CF1" s="69"/>
      <c r="CG1" s="41"/>
      <c r="CH1" s="41"/>
      <c r="CI1" s="69"/>
      <c r="CJ1" s="41"/>
      <c r="CK1" s="69"/>
      <c r="CL1" s="41"/>
      <c r="CM1" s="71"/>
      <c r="CN1" s="71"/>
      <c r="CO1" s="71"/>
      <c r="CP1" s="69"/>
      <c r="CQ1" s="41"/>
      <c r="CR1" s="41"/>
      <c r="CS1" s="69"/>
      <c r="CT1" s="41"/>
      <c r="CU1" s="69"/>
      <c r="CV1" s="41"/>
      <c r="CW1" s="41"/>
      <c r="CX1" s="69"/>
      <c r="CY1" s="41"/>
      <c r="CZ1" s="69"/>
      <c r="DA1" s="41"/>
      <c r="DB1" s="41"/>
      <c r="DC1" s="69"/>
      <c r="DD1" s="41"/>
      <c r="DE1" s="69"/>
      <c r="DF1" s="41"/>
      <c r="DG1" s="41"/>
      <c r="DH1" s="69"/>
      <c r="DI1" s="69"/>
      <c r="DJ1" s="69"/>
      <c r="DK1" s="41"/>
      <c r="DL1" s="41"/>
      <c r="DM1" s="69"/>
      <c r="DN1" s="69"/>
      <c r="DO1" s="69"/>
      <c r="DP1" s="41"/>
      <c r="DQ1" s="41"/>
      <c r="DR1" s="69"/>
      <c r="DS1" s="69"/>
      <c r="DT1" s="69"/>
      <c r="DU1" s="41"/>
      <c r="DV1" s="41"/>
      <c r="DW1" s="69"/>
      <c r="DX1" s="69"/>
      <c r="DY1" s="69"/>
      <c r="DZ1" s="10"/>
      <c r="EA1" s="10"/>
    </row>
    <row r="2" ht="7.5" customHeight="1">
      <c r="A2" s="3"/>
      <c r="B2" s="74"/>
      <c r="C2" s="74"/>
      <c r="D2" s="74"/>
      <c r="E2" s="74"/>
      <c r="F2" s="74"/>
      <c r="G2" s="74"/>
      <c r="H2" s="74"/>
      <c r="I2" s="74"/>
      <c r="J2" s="74"/>
      <c r="K2" s="74"/>
      <c r="L2" s="80"/>
      <c r="M2" s="74"/>
      <c r="N2" s="74"/>
      <c r="O2" s="74"/>
      <c r="P2" s="74"/>
      <c r="Q2" s="80"/>
      <c r="R2" s="74"/>
      <c r="S2" s="74"/>
      <c r="T2" s="74"/>
      <c r="U2" s="74"/>
      <c r="V2" s="80"/>
      <c r="W2" s="74"/>
      <c r="X2" s="74"/>
      <c r="Y2" s="74"/>
      <c r="Z2" s="74"/>
      <c r="AA2" s="80"/>
      <c r="AB2" s="74"/>
      <c r="AC2" s="74"/>
      <c r="AD2" s="74"/>
      <c r="AE2" s="74"/>
      <c r="AF2" s="80"/>
      <c r="AG2" s="74"/>
      <c r="AH2" s="74"/>
      <c r="AI2" s="74"/>
      <c r="AJ2" s="74"/>
      <c r="AK2" s="80"/>
      <c r="AL2" s="74"/>
      <c r="AM2" s="74"/>
      <c r="AN2" s="74"/>
      <c r="AO2" s="74"/>
      <c r="AP2" s="80"/>
      <c r="AQ2" s="74"/>
      <c r="AR2" s="80"/>
      <c r="AS2" s="87"/>
      <c r="AT2" s="93"/>
      <c r="AU2" s="94"/>
      <c r="AV2" s="93"/>
      <c r="AW2" s="94"/>
      <c r="AX2" s="87"/>
      <c r="AY2" s="93"/>
      <c r="AZ2" s="94"/>
      <c r="BA2" s="93"/>
      <c r="BB2" s="94"/>
      <c r="BC2" s="87"/>
      <c r="BD2" s="93"/>
      <c r="BE2" s="94"/>
      <c r="BF2" s="93"/>
      <c r="BG2" s="94"/>
      <c r="BH2" s="87"/>
      <c r="BI2" s="99"/>
      <c r="BJ2" s="104"/>
      <c r="BK2" s="99"/>
      <c r="BL2" s="104"/>
      <c r="BM2" s="99"/>
      <c r="BN2" s="99"/>
      <c r="BO2" s="104"/>
      <c r="BP2" s="99"/>
      <c r="BQ2" s="104"/>
      <c r="BR2" s="99"/>
      <c r="BS2" s="99"/>
      <c r="BT2" s="104"/>
      <c r="BU2" s="99"/>
      <c r="BV2" s="104"/>
      <c r="BW2" s="99"/>
      <c r="BX2" s="99"/>
      <c r="BY2" s="104"/>
      <c r="BZ2" s="99"/>
      <c r="CA2" s="104"/>
      <c r="CB2" s="99"/>
      <c r="CC2" s="99"/>
      <c r="CD2" s="104"/>
      <c r="CE2" s="99"/>
      <c r="CF2" s="104"/>
      <c r="CG2" s="99"/>
      <c r="CH2" s="99"/>
      <c r="CI2" s="104"/>
      <c r="CJ2" s="99"/>
      <c r="CK2" s="104"/>
      <c r="CL2" s="99"/>
      <c r="CM2" s="118"/>
      <c r="CN2" s="118"/>
      <c r="CO2" s="118"/>
      <c r="CP2" s="104"/>
      <c r="CQ2" s="99"/>
      <c r="CR2" s="99"/>
      <c r="CS2" s="104"/>
      <c r="CT2" s="99"/>
      <c r="CU2" s="104"/>
      <c r="CV2" s="99"/>
      <c r="CW2" s="99"/>
      <c r="CX2" s="104"/>
      <c r="CY2" s="99"/>
      <c r="CZ2" s="104"/>
      <c r="DA2" s="99"/>
      <c r="DB2" s="99"/>
      <c r="DC2" s="104"/>
      <c r="DD2" s="99"/>
      <c r="DE2" s="104"/>
      <c r="DF2" s="99"/>
      <c r="DG2" s="99"/>
      <c r="DH2" s="104"/>
      <c r="DI2" s="104"/>
      <c r="DJ2" s="104"/>
      <c r="DK2" s="99"/>
      <c r="DL2" s="99"/>
      <c r="DM2" s="104"/>
      <c r="DN2" s="104"/>
      <c r="DO2" s="104"/>
      <c r="DP2" s="99"/>
      <c r="DQ2" s="99"/>
      <c r="DR2" s="104"/>
      <c r="DS2" s="104"/>
      <c r="DT2" s="104"/>
      <c r="DU2" s="99"/>
      <c r="DV2" s="99"/>
      <c r="DW2" s="104"/>
      <c r="DX2" s="104"/>
      <c r="DY2" s="104"/>
      <c r="DZ2" s="87"/>
      <c r="EA2" s="10"/>
    </row>
    <row r="3" ht="19.5" customHeight="1">
      <c r="A3" s="139"/>
      <c r="B3" s="140"/>
      <c r="C3" s="142" t="s">
        <v>32</v>
      </c>
      <c r="E3" s="140"/>
      <c r="F3" s="143" t="s">
        <v>33</v>
      </c>
      <c r="H3" s="150" t="s">
        <v>34</v>
      </c>
      <c r="I3" s="155" t="s">
        <v>37</v>
      </c>
      <c r="J3" s="156"/>
      <c r="K3" s="161" t="s">
        <v>39</v>
      </c>
      <c r="M3" s="150" t="s">
        <v>34</v>
      </c>
      <c r="N3" s="155" t="s">
        <v>37</v>
      </c>
      <c r="O3" s="156"/>
      <c r="P3" s="163" t="s">
        <v>40</v>
      </c>
      <c r="R3" s="150" t="s">
        <v>34</v>
      </c>
      <c r="S3" s="155" t="s">
        <v>37</v>
      </c>
      <c r="T3" s="156"/>
      <c r="U3" s="164" t="s">
        <v>41</v>
      </c>
      <c r="W3" s="150" t="s">
        <v>34</v>
      </c>
      <c r="X3" s="155" t="s">
        <v>37</v>
      </c>
      <c r="Y3" s="156"/>
      <c r="Z3" s="165" t="s">
        <v>42</v>
      </c>
      <c r="AB3" s="150" t="s">
        <v>34</v>
      </c>
      <c r="AC3" s="155" t="s">
        <v>37</v>
      </c>
      <c r="AD3" s="166"/>
      <c r="AE3" s="167" t="s">
        <v>43</v>
      </c>
      <c r="AG3" s="150" t="s">
        <v>34</v>
      </c>
      <c r="AH3" s="155" t="s">
        <v>37</v>
      </c>
      <c r="AI3" s="166"/>
      <c r="AJ3" s="168" t="s">
        <v>44</v>
      </c>
      <c r="AL3" s="150" t="s">
        <v>34</v>
      </c>
      <c r="AM3" s="155" t="s">
        <v>37</v>
      </c>
      <c r="AN3" s="140"/>
      <c r="AO3" s="175" t="s">
        <v>45</v>
      </c>
      <c r="AQ3" s="150" t="s">
        <v>34</v>
      </c>
      <c r="AR3" s="74"/>
      <c r="AS3" s="156"/>
      <c r="AT3" s="176" t="s">
        <v>46</v>
      </c>
      <c r="AV3" s="150" t="s">
        <v>34</v>
      </c>
      <c r="AW3" s="74"/>
      <c r="AX3" s="156"/>
      <c r="AY3" s="177" t="s">
        <v>47</v>
      </c>
      <c r="BA3" s="150" t="s">
        <v>34</v>
      </c>
      <c r="BB3" s="74"/>
      <c r="BC3" s="156"/>
      <c r="BD3" s="180" t="s">
        <v>48</v>
      </c>
      <c r="BF3" s="150" t="s">
        <v>34</v>
      </c>
      <c r="BG3" s="74"/>
      <c r="BH3" s="156"/>
      <c r="BI3" s="182" t="s">
        <v>49</v>
      </c>
      <c r="BK3" s="150" t="s">
        <v>34</v>
      </c>
      <c r="BL3" s="74"/>
      <c r="BM3" s="166"/>
      <c r="BN3" s="183" t="s">
        <v>50</v>
      </c>
      <c r="BP3" s="150" t="s">
        <v>34</v>
      </c>
      <c r="BQ3" s="74"/>
      <c r="BR3" s="166"/>
      <c r="BS3" s="185" t="s">
        <v>51</v>
      </c>
      <c r="BU3" s="150" t="s">
        <v>34</v>
      </c>
      <c r="BV3" s="74"/>
      <c r="BW3" s="140"/>
      <c r="BX3" s="189" t="s">
        <v>52</v>
      </c>
      <c r="BZ3" s="150" t="s">
        <v>34</v>
      </c>
      <c r="CA3" s="74"/>
      <c r="CB3" s="140"/>
      <c r="CC3" s="193" t="s">
        <v>54</v>
      </c>
      <c r="CE3" s="150" t="s">
        <v>34</v>
      </c>
      <c r="CF3" s="74"/>
      <c r="CG3" s="140"/>
      <c r="CH3" s="193" t="s">
        <v>55</v>
      </c>
      <c r="CJ3" s="150" t="s">
        <v>34</v>
      </c>
      <c r="CK3" s="74"/>
      <c r="CL3" s="140"/>
      <c r="CM3" s="200" t="s">
        <v>56</v>
      </c>
      <c r="CO3" s="204" t="s">
        <v>34</v>
      </c>
      <c r="CP3" s="74"/>
      <c r="CQ3" s="140"/>
      <c r="CR3" s="140"/>
      <c r="CT3" s="74"/>
      <c r="CU3" s="74"/>
      <c r="CV3" s="140"/>
      <c r="CW3" s="140"/>
      <c r="CY3" s="74"/>
      <c r="CZ3" s="74"/>
      <c r="DA3" s="140"/>
      <c r="DB3" s="140"/>
      <c r="DD3" s="74"/>
      <c r="DE3" s="74"/>
      <c r="DF3" s="140"/>
      <c r="DG3" s="140"/>
      <c r="DI3" s="74"/>
      <c r="DJ3" s="74"/>
      <c r="DK3" s="140"/>
      <c r="DL3" s="140"/>
      <c r="DN3" s="74"/>
      <c r="DO3" s="74"/>
      <c r="DP3" s="140"/>
      <c r="DQ3" s="140"/>
      <c r="DS3" s="74"/>
      <c r="DT3" s="74"/>
      <c r="DU3" s="140"/>
      <c r="DV3" s="140"/>
      <c r="DX3" s="74"/>
      <c r="DY3" s="74"/>
      <c r="DZ3" s="156"/>
      <c r="EA3" s="207"/>
    </row>
    <row r="4" ht="3.75" customHeight="1">
      <c r="A4" s="3"/>
      <c r="B4" s="74"/>
      <c r="C4" s="74"/>
      <c r="D4" s="74"/>
      <c r="E4" s="74"/>
      <c r="F4" s="74"/>
      <c r="G4" s="74"/>
      <c r="H4" s="74"/>
      <c r="I4" s="74"/>
      <c r="J4" s="74"/>
      <c r="K4" s="74"/>
      <c r="L4" s="80"/>
      <c r="M4" s="74"/>
      <c r="N4" s="74"/>
      <c r="O4" s="74"/>
      <c r="P4" s="209"/>
      <c r="Q4" s="217"/>
      <c r="R4" s="74"/>
      <c r="S4" s="74"/>
      <c r="T4" s="74"/>
      <c r="U4" s="209"/>
      <c r="V4" s="217"/>
      <c r="W4" s="74"/>
      <c r="X4" s="74"/>
      <c r="Y4" s="74"/>
      <c r="Z4" s="209"/>
      <c r="AA4" s="217"/>
      <c r="AB4" s="74"/>
      <c r="AC4" s="74"/>
      <c r="AD4" s="74"/>
      <c r="AE4" s="209"/>
      <c r="AF4" s="217"/>
      <c r="AG4" s="74"/>
      <c r="AH4" s="74"/>
      <c r="AI4" s="74"/>
      <c r="AJ4" s="74"/>
      <c r="AK4" s="80"/>
      <c r="AL4" s="74"/>
      <c r="AM4" s="74"/>
      <c r="AN4" s="74"/>
      <c r="AO4" s="74"/>
      <c r="AP4" s="80"/>
      <c r="AQ4" s="74"/>
      <c r="AR4" s="74"/>
      <c r="AS4" s="87"/>
      <c r="AT4" s="93"/>
      <c r="AU4" s="94"/>
      <c r="AV4" s="93"/>
      <c r="AW4" s="93"/>
      <c r="AX4" s="87"/>
      <c r="AY4" s="93"/>
      <c r="AZ4" s="94"/>
      <c r="BA4" s="93"/>
      <c r="BB4" s="93"/>
      <c r="BC4" s="87"/>
      <c r="BD4" s="93"/>
      <c r="BE4" s="94"/>
      <c r="BF4" s="93"/>
      <c r="BG4" s="93"/>
      <c r="BH4" s="87"/>
      <c r="BI4" s="99"/>
      <c r="BJ4" s="104"/>
      <c r="BK4" s="99"/>
      <c r="BL4" s="99"/>
      <c r="BM4" s="99"/>
      <c r="BN4" s="99"/>
      <c r="BO4" s="104"/>
      <c r="BP4" s="99"/>
      <c r="BQ4" s="99"/>
      <c r="BR4" s="99"/>
      <c r="BS4" s="99"/>
      <c r="BT4" s="104"/>
      <c r="BU4" s="99"/>
      <c r="BV4" s="99"/>
      <c r="BW4" s="99"/>
      <c r="BX4" s="99"/>
      <c r="BY4" s="104"/>
      <c r="BZ4" s="99"/>
      <c r="CA4" s="99"/>
      <c r="CB4" s="99"/>
      <c r="CC4" s="99"/>
      <c r="CD4" s="104"/>
      <c r="CE4" s="99"/>
      <c r="CF4" s="99"/>
      <c r="CG4" s="99"/>
      <c r="CH4" s="99"/>
      <c r="CI4" s="104"/>
      <c r="CJ4" s="99"/>
      <c r="CK4" s="99"/>
      <c r="CL4" s="99"/>
      <c r="CM4" s="118"/>
      <c r="CN4" s="118"/>
      <c r="CO4" s="118"/>
      <c r="CP4" s="99"/>
      <c r="CQ4" s="99"/>
      <c r="CR4" s="99"/>
      <c r="CS4" s="104"/>
      <c r="CT4" s="99"/>
      <c r="CU4" s="99"/>
      <c r="CV4" s="99"/>
      <c r="CW4" s="99"/>
      <c r="CX4" s="104"/>
      <c r="CY4" s="99"/>
      <c r="CZ4" s="99"/>
      <c r="DA4" s="99"/>
      <c r="DB4" s="99"/>
      <c r="DC4" s="104"/>
      <c r="DD4" s="99"/>
      <c r="DE4" s="99"/>
      <c r="DF4" s="99"/>
      <c r="DG4" s="99"/>
      <c r="DH4" s="104"/>
      <c r="DI4" s="99"/>
      <c r="DJ4" s="99"/>
      <c r="DK4" s="99"/>
      <c r="DL4" s="99"/>
      <c r="DM4" s="104"/>
      <c r="DN4" s="99"/>
      <c r="DO4" s="223"/>
      <c r="DP4" s="99"/>
      <c r="DQ4" s="99"/>
      <c r="DR4" s="104"/>
      <c r="DS4" s="99"/>
      <c r="DT4" s="223"/>
      <c r="DU4" s="99"/>
      <c r="DV4" s="99"/>
      <c r="DW4" s="104"/>
      <c r="DX4" s="99"/>
      <c r="DY4" s="223"/>
      <c r="DZ4" s="87"/>
      <c r="EA4" s="10"/>
    </row>
    <row r="5" ht="17.25" customHeight="1">
      <c r="A5" s="21"/>
      <c r="B5" s="93"/>
      <c r="C5" s="234" t="str">
        <f t="array" ref="C5:C353">IFERROR(VLOOKUP(D5:D353,Pokedex!$C$3:$D353,2,FALSE),"")</f>
        <v>arceus</v>
      </c>
      <c r="D5" s="235" t="s">
        <v>73</v>
      </c>
      <c r="E5" s="93"/>
      <c r="F5" s="237" t="str">
        <f>IFERROR(__xludf.DUMMYFUNCTION("IFERROR(SORT(FILTER(Source!$A$2:$B353,Source!$C$2:$C353=SPLIT(F3,"" Points"")),2,TRUE),"""")"),"")</f>
        <v/>
      </c>
      <c r="G5" s="238"/>
      <c r="H5" s="242" t="str">
        <f t="array" ref="H5:H7">IF(COUNTIF(Data!$F$5:$F$71,G5:G7)&gt;0,"X","-")</f>
        <v>-</v>
      </c>
      <c r="I5" s="267" t="str">
        <f t="array" ref="I5:I7">IF(COUNTIF(#REF!,G5:G7)&gt;0,"X","-")</f>
        <v>-</v>
      </c>
      <c r="J5" s="268"/>
      <c r="K5" s="269" t="str">
        <f>IFERROR(__xludf.DUMMYFUNCTION("IFERROR(SORT(FILTER(Source!$A$2:$B353,Source!$C$2:$C353=SPLIT(K3,"" Points"")),2,TRUE),"""")"),"")</f>
        <v/>
      </c>
      <c r="L5" s="270"/>
      <c r="M5" s="242" t="str">
        <f t="array" ref="M5:M7">IF(COUNTIF(Data!$F$5:$F$71,L5:L7)&gt;0,"X","-")</f>
        <v>-</v>
      </c>
      <c r="N5" s="267" t="str">
        <f t="array" ref="N5:N7">IF(COUNTIF(#REF!,L5:L7)&gt;0,"X","-")</f>
        <v>-</v>
      </c>
      <c r="O5" s="268"/>
      <c r="P5" s="277" t="str">
        <f>IFERROR(__xludf.DUMMYFUNCTION("IFERROR(SORT(FILTER(Source!$A$2:$B353,Source!$C$2:$C353=SPLIT(P3,"" Points"")),2,TRUE),"""")"),"")</f>
        <v/>
      </c>
      <c r="Q5" s="286"/>
      <c r="R5" s="242" t="str">
        <f t="array" ref="R5:R7">IF(COUNTIF(Data!$F$5:$F$71,Q5:Q7)&gt;0,"X","-")</f>
        <v>-</v>
      </c>
      <c r="S5" s="267" t="str">
        <f t="array" ref="S5:S7">IF(COUNTIF(#REF!,Q5:Q7)&gt;0,"X","-")</f>
        <v>-</v>
      </c>
      <c r="T5" s="268"/>
      <c r="U5" s="294" t="str">
        <f>IFERROR(__xludf.DUMMYFUNCTION("IFERROR(SORT(FILTER(Source!$A$2:$B353,Source!$C$2:$C353=SPLIT(U3,"" Points"")),2,TRUE),"""")"),"")</f>
        <v/>
      </c>
      <c r="V5" s="300"/>
      <c r="W5" s="242" t="str">
        <f t="array" ref="W5:W7">IF(COUNTIF(Data!$F$5:$F$71,V5:V7)&gt;0,"X","-")</f>
        <v>-</v>
      </c>
      <c r="X5" s="267" t="str">
        <f t="array" ref="X5:X7">IF(COUNTIF(#REF!,V5:V7)&gt;0,"X","-")</f>
        <v>-</v>
      </c>
      <c r="Y5" s="268"/>
      <c r="Z5" s="313" t="str">
        <f>IFERROR(__xludf.DUMMYFUNCTION("IFERROR(SORT(FILTER(Source!$A$2:$B353,Source!$C$2:$C353=SPLIT(Z3,"" Points"")),2,TRUE),"""")"),"")</f>
        <v/>
      </c>
      <c r="AA5" s="314"/>
      <c r="AB5" s="242" t="str">
        <f t="array" ref="AB5:AB8">IF(COUNTIF(Data!$F$5:$F$71,AA5:AA8)&gt;0,"X","-")</f>
        <v>-</v>
      </c>
      <c r="AC5" s="267" t="str">
        <f t="array" ref="AC5:AC8">IF(COUNTIF(#REF!,AA5:AA8)&gt;0,"X","-")</f>
        <v>-</v>
      </c>
      <c r="AD5" s="268"/>
      <c r="AE5" s="321" t="str">
        <f>IFERROR(__xludf.DUMMYFUNCTION("IFERROR(SORT(FILTER(Source!$A$2:$B353,Source!$C$2:$C353=SPLIT(AE3,"" Points"")),2,TRUE),"""")"),"")</f>
        <v/>
      </c>
      <c r="AF5" s="322"/>
      <c r="AG5" s="242" t="str">
        <f t="array" ref="AG5:AG8">IF(COUNTIF(Data!$F$5:$F$71,AF5:AF8)&gt;0,"X","-")</f>
        <v>-</v>
      </c>
      <c r="AH5" s="267" t="str">
        <f t="array" ref="AH5:AH8">IF(COUNTIF(#REF!,AF5:AF8)&gt;0,"X","-")</f>
        <v>-</v>
      </c>
      <c r="AI5" s="268"/>
      <c r="AJ5" s="333" t="str">
        <f>IFERROR(__xludf.DUMMYFUNCTION("IFERROR(SORT(FILTER(Source!$A$2:$B353,Source!$C$2:$C353=SPLIT(AJ3,"" Points"")),2,TRUE),"""")"),"")</f>
        <v/>
      </c>
      <c r="AK5" s="334"/>
      <c r="AL5" s="242" t="str">
        <f t="array" ref="AL5:AL10">IF(COUNTIF(Data!$F$5:$F$71,AK5:AK10)&gt;0,"X","-")</f>
        <v>-</v>
      </c>
      <c r="AM5" s="267" t="str">
        <f t="array" ref="AM5:AM10">IF(COUNTIF(#REF!,AK5:AK10)&gt;0,"X","-")</f>
        <v>-</v>
      </c>
      <c r="AN5" s="268"/>
      <c r="AO5" s="268" t="str">
        <f>IFERROR(__xludf.DUMMYFUNCTION("IFERROR(SORT(FILTER(Source!$A$2:$B353,Source!$C$2:$C353=SPLIT(AO3,"" Points"")),2,TRUE),"""")"),"")</f>
        <v/>
      </c>
      <c r="AP5" s="340" t="str">
        <f>IFERROR(__xludf.DUMMYFUNCTION("""COMPUTED_VALUE"""),"Gholdengo")</f>
        <v>Gholdengo</v>
      </c>
      <c r="AQ5" s="242" t="str">
        <f t="array" ref="AQ5:AQ6">IF(COUNTIF(Data!$F$5:$F$71,AP5:AP6)&gt;0,"X","-")</f>
        <v>X</v>
      </c>
      <c r="AR5" s="345"/>
      <c r="AS5" s="93"/>
      <c r="AT5" s="359" t="str">
        <f>IFERROR(__xludf.DUMMYFUNCTION("IFERROR(SORT(FILTER(Source!$A$2:$B353,Source!$C$2:$C353=SPLIT(AT3,"" Points"")),2,TRUE),"""")"),"")</f>
        <v/>
      </c>
      <c r="AU5" s="360" t="str">
        <f>IFERROR(__xludf.DUMMYFUNCTION("""COMPUTED_VALUE"""),"Annihilape")</f>
        <v>Annihilape</v>
      </c>
      <c r="AV5" s="363" t="str">
        <f t="array" ref="AV5:AV6">IF(COUNTIF(Data!$F$5:$F$71,AU5:AU6)&gt;0,"X","-")</f>
        <v>X</v>
      </c>
      <c r="AW5" s="345"/>
      <c r="AX5" s="93"/>
      <c r="AY5" s="364" t="str">
        <f>IFERROR(__xludf.DUMMYFUNCTION("IFERROR(SORT(FILTER(Source!$A$2:$B353,Source!$C$2:$C353=SPLIT(AY3,"" Points"")),2,TRUE),"""")"),"")</f>
        <v/>
      </c>
      <c r="AZ5" s="365" t="str">
        <f>IFERROR(__xludf.DUMMYFUNCTION("""COMPUTED_VALUE"""),"Amoonguss")</f>
        <v>Amoonguss</v>
      </c>
      <c r="BA5" s="363" t="str">
        <f t="array" ref="BA5:BA9">IF(COUNTIF(Data!$F$5:$F$71,AZ5:AZ9)&gt;0,"X","-")</f>
        <v>X</v>
      </c>
      <c r="BB5" s="345"/>
      <c r="BC5" s="93"/>
      <c r="BD5" s="368" t="str">
        <f>IFERROR(__xludf.DUMMYFUNCTION("IFERROR(SORT(FILTER(Source!$A$2:$B353,Source!$C$2:$C353=SPLIT(BD3,"" Points"")),2,TRUE),"""")"),"")</f>
        <v/>
      </c>
      <c r="BE5" s="369" t="str">
        <f>IFERROR(__xludf.DUMMYFUNCTION("""COMPUTED_VALUE"""),"Armarouge")</f>
        <v>Armarouge</v>
      </c>
      <c r="BF5" s="363" t="str">
        <f t="array" ref="BF5:BF9">IF(COUNTIF(Data!$F$5:$F$71,BE5:BE9)&gt;0,"X","-")</f>
        <v>X</v>
      </c>
      <c r="BG5" s="345"/>
      <c r="BH5" s="93"/>
      <c r="BI5" s="372" t="str">
        <f>IFERROR(__xludf.DUMMYFUNCTION("IFERROR(SORT(FILTER(Source!$A$2:$B353,Source!$C$2:$C353=SPLIT(BI3,"" Points"")),2,TRUE),"""")"),"")</f>
        <v/>
      </c>
      <c r="BJ5" s="373" t="str">
        <f>IFERROR(__xludf.DUMMYFUNCTION("""COMPUTED_VALUE"""),"Arcanine")</f>
        <v>Arcanine</v>
      </c>
      <c r="BK5" s="363" t="str">
        <f t="array" ref="BK5:BK10">IF(COUNTIF(Data!$F$5:$F$71,BJ5:BJ10)&gt;0,"X","-")</f>
        <v>X</v>
      </c>
      <c r="BL5" s="345"/>
      <c r="BM5" s="93"/>
      <c r="BN5" s="372" t="str">
        <f>IFERROR(__xludf.DUMMYFUNCTION("IFERROR(SORT(FILTER(Source!$A$2:$B353,Source!$C$2:$C353=SPLIT(BN3,"" Points"")),2,TRUE),"""")"),"")</f>
        <v/>
      </c>
      <c r="BO5" s="376" t="str">
        <f>IFERROR(__xludf.DUMMYFUNCTION("""COMPUTED_VALUE"""),"Baxcalibur")</f>
        <v>Baxcalibur</v>
      </c>
      <c r="BP5" s="363" t="str">
        <f t="array" ref="BP5:BP15">IF(COUNTIF(Data!$F$5:$F$71,BO5:BO15)&gt;0,"X","-")</f>
        <v>X</v>
      </c>
      <c r="BQ5" s="345"/>
      <c r="BR5" s="93"/>
      <c r="BS5" s="380" t="str">
        <f>IFERROR(__xludf.DUMMYFUNCTION("IFERROR(SORT(FILTER(Source!$A$2:$B353,Source!$C$2:$C353=SPLIT(BS3,"" Points"")),2,TRUE),"""")"),"")</f>
        <v/>
      </c>
      <c r="BT5" s="382" t="str">
        <f>IFERROR(__xludf.DUMMYFUNCTION("""COMPUTED_VALUE"""),"Ceruledge")</f>
        <v>Ceruledge</v>
      </c>
      <c r="BU5" s="363" t="str">
        <f t="array" ref="BU5:BU16">IF(COUNTIF(Data!$F$5:$F$71,BT5:BT16)&gt;0,"X","-")</f>
        <v>-</v>
      </c>
      <c r="BV5" s="345"/>
      <c r="BW5" s="93"/>
      <c r="BX5" s="385" t="str">
        <f>IFERROR(__xludf.DUMMYFUNCTION("IFERROR(SORT(FILTER(Source!$A$2:$B353,Source!$C$2:$C353=SPLIT(BX3,"" Points"")),2,TRUE),"""")"),"")</f>
        <v/>
      </c>
      <c r="BY5" s="386" t="str">
        <f>IFERROR(__xludf.DUMMYFUNCTION("""COMPUTED_VALUE"""),"Abomasnow")</f>
        <v>Abomasnow</v>
      </c>
      <c r="BZ5" s="363" t="str">
        <f t="array" ref="BZ5:BZ15">IF(COUNTIF(Data!$F$5:$F$71,BY5:BY15)&gt;0,"X","-")</f>
        <v>X</v>
      </c>
      <c r="CA5" s="345"/>
      <c r="CB5" s="93"/>
      <c r="CC5" s="387" t="str">
        <f>IFERROR(__xludf.DUMMYFUNCTION("IFERROR(SORT(FILTER(Source!$A$2:$B353,Source!$C$2:$C353=SPLIT(CC3,"" Points"")),2,TRUE),"""")"),"")</f>
        <v/>
      </c>
      <c r="CD5" s="388" t="str">
        <f>IFERROR(__xludf.DUMMYFUNCTION("""COMPUTED_VALUE"""),"Arboliva")</f>
        <v>Arboliva</v>
      </c>
      <c r="CE5" s="363" t="str">
        <f t="array" ref="CE5:CE21">IF(COUNTIF(Data!$F$5:$F$71,CD5:CD21)&gt;0,"X","-")</f>
        <v>X</v>
      </c>
      <c r="CF5" s="345"/>
      <c r="CG5" s="93"/>
      <c r="CH5" s="387" t="str">
        <f>IFERROR(__xludf.DUMMYFUNCTION("IFERROR(SORT(FILTER(Source!$A$2:$B353,Source!$C$2:$C353=SPLIT(CH3,"" Points"")),2,TRUE),"""")"),"")</f>
        <v/>
      </c>
      <c r="CI5" s="388" t="str">
        <f>IFERROR(__xludf.DUMMYFUNCTION("""COMPUTED_VALUE"""),"Beartic")</f>
        <v>Beartic</v>
      </c>
      <c r="CJ5" s="363" t="str">
        <f t="array" ref="CJ5:CJ35">IF(COUNTIF(Data!$F$5:$F$71,CI5:CI35)&gt;0,"X","-")</f>
        <v>-</v>
      </c>
      <c r="CK5" s="389"/>
      <c r="CL5" s="93"/>
      <c r="CM5" s="390" t="str">
        <f>IFERROR(__xludf.DUMMYFUNCTION("IFERROR(SORT(FILTER(Source!$A$2:$B353,Source!$C$2:$C353=SPLIT(CM3,"" Points"")),2,TRUE),"""")"),"")</f>
        <v/>
      </c>
      <c r="CN5" s="391" t="str">
        <f>IFERROR(__xludf.DUMMYFUNCTION("""COMPUTED_VALUE"""),"Alomomola")</f>
        <v>Alomomola</v>
      </c>
      <c r="CO5" s="392" t="str">
        <f t="array" ref="CO5:CO281">IF(COUNTIF(Data!$F$5:$F$71,CN5:CN281)&gt;0,"X","-")</f>
        <v>-</v>
      </c>
      <c r="CP5" s="389"/>
      <c r="CQ5" s="93"/>
      <c r="CR5" s="93"/>
      <c r="CS5" s="393"/>
      <c r="CT5" s="389"/>
      <c r="CU5" s="389"/>
      <c r="CV5" s="93"/>
      <c r="CW5" s="93"/>
      <c r="CX5" s="394"/>
      <c r="CY5" s="389"/>
      <c r="CZ5" s="389"/>
      <c r="DA5" s="93"/>
      <c r="DB5" s="93"/>
      <c r="DC5" s="393"/>
      <c r="DD5" s="389"/>
      <c r="DE5" s="389"/>
      <c r="DF5" s="93"/>
      <c r="DG5" s="93"/>
      <c r="DH5" s="393"/>
      <c r="DI5" s="389"/>
      <c r="DJ5" s="389"/>
      <c r="DK5" s="93"/>
      <c r="DL5" s="93"/>
      <c r="DM5" s="393"/>
      <c r="DN5" s="389"/>
      <c r="DO5" s="389"/>
      <c r="DP5" s="93"/>
      <c r="DQ5" s="93"/>
      <c r="DR5" s="393"/>
      <c r="DS5" s="389"/>
      <c r="DT5" s="389"/>
      <c r="DU5" s="93"/>
      <c r="DV5" s="93"/>
      <c r="DW5" s="393"/>
      <c r="DX5" s="389"/>
      <c r="DY5" s="389"/>
      <c r="DZ5" s="93"/>
      <c r="EA5" s="21"/>
    </row>
    <row r="6" ht="17.25" customHeight="1">
      <c r="A6" s="21"/>
      <c r="B6" s="93"/>
      <c r="C6" s="234" t="s">
        <v>156</v>
      </c>
      <c r="D6" s="235" t="s">
        <v>157</v>
      </c>
      <c r="E6" s="93"/>
      <c r="F6" s="237"/>
      <c r="G6" s="238"/>
      <c r="H6" s="242" t="s">
        <v>158</v>
      </c>
      <c r="I6" s="267" t="s">
        <v>158</v>
      </c>
      <c r="J6" s="268"/>
      <c r="K6" s="269"/>
      <c r="L6" s="270"/>
      <c r="M6" s="242" t="s">
        <v>158</v>
      </c>
      <c r="N6" s="267" t="s">
        <v>158</v>
      </c>
      <c r="O6" s="268"/>
      <c r="P6" s="277"/>
      <c r="Q6" s="286"/>
      <c r="R6" s="242" t="s">
        <v>158</v>
      </c>
      <c r="S6" s="267" t="s">
        <v>158</v>
      </c>
      <c r="T6" s="268"/>
      <c r="U6" s="294"/>
      <c r="V6" s="300"/>
      <c r="W6" s="242" t="s">
        <v>158</v>
      </c>
      <c r="X6" s="267" t="s">
        <v>158</v>
      </c>
      <c r="Y6" s="268"/>
      <c r="Z6" s="313"/>
      <c r="AA6" s="314"/>
      <c r="AB6" s="242" t="s">
        <v>158</v>
      </c>
      <c r="AC6" s="267" t="s">
        <v>158</v>
      </c>
      <c r="AD6" s="268"/>
      <c r="AE6" s="321"/>
      <c r="AF6" s="322"/>
      <c r="AG6" s="242" t="s">
        <v>158</v>
      </c>
      <c r="AH6" s="267" t="s">
        <v>158</v>
      </c>
      <c r="AI6" s="268"/>
      <c r="AJ6" s="333"/>
      <c r="AK6" s="334"/>
      <c r="AL6" s="242" t="s">
        <v>158</v>
      </c>
      <c r="AM6" s="267" t="s">
        <v>158</v>
      </c>
      <c r="AN6" s="268"/>
      <c r="AO6" s="268" t="str">
        <f>IFERROR(__xludf.DUMMYFUNCTION("""COMPUTED_VALUE"""),"")</f>
        <v/>
      </c>
      <c r="AP6" s="397" t="str">
        <f>IFERROR(__xludf.DUMMYFUNCTION("""COMPUTED_VALUE"""),"Meowscarada")</f>
        <v>Meowscarada</v>
      </c>
      <c r="AQ6" s="363" t="s">
        <v>159</v>
      </c>
      <c r="AR6" s="345"/>
      <c r="AS6" s="93"/>
      <c r="AT6" s="359" t="str">
        <f>IFERROR(__xludf.DUMMYFUNCTION("""COMPUTED_VALUE"""),"")</f>
        <v/>
      </c>
      <c r="AU6" s="400" t="str">
        <f>IFERROR(__xludf.DUMMYFUNCTION("""COMPUTED_VALUE"""),"Sylveon")</f>
        <v>Sylveon</v>
      </c>
      <c r="AV6" s="363" t="s">
        <v>159</v>
      </c>
      <c r="AW6" s="345"/>
      <c r="AX6" s="93"/>
      <c r="AY6" s="364" t="str">
        <f>IFERROR(__xludf.DUMMYFUNCTION("""COMPUTED_VALUE"""),"")</f>
        <v/>
      </c>
      <c r="AZ6" s="365" t="str">
        <f>IFERROR(__xludf.DUMMYFUNCTION("""COMPUTED_VALUE"""),"Dondozo")</f>
        <v>Dondozo</v>
      </c>
      <c r="BA6" s="363" t="s">
        <v>159</v>
      </c>
      <c r="BB6" s="345"/>
      <c r="BC6" s="93"/>
      <c r="BD6" s="368" t="str">
        <f>IFERROR(__xludf.DUMMYFUNCTION("""COMPUTED_VALUE"""),"")</f>
        <v/>
      </c>
      <c r="BE6" s="369" t="str">
        <f>IFERROR(__xludf.DUMMYFUNCTION("""COMPUTED_VALUE"""),"Garchomp")</f>
        <v>Garchomp</v>
      </c>
      <c r="BF6" s="363" t="s">
        <v>159</v>
      </c>
      <c r="BG6" s="345"/>
      <c r="BH6" s="93"/>
      <c r="BI6" s="402" t="str">
        <f>IFERROR(__xludf.DUMMYFUNCTION("""COMPUTED_VALUE"""),"")</f>
        <v/>
      </c>
      <c r="BJ6" s="373" t="str">
        <f>IFERROR(__xludf.DUMMYFUNCTION("""COMPUTED_VALUE"""),"Azumarill")</f>
        <v>Azumarill</v>
      </c>
      <c r="BK6" s="363" t="s">
        <v>159</v>
      </c>
      <c r="BL6" s="345"/>
      <c r="BM6" s="93"/>
      <c r="BN6" s="372" t="str">
        <f>IFERROR(__xludf.DUMMYFUNCTION("""COMPUTED_VALUE"""),"")</f>
        <v/>
      </c>
      <c r="BO6" s="376" t="str">
        <f>IFERROR(__xludf.DUMMYFUNCTION("""COMPUTED_VALUE"""),"Garganacl")</f>
        <v>Garganacl</v>
      </c>
      <c r="BP6" s="363" t="s">
        <v>159</v>
      </c>
      <c r="BQ6" s="345"/>
      <c r="BR6" s="93"/>
      <c r="BS6" s="380" t="str">
        <f>IFERROR(__xludf.DUMMYFUNCTION("""COMPUTED_VALUE"""),"")</f>
        <v/>
      </c>
      <c r="BT6" s="382" t="str">
        <f>IFERROR(__xludf.DUMMYFUNCTION("""COMPUTED_VALUE"""),"Dragapult")</f>
        <v>Dragapult</v>
      </c>
      <c r="BU6" s="363" t="s">
        <v>159</v>
      </c>
      <c r="BV6" s="345"/>
      <c r="BW6" s="93"/>
      <c r="BX6" s="385" t="str">
        <f>IFERROR(__xludf.DUMMYFUNCTION("""COMPUTED_VALUE"""),"")</f>
        <v/>
      </c>
      <c r="BY6" s="386" t="str">
        <f>IFERROR(__xludf.DUMMYFUNCTION("""COMPUTED_VALUE"""),"Breloom")</f>
        <v>Breloom</v>
      </c>
      <c r="BZ6" s="363" t="s">
        <v>158</v>
      </c>
      <c r="CA6" s="345"/>
      <c r="CB6" s="93"/>
      <c r="CC6" s="387" t="str">
        <f>IFERROR(__xludf.DUMMYFUNCTION("""COMPUTED_VALUE"""),"")</f>
        <v/>
      </c>
      <c r="CD6" s="404" t="str">
        <f>IFERROR(__xludf.DUMMYFUNCTION("""COMPUTED_VALUE"""),"Avalugg")</f>
        <v>Avalugg</v>
      </c>
      <c r="CE6" s="363" t="s">
        <v>158</v>
      </c>
      <c r="CF6" s="345"/>
      <c r="CG6" s="93"/>
      <c r="CH6" s="387" t="str">
        <f>IFERROR(__xludf.DUMMYFUNCTION("""COMPUTED_VALUE"""),"")</f>
        <v/>
      </c>
      <c r="CI6" s="404" t="str">
        <f>IFERROR(__xludf.DUMMYFUNCTION("""COMPUTED_VALUE"""),"Brambleghast")</f>
        <v>Brambleghast</v>
      </c>
      <c r="CJ6" s="363" t="s">
        <v>158</v>
      </c>
      <c r="CK6" s="389"/>
      <c r="CL6" s="93"/>
      <c r="CM6" s="390" t="str">
        <f>IFERROR(__xludf.DUMMYFUNCTION("""COMPUTED_VALUE"""),"")</f>
        <v/>
      </c>
      <c r="CN6" s="388" t="str">
        <f>IFERROR(__xludf.DUMMYFUNCTION("""COMPUTED_VALUE"""),"Altaria")</f>
        <v>Altaria</v>
      </c>
      <c r="CO6" s="392" t="s">
        <v>158</v>
      </c>
      <c r="CP6" s="389"/>
      <c r="CQ6" s="93"/>
      <c r="CR6" s="93"/>
      <c r="CS6" s="393"/>
      <c r="CT6" s="389"/>
      <c r="CU6" s="389"/>
      <c r="CV6" s="93"/>
      <c r="CW6" s="93"/>
      <c r="CX6" s="393"/>
      <c r="CY6" s="389"/>
      <c r="CZ6" s="389"/>
      <c r="DA6" s="93"/>
      <c r="DB6" s="93"/>
      <c r="DC6" s="393"/>
      <c r="DD6" s="389"/>
      <c r="DE6" s="389"/>
      <c r="DF6" s="93"/>
      <c r="DG6" s="93"/>
      <c r="DH6" s="393"/>
      <c r="DI6" s="389"/>
      <c r="DJ6" s="389"/>
      <c r="DK6" s="93"/>
      <c r="DL6" s="93"/>
      <c r="DM6" s="393"/>
      <c r="DN6" s="389"/>
      <c r="DO6" s="389"/>
      <c r="DP6" s="93"/>
      <c r="DQ6" s="93"/>
      <c r="DR6" s="393"/>
      <c r="DS6" s="389"/>
      <c r="DT6" s="389"/>
      <c r="DU6" s="93"/>
      <c r="DV6" s="93"/>
      <c r="DW6" s="393"/>
      <c r="DX6" s="389"/>
      <c r="DY6" s="389"/>
      <c r="DZ6" s="93"/>
      <c r="EA6" s="21"/>
    </row>
    <row r="7" ht="17.25" customHeight="1">
      <c r="A7" s="406"/>
      <c r="B7" s="407"/>
      <c r="C7" s="234" t="s">
        <v>160</v>
      </c>
      <c r="D7" s="235" t="s">
        <v>161</v>
      </c>
      <c r="E7" s="93"/>
      <c r="F7" s="268"/>
      <c r="G7" s="268"/>
      <c r="H7" s="408" t="s">
        <v>158</v>
      </c>
      <c r="I7" s="408" t="s">
        <v>158</v>
      </c>
      <c r="J7" s="268"/>
      <c r="K7" s="269"/>
      <c r="L7" s="270"/>
      <c r="M7" s="242" t="s">
        <v>158</v>
      </c>
      <c r="N7" s="267" t="s">
        <v>158</v>
      </c>
      <c r="O7" s="268"/>
      <c r="P7" s="277"/>
      <c r="Q7" s="286"/>
      <c r="R7" s="242" t="s">
        <v>158</v>
      </c>
      <c r="S7" s="267" t="s">
        <v>158</v>
      </c>
      <c r="T7" s="268"/>
      <c r="U7" s="294"/>
      <c r="V7" s="300"/>
      <c r="W7" s="242" t="s">
        <v>158</v>
      </c>
      <c r="X7" s="267" t="s">
        <v>158</v>
      </c>
      <c r="Y7" s="268"/>
      <c r="Z7" s="313"/>
      <c r="AA7" s="314"/>
      <c r="AB7" s="242" t="s">
        <v>158</v>
      </c>
      <c r="AC7" s="267" t="s">
        <v>158</v>
      </c>
      <c r="AD7" s="268"/>
      <c r="AE7" s="321"/>
      <c r="AF7" s="322"/>
      <c r="AG7" s="242" t="s">
        <v>158</v>
      </c>
      <c r="AH7" s="267" t="s">
        <v>158</v>
      </c>
      <c r="AI7" s="268"/>
      <c r="AJ7" s="333"/>
      <c r="AK7" s="334"/>
      <c r="AL7" s="242" t="s">
        <v>158</v>
      </c>
      <c r="AM7" s="267" t="s">
        <v>158</v>
      </c>
      <c r="AN7" s="268"/>
      <c r="AO7" s="268"/>
      <c r="AP7" s="340"/>
      <c r="AQ7" s="389"/>
      <c r="AR7" s="345"/>
      <c r="AS7" s="93"/>
      <c r="AT7" s="359"/>
      <c r="AU7" s="360"/>
      <c r="AV7" s="389"/>
      <c r="AW7" s="345"/>
      <c r="AX7" s="93"/>
      <c r="AY7" s="364" t="str">
        <f>IFERROR(__xludf.DUMMYFUNCTION("""COMPUTED_VALUE"""),"")</f>
        <v/>
      </c>
      <c r="AZ7" s="365" t="str">
        <f>IFERROR(__xludf.DUMMYFUNCTION("""COMPUTED_VALUE"""),"Hydreigon")</f>
        <v>Hydreigon</v>
      </c>
      <c r="BA7" s="363" t="s">
        <v>159</v>
      </c>
      <c r="BB7" s="345"/>
      <c r="BC7" s="93"/>
      <c r="BD7" s="368" t="str">
        <f>IFERROR(__xludf.DUMMYFUNCTION("""COMPUTED_VALUE"""),"")</f>
        <v/>
      </c>
      <c r="BE7" s="369" t="str">
        <f>IFERROR(__xludf.DUMMYFUNCTION("""COMPUTED_VALUE"""),"Grimmsnarl")</f>
        <v>Grimmsnarl</v>
      </c>
      <c r="BF7" s="363" t="s">
        <v>158</v>
      </c>
      <c r="BG7" s="345"/>
      <c r="BH7" s="93"/>
      <c r="BI7" s="402" t="str">
        <f>IFERROR(__xludf.DUMMYFUNCTION("""COMPUTED_VALUE"""),"")</f>
        <v/>
      </c>
      <c r="BJ7" s="373" t="str">
        <f>IFERROR(__xludf.DUMMYFUNCTION("""COMPUTED_VALUE"""),"Dragonite")</f>
        <v>Dragonite</v>
      </c>
      <c r="BK7" s="363" t="s">
        <v>159</v>
      </c>
      <c r="BL7" s="345"/>
      <c r="BM7" s="93"/>
      <c r="BN7" s="372" t="str">
        <f>IFERROR(__xludf.DUMMYFUNCTION("""COMPUTED_VALUE"""),"")</f>
        <v/>
      </c>
      <c r="BO7" s="376" t="str">
        <f>IFERROR(__xludf.DUMMYFUNCTION("""COMPUTED_VALUE"""),"Indeedee-Male")</f>
        <v>Indeedee-Male</v>
      </c>
      <c r="BP7" s="363" t="s">
        <v>158</v>
      </c>
      <c r="BQ7" s="345"/>
      <c r="BR7" s="93"/>
      <c r="BS7" s="380" t="str">
        <f>IFERROR(__xludf.DUMMYFUNCTION("""COMPUTED_VALUE"""),"")</f>
        <v/>
      </c>
      <c r="BT7" s="382" t="str">
        <f>IFERROR(__xludf.DUMMYFUNCTION("""COMPUTED_VALUE"""),"Farigiraf")</f>
        <v>Farigiraf</v>
      </c>
      <c r="BU7" s="363" t="s">
        <v>159</v>
      </c>
      <c r="BV7" s="345"/>
      <c r="BW7" s="93"/>
      <c r="BX7" s="385" t="str">
        <f>IFERROR(__xludf.DUMMYFUNCTION("""COMPUTED_VALUE"""),"")</f>
        <v/>
      </c>
      <c r="BY7" s="386" t="str">
        <f>IFERROR(__xludf.DUMMYFUNCTION("""COMPUTED_VALUE"""),"Flamigo")</f>
        <v>Flamigo</v>
      </c>
      <c r="BZ7" s="363" t="s">
        <v>159</v>
      </c>
      <c r="CA7" s="345"/>
      <c r="CB7" s="93"/>
      <c r="CC7" s="387" t="str">
        <f>IFERROR(__xludf.DUMMYFUNCTION("""COMPUTED_VALUE"""),"")</f>
        <v/>
      </c>
      <c r="CD7" s="404" t="str">
        <f>IFERROR(__xludf.DUMMYFUNCTION("""COMPUTED_VALUE"""),"Barraskewda")</f>
        <v>Barraskewda</v>
      </c>
      <c r="CE7" s="363" t="s">
        <v>158</v>
      </c>
      <c r="CF7" s="345"/>
      <c r="CG7" s="93"/>
      <c r="CH7" s="387" t="str">
        <f>IFERROR(__xludf.DUMMYFUNCTION("""COMPUTED_VALUE"""),"")</f>
        <v/>
      </c>
      <c r="CI7" s="404" t="str">
        <f>IFERROR(__xludf.DUMMYFUNCTION("""COMPUTED_VALUE"""),"Bronzong")</f>
        <v>Bronzong</v>
      </c>
      <c r="CJ7" s="363" t="s">
        <v>158</v>
      </c>
      <c r="CK7" s="345"/>
      <c r="CL7" s="93"/>
      <c r="CM7" s="390" t="str">
        <f>IFERROR(__xludf.DUMMYFUNCTION("""COMPUTED_VALUE"""),"")</f>
        <v/>
      </c>
      <c r="CN7" s="388" t="str">
        <f>IFERROR(__xludf.DUMMYFUNCTION("""COMPUTED_VALUE"""),"Ampharos")</f>
        <v>Ampharos</v>
      </c>
      <c r="CO7" s="392" t="s">
        <v>158</v>
      </c>
      <c r="CP7" s="345"/>
      <c r="CQ7" s="93"/>
      <c r="CR7" s="413"/>
      <c r="CS7" s="414"/>
      <c r="CT7" s="363"/>
      <c r="CU7" s="345"/>
      <c r="CV7" s="93"/>
      <c r="CW7" s="415"/>
      <c r="CY7" s="363"/>
      <c r="CZ7" s="345"/>
      <c r="DA7" s="93"/>
      <c r="DB7" s="423"/>
      <c r="DC7" s="424"/>
      <c r="DD7" s="363"/>
      <c r="DE7" s="345"/>
      <c r="DF7" s="93"/>
      <c r="DG7" s="242"/>
      <c r="DH7" s="426"/>
      <c r="DI7" s="363"/>
      <c r="DJ7" s="345"/>
      <c r="DK7" s="93"/>
      <c r="DL7" s="429"/>
      <c r="DM7" s="430"/>
      <c r="DN7" s="363"/>
      <c r="DO7" s="345"/>
      <c r="DP7" s="93"/>
      <c r="DQ7" s="439"/>
      <c r="DR7" s="441"/>
      <c r="DS7" s="363"/>
      <c r="DT7" s="345"/>
      <c r="DU7" s="93"/>
      <c r="DV7" s="442"/>
      <c r="DW7" s="443"/>
      <c r="DX7" s="363"/>
      <c r="DY7" s="345"/>
      <c r="DZ7" s="93"/>
      <c r="EA7" s="21"/>
    </row>
    <row r="8" ht="17.25" customHeight="1">
      <c r="A8" s="446"/>
      <c r="B8" s="447"/>
      <c r="C8" s="234" t="s">
        <v>170</v>
      </c>
      <c r="D8" s="235" t="s">
        <v>171</v>
      </c>
      <c r="E8" s="93"/>
      <c r="F8" s="268"/>
      <c r="G8" s="268"/>
      <c r="H8" s="268"/>
      <c r="I8" s="268"/>
      <c r="J8" s="268"/>
      <c r="K8" s="269"/>
      <c r="L8" s="270"/>
      <c r="M8" s="242" t="s">
        <v>159</v>
      </c>
      <c r="N8" s="267" t="s">
        <v>159</v>
      </c>
      <c r="O8" s="268"/>
      <c r="P8" s="268"/>
      <c r="Q8" s="450"/>
      <c r="R8" s="242"/>
      <c r="S8" s="268"/>
      <c r="T8" s="268"/>
      <c r="U8" s="294"/>
      <c r="V8" s="300"/>
      <c r="W8" s="408" t="s">
        <v>158</v>
      </c>
      <c r="X8" s="408" t="s">
        <v>158</v>
      </c>
      <c r="Y8" s="268"/>
      <c r="Z8" s="313"/>
      <c r="AA8" s="314"/>
      <c r="AB8" s="242" t="s">
        <v>158</v>
      </c>
      <c r="AC8" s="267" t="s">
        <v>158</v>
      </c>
      <c r="AD8" s="268"/>
      <c r="AE8" s="321"/>
      <c r="AF8" s="322"/>
      <c r="AG8" s="242" t="s">
        <v>158</v>
      </c>
      <c r="AH8" s="267" t="s">
        <v>158</v>
      </c>
      <c r="AI8" s="268"/>
      <c r="AJ8" s="333"/>
      <c r="AK8" s="334"/>
      <c r="AL8" s="242" t="s">
        <v>158</v>
      </c>
      <c r="AM8" s="267" t="s">
        <v>158</v>
      </c>
      <c r="AN8" s="268"/>
      <c r="AO8" s="268"/>
      <c r="AQ8" s="389"/>
      <c r="AR8" s="389"/>
      <c r="AS8" s="93"/>
      <c r="AT8" s="359"/>
      <c r="AU8" s="400"/>
      <c r="AV8" s="389"/>
      <c r="AW8" s="345"/>
      <c r="AX8" s="93"/>
      <c r="AY8" s="364" t="str">
        <f>IFERROR(__xludf.DUMMYFUNCTION("""COMPUTED_VALUE"""),"")</f>
        <v/>
      </c>
      <c r="AZ8" s="365" t="str">
        <f>IFERROR(__xludf.DUMMYFUNCTION("""COMPUTED_VALUE"""),"Murkrow")</f>
        <v>Murkrow</v>
      </c>
      <c r="BA8" s="363" t="s">
        <v>159</v>
      </c>
      <c r="BB8" s="345"/>
      <c r="BC8" s="93"/>
      <c r="BD8" s="368" t="str">
        <f>IFERROR(__xludf.DUMMYFUNCTION("""COMPUTED_VALUE"""),"")</f>
        <v/>
      </c>
      <c r="BE8" s="369" t="str">
        <f>IFERROR(__xludf.DUMMYFUNCTION("""COMPUTED_VALUE"""),"Kingambit")</f>
        <v>Kingambit</v>
      </c>
      <c r="BF8" s="363" t="s">
        <v>159</v>
      </c>
      <c r="BG8" s="345"/>
      <c r="BH8" s="93"/>
      <c r="BI8" s="402" t="str">
        <f>IFERROR(__xludf.DUMMYFUNCTION("""COMPUTED_VALUE"""),"")</f>
        <v/>
      </c>
      <c r="BJ8" s="373" t="str">
        <f>IFERROR(__xludf.DUMMYFUNCTION("""COMPUTED_VALUE"""),"Indeedee-Female")</f>
        <v>Indeedee-Female</v>
      </c>
      <c r="BK8" s="363" t="s">
        <v>159</v>
      </c>
      <c r="BL8" s="345"/>
      <c r="BM8" s="93"/>
      <c r="BN8" s="372" t="str">
        <f>IFERROR(__xludf.DUMMYFUNCTION("""COMPUTED_VALUE"""),"")</f>
        <v/>
      </c>
      <c r="BO8" s="455" t="str">
        <f>IFERROR(__xludf.DUMMYFUNCTION("""COMPUTED_VALUE"""),"Mimikyu")</f>
        <v>Mimikyu</v>
      </c>
      <c r="BP8" s="363" t="s">
        <v>159</v>
      </c>
      <c r="BQ8" s="345"/>
      <c r="BR8" s="93"/>
      <c r="BS8" s="380" t="str">
        <f>IFERROR(__xludf.DUMMYFUNCTION("""COMPUTED_VALUE"""),"")</f>
        <v/>
      </c>
      <c r="BT8" s="382" t="str">
        <f>IFERROR(__xludf.DUMMYFUNCTION("""COMPUTED_VALUE"""),"Gallade")</f>
        <v>Gallade</v>
      </c>
      <c r="BU8" s="363" t="s">
        <v>159</v>
      </c>
      <c r="BV8" s="345"/>
      <c r="BW8" s="93"/>
      <c r="BX8" s="385" t="str">
        <f>IFERROR(__xludf.DUMMYFUNCTION("""COMPUTED_VALUE"""),"")</f>
        <v/>
      </c>
      <c r="BY8" s="386" t="str">
        <f>IFERROR(__xludf.DUMMYFUNCTION("""COMPUTED_VALUE"""),"Gardevoir")</f>
        <v>Gardevoir</v>
      </c>
      <c r="BZ8" s="363" t="s">
        <v>158</v>
      </c>
      <c r="CA8" s="345"/>
      <c r="CB8" s="93"/>
      <c r="CC8" s="387" t="str">
        <f>IFERROR(__xludf.DUMMYFUNCTION("""COMPUTED_VALUE"""),"")</f>
        <v/>
      </c>
      <c r="CD8" s="388" t="str">
        <f>IFERROR(__xludf.DUMMYFUNCTION("""COMPUTED_VALUE"""),"Bellibolt")</f>
        <v>Bellibolt</v>
      </c>
      <c r="CE8" s="363" t="s">
        <v>158</v>
      </c>
      <c r="CF8" s="345"/>
      <c r="CG8" s="93"/>
      <c r="CH8" s="387" t="str">
        <f>IFERROR(__xludf.DUMMYFUNCTION("""COMPUTED_VALUE"""),"")</f>
        <v/>
      </c>
      <c r="CI8" s="388" t="str">
        <f>IFERROR(__xludf.DUMMYFUNCTION("""COMPUTED_VALUE"""),"Coalossal")</f>
        <v>Coalossal</v>
      </c>
      <c r="CJ8" s="363" t="s">
        <v>158</v>
      </c>
      <c r="CK8" s="345"/>
      <c r="CL8" s="93"/>
      <c r="CM8" s="390" t="str">
        <f>IFERROR(__xludf.DUMMYFUNCTION("""COMPUTED_VALUE"""),"")</f>
        <v/>
      </c>
      <c r="CN8" s="461" t="str">
        <f>IFERROR(__xludf.DUMMYFUNCTION("""COMPUTED_VALUE"""),"Appletun")</f>
        <v>Appletun</v>
      </c>
      <c r="CO8" s="392" t="s">
        <v>158</v>
      </c>
      <c r="CP8" s="345"/>
      <c r="CQ8" s="93"/>
      <c r="CR8" s="413"/>
      <c r="CS8" s="414"/>
      <c r="CT8" s="363"/>
      <c r="CU8" s="345"/>
      <c r="CV8" s="93"/>
      <c r="CW8" s="415"/>
      <c r="CX8" s="468"/>
      <c r="CY8" s="363"/>
      <c r="CZ8" s="345"/>
      <c r="DA8" s="93"/>
      <c r="DB8" s="423"/>
      <c r="DC8" s="424"/>
      <c r="DD8" s="363"/>
      <c r="DE8" s="345"/>
      <c r="DF8" s="93"/>
      <c r="DG8" s="242"/>
      <c r="DH8" s="426"/>
      <c r="DI8" s="363"/>
      <c r="DJ8" s="345"/>
      <c r="DK8" s="93"/>
      <c r="DL8" s="429"/>
      <c r="DM8" s="430"/>
      <c r="DN8" s="363"/>
      <c r="DO8" s="345"/>
      <c r="DP8" s="93"/>
      <c r="DQ8" s="439"/>
      <c r="DR8" s="441"/>
      <c r="DS8" s="363"/>
      <c r="DT8" s="345"/>
      <c r="DU8" s="93"/>
      <c r="DV8" s="442"/>
      <c r="DW8" s="443"/>
      <c r="DX8" s="363"/>
      <c r="DY8" s="345"/>
      <c r="DZ8" s="93"/>
      <c r="EA8" s="21"/>
    </row>
    <row r="9" ht="17.25" customHeight="1">
      <c r="A9" s="406"/>
      <c r="B9" s="407"/>
      <c r="C9" s="234" t="s">
        <v>191</v>
      </c>
      <c r="D9" s="235" t="s">
        <v>192</v>
      </c>
      <c r="E9" s="93"/>
      <c r="F9" s="268"/>
      <c r="G9" s="268"/>
      <c r="H9" s="268"/>
      <c r="I9" s="268"/>
      <c r="J9" s="268"/>
      <c r="K9" s="268"/>
      <c r="L9" s="450"/>
      <c r="M9" s="408" t="s">
        <v>158</v>
      </c>
      <c r="N9" s="408" t="s">
        <v>158</v>
      </c>
      <c r="O9" s="268"/>
      <c r="P9" s="268"/>
      <c r="Q9" s="450"/>
      <c r="R9" s="268"/>
      <c r="S9" s="268"/>
      <c r="T9" s="268"/>
      <c r="U9" s="268"/>
      <c r="V9" s="450"/>
      <c r="W9" s="268"/>
      <c r="X9" s="268"/>
      <c r="Y9" s="268"/>
      <c r="Z9" s="268"/>
      <c r="AA9" s="450"/>
      <c r="AB9" s="268"/>
      <c r="AC9" s="268"/>
      <c r="AD9" s="268"/>
      <c r="AE9" s="321"/>
      <c r="AF9" s="322"/>
      <c r="AG9" s="242"/>
      <c r="AH9" s="267"/>
      <c r="AI9" s="268"/>
      <c r="AJ9" s="333"/>
      <c r="AK9" s="334"/>
      <c r="AL9" s="242" t="s">
        <v>158</v>
      </c>
      <c r="AM9" s="267" t="s">
        <v>158</v>
      </c>
      <c r="AN9" s="268"/>
      <c r="AO9" s="268"/>
      <c r="AP9" s="360"/>
      <c r="AQ9" s="474"/>
      <c r="AR9" s="474"/>
      <c r="AS9" s="93"/>
      <c r="AT9" s="359"/>
      <c r="AV9" s="474"/>
      <c r="AW9" s="475"/>
      <c r="AX9" s="93"/>
      <c r="AY9" s="364" t="str">
        <f>IFERROR(__xludf.DUMMYFUNCTION("""COMPUTED_VALUE"""),"")</f>
        <v/>
      </c>
      <c r="AZ9" s="365" t="str">
        <f>IFERROR(__xludf.DUMMYFUNCTION("""COMPUTED_VALUE"""),"Tatsugiri")</f>
        <v>Tatsugiri</v>
      </c>
      <c r="BA9" s="363" t="s">
        <v>159</v>
      </c>
      <c r="BB9" s="345"/>
      <c r="BC9" s="93"/>
      <c r="BD9" s="368" t="str">
        <f>IFERROR(__xludf.DUMMYFUNCTION("""COMPUTED_VALUE"""),"")</f>
        <v/>
      </c>
      <c r="BE9" s="369" t="str">
        <f>IFERROR(__xludf.DUMMYFUNCTION("""COMPUTED_VALUE"""),"Maushold")</f>
        <v>Maushold</v>
      </c>
      <c r="BF9" s="363" t="s">
        <v>159</v>
      </c>
      <c r="BG9" s="345"/>
      <c r="BH9" s="93"/>
      <c r="BI9" s="402" t="str">
        <f>IFERROR(__xludf.DUMMYFUNCTION("""COMPUTED_VALUE"""),"")</f>
        <v/>
      </c>
      <c r="BJ9" s="373" t="str">
        <f>IFERROR(__xludf.DUMMYFUNCTION("""COMPUTED_VALUE"""),"Talonflame")</f>
        <v>Talonflame</v>
      </c>
      <c r="BK9" s="363" t="s">
        <v>159</v>
      </c>
      <c r="BL9" s="345"/>
      <c r="BM9" s="93"/>
      <c r="BN9" s="372" t="str">
        <f>IFERROR(__xludf.DUMMYFUNCTION("""COMPUTED_VALUE"""),"")</f>
        <v/>
      </c>
      <c r="BO9" s="376" t="str">
        <f>IFERROR(__xludf.DUMMYFUNCTION("""COMPUTED_VALUE"""),"Palafin")</f>
        <v>Palafin</v>
      </c>
      <c r="BP9" s="363" t="s">
        <v>159</v>
      </c>
      <c r="BQ9" s="345"/>
      <c r="BR9" s="93"/>
      <c r="BS9" s="380" t="str">
        <f>IFERROR(__xludf.DUMMYFUNCTION("""COMPUTED_VALUE"""),"")</f>
        <v/>
      </c>
      <c r="BT9" s="382" t="str">
        <f>IFERROR(__xludf.DUMMYFUNCTION("""COMPUTED_VALUE"""),"Gengar")</f>
        <v>Gengar</v>
      </c>
      <c r="BU9" s="363" t="s">
        <v>159</v>
      </c>
      <c r="BV9" s="345"/>
      <c r="BW9" s="93"/>
      <c r="BX9" s="385" t="str">
        <f>IFERROR(__xludf.DUMMYFUNCTION("""COMPUTED_VALUE"""),"")</f>
        <v/>
      </c>
      <c r="BY9" s="386" t="str">
        <f>IFERROR(__xludf.DUMMYFUNCTION("""COMPUTED_VALUE"""),"Gastrodon")</f>
        <v>Gastrodon</v>
      </c>
      <c r="BZ9" s="363" t="s">
        <v>159</v>
      </c>
      <c r="CA9" s="345"/>
      <c r="CB9" s="93"/>
      <c r="CC9" s="387" t="str">
        <f>IFERROR(__xludf.DUMMYFUNCTION("""COMPUTED_VALUE"""),"")</f>
        <v/>
      </c>
      <c r="CD9" s="388" t="str">
        <f>IFERROR(__xludf.DUMMYFUNCTION("""COMPUTED_VALUE"""),"Cetitan")</f>
        <v>Cetitan</v>
      </c>
      <c r="CE9" s="363" t="s">
        <v>159</v>
      </c>
      <c r="CF9" s="345"/>
      <c r="CG9" s="93"/>
      <c r="CH9" s="387" t="str">
        <f>IFERROR(__xludf.DUMMYFUNCTION("""COMPUTED_VALUE"""),"")</f>
        <v/>
      </c>
      <c r="CI9" s="388" t="str">
        <f>IFERROR(__xludf.DUMMYFUNCTION("""COMPUTED_VALUE"""),"Cyclizar")</f>
        <v>Cyclizar</v>
      </c>
      <c r="CJ9" s="363" t="s">
        <v>158</v>
      </c>
      <c r="CK9" s="345"/>
      <c r="CL9" s="93"/>
      <c r="CM9" s="390" t="str">
        <f>IFERROR(__xludf.DUMMYFUNCTION("""COMPUTED_VALUE"""),"")</f>
        <v/>
      </c>
      <c r="CN9" s="391" t="str">
        <f>IFERROR(__xludf.DUMMYFUNCTION("""COMPUTED_VALUE"""),"Applin")</f>
        <v>Applin</v>
      </c>
      <c r="CO9" s="392" t="s">
        <v>158</v>
      </c>
      <c r="CP9" s="345"/>
      <c r="CQ9" s="93"/>
      <c r="CR9" s="413"/>
      <c r="CS9" s="414"/>
      <c r="CT9" s="363"/>
      <c r="CU9" s="345"/>
      <c r="CV9" s="93"/>
      <c r="CW9" s="415"/>
      <c r="CX9" s="468"/>
      <c r="CY9" s="363"/>
      <c r="CZ9" s="345"/>
      <c r="DA9" s="93"/>
      <c r="DB9" s="423"/>
      <c r="DC9" s="424"/>
      <c r="DD9" s="363"/>
      <c r="DE9" s="345"/>
      <c r="DF9" s="93"/>
      <c r="DG9" s="242"/>
      <c r="DH9" s="426"/>
      <c r="DI9" s="363"/>
      <c r="DJ9" s="345"/>
      <c r="DK9" s="93"/>
      <c r="DL9" s="429"/>
      <c r="DM9" s="430"/>
      <c r="DN9" s="363"/>
      <c r="DO9" s="345"/>
      <c r="DP9" s="93"/>
      <c r="DQ9" s="439"/>
      <c r="DR9" s="441"/>
      <c r="DS9" s="363"/>
      <c r="DT9" s="345"/>
      <c r="DU9" s="93"/>
      <c r="DV9" s="442"/>
      <c r="DW9" s="443"/>
      <c r="DX9" s="363"/>
      <c r="DY9" s="345"/>
      <c r="DZ9" s="93"/>
      <c r="EA9" s="21"/>
    </row>
    <row r="10" ht="17.25" customHeight="1">
      <c r="A10" s="21"/>
      <c r="B10" s="93"/>
      <c r="C10" s="234" t="s">
        <v>200</v>
      </c>
      <c r="D10" s="235" t="s">
        <v>201</v>
      </c>
      <c r="E10" s="93"/>
      <c r="F10" s="268"/>
      <c r="G10" s="268"/>
      <c r="H10" s="268"/>
      <c r="I10" s="268"/>
      <c r="J10" s="268"/>
      <c r="K10" s="268"/>
      <c r="L10" s="450"/>
      <c r="M10" s="268"/>
      <c r="N10" s="268"/>
      <c r="O10" s="268"/>
      <c r="P10" s="268"/>
      <c r="Q10" s="450"/>
      <c r="R10" s="268"/>
      <c r="S10" s="268"/>
      <c r="T10" s="268"/>
      <c r="U10" s="268"/>
      <c r="V10" s="450"/>
      <c r="W10" s="268"/>
      <c r="X10" s="268"/>
      <c r="Y10" s="268"/>
      <c r="Z10" s="268"/>
      <c r="AA10" s="450"/>
      <c r="AB10" s="268"/>
      <c r="AC10" s="268"/>
      <c r="AD10" s="268"/>
      <c r="AE10" s="268"/>
      <c r="AF10" s="450"/>
      <c r="AG10" s="268"/>
      <c r="AH10" s="268"/>
      <c r="AI10" s="268"/>
      <c r="AJ10" s="333"/>
      <c r="AK10" s="334"/>
      <c r="AL10" s="242" t="s">
        <v>158</v>
      </c>
      <c r="AM10" s="267" t="s">
        <v>158</v>
      </c>
      <c r="AN10" s="268"/>
      <c r="AO10" s="268"/>
      <c r="AP10" s="477"/>
      <c r="AQ10" s="474"/>
      <c r="AR10" s="474"/>
      <c r="AS10" s="93"/>
      <c r="AT10" s="359"/>
      <c r="AU10" s="478"/>
      <c r="AV10" s="474"/>
      <c r="AW10" s="474"/>
      <c r="AX10" s="93"/>
      <c r="AY10" s="364"/>
      <c r="AZ10" s="365"/>
      <c r="BA10" s="389"/>
      <c r="BB10" s="345"/>
      <c r="BC10" s="93"/>
      <c r="BD10" s="368"/>
      <c r="BE10" s="369"/>
      <c r="BF10" s="389"/>
      <c r="BG10" s="345"/>
      <c r="BH10" s="93"/>
      <c r="BI10" s="402" t="str">
        <f>IFERROR(__xludf.DUMMYFUNCTION("""COMPUTED_VALUE"""),"")</f>
        <v/>
      </c>
      <c r="BJ10" s="478" t="str">
        <f>IFERROR(__xludf.DUMMYFUNCTION("""COMPUTED_VALUE"""),"Volcarona")</f>
        <v>Volcarona</v>
      </c>
      <c r="BK10" s="363" t="s">
        <v>159</v>
      </c>
      <c r="BL10" s="345"/>
      <c r="BM10" s="93"/>
      <c r="BN10" s="372" t="str">
        <f>IFERROR(__xludf.DUMMYFUNCTION("""COMPUTED_VALUE"""),"")</f>
        <v/>
      </c>
      <c r="BO10" s="376" t="str">
        <f>IFERROR(__xludf.DUMMYFUNCTION("""COMPUTED_VALUE"""),"Paldean Tauros (Fire)")</f>
        <v>Paldean Tauros (Fire)</v>
      </c>
      <c r="BP10" s="363" t="s">
        <v>159</v>
      </c>
      <c r="BQ10" s="345"/>
      <c r="BR10" s="93"/>
      <c r="BS10" s="380" t="str">
        <f>IFERROR(__xludf.DUMMYFUNCTION("""COMPUTED_VALUE"""),"")</f>
        <v/>
      </c>
      <c r="BT10" s="382" t="str">
        <f>IFERROR(__xludf.DUMMYFUNCTION("""COMPUTED_VALUE"""),"Gothitelle")</f>
        <v>Gothitelle</v>
      </c>
      <c r="BU10" s="363" t="s">
        <v>159</v>
      </c>
      <c r="BV10" s="345"/>
      <c r="BW10" s="93"/>
      <c r="BX10" s="385" t="str">
        <f>IFERROR(__xludf.DUMMYFUNCTION("""COMPUTED_VALUE"""),"")</f>
        <v/>
      </c>
      <c r="BY10" s="386" t="str">
        <f>IFERROR(__xludf.DUMMYFUNCTION("""COMPUTED_VALUE"""),"Gyarados")</f>
        <v>Gyarados</v>
      </c>
      <c r="BZ10" s="363" t="s">
        <v>158</v>
      </c>
      <c r="CA10" s="345"/>
      <c r="CB10" s="93"/>
      <c r="CC10" s="387" t="str">
        <f>IFERROR(__xludf.DUMMYFUNCTION("""COMPUTED_VALUE"""),"")</f>
        <v/>
      </c>
      <c r="CD10" s="388" t="str">
        <f>IFERROR(__xludf.DUMMYFUNCTION("""COMPUTED_VALUE"""),"Clodsire")</f>
        <v>Clodsire</v>
      </c>
      <c r="CE10" s="363" t="s">
        <v>158</v>
      </c>
      <c r="CF10" s="345"/>
      <c r="CG10" s="93"/>
      <c r="CH10" s="387" t="str">
        <f>IFERROR(__xludf.DUMMYFUNCTION("""COMPUTED_VALUE"""),"")</f>
        <v/>
      </c>
      <c r="CI10" s="388" t="str">
        <f>IFERROR(__xludf.DUMMYFUNCTION("""COMPUTED_VALUE"""),"Dachsbun")</f>
        <v>Dachsbun</v>
      </c>
      <c r="CJ10" s="363" t="s">
        <v>158</v>
      </c>
      <c r="CK10" s="345"/>
      <c r="CL10" s="93"/>
      <c r="CM10" s="390" t="str">
        <f>IFERROR(__xludf.DUMMYFUNCTION("""COMPUTED_VALUE"""),"")</f>
        <v/>
      </c>
      <c r="CN10" s="391" t="str">
        <f>IFERROR(__xludf.DUMMYFUNCTION("""COMPUTED_VALUE"""),"Arctibax")</f>
        <v>Arctibax</v>
      </c>
      <c r="CO10" s="392" t="s">
        <v>158</v>
      </c>
      <c r="CP10" s="345"/>
      <c r="CQ10" s="93"/>
      <c r="CR10" s="413"/>
      <c r="CS10" s="414"/>
      <c r="CT10" s="363"/>
      <c r="CU10" s="345"/>
      <c r="CV10" s="93"/>
      <c r="CW10" s="415"/>
      <c r="CY10" s="363"/>
      <c r="CZ10" s="345"/>
      <c r="DA10" s="93"/>
      <c r="DB10" s="423"/>
      <c r="DC10" s="424"/>
      <c r="DD10" s="363"/>
      <c r="DE10" s="345"/>
      <c r="DF10" s="93"/>
      <c r="DG10" s="242"/>
      <c r="DH10" s="426"/>
      <c r="DI10" s="363"/>
      <c r="DJ10" s="345"/>
      <c r="DK10" s="93"/>
      <c r="DL10" s="429"/>
      <c r="DM10" s="430"/>
      <c r="DN10" s="363"/>
      <c r="DO10" s="345"/>
      <c r="DP10" s="93"/>
      <c r="DQ10" s="439"/>
      <c r="DR10" s="441"/>
      <c r="DS10" s="363"/>
      <c r="DT10" s="345"/>
      <c r="DU10" s="93"/>
      <c r="DV10" s="442"/>
      <c r="DW10" s="443"/>
      <c r="DX10" s="363"/>
      <c r="DY10" s="345"/>
      <c r="DZ10" s="93"/>
      <c r="EA10" s="21"/>
    </row>
    <row r="11" ht="17.25" customHeight="1">
      <c r="A11" s="406"/>
      <c r="B11" s="407"/>
      <c r="C11" s="234" t="s">
        <v>208</v>
      </c>
      <c r="D11" s="235" t="s">
        <v>209</v>
      </c>
      <c r="E11" s="93"/>
      <c r="F11" s="268"/>
      <c r="G11" s="268"/>
      <c r="H11" s="268"/>
      <c r="I11" s="268"/>
      <c r="J11" s="268"/>
      <c r="K11" s="268"/>
      <c r="L11" s="450"/>
      <c r="M11" s="268"/>
      <c r="N11" s="268"/>
      <c r="O11" s="268"/>
      <c r="P11" s="268"/>
      <c r="Q11" s="450"/>
      <c r="R11" s="268"/>
      <c r="S11" s="268"/>
      <c r="T11" s="268"/>
      <c r="U11" s="268"/>
      <c r="V11" s="450"/>
      <c r="W11" s="268"/>
      <c r="X11" s="268"/>
      <c r="Y11" s="268"/>
      <c r="Z11" s="268"/>
      <c r="AA11" s="450"/>
      <c r="AB11" s="268"/>
      <c r="AC11" s="268"/>
      <c r="AD11" s="268"/>
      <c r="AE11" s="268"/>
      <c r="AF11" s="450"/>
      <c r="AG11" s="268"/>
      <c r="AH11" s="268"/>
      <c r="AI11" s="268"/>
      <c r="AJ11" s="268"/>
      <c r="AK11" s="450"/>
      <c r="AL11" s="408" t="s">
        <v>158</v>
      </c>
      <c r="AM11" s="408" t="s">
        <v>158</v>
      </c>
      <c r="AN11" s="268"/>
      <c r="AO11" s="268"/>
      <c r="AP11" s="397"/>
      <c r="AQ11" s="474"/>
      <c r="AR11" s="474"/>
      <c r="AS11" s="93"/>
      <c r="AT11" s="359"/>
      <c r="AU11" s="397"/>
      <c r="AV11" s="474"/>
      <c r="AW11" s="474"/>
      <c r="AX11" s="93"/>
      <c r="AY11" s="364"/>
      <c r="AZ11" s="480"/>
      <c r="BA11" s="389"/>
      <c r="BB11" s="345"/>
      <c r="BC11" s="93"/>
      <c r="BD11" s="368"/>
      <c r="BE11" s="369"/>
      <c r="BF11" s="389"/>
      <c r="BG11" s="345"/>
      <c r="BH11" s="93"/>
      <c r="BI11" s="402"/>
      <c r="BJ11" s="373"/>
      <c r="BK11" s="389"/>
      <c r="BL11" s="345"/>
      <c r="BM11" s="93"/>
      <c r="BN11" s="372" t="str">
        <f>IFERROR(__xludf.DUMMYFUNCTION("""COMPUTED_VALUE"""),"")</f>
        <v/>
      </c>
      <c r="BO11" s="455" t="str">
        <f>IFERROR(__xludf.DUMMYFUNCTION("""COMPUTED_VALUE"""),"Paldean Tauros (Water)")</f>
        <v>Paldean Tauros (Water)</v>
      </c>
      <c r="BP11" s="363" t="s">
        <v>158</v>
      </c>
      <c r="BQ11" s="345"/>
      <c r="BR11" s="93"/>
      <c r="BS11" s="380" t="str">
        <f>IFERROR(__xludf.DUMMYFUNCTION("""COMPUTED_VALUE"""),"")</f>
        <v/>
      </c>
      <c r="BT11" s="382" t="str">
        <f>IFERROR(__xludf.DUMMYFUNCTION("""COMPUTED_VALUE"""),"Hariyama")</f>
        <v>Hariyama</v>
      </c>
      <c r="BU11" s="363" t="s">
        <v>159</v>
      </c>
      <c r="BV11" s="345"/>
      <c r="BW11" s="93"/>
      <c r="BX11" s="385" t="str">
        <f>IFERROR(__xludf.DUMMYFUNCTION("""COMPUTED_VALUE"""),"")</f>
        <v/>
      </c>
      <c r="BY11" s="386" t="str">
        <f>IFERROR(__xludf.DUMMYFUNCTION("""COMPUTED_VALUE"""),"Jumpluff")</f>
        <v>Jumpluff</v>
      </c>
      <c r="BZ11" s="363" t="s">
        <v>158</v>
      </c>
      <c r="CA11" s="345"/>
      <c r="CB11" s="93"/>
      <c r="CC11" s="387" t="str">
        <f>IFERROR(__xludf.DUMMYFUNCTION("""COMPUTED_VALUE"""),"")</f>
        <v/>
      </c>
      <c r="CD11" s="388" t="str">
        <f>IFERROR(__xludf.DUMMYFUNCTION("""COMPUTED_VALUE"""),"Corviknight")</f>
        <v>Corviknight</v>
      </c>
      <c r="CE11" s="363" t="s">
        <v>158</v>
      </c>
      <c r="CF11" s="345"/>
      <c r="CG11" s="93"/>
      <c r="CH11" s="387" t="str">
        <f>IFERROR(__xludf.DUMMYFUNCTION("""COMPUTED_VALUE"""),"")</f>
        <v/>
      </c>
      <c r="CI11" s="388" t="str">
        <f>IFERROR(__xludf.DUMMYFUNCTION("""COMPUTED_VALUE"""),"Donphan")</f>
        <v>Donphan</v>
      </c>
      <c r="CJ11" s="363" t="s">
        <v>158</v>
      </c>
      <c r="CK11" s="345"/>
      <c r="CL11" s="93"/>
      <c r="CM11" s="390" t="str">
        <f>IFERROR(__xludf.DUMMYFUNCTION("""COMPUTED_VALUE"""),"")</f>
        <v/>
      </c>
      <c r="CN11" s="391" t="str">
        <f>IFERROR(__xludf.DUMMYFUNCTION("""COMPUTED_VALUE"""),"Arrokuda")</f>
        <v>Arrokuda</v>
      </c>
      <c r="CO11" s="392" t="s">
        <v>158</v>
      </c>
      <c r="CP11" s="345"/>
      <c r="CQ11" s="93"/>
      <c r="CR11" s="413"/>
      <c r="CS11" s="414"/>
      <c r="CT11" s="363"/>
      <c r="CU11" s="345"/>
      <c r="CV11" s="93"/>
      <c r="CW11" s="415"/>
      <c r="CX11" s="468"/>
      <c r="CY11" s="363"/>
      <c r="CZ11" s="345"/>
      <c r="DA11" s="93"/>
      <c r="DB11" s="423"/>
      <c r="DC11" s="424"/>
      <c r="DD11" s="363"/>
      <c r="DE11" s="345"/>
      <c r="DF11" s="93"/>
      <c r="DG11" s="242"/>
      <c r="DH11" s="426"/>
      <c r="DI11" s="363"/>
      <c r="DJ11" s="345"/>
      <c r="DK11" s="93"/>
      <c r="DL11" s="429"/>
      <c r="DM11" s="430"/>
      <c r="DN11" s="363"/>
      <c r="DO11" s="345"/>
      <c r="DP11" s="93"/>
      <c r="DQ11" s="439"/>
      <c r="DR11" s="441"/>
      <c r="DS11" s="363"/>
      <c r="DT11" s="345"/>
      <c r="DU11" s="93"/>
      <c r="DV11" s="442"/>
      <c r="DW11" s="443"/>
      <c r="DX11" s="363"/>
      <c r="DY11" s="345"/>
      <c r="DZ11" s="93"/>
      <c r="EA11" s="21"/>
    </row>
    <row r="12" ht="17.25" customHeight="1">
      <c r="A12" s="446"/>
      <c r="B12" s="447"/>
      <c r="C12" s="234" t="s">
        <v>212</v>
      </c>
      <c r="D12" s="235" t="s">
        <v>213</v>
      </c>
      <c r="E12" s="93"/>
      <c r="F12" s="268"/>
      <c r="G12" s="268"/>
      <c r="H12" s="268"/>
      <c r="I12" s="268"/>
      <c r="J12" s="268"/>
      <c r="K12" s="268"/>
      <c r="L12" s="450"/>
      <c r="M12" s="268"/>
      <c r="N12" s="268"/>
      <c r="O12" s="268"/>
      <c r="P12" s="268"/>
      <c r="Q12" s="450"/>
      <c r="R12" s="268"/>
      <c r="S12" s="268"/>
      <c r="T12" s="268"/>
      <c r="U12" s="268"/>
      <c r="V12" s="450"/>
      <c r="W12" s="268"/>
      <c r="X12" s="268"/>
      <c r="Y12" s="268"/>
      <c r="Z12" s="268"/>
      <c r="AA12" s="450"/>
      <c r="AB12" s="268"/>
      <c r="AC12" s="268"/>
      <c r="AD12" s="268"/>
      <c r="AE12" s="268"/>
      <c r="AF12" s="450"/>
      <c r="AG12" s="268"/>
      <c r="AH12" s="268"/>
      <c r="AI12" s="268"/>
      <c r="AJ12" s="268"/>
      <c r="AK12" s="450"/>
      <c r="AL12" s="268"/>
      <c r="AM12" s="268"/>
      <c r="AN12" s="268"/>
      <c r="AO12" s="268"/>
      <c r="AP12" s="397"/>
      <c r="AQ12" s="474"/>
      <c r="AR12" s="474"/>
      <c r="AS12" s="93"/>
      <c r="AT12" s="359"/>
      <c r="AU12" s="480"/>
      <c r="AV12" s="474"/>
      <c r="AW12" s="474"/>
      <c r="AX12" s="93"/>
      <c r="AY12" s="364"/>
      <c r="AZ12" s="480"/>
      <c r="BA12" s="389"/>
      <c r="BB12" s="345"/>
      <c r="BC12" s="93"/>
      <c r="BD12" s="368"/>
      <c r="BE12" s="369"/>
      <c r="BF12" s="389"/>
      <c r="BG12" s="345"/>
      <c r="BH12" s="93"/>
      <c r="BI12" s="402"/>
      <c r="BJ12" s="373"/>
      <c r="BK12" s="389"/>
      <c r="BL12" s="345"/>
      <c r="BM12" s="93"/>
      <c r="BN12" s="372" t="str">
        <f>IFERROR(__xludf.DUMMYFUNCTION("""COMPUTED_VALUE"""),"")</f>
        <v/>
      </c>
      <c r="BO12" s="376" t="str">
        <f>IFERROR(__xludf.DUMMYFUNCTION("""COMPUTED_VALUE"""),"Pelipper")</f>
        <v>Pelipper</v>
      </c>
      <c r="BP12" s="363" t="s">
        <v>159</v>
      </c>
      <c r="BQ12" s="345"/>
      <c r="BR12" s="93"/>
      <c r="BS12" s="380" t="str">
        <f>IFERROR(__xludf.DUMMYFUNCTION("""COMPUTED_VALUE"""),"")</f>
        <v/>
      </c>
      <c r="BT12" s="382" t="str">
        <f>IFERROR(__xludf.DUMMYFUNCTION("""COMPUTED_VALUE"""),"Kilowattrel")</f>
        <v>Kilowattrel</v>
      </c>
      <c r="BU12" s="363" t="s">
        <v>159</v>
      </c>
      <c r="BV12" s="345"/>
      <c r="BW12" s="93"/>
      <c r="BX12" s="385" t="str">
        <f>IFERROR(__xludf.DUMMYFUNCTION("""COMPUTED_VALUE"""),"")</f>
        <v/>
      </c>
      <c r="BY12" s="386" t="str">
        <f>IFERROR(__xludf.DUMMYFUNCTION("""COMPUTED_VALUE"""),"Oranguru")</f>
        <v>Oranguru</v>
      </c>
      <c r="BZ12" s="363" t="s">
        <v>159</v>
      </c>
      <c r="CA12" s="345"/>
      <c r="CB12" s="93"/>
      <c r="CC12" s="387" t="str">
        <f>IFERROR(__xludf.DUMMYFUNCTION("""COMPUTED_VALUE"""),"")</f>
        <v/>
      </c>
      <c r="CD12" s="404" t="str">
        <f>IFERROR(__xludf.DUMMYFUNCTION("""COMPUTED_VALUE"""),"Cryogonal")</f>
        <v>Cryogonal</v>
      </c>
      <c r="CE12" s="363" t="s">
        <v>158</v>
      </c>
      <c r="CF12" s="345"/>
      <c r="CG12" s="93"/>
      <c r="CH12" s="387" t="str">
        <f>IFERROR(__xludf.DUMMYFUNCTION("""COMPUTED_VALUE"""),"")</f>
        <v/>
      </c>
      <c r="CI12" s="404" t="str">
        <f>IFERROR(__xludf.DUMMYFUNCTION("""COMPUTED_VALUE"""),"Dragalge")</f>
        <v>Dragalge</v>
      </c>
      <c r="CJ12" s="363" t="s">
        <v>158</v>
      </c>
      <c r="CK12" s="345"/>
      <c r="CL12" s="93"/>
      <c r="CM12" s="390" t="str">
        <f>IFERROR(__xludf.DUMMYFUNCTION("""COMPUTED_VALUE"""),"")</f>
        <v/>
      </c>
      <c r="CN12" s="489" t="str">
        <f>IFERROR(__xludf.DUMMYFUNCTION("""COMPUTED_VALUE"""),"Axew")</f>
        <v>Axew</v>
      </c>
      <c r="CO12" s="392" t="s">
        <v>158</v>
      </c>
      <c r="CP12" s="345"/>
      <c r="CQ12" s="93"/>
      <c r="CR12" s="413"/>
      <c r="CS12" s="414"/>
      <c r="CT12" s="363"/>
      <c r="CU12" s="345"/>
      <c r="CV12" s="93"/>
      <c r="CW12" s="415"/>
      <c r="CX12" s="468"/>
      <c r="CY12" s="363"/>
      <c r="CZ12" s="345"/>
      <c r="DA12" s="93"/>
      <c r="DB12" s="423"/>
      <c r="DC12" s="424"/>
      <c r="DD12" s="363"/>
      <c r="DE12" s="345"/>
      <c r="DF12" s="93"/>
      <c r="DG12" s="242"/>
      <c r="DH12" s="426"/>
      <c r="DI12" s="363"/>
      <c r="DJ12" s="345"/>
      <c r="DK12" s="93"/>
      <c r="DL12" s="429"/>
      <c r="DM12" s="430"/>
      <c r="DN12" s="363"/>
      <c r="DO12" s="345"/>
      <c r="DP12" s="93"/>
      <c r="DQ12" s="439"/>
      <c r="DR12" s="441"/>
      <c r="DS12" s="363"/>
      <c r="DT12" s="345"/>
      <c r="DU12" s="93"/>
      <c r="DV12" s="442"/>
      <c r="DW12" s="443"/>
      <c r="DX12" s="363"/>
      <c r="DY12" s="345"/>
      <c r="DZ12" s="93"/>
      <c r="EA12" s="21"/>
    </row>
    <row r="13" ht="17.25" customHeight="1">
      <c r="A13" s="21"/>
      <c r="B13" s="93"/>
      <c r="C13" s="234" t="s">
        <v>216</v>
      </c>
      <c r="D13" s="235" t="s">
        <v>217</v>
      </c>
      <c r="E13" s="93"/>
      <c r="F13" s="268"/>
      <c r="G13" s="268"/>
      <c r="H13" s="268"/>
      <c r="I13" s="268"/>
      <c r="J13" s="268"/>
      <c r="K13" s="268"/>
      <c r="L13" s="450"/>
      <c r="M13" s="268"/>
      <c r="N13" s="268"/>
      <c r="O13" s="268"/>
      <c r="P13" s="268"/>
      <c r="Q13" s="450"/>
      <c r="R13" s="268"/>
      <c r="S13" s="268"/>
      <c r="T13" s="268"/>
      <c r="U13" s="268"/>
      <c r="V13" s="450"/>
      <c r="W13" s="268"/>
      <c r="X13" s="268"/>
      <c r="Y13" s="268"/>
      <c r="Z13" s="268"/>
      <c r="AA13" s="450"/>
      <c r="AB13" s="268"/>
      <c r="AC13" s="268"/>
      <c r="AD13" s="268"/>
      <c r="AE13" s="268"/>
      <c r="AF13" s="450"/>
      <c r="AG13" s="268"/>
      <c r="AH13" s="268"/>
      <c r="AI13" s="268"/>
      <c r="AJ13" s="268"/>
      <c r="AK13" s="450"/>
      <c r="AL13" s="268"/>
      <c r="AM13" s="268"/>
      <c r="AN13" s="268"/>
      <c r="AO13" s="268"/>
      <c r="AP13" s="397"/>
      <c r="AQ13" s="474"/>
      <c r="AR13" s="474"/>
      <c r="AS13" s="93"/>
      <c r="AT13" s="359"/>
      <c r="AU13" s="360"/>
      <c r="AV13" s="474"/>
      <c r="AW13" s="474"/>
      <c r="AX13" s="408"/>
      <c r="AY13" s="364"/>
      <c r="AZ13" s="480"/>
      <c r="BA13" s="389"/>
      <c r="BB13" s="345"/>
      <c r="BC13" s="93"/>
      <c r="BD13" s="368"/>
      <c r="BE13" s="369"/>
      <c r="BF13" s="389"/>
      <c r="BG13" s="345"/>
      <c r="BH13" s="93"/>
      <c r="BI13" s="402"/>
      <c r="BJ13" s="373"/>
      <c r="BK13" s="389"/>
      <c r="BL13" s="345"/>
      <c r="BM13" s="93"/>
      <c r="BN13" s="372" t="str">
        <f>IFERROR(__xludf.DUMMYFUNCTION("""COMPUTED_VALUE"""),"")</f>
        <v/>
      </c>
      <c r="BO13" s="376" t="str">
        <f>IFERROR(__xludf.DUMMYFUNCTION("""COMPUTED_VALUE"""),"Skeledirge")</f>
        <v>Skeledirge</v>
      </c>
      <c r="BP13" s="363" t="s">
        <v>159</v>
      </c>
      <c r="BQ13" s="345"/>
      <c r="BR13" s="93"/>
      <c r="BS13" s="380" t="str">
        <f>IFERROR(__xludf.DUMMYFUNCTION("""COMPUTED_VALUE"""),"")</f>
        <v/>
      </c>
      <c r="BT13" s="382" t="str">
        <f>IFERROR(__xludf.DUMMYFUNCTION("""COMPUTED_VALUE"""),"Lycanroc-Dusk")</f>
        <v>Lycanroc-Dusk</v>
      </c>
      <c r="BU13" s="363" t="s">
        <v>159</v>
      </c>
      <c r="BV13" s="345"/>
      <c r="BW13" s="93"/>
      <c r="BX13" s="385" t="str">
        <f>IFERROR(__xludf.DUMMYFUNCTION("""COMPUTED_VALUE"""),"")</f>
        <v/>
      </c>
      <c r="BY13" s="490" t="str">
        <f>IFERROR(__xludf.DUMMYFUNCTION("""COMPUTED_VALUE"""),"Quaquaval")</f>
        <v>Quaquaval</v>
      </c>
      <c r="BZ13" s="363" t="s">
        <v>159</v>
      </c>
      <c r="CA13" s="345"/>
      <c r="CB13" s="93"/>
      <c r="CC13" s="387" t="str">
        <f>IFERROR(__xludf.DUMMYFUNCTION("""COMPUTED_VALUE"""),"")</f>
        <v/>
      </c>
      <c r="CD13" s="388" t="str">
        <f>IFERROR(__xludf.DUMMYFUNCTION("""COMPUTED_VALUE"""),"Drednaw")</f>
        <v>Drednaw</v>
      </c>
      <c r="CE13" s="363" t="s">
        <v>158</v>
      </c>
      <c r="CF13" s="345"/>
      <c r="CG13" s="93"/>
      <c r="CH13" s="387" t="str">
        <f>IFERROR(__xludf.DUMMYFUNCTION("""COMPUTED_VALUE"""),"")</f>
        <v/>
      </c>
      <c r="CI13" s="388" t="str">
        <f>IFERROR(__xludf.DUMMYFUNCTION("""COMPUTED_VALUE"""),"Drifblim")</f>
        <v>Drifblim</v>
      </c>
      <c r="CJ13" s="363" t="s">
        <v>158</v>
      </c>
      <c r="CK13" s="345"/>
      <c r="CL13" s="93"/>
      <c r="CM13" s="390" t="str">
        <f>IFERROR(__xludf.DUMMYFUNCTION("""COMPUTED_VALUE"""),"")</f>
        <v/>
      </c>
      <c r="CN13" s="391" t="str">
        <f>IFERROR(__xludf.DUMMYFUNCTION("""COMPUTED_VALUE"""),"Bagon")</f>
        <v>Bagon</v>
      </c>
      <c r="CO13" s="392" t="s">
        <v>158</v>
      </c>
      <c r="CP13" s="345"/>
      <c r="CQ13" s="93"/>
      <c r="CR13" s="413"/>
      <c r="CS13" s="414"/>
      <c r="CT13" s="363"/>
      <c r="CU13" s="345"/>
      <c r="CV13" s="93"/>
      <c r="CW13" s="415"/>
      <c r="CX13" s="468"/>
      <c r="CY13" s="363"/>
      <c r="CZ13" s="345"/>
      <c r="DA13" s="93"/>
      <c r="DB13" s="423"/>
      <c r="DC13" s="424"/>
      <c r="DD13" s="363"/>
      <c r="DE13" s="345"/>
      <c r="DF13" s="93"/>
      <c r="DG13" s="242"/>
      <c r="DH13" s="426"/>
      <c r="DI13" s="363"/>
      <c r="DJ13" s="345"/>
      <c r="DK13" s="93"/>
      <c r="DL13" s="429"/>
      <c r="DM13" s="430"/>
      <c r="DN13" s="363"/>
      <c r="DO13" s="345"/>
      <c r="DP13" s="93"/>
      <c r="DQ13" s="439"/>
      <c r="DR13" s="441"/>
      <c r="DS13" s="363"/>
      <c r="DT13" s="345"/>
      <c r="DU13" s="93"/>
      <c r="DV13" s="442"/>
      <c r="DW13" s="443"/>
      <c r="DX13" s="363"/>
      <c r="DY13" s="345"/>
      <c r="DZ13" s="93"/>
      <c r="EA13" s="21"/>
    </row>
    <row r="14" ht="17.25" customHeight="1">
      <c r="A14" s="406"/>
      <c r="B14" s="407"/>
      <c r="C14" s="234" t="s">
        <v>221</v>
      </c>
      <c r="D14" s="235" t="s">
        <v>222</v>
      </c>
      <c r="E14" s="93"/>
      <c r="F14" s="268"/>
      <c r="G14" s="268"/>
      <c r="H14" s="268"/>
      <c r="I14" s="268"/>
      <c r="J14" s="268"/>
      <c r="K14" s="268"/>
      <c r="L14" s="450"/>
      <c r="M14" s="268"/>
      <c r="N14" s="268"/>
      <c r="O14" s="268"/>
      <c r="P14" s="268"/>
      <c r="Q14" s="450"/>
      <c r="R14" s="268"/>
      <c r="S14" s="268"/>
      <c r="T14" s="268"/>
      <c r="U14" s="268"/>
      <c r="V14" s="450"/>
      <c r="W14" s="268"/>
      <c r="X14" s="268"/>
      <c r="Y14" s="268"/>
      <c r="Z14" s="268"/>
      <c r="AA14" s="450"/>
      <c r="AB14" s="268"/>
      <c r="AC14" s="268"/>
      <c r="AD14" s="268"/>
      <c r="AE14" s="268"/>
      <c r="AF14" s="450"/>
      <c r="AG14" s="268"/>
      <c r="AH14" s="268"/>
      <c r="AI14" s="268"/>
      <c r="AJ14" s="268"/>
      <c r="AK14" s="450"/>
      <c r="AL14" s="268"/>
      <c r="AM14" s="268"/>
      <c r="AN14" s="268"/>
      <c r="AO14" s="268"/>
      <c r="AP14" s="397"/>
      <c r="AQ14" s="474"/>
      <c r="AR14" s="474"/>
      <c r="AS14" s="93"/>
      <c r="AT14" s="359"/>
      <c r="AU14" s="360"/>
      <c r="AV14" s="474"/>
      <c r="AW14" s="474"/>
      <c r="AX14" s="408"/>
      <c r="AY14" s="364"/>
      <c r="AZ14" s="477"/>
      <c r="BA14" s="474"/>
      <c r="BB14" s="474"/>
      <c r="BC14" s="93"/>
      <c r="BD14" s="368"/>
      <c r="BE14" s="477"/>
      <c r="BF14" s="389"/>
      <c r="BG14" s="474"/>
      <c r="BH14" s="93"/>
      <c r="BI14" s="402"/>
      <c r="BJ14" s="373"/>
      <c r="BK14" s="389"/>
      <c r="BL14" s="345"/>
      <c r="BM14" s="93"/>
      <c r="BN14" s="372" t="str">
        <f>IFERROR(__xludf.DUMMYFUNCTION("""COMPUTED_VALUE"""),"")</f>
        <v/>
      </c>
      <c r="BO14" s="376" t="str">
        <f>IFERROR(__xludf.DUMMYFUNCTION("""COMPUTED_VALUE"""),"Torkoal")</f>
        <v>Torkoal</v>
      </c>
      <c r="BP14" s="363" t="s">
        <v>159</v>
      </c>
      <c r="BQ14" s="345"/>
      <c r="BR14" s="93"/>
      <c r="BS14" s="380" t="str">
        <f>IFERROR(__xludf.DUMMYFUNCTION("""COMPUTED_VALUE"""),"")</f>
        <v/>
      </c>
      <c r="BT14" s="492" t="str">
        <f>IFERROR(__xludf.DUMMYFUNCTION("""COMPUTED_VALUE"""),"Pawmot")</f>
        <v>Pawmot</v>
      </c>
      <c r="BU14" s="363" t="s">
        <v>159</v>
      </c>
      <c r="BV14" s="345"/>
      <c r="BW14" s="93"/>
      <c r="BX14" s="385" t="str">
        <f>IFERROR(__xludf.DUMMYFUNCTION("""COMPUTED_VALUE"""),"")</f>
        <v/>
      </c>
      <c r="BY14" s="386" t="str">
        <f>IFERROR(__xludf.DUMMYFUNCTION("""COMPUTED_VALUE"""),"Salamence")</f>
        <v>Salamence</v>
      </c>
      <c r="BZ14" s="363" t="s">
        <v>159</v>
      </c>
      <c r="CA14" s="345"/>
      <c r="CB14" s="93"/>
      <c r="CC14" s="387" t="str">
        <f>IFERROR(__xludf.DUMMYFUNCTION("""COMPUTED_VALUE"""),"")</f>
        <v/>
      </c>
      <c r="CD14" s="388" t="str">
        <f>IFERROR(__xludf.DUMMYFUNCTION("""COMPUTED_VALUE"""),"Floatzel")</f>
        <v>Floatzel</v>
      </c>
      <c r="CE14" s="363" t="s">
        <v>158</v>
      </c>
      <c r="CF14" s="345"/>
      <c r="CG14" s="93"/>
      <c r="CH14" s="387" t="str">
        <f>IFERROR(__xludf.DUMMYFUNCTION("""COMPUTED_VALUE"""),"")</f>
        <v/>
      </c>
      <c r="CI14" s="388" t="str">
        <f>IFERROR(__xludf.DUMMYFUNCTION("""COMPUTED_VALUE"""),"Dudunsparce")</f>
        <v>Dudunsparce</v>
      </c>
      <c r="CJ14" s="363" t="s">
        <v>158</v>
      </c>
      <c r="CK14" s="345"/>
      <c r="CL14" s="93"/>
      <c r="CM14" s="390" t="str">
        <f>IFERROR(__xludf.DUMMYFUNCTION("""COMPUTED_VALUE"""),"")</f>
        <v/>
      </c>
      <c r="CN14" s="391" t="str">
        <f>IFERROR(__xludf.DUMMYFUNCTION("""COMPUTED_VALUE"""),"Banette")</f>
        <v>Banette</v>
      </c>
      <c r="CO14" s="392" t="s">
        <v>158</v>
      </c>
      <c r="CP14" s="345"/>
      <c r="CQ14" s="93"/>
      <c r="CR14" s="413"/>
      <c r="CS14" s="414"/>
      <c r="CT14" s="363"/>
      <c r="CU14" s="345"/>
      <c r="CV14" s="93"/>
      <c r="CW14" s="415"/>
      <c r="CX14" s="468"/>
      <c r="CY14" s="363"/>
      <c r="CZ14" s="345"/>
      <c r="DA14" s="93"/>
      <c r="DB14" s="423"/>
      <c r="DC14" s="424"/>
      <c r="DD14" s="363"/>
      <c r="DE14" s="345"/>
      <c r="DF14" s="93"/>
      <c r="DG14" s="242"/>
      <c r="DH14" s="426"/>
      <c r="DI14" s="363"/>
      <c r="DJ14" s="345"/>
      <c r="DK14" s="93"/>
      <c r="DL14" s="429"/>
      <c r="DM14" s="430"/>
      <c r="DN14" s="363"/>
      <c r="DO14" s="345"/>
      <c r="DP14" s="93"/>
      <c r="DQ14" s="439"/>
      <c r="DR14" s="441"/>
      <c r="DS14" s="363"/>
      <c r="DT14" s="345"/>
      <c r="DU14" s="93"/>
      <c r="DV14" s="442"/>
      <c r="DW14" s="443"/>
      <c r="DX14" s="363"/>
      <c r="DY14" s="345"/>
      <c r="DZ14" s="74"/>
      <c r="EA14" s="3"/>
    </row>
    <row r="15" ht="17.25" customHeight="1">
      <c r="A15" s="21"/>
      <c r="B15" s="93"/>
      <c r="C15" s="234" t="s">
        <v>225</v>
      </c>
      <c r="D15" s="235" t="s">
        <v>226</v>
      </c>
      <c r="E15" s="93"/>
      <c r="F15" s="495"/>
      <c r="G15" s="495"/>
      <c r="H15" s="495"/>
      <c r="I15" s="495"/>
      <c r="J15" s="495"/>
      <c r="K15" s="495"/>
      <c r="L15" s="496"/>
      <c r="M15" s="495"/>
      <c r="N15" s="495"/>
      <c r="O15" s="495"/>
      <c r="P15" s="495"/>
      <c r="Q15" s="496"/>
      <c r="R15" s="495"/>
      <c r="S15" s="495"/>
      <c r="T15" s="495"/>
      <c r="U15" s="495"/>
      <c r="V15" s="496"/>
      <c r="W15" s="495"/>
      <c r="X15" s="495"/>
      <c r="Y15" s="495"/>
      <c r="Z15" s="495"/>
      <c r="AA15" s="496"/>
      <c r="AB15" s="495"/>
      <c r="AC15" s="495"/>
      <c r="AD15" s="495"/>
      <c r="AE15" s="495"/>
      <c r="AF15" s="496"/>
      <c r="AG15" s="495"/>
      <c r="AH15" s="495"/>
      <c r="AI15" s="495"/>
      <c r="AJ15" s="495"/>
      <c r="AK15" s="496"/>
      <c r="AL15" s="495"/>
      <c r="AM15" s="495"/>
      <c r="AN15" s="495"/>
      <c r="AO15" s="495"/>
      <c r="AP15" s="397"/>
      <c r="AQ15" s="497"/>
      <c r="AR15" s="497"/>
      <c r="AS15" s="93"/>
      <c r="AT15" s="359"/>
      <c r="AU15" s="360"/>
      <c r="AV15" s="474"/>
      <c r="AW15" s="474"/>
      <c r="AX15" s="408"/>
      <c r="AY15" s="364"/>
      <c r="AZ15" s="477"/>
      <c r="BA15" s="474"/>
      <c r="BB15" s="474"/>
      <c r="BC15" s="93"/>
      <c r="BD15" s="368"/>
      <c r="BE15" s="478"/>
      <c r="BF15" s="474"/>
      <c r="BG15" s="474"/>
      <c r="BH15" s="93"/>
      <c r="BI15" s="402"/>
      <c r="BJ15" s="373"/>
      <c r="BK15" s="389"/>
      <c r="BL15" s="345"/>
      <c r="BM15" s="93"/>
      <c r="BN15" s="372" t="str">
        <f>IFERROR(__xludf.DUMMYFUNCTION("""COMPUTED_VALUE"""),"")</f>
        <v/>
      </c>
      <c r="BO15" s="376" t="str">
        <f>IFERROR(__xludf.DUMMYFUNCTION("""COMPUTED_VALUE"""),"Tyranitar")</f>
        <v>Tyranitar</v>
      </c>
      <c r="BP15" s="363" t="s">
        <v>159</v>
      </c>
      <c r="BQ15" s="345"/>
      <c r="BR15" s="93"/>
      <c r="BS15" s="380" t="str">
        <f>IFERROR(__xludf.DUMMYFUNCTION("""COMPUTED_VALUE"""),"")</f>
        <v/>
      </c>
      <c r="BT15" s="382" t="str">
        <f>IFERROR(__xludf.DUMMYFUNCTION("""COMPUTED_VALUE"""),"Rotom-Heat")</f>
        <v>Rotom-Heat</v>
      </c>
      <c r="BU15" s="363" t="s">
        <v>158</v>
      </c>
      <c r="BV15" s="345"/>
      <c r="BW15" s="93"/>
      <c r="BX15" s="385" t="str">
        <f>IFERROR(__xludf.DUMMYFUNCTION("""COMPUTED_VALUE"""),"")</f>
        <v/>
      </c>
      <c r="BY15" s="386" t="str">
        <f>IFERROR(__xludf.DUMMYFUNCTION("""COMPUTED_VALUE"""),"Tinkaton")</f>
        <v>Tinkaton</v>
      </c>
      <c r="BZ15" s="363" t="s">
        <v>158</v>
      </c>
      <c r="CA15" s="345"/>
      <c r="CB15" s="93"/>
      <c r="CC15" s="387" t="str">
        <f>IFERROR(__xludf.DUMMYFUNCTION("""COMPUTED_VALUE"""),"")</f>
        <v/>
      </c>
      <c r="CD15" s="388" t="str">
        <f>IFERROR(__xludf.DUMMYFUNCTION("""COMPUTED_VALUE"""),"Glimmora")</f>
        <v>Glimmora</v>
      </c>
      <c r="CE15" s="363" t="s">
        <v>158</v>
      </c>
      <c r="CF15" s="345"/>
      <c r="CG15" s="93"/>
      <c r="CH15" s="387" t="str">
        <f>IFERROR(__xludf.DUMMYFUNCTION("""COMPUTED_VALUE"""),"")</f>
        <v/>
      </c>
      <c r="CI15" s="388" t="str">
        <f>IFERROR(__xludf.DUMMYFUNCTION("""COMPUTED_VALUE"""),"Espathra")</f>
        <v>Espathra</v>
      </c>
      <c r="CJ15" s="363" t="s">
        <v>159</v>
      </c>
      <c r="CK15" s="475"/>
      <c r="CL15" s="93"/>
      <c r="CM15" s="390" t="str">
        <f>IFERROR(__xludf.DUMMYFUNCTION("""COMPUTED_VALUE"""),"")</f>
        <v/>
      </c>
      <c r="CN15" s="391" t="str">
        <f>IFERROR(__xludf.DUMMYFUNCTION("""COMPUTED_VALUE"""),"Barboach")</f>
        <v>Barboach</v>
      </c>
      <c r="CO15" s="392" t="s">
        <v>158</v>
      </c>
      <c r="CP15" s="345"/>
      <c r="CQ15" s="93"/>
      <c r="CR15" s="413"/>
      <c r="CS15" s="414"/>
      <c r="CT15" s="363"/>
      <c r="CU15" s="345"/>
      <c r="CV15" s="93"/>
      <c r="CW15" s="415"/>
      <c r="CX15" s="468"/>
      <c r="CY15" s="363"/>
      <c r="CZ15" s="345"/>
      <c r="DA15" s="93"/>
      <c r="DB15" s="423"/>
      <c r="DC15" s="424"/>
      <c r="DD15" s="363"/>
      <c r="DE15" s="345"/>
      <c r="DF15" s="93"/>
      <c r="DG15" s="242"/>
      <c r="DH15" s="426"/>
      <c r="DI15" s="363"/>
      <c r="DJ15" s="345"/>
      <c r="DK15" s="93"/>
      <c r="DL15" s="429"/>
      <c r="DM15" s="430"/>
      <c r="DN15" s="363"/>
      <c r="DO15" s="345"/>
      <c r="DP15" s="93"/>
      <c r="DQ15" s="439"/>
      <c r="DR15" s="441"/>
      <c r="DS15" s="363"/>
      <c r="DT15" s="345"/>
      <c r="DU15" s="93"/>
      <c r="DV15" s="442"/>
      <c r="DW15" s="443"/>
      <c r="DX15" s="363"/>
      <c r="DY15" s="345"/>
      <c r="DZ15" s="74"/>
      <c r="EA15" s="3"/>
    </row>
    <row r="16" ht="17.25" customHeight="1">
      <c r="A16" s="499"/>
      <c r="B16" s="389"/>
      <c r="C16" s="234" t="s">
        <v>233</v>
      </c>
      <c r="D16" s="235" t="s">
        <v>234</v>
      </c>
      <c r="E16" s="93"/>
      <c r="F16" s="495"/>
      <c r="G16" s="495"/>
      <c r="H16" s="495"/>
      <c r="I16" s="495"/>
      <c r="J16" s="495"/>
      <c r="K16" s="495"/>
      <c r="L16" s="496"/>
      <c r="M16" s="495"/>
      <c r="N16" s="495"/>
      <c r="O16" s="495"/>
      <c r="P16" s="495"/>
      <c r="Q16" s="496"/>
      <c r="R16" s="495"/>
      <c r="S16" s="495"/>
      <c r="T16" s="495"/>
      <c r="U16" s="495"/>
      <c r="V16" s="496"/>
      <c r="W16" s="495"/>
      <c r="X16" s="495"/>
      <c r="Y16" s="495"/>
      <c r="Z16" s="495"/>
      <c r="AA16" s="496"/>
      <c r="AB16" s="495"/>
      <c r="AC16" s="495"/>
      <c r="AD16" s="495"/>
      <c r="AE16" s="495"/>
      <c r="AF16" s="496"/>
      <c r="AG16" s="495"/>
      <c r="AH16" s="495"/>
      <c r="AI16" s="495"/>
      <c r="AJ16" s="495"/>
      <c r="AK16" s="496"/>
      <c r="AL16" s="495"/>
      <c r="AM16" s="495"/>
      <c r="AN16" s="495"/>
      <c r="AO16" s="495"/>
      <c r="AP16" s="501"/>
      <c r="AQ16" s="497"/>
      <c r="AR16" s="497"/>
      <c r="AS16" s="93"/>
      <c r="AT16" s="359"/>
      <c r="AU16" s="360"/>
      <c r="AV16" s="474"/>
      <c r="AW16" s="474"/>
      <c r="AX16" s="408"/>
      <c r="AY16" s="364"/>
      <c r="AZ16" s="397"/>
      <c r="BA16" s="474"/>
      <c r="BB16" s="474"/>
      <c r="BC16" s="93"/>
      <c r="BD16" s="368"/>
      <c r="BE16" s="492"/>
      <c r="BF16" s="474"/>
      <c r="BG16" s="474"/>
      <c r="BH16" s="93"/>
      <c r="BI16" s="402"/>
      <c r="BK16" s="389"/>
      <c r="BL16" s="345"/>
      <c r="BM16" s="93"/>
      <c r="BN16" s="372"/>
      <c r="BO16" s="376"/>
      <c r="BP16" s="389"/>
      <c r="BQ16" s="345"/>
      <c r="BR16" s="93"/>
      <c r="BS16" s="380" t="str">
        <f>IFERROR(__xludf.DUMMYFUNCTION("""COMPUTED_VALUE"""),"")</f>
        <v/>
      </c>
      <c r="BT16" s="382" t="str">
        <f>IFERROR(__xludf.DUMMYFUNCTION("""COMPUTED_VALUE"""),"Rotom-Wash")</f>
        <v>Rotom-Wash</v>
      </c>
      <c r="BU16" s="363" t="s">
        <v>158</v>
      </c>
      <c r="BV16" s="345"/>
      <c r="BW16" s="93"/>
      <c r="BX16" s="385"/>
      <c r="BY16" s="386"/>
      <c r="BZ16" s="389"/>
      <c r="CA16" s="345"/>
      <c r="CB16" s="93"/>
      <c r="CC16" s="387" t="str">
        <f>IFERROR(__xludf.DUMMYFUNCTION("""COMPUTED_VALUE"""),"")</f>
        <v/>
      </c>
      <c r="CD16" s="404" t="str">
        <f>IFERROR(__xludf.DUMMYFUNCTION("""COMPUTED_VALUE"""),"Hatterene")</f>
        <v>Hatterene</v>
      </c>
      <c r="CE16" s="363" t="s">
        <v>158</v>
      </c>
      <c r="CF16" s="345"/>
      <c r="CG16" s="93"/>
      <c r="CH16" s="387" t="str">
        <f>IFERROR(__xludf.DUMMYFUNCTION("""COMPUTED_VALUE"""),"")</f>
        <v/>
      </c>
      <c r="CI16" s="404" t="str">
        <f>IFERROR(__xludf.DUMMYFUNCTION("""COMPUTED_VALUE"""),"Goodra")</f>
        <v>Goodra</v>
      </c>
      <c r="CJ16" s="363" t="s">
        <v>158</v>
      </c>
      <c r="CK16" s="475"/>
      <c r="CL16" s="93"/>
      <c r="CM16" s="390" t="str">
        <f>IFERROR(__xludf.DUMMYFUNCTION("""COMPUTED_VALUE"""),"")</f>
        <v/>
      </c>
      <c r="CN16" s="489" t="str">
        <f>IFERROR(__xludf.DUMMYFUNCTION("""COMPUTED_VALUE"""),"Basculin")</f>
        <v>Basculin</v>
      </c>
      <c r="CO16" s="392" t="s">
        <v>158</v>
      </c>
      <c r="CP16" s="345"/>
      <c r="CQ16" s="93"/>
      <c r="CR16" s="413"/>
      <c r="CS16" s="414"/>
      <c r="CT16" s="363"/>
      <c r="CU16" s="345"/>
      <c r="CV16" s="93"/>
      <c r="CW16" s="415"/>
      <c r="CX16" s="468"/>
      <c r="CY16" s="363"/>
      <c r="CZ16" s="345"/>
      <c r="DA16" s="93"/>
      <c r="DB16" s="423"/>
      <c r="DC16" s="424"/>
      <c r="DD16" s="363"/>
      <c r="DE16" s="345"/>
      <c r="DF16" s="93"/>
      <c r="DG16" s="242"/>
      <c r="DH16" s="426"/>
      <c r="DI16" s="363"/>
      <c r="DJ16" s="345"/>
      <c r="DK16" s="93"/>
      <c r="DL16" s="429"/>
      <c r="DM16" s="430"/>
      <c r="DN16" s="363"/>
      <c r="DO16" s="345"/>
      <c r="DP16" s="93"/>
      <c r="DQ16" s="439"/>
      <c r="DR16" s="441"/>
      <c r="DS16" s="363"/>
      <c r="DT16" s="345"/>
      <c r="DU16" s="93"/>
      <c r="DV16" s="442"/>
      <c r="DW16" s="443"/>
      <c r="DX16" s="363"/>
      <c r="DY16" s="345"/>
      <c r="DZ16" s="93"/>
      <c r="EA16" s="21"/>
    </row>
    <row r="17" ht="17.25" customHeight="1">
      <c r="A17" s="21"/>
      <c r="B17" s="93"/>
      <c r="C17" s="234" t="s">
        <v>242</v>
      </c>
      <c r="D17" s="235" t="s">
        <v>243</v>
      </c>
      <c r="E17" s="93"/>
      <c r="F17" s="495"/>
      <c r="G17" s="495"/>
      <c r="H17" s="495"/>
      <c r="I17" s="495"/>
      <c r="J17" s="495"/>
      <c r="K17" s="495"/>
      <c r="L17" s="496"/>
      <c r="M17" s="495"/>
      <c r="N17" s="495"/>
      <c r="O17" s="495"/>
      <c r="P17" s="495"/>
      <c r="Q17" s="496"/>
      <c r="R17" s="495"/>
      <c r="S17" s="495"/>
      <c r="T17" s="495"/>
      <c r="U17" s="495"/>
      <c r="V17" s="496"/>
      <c r="W17" s="495"/>
      <c r="X17" s="495"/>
      <c r="Y17" s="495"/>
      <c r="Z17" s="495"/>
      <c r="AA17" s="496"/>
      <c r="AB17" s="495"/>
      <c r="AC17" s="495"/>
      <c r="AD17" s="495"/>
      <c r="AE17" s="495"/>
      <c r="AF17" s="496"/>
      <c r="AG17" s="495"/>
      <c r="AH17" s="495"/>
      <c r="AI17" s="495"/>
      <c r="AJ17" s="495"/>
      <c r="AK17" s="496"/>
      <c r="AL17" s="495"/>
      <c r="AM17" s="495"/>
      <c r="AN17" s="495"/>
      <c r="AO17" s="495"/>
      <c r="AP17" s="501"/>
      <c r="AQ17" s="497"/>
      <c r="AR17" s="497"/>
      <c r="AS17" s="93"/>
      <c r="AT17" s="359"/>
      <c r="AU17" s="360"/>
      <c r="AV17" s="474"/>
      <c r="AW17" s="474"/>
      <c r="AX17" s="408"/>
      <c r="AY17" s="364"/>
      <c r="AZ17" s="478"/>
      <c r="BA17" s="474"/>
      <c r="BB17" s="474"/>
      <c r="BC17" s="93"/>
      <c r="BD17" s="368"/>
      <c r="BE17" s="480"/>
      <c r="BF17" s="474"/>
      <c r="BG17" s="474"/>
      <c r="BH17" s="93"/>
      <c r="BI17" s="402"/>
      <c r="BK17" s="389"/>
      <c r="BL17" s="345"/>
      <c r="BM17" s="93"/>
      <c r="BN17" s="372"/>
      <c r="BO17" s="376"/>
      <c r="BP17" s="389"/>
      <c r="BQ17" s="345"/>
      <c r="BR17" s="93"/>
      <c r="BS17" s="380"/>
      <c r="BT17" s="492"/>
      <c r="BU17" s="389"/>
      <c r="BV17" s="474"/>
      <c r="BW17" s="93"/>
      <c r="BX17" s="385"/>
      <c r="BY17" s="386"/>
      <c r="BZ17" s="389"/>
      <c r="CA17" s="345"/>
      <c r="CB17" s="93"/>
      <c r="CC17" s="387" t="str">
        <f>IFERROR(__xludf.DUMMYFUNCTION("""COMPUTED_VALUE"""),"")</f>
        <v/>
      </c>
      <c r="CD17" s="404" t="str">
        <f>IFERROR(__xludf.DUMMYFUNCTION("""COMPUTED_VALUE"""),"Salazzle")</f>
        <v>Salazzle</v>
      </c>
      <c r="CE17" s="363" t="s">
        <v>158</v>
      </c>
      <c r="CF17" s="345"/>
      <c r="CG17" s="93"/>
      <c r="CH17" s="387" t="str">
        <f>IFERROR(__xludf.DUMMYFUNCTION("""COMPUTED_VALUE"""),"")</f>
        <v/>
      </c>
      <c r="CI17" s="404" t="str">
        <f>IFERROR(__xludf.DUMMYFUNCTION("""COMPUTED_VALUE"""),"Gothorita")</f>
        <v>Gothorita</v>
      </c>
      <c r="CJ17" s="363" t="s">
        <v>158</v>
      </c>
      <c r="CK17" s="474"/>
      <c r="CL17" s="93"/>
      <c r="CM17" s="390" t="str">
        <f>IFERROR(__xludf.DUMMYFUNCTION("""COMPUTED_VALUE"""),"")</f>
        <v/>
      </c>
      <c r="CN17" s="388" t="str">
        <f>IFERROR(__xludf.DUMMYFUNCTION("""COMPUTED_VALUE"""),"Bergmite")</f>
        <v>Bergmite</v>
      </c>
      <c r="CO17" s="392" t="s">
        <v>158</v>
      </c>
      <c r="CP17" s="345"/>
      <c r="CQ17" s="93"/>
      <c r="CR17" s="413"/>
      <c r="CS17" s="414"/>
      <c r="CT17" s="363"/>
      <c r="CU17" s="345"/>
      <c r="CV17" s="93"/>
      <c r="CW17" s="415"/>
      <c r="CY17" s="363"/>
      <c r="CZ17" s="345"/>
      <c r="DA17" s="93"/>
      <c r="DB17" s="423"/>
      <c r="DC17" s="424"/>
      <c r="DD17" s="363"/>
      <c r="DE17" s="345"/>
      <c r="DF17" s="93"/>
      <c r="DG17" s="242"/>
      <c r="DH17" s="426"/>
      <c r="DI17" s="363"/>
      <c r="DJ17" s="345"/>
      <c r="DK17" s="93"/>
      <c r="DL17" s="429"/>
      <c r="DM17" s="430"/>
      <c r="DN17" s="363"/>
      <c r="DO17" s="345"/>
      <c r="DP17" s="93"/>
      <c r="DQ17" s="439"/>
      <c r="DR17" s="441"/>
      <c r="DS17" s="363"/>
      <c r="DT17" s="345"/>
      <c r="DU17" s="93"/>
      <c r="DV17" s="442"/>
      <c r="DW17" s="443"/>
      <c r="DX17" s="363"/>
      <c r="DY17" s="345"/>
      <c r="DZ17" s="93"/>
      <c r="EA17" s="21"/>
    </row>
    <row r="18" ht="17.25" customHeight="1">
      <c r="A18" s="406"/>
      <c r="B18" s="407"/>
      <c r="C18" s="234" t="s">
        <v>247</v>
      </c>
      <c r="D18" s="235" t="s">
        <v>248</v>
      </c>
      <c r="E18" s="93"/>
      <c r="F18" s="268"/>
      <c r="G18" s="268"/>
      <c r="H18" s="268"/>
      <c r="I18" s="268"/>
      <c r="J18" s="268"/>
      <c r="K18" s="268"/>
      <c r="L18" s="450"/>
      <c r="M18" s="268"/>
      <c r="N18" s="268"/>
      <c r="O18" s="268"/>
      <c r="P18" s="268"/>
      <c r="Q18" s="450"/>
      <c r="R18" s="268"/>
      <c r="S18" s="268"/>
      <c r="T18" s="268"/>
      <c r="U18" s="268"/>
      <c r="V18" s="450"/>
      <c r="W18" s="268"/>
      <c r="X18" s="268"/>
      <c r="Y18" s="268"/>
      <c r="Z18" s="268"/>
      <c r="AA18" s="450"/>
      <c r="AB18" s="268"/>
      <c r="AC18" s="268"/>
      <c r="AD18" s="268"/>
      <c r="AE18" s="268"/>
      <c r="AF18" s="450"/>
      <c r="AG18" s="268"/>
      <c r="AH18" s="268"/>
      <c r="AI18" s="268"/>
      <c r="AJ18" s="268"/>
      <c r="AK18" s="450"/>
      <c r="AL18" s="268"/>
      <c r="AM18" s="268"/>
      <c r="AN18" s="268"/>
      <c r="AO18" s="268"/>
      <c r="AP18" s="397"/>
      <c r="AQ18" s="474"/>
      <c r="AR18" s="506"/>
      <c r="AS18" s="93"/>
      <c r="AT18" s="359"/>
      <c r="AU18" s="360"/>
      <c r="AV18" s="474"/>
      <c r="AW18" s="474"/>
      <c r="AX18" s="408"/>
      <c r="AY18" s="364"/>
      <c r="AZ18" s="478"/>
      <c r="BA18" s="474"/>
      <c r="BB18" s="474"/>
      <c r="BC18" s="93"/>
      <c r="BD18" s="368"/>
      <c r="BE18" s="360"/>
      <c r="BF18" s="474"/>
      <c r="BG18" s="474"/>
      <c r="BH18" s="93"/>
      <c r="BI18" s="402"/>
      <c r="BK18" s="389"/>
      <c r="BL18" s="345"/>
      <c r="BM18" s="93"/>
      <c r="BN18" s="372"/>
      <c r="BO18" s="455"/>
      <c r="BP18" s="389"/>
      <c r="BQ18" s="345"/>
      <c r="BR18" s="93"/>
      <c r="BS18" s="380"/>
      <c r="BT18" s="492"/>
      <c r="BU18" s="389"/>
      <c r="BV18" s="474"/>
      <c r="BW18" s="93"/>
      <c r="BX18" s="385"/>
      <c r="BY18" s="490"/>
      <c r="BZ18" s="389"/>
      <c r="CA18" s="474"/>
      <c r="CB18" s="93"/>
      <c r="CC18" s="387" t="str">
        <f>IFERROR(__xludf.DUMMYFUNCTION("""COMPUTED_VALUE"""),"")</f>
        <v/>
      </c>
      <c r="CD18" s="388" t="str">
        <f>IFERROR(__xludf.DUMMYFUNCTION("""COMPUTED_VALUE"""),"Scizor")</f>
        <v>Scizor</v>
      </c>
      <c r="CE18" s="363" t="s">
        <v>159</v>
      </c>
      <c r="CF18" s="345"/>
      <c r="CG18" s="93"/>
      <c r="CH18" s="387" t="str">
        <f>IFERROR(__xludf.DUMMYFUNCTION("""COMPUTED_VALUE"""),"")</f>
        <v/>
      </c>
      <c r="CI18" s="388" t="str">
        <f>IFERROR(__xludf.DUMMYFUNCTION("""COMPUTED_VALUE"""),"Grafaiai")</f>
        <v>Grafaiai</v>
      </c>
      <c r="CJ18" s="363" t="s">
        <v>159</v>
      </c>
      <c r="CK18" s="474"/>
      <c r="CL18" s="93"/>
      <c r="CM18" s="390" t="str">
        <f>IFERROR(__xludf.DUMMYFUNCTION("""COMPUTED_VALUE"""),"")</f>
        <v/>
      </c>
      <c r="CN18" s="391" t="str">
        <f>IFERROR(__xludf.DUMMYFUNCTION("""COMPUTED_VALUE"""),"Bisharp")</f>
        <v>Bisharp</v>
      </c>
      <c r="CO18" s="392" t="s">
        <v>158</v>
      </c>
      <c r="CP18" s="345"/>
      <c r="CQ18" s="93"/>
      <c r="CR18" s="413"/>
      <c r="CS18" s="414"/>
      <c r="CT18" s="363"/>
      <c r="CU18" s="345"/>
      <c r="CV18" s="93"/>
      <c r="CW18" s="415"/>
      <c r="CX18" s="468"/>
      <c r="CY18" s="363"/>
      <c r="CZ18" s="345"/>
      <c r="DA18" s="93"/>
      <c r="DB18" s="423"/>
      <c r="DC18" s="424"/>
      <c r="DD18" s="363"/>
      <c r="DE18" s="345"/>
      <c r="DF18" s="93"/>
      <c r="DG18" s="242"/>
      <c r="DH18" s="426"/>
      <c r="DI18" s="363"/>
      <c r="DJ18" s="345"/>
      <c r="DK18" s="93"/>
      <c r="DL18" s="429"/>
      <c r="DM18" s="430"/>
      <c r="DN18" s="363"/>
      <c r="DO18" s="345"/>
      <c r="DP18" s="93"/>
      <c r="DQ18" s="439"/>
      <c r="DR18" s="441"/>
      <c r="DS18" s="363"/>
      <c r="DT18" s="345"/>
      <c r="DU18" s="93"/>
      <c r="DV18" s="442"/>
      <c r="DW18" s="443"/>
      <c r="DX18" s="363"/>
      <c r="DY18" s="345"/>
      <c r="DZ18" s="93"/>
      <c r="EA18" s="21"/>
    </row>
    <row r="19" ht="17.25" customHeight="1">
      <c r="A19" s="406"/>
      <c r="B19" s="407"/>
      <c r="C19" s="234" t="s">
        <v>253</v>
      </c>
      <c r="D19" s="235" t="s">
        <v>254</v>
      </c>
      <c r="E19" s="93"/>
      <c r="F19" s="268"/>
      <c r="G19" s="268"/>
      <c r="H19" s="268"/>
      <c r="I19" s="268"/>
      <c r="J19" s="268"/>
      <c r="K19" s="268"/>
      <c r="L19" s="450"/>
      <c r="M19" s="268"/>
      <c r="N19" s="268"/>
      <c r="O19" s="268"/>
      <c r="P19" s="268"/>
      <c r="Q19" s="450"/>
      <c r="R19" s="268"/>
      <c r="S19" s="268"/>
      <c r="T19" s="268"/>
      <c r="U19" s="268"/>
      <c r="V19" s="450"/>
      <c r="W19" s="268"/>
      <c r="X19" s="268"/>
      <c r="Y19" s="268"/>
      <c r="Z19" s="268"/>
      <c r="AA19" s="450"/>
      <c r="AB19" s="268"/>
      <c r="AC19" s="268"/>
      <c r="AD19" s="268"/>
      <c r="AE19" s="268"/>
      <c r="AF19" s="450"/>
      <c r="AG19" s="268"/>
      <c r="AH19" s="268"/>
      <c r="AI19" s="268"/>
      <c r="AJ19" s="268"/>
      <c r="AK19" s="450"/>
      <c r="AL19" s="268"/>
      <c r="AM19" s="268"/>
      <c r="AN19" s="268"/>
      <c r="AO19" s="268"/>
      <c r="AP19" s="397"/>
      <c r="AQ19" s="474"/>
      <c r="AR19" s="506"/>
      <c r="AS19" s="93"/>
      <c r="AT19" s="359"/>
      <c r="AU19" s="360"/>
      <c r="AV19" s="474"/>
      <c r="AW19" s="474"/>
      <c r="AX19" s="408"/>
      <c r="AY19" s="364"/>
      <c r="AZ19" s="478"/>
      <c r="BA19" s="408"/>
      <c r="BB19" s="408"/>
      <c r="BC19" s="93"/>
      <c r="BD19" s="368"/>
      <c r="BE19" s="492"/>
      <c r="BF19" s="474"/>
      <c r="BG19" s="474"/>
      <c r="BH19" s="93"/>
      <c r="BI19" s="402"/>
      <c r="BJ19" s="478"/>
      <c r="BK19" s="389"/>
      <c r="BL19" s="345"/>
      <c r="BM19" s="93"/>
      <c r="BN19" s="372"/>
      <c r="BP19" s="389"/>
      <c r="BQ19" s="345"/>
      <c r="BR19" s="93"/>
      <c r="BS19" s="380"/>
      <c r="BT19" s="455"/>
      <c r="BU19" s="474"/>
      <c r="BV19" s="474"/>
      <c r="BW19" s="93"/>
      <c r="BX19" s="385"/>
      <c r="BY19" s="490"/>
      <c r="BZ19" s="389"/>
      <c r="CA19" s="474"/>
      <c r="CB19" s="93"/>
      <c r="CC19" s="387" t="str">
        <f>IFERROR(__xludf.DUMMYFUNCTION("""COMPUTED_VALUE"""),"")</f>
        <v/>
      </c>
      <c r="CD19" s="404" t="str">
        <f>IFERROR(__xludf.DUMMYFUNCTION("""COMPUTED_VALUE"""),"Toxapex")</f>
        <v>Toxapex</v>
      </c>
      <c r="CE19" s="363" t="s">
        <v>159</v>
      </c>
      <c r="CF19" s="474"/>
      <c r="CG19" s="93"/>
      <c r="CH19" s="387" t="str">
        <f>IFERROR(__xludf.DUMMYFUNCTION("""COMPUTED_VALUE"""),"")</f>
        <v/>
      </c>
      <c r="CI19" s="404" t="str">
        <f>IFERROR(__xludf.DUMMYFUNCTION("""COMPUTED_VALUE"""),"Houndstone")</f>
        <v>Houndstone</v>
      </c>
      <c r="CJ19" s="363" t="s">
        <v>158</v>
      </c>
      <c r="CK19" s="474"/>
      <c r="CL19" s="93"/>
      <c r="CM19" s="390" t="str">
        <f>IFERROR(__xludf.DUMMYFUNCTION("""COMPUTED_VALUE"""),"")</f>
        <v/>
      </c>
      <c r="CN19" s="489" t="str">
        <f>IFERROR(__xludf.DUMMYFUNCTION("""COMPUTED_VALUE"""),"Blissey")</f>
        <v>Blissey</v>
      </c>
      <c r="CO19" s="392" t="s">
        <v>158</v>
      </c>
      <c r="CP19" s="474"/>
      <c r="CQ19" s="93"/>
      <c r="CR19" s="413"/>
      <c r="CS19" s="414"/>
      <c r="CT19" s="363"/>
      <c r="CU19" s="345"/>
      <c r="CV19" s="93"/>
      <c r="CW19" s="415"/>
      <c r="CX19" s="468"/>
      <c r="CY19" s="363"/>
      <c r="CZ19" s="345"/>
      <c r="DA19" s="93"/>
      <c r="DB19" s="423"/>
      <c r="DC19" s="424"/>
      <c r="DD19" s="363"/>
      <c r="DE19" s="345"/>
      <c r="DF19" s="93"/>
      <c r="DG19" s="242"/>
      <c r="DH19" s="426"/>
      <c r="DI19" s="474"/>
      <c r="DJ19" s="474"/>
      <c r="DK19" s="93"/>
      <c r="DL19" s="429"/>
      <c r="DM19" s="430"/>
      <c r="DN19" s="363"/>
      <c r="DO19" s="345"/>
      <c r="DP19" s="93"/>
      <c r="DQ19" s="439"/>
      <c r="DR19" s="441"/>
      <c r="DS19" s="363"/>
      <c r="DT19" s="345"/>
      <c r="DU19" s="93"/>
      <c r="DV19" s="442"/>
      <c r="DW19" s="443"/>
      <c r="DX19" s="363"/>
      <c r="DY19" s="345"/>
      <c r="DZ19" s="93"/>
      <c r="EA19" s="21"/>
    </row>
    <row r="20" ht="17.25" customHeight="1">
      <c r="A20" s="21"/>
      <c r="B20" s="93"/>
      <c r="C20" s="234" t="s">
        <v>257</v>
      </c>
      <c r="D20" s="235" t="s">
        <v>258</v>
      </c>
      <c r="E20" s="93"/>
      <c r="F20" s="268"/>
      <c r="G20" s="268"/>
      <c r="H20" s="268"/>
      <c r="I20" s="268"/>
      <c r="J20" s="268"/>
      <c r="K20" s="268"/>
      <c r="L20" s="450"/>
      <c r="M20" s="268"/>
      <c r="N20" s="268"/>
      <c r="O20" s="268"/>
      <c r="P20" s="268"/>
      <c r="Q20" s="450"/>
      <c r="R20" s="268"/>
      <c r="S20" s="268"/>
      <c r="T20" s="268"/>
      <c r="U20" s="268"/>
      <c r="V20" s="450"/>
      <c r="W20" s="268"/>
      <c r="X20" s="268"/>
      <c r="Y20" s="268"/>
      <c r="Z20" s="268"/>
      <c r="AA20" s="450"/>
      <c r="AB20" s="268"/>
      <c r="AC20" s="268"/>
      <c r="AD20" s="268"/>
      <c r="AE20" s="268"/>
      <c r="AF20" s="450"/>
      <c r="AG20" s="268"/>
      <c r="AH20" s="268"/>
      <c r="AI20" s="268"/>
      <c r="AJ20" s="268"/>
      <c r="AK20" s="450"/>
      <c r="AL20" s="268"/>
      <c r="AM20" s="268"/>
      <c r="AN20" s="268"/>
      <c r="AO20" s="268"/>
      <c r="AP20" s="397"/>
      <c r="AQ20" s="474"/>
      <c r="AR20" s="506"/>
      <c r="AS20" s="93"/>
      <c r="AT20" s="359"/>
      <c r="AU20" s="360"/>
      <c r="AV20" s="474"/>
      <c r="AW20" s="474"/>
      <c r="AX20" s="93"/>
      <c r="AY20" s="364"/>
      <c r="AZ20" s="480"/>
      <c r="BA20" s="474"/>
      <c r="BB20" s="474"/>
      <c r="BC20" s="93"/>
      <c r="BD20" s="368"/>
      <c r="BE20" s="455"/>
      <c r="BF20" s="474"/>
      <c r="BG20" s="474"/>
      <c r="BH20" s="93"/>
      <c r="BI20" s="402"/>
      <c r="BK20" s="474"/>
      <c r="BL20" s="474"/>
      <c r="BM20" s="93"/>
      <c r="BN20" s="372"/>
      <c r="BP20" s="389"/>
      <c r="BQ20" s="345"/>
      <c r="BR20" s="93"/>
      <c r="BS20" s="380"/>
      <c r="BT20" s="455"/>
      <c r="BU20" s="474"/>
      <c r="BV20" s="474"/>
      <c r="BW20" s="93"/>
      <c r="BX20" s="385"/>
      <c r="BY20" s="490"/>
      <c r="BZ20" s="389"/>
      <c r="CA20" s="474"/>
      <c r="CB20" s="93"/>
      <c r="CC20" s="387" t="str">
        <f>IFERROR(__xludf.DUMMYFUNCTION("""COMPUTED_VALUE"""),"")</f>
        <v/>
      </c>
      <c r="CD20" s="404" t="str">
        <f>IFERROR(__xludf.DUMMYFUNCTION("""COMPUTED_VALUE"""),"Tsareena")</f>
        <v>Tsareena</v>
      </c>
      <c r="CE20" s="363" t="s">
        <v>158</v>
      </c>
      <c r="CF20" s="474"/>
      <c r="CG20" s="93"/>
      <c r="CH20" s="387" t="str">
        <f>IFERROR(__xludf.DUMMYFUNCTION("""COMPUTED_VALUE"""),"")</f>
        <v/>
      </c>
      <c r="CI20" s="404" t="str">
        <f>IFERROR(__xludf.DUMMYFUNCTION("""COMPUTED_VALUE"""),"Lilligant")</f>
        <v>Lilligant</v>
      </c>
      <c r="CJ20" s="363" t="s">
        <v>159</v>
      </c>
      <c r="CK20" s="474"/>
      <c r="CL20" s="93"/>
      <c r="CM20" s="390" t="str">
        <f>IFERROR(__xludf.DUMMYFUNCTION("""COMPUTED_VALUE"""),"")</f>
        <v/>
      </c>
      <c r="CN20" s="489" t="str">
        <f>IFERROR(__xludf.DUMMYFUNCTION("""COMPUTED_VALUE"""),"Bombirdier")</f>
        <v>Bombirdier</v>
      </c>
      <c r="CO20" s="392" t="s">
        <v>158</v>
      </c>
      <c r="CP20" s="474"/>
      <c r="CQ20" s="93"/>
      <c r="CR20" s="413"/>
      <c r="CS20" s="414"/>
      <c r="CT20" s="508"/>
      <c r="CU20" s="475"/>
      <c r="CV20" s="93"/>
      <c r="CW20" s="415"/>
      <c r="CX20" s="468"/>
      <c r="CY20" s="363"/>
      <c r="CZ20" s="345"/>
      <c r="DA20" s="93"/>
      <c r="DB20" s="423"/>
      <c r="DC20" s="424"/>
      <c r="DD20" s="363"/>
      <c r="DE20" s="345"/>
      <c r="DF20" s="93"/>
      <c r="DG20" s="242"/>
      <c r="DH20" s="426"/>
      <c r="DI20" s="474"/>
      <c r="DJ20" s="474"/>
      <c r="DK20" s="93"/>
      <c r="DL20" s="429"/>
      <c r="DM20" s="430"/>
      <c r="DN20" s="363"/>
      <c r="DO20" s="345"/>
      <c r="DP20" s="93"/>
      <c r="DQ20" s="439"/>
      <c r="DR20" s="441"/>
      <c r="DS20" s="363"/>
      <c r="DT20" s="345"/>
      <c r="DU20" s="93"/>
      <c r="DV20" s="442"/>
      <c r="DW20" s="443"/>
      <c r="DX20" s="363"/>
      <c r="DY20" s="345"/>
      <c r="DZ20" s="93"/>
      <c r="EA20" s="21"/>
    </row>
    <row r="21" ht="17.25" customHeight="1">
      <c r="A21" s="406"/>
      <c r="B21" s="407"/>
      <c r="C21" s="234" t="s">
        <v>264</v>
      </c>
      <c r="D21" s="235" t="s">
        <v>265</v>
      </c>
      <c r="E21" s="93"/>
      <c r="F21" s="268"/>
      <c r="G21" s="268"/>
      <c r="H21" s="268"/>
      <c r="I21" s="268"/>
      <c r="J21" s="268"/>
      <c r="K21" s="268"/>
      <c r="L21" s="450"/>
      <c r="M21" s="268"/>
      <c r="N21" s="268"/>
      <c r="O21" s="268"/>
      <c r="P21" s="268"/>
      <c r="Q21" s="450"/>
      <c r="R21" s="268"/>
      <c r="S21" s="268"/>
      <c r="T21" s="268"/>
      <c r="U21" s="268"/>
      <c r="V21" s="450"/>
      <c r="W21" s="268"/>
      <c r="X21" s="268"/>
      <c r="Y21" s="268"/>
      <c r="Z21" s="268"/>
      <c r="AA21" s="450"/>
      <c r="AB21" s="268"/>
      <c r="AC21" s="268"/>
      <c r="AD21" s="268"/>
      <c r="AE21" s="268"/>
      <c r="AF21" s="450"/>
      <c r="AG21" s="268"/>
      <c r="AH21" s="268"/>
      <c r="AI21" s="268"/>
      <c r="AJ21" s="268"/>
      <c r="AK21" s="450"/>
      <c r="AL21" s="268"/>
      <c r="AM21" s="268"/>
      <c r="AN21" s="268"/>
      <c r="AO21" s="268"/>
      <c r="AP21" s="397"/>
      <c r="AQ21" s="509"/>
      <c r="AR21" s="397"/>
      <c r="AS21" s="93"/>
      <c r="AT21" s="359"/>
      <c r="AU21" s="360"/>
      <c r="AV21" s="474"/>
      <c r="AW21" s="474"/>
      <c r="AX21" s="93"/>
      <c r="AY21" s="364"/>
      <c r="AZ21" s="480"/>
      <c r="BA21" s="474"/>
      <c r="BB21" s="474"/>
      <c r="BC21" s="93"/>
      <c r="BD21" s="368"/>
      <c r="BE21" s="490"/>
      <c r="BF21" s="474"/>
      <c r="BG21" s="474"/>
      <c r="BH21" s="93"/>
      <c r="BI21" s="402"/>
      <c r="BJ21" s="477"/>
      <c r="BK21" s="474"/>
      <c r="BL21" s="474"/>
      <c r="BM21" s="93"/>
      <c r="BN21" s="372"/>
      <c r="BP21" s="389"/>
      <c r="BQ21" s="345"/>
      <c r="BR21" s="93"/>
      <c r="BS21" s="380"/>
      <c r="BT21" s="455"/>
      <c r="BU21" s="474"/>
      <c r="BV21" s="474"/>
      <c r="BW21" s="93"/>
      <c r="BX21" s="385"/>
      <c r="BY21" s="490"/>
      <c r="BZ21" s="389"/>
      <c r="CA21" s="474"/>
      <c r="CB21" s="93"/>
      <c r="CC21" s="387" t="str">
        <f>IFERROR(__xludf.DUMMYFUNCTION("""COMPUTED_VALUE"""),"")</f>
        <v/>
      </c>
      <c r="CD21" s="404" t="str">
        <f>IFERROR(__xludf.DUMMYFUNCTION("""COMPUTED_VALUE"""),"Vaporeon")</f>
        <v>Vaporeon</v>
      </c>
      <c r="CE21" s="363" t="s">
        <v>158</v>
      </c>
      <c r="CF21" s="474"/>
      <c r="CG21" s="93"/>
      <c r="CH21" s="387" t="str">
        <f>IFERROR(__xludf.DUMMYFUNCTION("""COMPUTED_VALUE"""),"")</f>
        <v/>
      </c>
      <c r="CI21" s="404" t="str">
        <f>IFERROR(__xludf.DUMMYFUNCTION("""COMPUTED_VALUE"""),"Magnezone")</f>
        <v>Magnezone</v>
      </c>
      <c r="CJ21" s="363" t="s">
        <v>159</v>
      </c>
      <c r="CK21" s="474"/>
      <c r="CL21" s="93"/>
      <c r="CM21" s="390" t="str">
        <f>IFERROR(__xludf.DUMMYFUNCTION("""COMPUTED_VALUE"""),"")</f>
        <v/>
      </c>
      <c r="CN21" s="489" t="str">
        <f>IFERROR(__xludf.DUMMYFUNCTION("""COMPUTED_VALUE"""),"Bounsweet")</f>
        <v>Bounsweet</v>
      </c>
      <c r="CO21" s="392" t="s">
        <v>158</v>
      </c>
      <c r="CP21" s="474"/>
      <c r="CQ21" s="93"/>
      <c r="CR21" s="413"/>
      <c r="CS21" s="414"/>
      <c r="CT21" s="474"/>
      <c r="CU21" s="474"/>
      <c r="CV21" s="93"/>
      <c r="CW21" s="415"/>
      <c r="CX21" s="468"/>
      <c r="CY21" s="363"/>
      <c r="CZ21" s="345"/>
      <c r="DA21" s="93"/>
      <c r="DB21" s="423"/>
      <c r="DC21" s="424"/>
      <c r="DD21" s="363"/>
      <c r="DE21" s="345"/>
      <c r="DF21" s="93"/>
      <c r="DG21" s="242"/>
      <c r="DH21" s="426"/>
      <c r="DI21" s="474"/>
      <c r="DJ21" s="474"/>
      <c r="DK21" s="93"/>
      <c r="DL21" s="429"/>
      <c r="DM21" s="430"/>
      <c r="DN21" s="363"/>
      <c r="DO21" s="345"/>
      <c r="DP21" s="93"/>
      <c r="DQ21" s="439"/>
      <c r="DR21" s="441"/>
      <c r="DS21" s="363"/>
      <c r="DT21" s="345"/>
      <c r="DU21" s="93"/>
      <c r="DV21" s="442"/>
      <c r="DW21" s="443"/>
      <c r="DX21" s="363"/>
      <c r="DY21" s="345"/>
      <c r="DZ21" s="93"/>
      <c r="EA21" s="21"/>
    </row>
    <row r="22" ht="17.25" customHeight="1">
      <c r="A22" s="446"/>
      <c r="B22" s="447"/>
      <c r="C22" s="234" t="s">
        <v>268</v>
      </c>
      <c r="D22" s="235" t="s">
        <v>269</v>
      </c>
      <c r="E22" s="93"/>
      <c r="F22" s="268"/>
      <c r="G22" s="268"/>
      <c r="H22" s="268"/>
      <c r="I22" s="268"/>
      <c r="J22" s="268"/>
      <c r="K22" s="268"/>
      <c r="L22" s="450"/>
      <c r="M22" s="268"/>
      <c r="N22" s="268"/>
      <c r="O22" s="268"/>
      <c r="P22" s="268"/>
      <c r="Q22" s="450"/>
      <c r="R22" s="268"/>
      <c r="S22" s="268"/>
      <c r="T22" s="268"/>
      <c r="U22" s="268"/>
      <c r="V22" s="450"/>
      <c r="W22" s="268"/>
      <c r="X22" s="268"/>
      <c r="Y22" s="268"/>
      <c r="Z22" s="268"/>
      <c r="AA22" s="450"/>
      <c r="AB22" s="268"/>
      <c r="AC22" s="268"/>
      <c r="AD22" s="268"/>
      <c r="AE22" s="268"/>
      <c r="AF22" s="450"/>
      <c r="AG22" s="268"/>
      <c r="AH22" s="268"/>
      <c r="AI22" s="268"/>
      <c r="AJ22" s="268"/>
      <c r="AK22" s="450"/>
      <c r="AL22" s="268"/>
      <c r="AM22" s="268"/>
      <c r="AN22" s="268"/>
      <c r="AO22" s="268"/>
      <c r="AP22" s="397"/>
      <c r="AQ22" s="509"/>
      <c r="AR22" s="397"/>
      <c r="AS22" s="93"/>
      <c r="AT22" s="359"/>
      <c r="AU22" s="360"/>
      <c r="AV22" s="474"/>
      <c r="AW22" s="474"/>
      <c r="AX22" s="93"/>
      <c r="AY22" s="364"/>
      <c r="AZ22" s="480"/>
      <c r="BA22" s="474"/>
      <c r="BB22" s="474"/>
      <c r="BC22" s="93"/>
      <c r="BD22" s="368"/>
      <c r="BE22" s="397"/>
      <c r="BF22" s="474"/>
      <c r="BG22" s="474"/>
      <c r="BH22" s="93"/>
      <c r="BI22" s="402"/>
      <c r="BJ22" s="478"/>
      <c r="BK22" s="474"/>
      <c r="BL22" s="474"/>
      <c r="BM22" s="93"/>
      <c r="BN22" s="372"/>
      <c r="BO22" s="478"/>
      <c r="BP22" s="474"/>
      <c r="BQ22" s="474"/>
      <c r="BR22" s="93"/>
      <c r="BS22" s="380"/>
      <c r="BT22" s="478"/>
      <c r="BU22" s="474"/>
      <c r="BV22" s="474"/>
      <c r="BW22" s="93"/>
      <c r="BX22" s="385"/>
      <c r="BY22" s="490"/>
      <c r="BZ22" s="389"/>
      <c r="CA22" s="474"/>
      <c r="CB22" s="93"/>
      <c r="CC22" s="387"/>
      <c r="CD22" s="404"/>
      <c r="CE22" s="389"/>
      <c r="CF22" s="474"/>
      <c r="CG22" s="93"/>
      <c r="CH22" s="387" t="str">
        <f>IFERROR(__xludf.DUMMYFUNCTION("""COMPUTED_VALUE"""),"")</f>
        <v/>
      </c>
      <c r="CI22" s="404" t="str">
        <f>IFERROR(__xludf.DUMMYFUNCTION("""COMPUTED_VALUE"""),"Mismagius")</f>
        <v>Mismagius</v>
      </c>
      <c r="CJ22" s="363" t="s">
        <v>158</v>
      </c>
      <c r="CK22" s="474"/>
      <c r="CL22" s="93"/>
      <c r="CM22" s="390" t="str">
        <f>IFERROR(__xludf.DUMMYFUNCTION("""COMPUTED_VALUE"""),"")</f>
        <v/>
      </c>
      <c r="CN22" s="489" t="str">
        <f>IFERROR(__xludf.DUMMYFUNCTION("""COMPUTED_VALUE"""),"Bramblin")</f>
        <v>Bramblin</v>
      </c>
      <c r="CO22" s="392" t="s">
        <v>158</v>
      </c>
      <c r="CP22" s="474"/>
      <c r="CQ22" s="93"/>
      <c r="CR22" s="413"/>
      <c r="CS22" s="414"/>
      <c r="CT22" s="474"/>
      <c r="CU22" s="474"/>
      <c r="CV22" s="93"/>
      <c r="CW22" s="415"/>
      <c r="CX22" s="468"/>
      <c r="CY22" s="363"/>
      <c r="CZ22" s="345"/>
      <c r="DA22" s="93"/>
      <c r="DB22" s="423"/>
      <c r="DC22" s="424"/>
      <c r="DD22" s="363"/>
      <c r="DE22" s="345"/>
      <c r="DF22" s="93"/>
      <c r="DG22" s="242"/>
      <c r="DH22" s="426"/>
      <c r="DI22" s="474"/>
      <c r="DJ22" s="474"/>
      <c r="DK22" s="93"/>
      <c r="DL22" s="429"/>
      <c r="DM22" s="430"/>
      <c r="DN22" s="363"/>
      <c r="DO22" s="345"/>
      <c r="DP22" s="93"/>
      <c r="DQ22" s="439"/>
      <c r="DR22" s="441"/>
      <c r="DS22" s="363"/>
      <c r="DT22" s="345"/>
      <c r="DU22" s="93"/>
      <c r="DV22" s="442"/>
      <c r="DW22" s="443"/>
      <c r="DX22" s="363"/>
      <c r="DY22" s="345"/>
      <c r="DZ22" s="93"/>
      <c r="EA22" s="21"/>
    </row>
    <row r="23" ht="17.25" customHeight="1">
      <c r="A23" s="446"/>
      <c r="B23" s="447"/>
      <c r="C23" s="234"/>
      <c r="D23" s="235" t="s">
        <v>272</v>
      </c>
      <c r="E23" s="93"/>
      <c r="F23" s="268"/>
      <c r="G23" s="268"/>
      <c r="H23" s="268"/>
      <c r="I23" s="268"/>
      <c r="J23" s="268"/>
      <c r="K23" s="268"/>
      <c r="L23" s="450"/>
      <c r="M23" s="268"/>
      <c r="N23" s="268"/>
      <c r="O23" s="268"/>
      <c r="P23" s="268"/>
      <c r="Q23" s="450"/>
      <c r="R23" s="268"/>
      <c r="S23" s="268"/>
      <c r="T23" s="268"/>
      <c r="U23" s="268"/>
      <c r="V23" s="450"/>
      <c r="W23" s="268"/>
      <c r="X23" s="268"/>
      <c r="Y23" s="268"/>
      <c r="Z23" s="268"/>
      <c r="AA23" s="450"/>
      <c r="AB23" s="268"/>
      <c r="AC23" s="268"/>
      <c r="AD23" s="268"/>
      <c r="AE23" s="268"/>
      <c r="AF23" s="450"/>
      <c r="AG23" s="268"/>
      <c r="AH23" s="268"/>
      <c r="AI23" s="268"/>
      <c r="AJ23" s="268"/>
      <c r="AK23" s="450"/>
      <c r="AL23" s="268"/>
      <c r="AM23" s="268"/>
      <c r="AN23" s="268"/>
      <c r="AO23" s="268"/>
      <c r="AP23" s="397"/>
      <c r="AQ23" s="509"/>
      <c r="AR23" s="397"/>
      <c r="AS23" s="93"/>
      <c r="AT23" s="359"/>
      <c r="AU23" s="360"/>
      <c r="AV23" s="474"/>
      <c r="AW23" s="474"/>
      <c r="AX23" s="93"/>
      <c r="AY23" s="364"/>
      <c r="AZ23" s="480"/>
      <c r="BA23" s="474"/>
      <c r="BB23" s="474"/>
      <c r="BC23" s="93"/>
      <c r="BD23" s="368"/>
      <c r="BE23" s="455"/>
      <c r="BF23" s="474"/>
      <c r="BG23" s="474"/>
      <c r="BH23" s="93"/>
      <c r="BI23" s="402"/>
      <c r="BJ23" s="480"/>
      <c r="BK23" s="474"/>
      <c r="BL23" s="474"/>
      <c r="BM23" s="93"/>
      <c r="BN23" s="372"/>
      <c r="BO23" s="477"/>
      <c r="BP23" s="474"/>
      <c r="BQ23" s="474"/>
      <c r="BR23" s="93"/>
      <c r="BS23" s="380"/>
      <c r="BT23" s="478"/>
      <c r="BU23" s="474"/>
      <c r="BV23" s="474"/>
      <c r="BW23" s="93"/>
      <c r="BX23" s="385"/>
      <c r="BY23" s="490"/>
      <c r="BZ23" s="389"/>
      <c r="CA23" s="474"/>
      <c r="CB23" s="93"/>
      <c r="CC23" s="387"/>
      <c r="CD23" s="404"/>
      <c r="CE23" s="389"/>
      <c r="CF23" s="474"/>
      <c r="CG23" s="93"/>
      <c r="CH23" s="387" t="str">
        <f>IFERROR(__xludf.DUMMYFUNCTION("""COMPUTED_VALUE"""),"")</f>
        <v/>
      </c>
      <c r="CI23" s="404" t="str">
        <f>IFERROR(__xludf.DUMMYFUNCTION("""COMPUTED_VALUE"""),"Mudsdale")</f>
        <v>Mudsdale</v>
      </c>
      <c r="CJ23" s="363" t="s">
        <v>159</v>
      </c>
      <c r="CK23" s="474"/>
      <c r="CL23" s="93"/>
      <c r="CM23" s="390" t="str">
        <f>IFERROR(__xludf.DUMMYFUNCTION("""COMPUTED_VALUE"""),"")</f>
        <v/>
      </c>
      <c r="CN23" s="489" t="str">
        <f>IFERROR(__xludf.DUMMYFUNCTION("""COMPUTED_VALUE"""),"Braviary")</f>
        <v>Braviary</v>
      </c>
      <c r="CO23" s="392" t="s">
        <v>158</v>
      </c>
      <c r="CP23" s="474"/>
      <c r="CQ23" s="93"/>
      <c r="CR23" s="413"/>
      <c r="CS23" s="414"/>
      <c r="CT23" s="474"/>
      <c r="CU23" s="474"/>
      <c r="CV23" s="93"/>
      <c r="CW23" s="415"/>
      <c r="CX23" s="468"/>
      <c r="CY23" s="363"/>
      <c r="CZ23" s="345"/>
      <c r="DA23" s="93"/>
      <c r="DB23" s="423"/>
      <c r="DC23" s="424"/>
      <c r="DD23" s="363"/>
      <c r="DE23" s="345"/>
      <c r="DF23" s="93"/>
      <c r="DG23" s="242"/>
      <c r="DH23" s="426"/>
      <c r="DI23" s="474"/>
      <c r="DJ23" s="474"/>
      <c r="DK23" s="93"/>
      <c r="DL23" s="429"/>
      <c r="DM23" s="430"/>
      <c r="DN23" s="363"/>
      <c r="DO23" s="345"/>
      <c r="DP23" s="93"/>
      <c r="DQ23" s="439"/>
      <c r="DR23" s="441"/>
      <c r="DS23" s="363"/>
      <c r="DT23" s="345"/>
      <c r="DU23" s="93"/>
      <c r="DV23" s="442"/>
      <c r="DW23" s="443"/>
      <c r="DX23" s="363"/>
      <c r="DY23" s="345"/>
      <c r="DZ23" s="93"/>
      <c r="EA23" s="21"/>
    </row>
    <row r="24" ht="17.25" customHeight="1">
      <c r="A24" s="406"/>
      <c r="B24" s="407"/>
      <c r="C24" s="234"/>
      <c r="D24" s="235" t="s">
        <v>273</v>
      </c>
      <c r="E24" s="93"/>
      <c r="F24" s="268"/>
      <c r="G24" s="268"/>
      <c r="H24" s="268"/>
      <c r="I24" s="268"/>
      <c r="J24" s="268"/>
      <c r="K24" s="268"/>
      <c r="L24" s="450"/>
      <c r="M24" s="268"/>
      <c r="N24" s="268"/>
      <c r="O24" s="268"/>
      <c r="P24" s="268"/>
      <c r="Q24" s="450"/>
      <c r="R24" s="268"/>
      <c r="S24" s="268"/>
      <c r="T24" s="268"/>
      <c r="U24" s="268"/>
      <c r="V24" s="450"/>
      <c r="W24" s="268"/>
      <c r="X24" s="268"/>
      <c r="Y24" s="268"/>
      <c r="Z24" s="268"/>
      <c r="AA24" s="450"/>
      <c r="AB24" s="268"/>
      <c r="AC24" s="268"/>
      <c r="AD24" s="268"/>
      <c r="AE24" s="268"/>
      <c r="AF24" s="450"/>
      <c r="AG24" s="268"/>
      <c r="AH24" s="268"/>
      <c r="AI24" s="268"/>
      <c r="AJ24" s="268"/>
      <c r="AK24" s="450"/>
      <c r="AL24" s="268"/>
      <c r="AM24" s="268"/>
      <c r="AN24" s="268"/>
      <c r="AO24" s="268"/>
      <c r="AP24" s="397"/>
      <c r="AQ24" s="509"/>
      <c r="AR24" s="397"/>
      <c r="AS24" s="93"/>
      <c r="AT24" s="359"/>
      <c r="AU24" s="360"/>
      <c r="AV24" s="474"/>
      <c r="AW24" s="474"/>
      <c r="AX24" s="93"/>
      <c r="AY24" s="364"/>
      <c r="AZ24" s="480"/>
      <c r="BA24" s="474"/>
      <c r="BB24" s="474"/>
      <c r="BC24" s="93"/>
      <c r="BD24" s="368"/>
      <c r="BE24" s="477"/>
      <c r="BF24" s="474"/>
      <c r="BG24" s="474"/>
      <c r="BH24" s="93"/>
      <c r="BI24" s="402"/>
      <c r="BJ24" s="480"/>
      <c r="BK24" s="474"/>
      <c r="BL24" s="474"/>
      <c r="BM24" s="93"/>
      <c r="BN24" s="372"/>
      <c r="BO24" s="477"/>
      <c r="BP24" s="474"/>
      <c r="BQ24" s="474"/>
      <c r="BR24" s="93"/>
      <c r="BS24" s="380"/>
      <c r="BT24" s="492"/>
      <c r="BU24" s="474"/>
      <c r="BV24" s="474"/>
      <c r="BW24" s="93"/>
      <c r="BX24" s="385"/>
      <c r="BY24" s="490"/>
      <c r="BZ24" s="389"/>
      <c r="CA24" s="474"/>
      <c r="CB24" s="93"/>
      <c r="CC24" s="387"/>
      <c r="CD24" s="404"/>
      <c r="CE24" s="389"/>
      <c r="CF24" s="474"/>
      <c r="CG24" s="93"/>
      <c r="CH24" s="387" t="str">
        <f>IFERROR(__xludf.DUMMYFUNCTION("""COMPUTED_VALUE"""),"")</f>
        <v/>
      </c>
      <c r="CI24" s="404" t="str">
        <f>IFERROR(__xludf.DUMMYFUNCTION("""COMPUTED_VALUE"""),"Noivern")</f>
        <v>Noivern</v>
      </c>
      <c r="CJ24" s="363" t="s">
        <v>158</v>
      </c>
      <c r="CK24" s="474"/>
      <c r="CL24" s="93"/>
      <c r="CM24" s="390" t="str">
        <f>IFERROR(__xludf.DUMMYFUNCTION("""COMPUTED_VALUE"""),"")</f>
        <v/>
      </c>
      <c r="CN24" s="489" t="str">
        <f>IFERROR(__xludf.DUMMYFUNCTION("""COMPUTED_VALUE"""),"Bronzor")</f>
        <v>Bronzor</v>
      </c>
      <c r="CO24" s="392" t="s">
        <v>158</v>
      </c>
      <c r="CP24" s="474"/>
      <c r="CQ24" s="93"/>
      <c r="CR24" s="413"/>
      <c r="CS24" s="414"/>
      <c r="CT24" s="474"/>
      <c r="CU24" s="474"/>
      <c r="CV24" s="93"/>
      <c r="CW24" s="415"/>
      <c r="CX24" s="468"/>
      <c r="CY24" s="474"/>
      <c r="CZ24" s="474"/>
      <c r="DA24" s="93"/>
      <c r="DB24" s="423"/>
      <c r="DC24" s="506"/>
      <c r="DD24" s="474"/>
      <c r="DE24" s="474"/>
      <c r="DF24" s="93"/>
      <c r="DG24" s="242"/>
      <c r="DH24" s="426"/>
      <c r="DI24" s="474"/>
      <c r="DJ24" s="474"/>
      <c r="DK24" s="93"/>
      <c r="DL24" s="429"/>
      <c r="DM24" s="430"/>
      <c r="DN24" s="363"/>
      <c r="DO24" s="345"/>
      <c r="DP24" s="93"/>
      <c r="DQ24" s="439"/>
      <c r="DR24" s="441"/>
      <c r="DS24" s="363"/>
      <c r="DT24" s="345"/>
      <c r="DU24" s="93"/>
      <c r="DV24" s="442"/>
      <c r="DW24" s="443"/>
      <c r="DX24" s="363"/>
      <c r="DY24" s="345"/>
      <c r="DZ24" s="93"/>
      <c r="EA24" s="21"/>
    </row>
    <row r="25" ht="17.25" customHeight="1">
      <c r="A25" s="21"/>
      <c r="B25" s="93"/>
      <c r="C25" s="234" t="s">
        <v>274</v>
      </c>
      <c r="D25" s="235" t="s">
        <v>275</v>
      </c>
      <c r="E25" s="93"/>
      <c r="F25" s="268"/>
      <c r="G25" s="268"/>
      <c r="H25" s="268"/>
      <c r="I25" s="268"/>
      <c r="J25" s="268"/>
      <c r="K25" s="268"/>
      <c r="L25" s="450"/>
      <c r="M25" s="268"/>
      <c r="N25" s="268"/>
      <c r="O25" s="268"/>
      <c r="P25" s="268"/>
      <c r="Q25" s="450"/>
      <c r="R25" s="268"/>
      <c r="S25" s="268"/>
      <c r="T25" s="268"/>
      <c r="U25" s="268"/>
      <c r="V25" s="450"/>
      <c r="W25" s="268"/>
      <c r="X25" s="268"/>
      <c r="Y25" s="268"/>
      <c r="Z25" s="268"/>
      <c r="AA25" s="450"/>
      <c r="AB25" s="268"/>
      <c r="AC25" s="268"/>
      <c r="AD25" s="268"/>
      <c r="AE25" s="268"/>
      <c r="AF25" s="450"/>
      <c r="AG25" s="268"/>
      <c r="AH25" s="268"/>
      <c r="AI25" s="268"/>
      <c r="AJ25" s="268"/>
      <c r="AK25" s="450"/>
      <c r="AL25" s="268"/>
      <c r="AM25" s="268"/>
      <c r="AN25" s="268"/>
      <c r="AO25" s="268"/>
      <c r="AP25" s="397"/>
      <c r="AQ25" s="509"/>
      <c r="AR25" s="397"/>
      <c r="AS25" s="93"/>
      <c r="AT25" s="359"/>
      <c r="AU25" s="360"/>
      <c r="AV25" s="474"/>
      <c r="AW25" s="474"/>
      <c r="AX25" s="93"/>
      <c r="AY25" s="364"/>
      <c r="AZ25" s="480"/>
      <c r="BA25" s="474"/>
      <c r="BB25" s="474"/>
      <c r="BC25" s="93"/>
      <c r="BD25" s="368"/>
      <c r="BE25" s="477"/>
      <c r="BF25" s="474"/>
      <c r="BG25" s="474"/>
      <c r="BH25" s="93"/>
      <c r="BI25" s="402"/>
      <c r="BJ25" s="404"/>
      <c r="BK25" s="474"/>
      <c r="BL25" s="474"/>
      <c r="BM25" s="93"/>
      <c r="BN25" s="372"/>
      <c r="BO25" s="477"/>
      <c r="BP25" s="474"/>
      <c r="BQ25" s="474"/>
      <c r="BR25" s="93"/>
      <c r="BS25" s="380"/>
      <c r="BT25" s="490"/>
      <c r="BU25" s="474"/>
      <c r="BV25" s="474"/>
      <c r="BW25" s="93"/>
      <c r="BX25" s="385"/>
      <c r="BY25" s="490"/>
      <c r="BZ25" s="389"/>
      <c r="CA25" s="474"/>
      <c r="CB25" s="93"/>
      <c r="CC25" s="387"/>
      <c r="CD25" s="404"/>
      <c r="CE25" s="389"/>
      <c r="CF25" s="474"/>
      <c r="CG25" s="93"/>
      <c r="CH25" s="387" t="str">
        <f>IFERROR(__xludf.DUMMYFUNCTION("""COMPUTED_VALUE"""),"")</f>
        <v/>
      </c>
      <c r="CI25" s="404" t="str">
        <f>IFERROR(__xludf.DUMMYFUNCTION("""COMPUTED_VALUE"""),"Orthworm")</f>
        <v>Orthworm</v>
      </c>
      <c r="CJ25" s="363" t="s">
        <v>159</v>
      </c>
      <c r="CK25" s="474"/>
      <c r="CL25" s="93"/>
      <c r="CM25" s="390" t="str">
        <f>IFERROR(__xludf.DUMMYFUNCTION("""COMPUTED_VALUE"""),"")</f>
        <v/>
      </c>
      <c r="CN25" s="489" t="str">
        <f>IFERROR(__xludf.DUMMYFUNCTION("""COMPUTED_VALUE"""),"Bruxish")</f>
        <v>Bruxish</v>
      </c>
      <c r="CO25" s="392" t="s">
        <v>158</v>
      </c>
      <c r="CP25" s="474"/>
      <c r="CQ25" s="93"/>
      <c r="CR25" s="413"/>
      <c r="CS25" s="414"/>
      <c r="CT25" s="474"/>
      <c r="CU25" s="474"/>
      <c r="CV25" s="93"/>
      <c r="CW25" s="415"/>
      <c r="CX25" s="468"/>
      <c r="CY25" s="474"/>
      <c r="CZ25" s="474"/>
      <c r="DA25" s="93"/>
      <c r="DB25" s="423"/>
      <c r="DC25" s="506"/>
      <c r="DD25" s="474"/>
      <c r="DE25" s="474"/>
      <c r="DF25" s="93"/>
      <c r="DG25" s="242"/>
      <c r="DH25" s="426"/>
      <c r="DI25" s="474"/>
      <c r="DJ25" s="474"/>
      <c r="DK25" s="93"/>
      <c r="DL25" s="429"/>
      <c r="DM25" s="430"/>
      <c r="DN25" s="363"/>
      <c r="DO25" s="345"/>
      <c r="DP25" s="93"/>
      <c r="DQ25" s="439"/>
      <c r="DR25" s="441"/>
      <c r="DS25" s="363"/>
      <c r="DT25" s="345"/>
      <c r="DU25" s="93"/>
      <c r="DV25" s="442"/>
      <c r="DW25" s="443"/>
      <c r="DX25" s="363"/>
      <c r="DY25" s="345"/>
      <c r="DZ25" s="93"/>
      <c r="EA25" s="21"/>
    </row>
    <row r="26" ht="17.25" customHeight="1">
      <c r="A26" s="406"/>
      <c r="B26" s="407"/>
      <c r="C26" s="234" t="s">
        <v>276</v>
      </c>
      <c r="D26" s="235" t="s">
        <v>277</v>
      </c>
      <c r="E26" s="93"/>
      <c r="F26" s="268"/>
      <c r="G26" s="268"/>
      <c r="H26" s="268"/>
      <c r="I26" s="268"/>
      <c r="J26" s="268"/>
      <c r="K26" s="268"/>
      <c r="L26" s="450"/>
      <c r="M26" s="268"/>
      <c r="N26" s="268"/>
      <c r="O26" s="268"/>
      <c r="P26" s="268"/>
      <c r="Q26" s="450"/>
      <c r="R26" s="268"/>
      <c r="S26" s="268"/>
      <c r="T26" s="268"/>
      <c r="U26" s="268"/>
      <c r="V26" s="450"/>
      <c r="W26" s="268"/>
      <c r="X26" s="268"/>
      <c r="Y26" s="268"/>
      <c r="Z26" s="268"/>
      <c r="AA26" s="450"/>
      <c r="AB26" s="268"/>
      <c r="AC26" s="268"/>
      <c r="AD26" s="268"/>
      <c r="AE26" s="268"/>
      <c r="AF26" s="450"/>
      <c r="AG26" s="268"/>
      <c r="AH26" s="268"/>
      <c r="AI26" s="268"/>
      <c r="AJ26" s="268"/>
      <c r="AK26" s="450"/>
      <c r="AL26" s="268"/>
      <c r="AM26" s="268"/>
      <c r="AN26" s="268"/>
      <c r="AO26" s="268"/>
      <c r="AP26" s="397"/>
      <c r="AQ26" s="509"/>
      <c r="AR26" s="397"/>
      <c r="AS26" s="93"/>
      <c r="AT26" s="359"/>
      <c r="AU26" s="360"/>
      <c r="AV26" s="474"/>
      <c r="AW26" s="474"/>
      <c r="AX26" s="93"/>
      <c r="AY26" s="364"/>
      <c r="AZ26" s="517"/>
      <c r="BA26" s="474"/>
      <c r="BB26" s="474"/>
      <c r="BC26" s="93"/>
      <c r="BD26" s="368"/>
      <c r="BE26" s="477"/>
      <c r="BF26" s="474"/>
      <c r="BG26" s="474"/>
      <c r="BH26" s="93"/>
      <c r="BI26" s="402"/>
      <c r="BJ26" s="480"/>
      <c r="BK26" s="474"/>
      <c r="BL26" s="474"/>
      <c r="BM26" s="93"/>
      <c r="BN26" s="372"/>
      <c r="BO26" s="455"/>
      <c r="BP26" s="474"/>
      <c r="BQ26" s="474"/>
      <c r="BR26" s="93"/>
      <c r="BS26" s="380"/>
      <c r="BT26" s="490"/>
      <c r="BU26" s="474"/>
      <c r="BV26" s="474"/>
      <c r="BW26" s="93"/>
      <c r="BX26" s="385"/>
      <c r="BY26" s="404"/>
      <c r="BZ26" s="474"/>
      <c r="CA26" s="474"/>
      <c r="CB26" s="93"/>
      <c r="CC26" s="387"/>
      <c r="CD26" s="404"/>
      <c r="CE26" s="389"/>
      <c r="CF26" s="474"/>
      <c r="CG26" s="93"/>
      <c r="CH26" s="387" t="str">
        <f>IFERROR(__xludf.DUMMYFUNCTION("""COMPUTED_VALUE"""),"")</f>
        <v/>
      </c>
      <c r="CI26" s="404" t="str">
        <f>IFERROR(__xludf.DUMMYFUNCTION("""COMPUTED_VALUE"""),"Pachirisu")</f>
        <v>Pachirisu</v>
      </c>
      <c r="CJ26" s="363" t="s">
        <v>159</v>
      </c>
      <c r="CK26" s="474"/>
      <c r="CL26" s="93"/>
      <c r="CM26" s="390" t="str">
        <f>IFERROR(__xludf.DUMMYFUNCTION("""COMPUTED_VALUE"""),"")</f>
        <v/>
      </c>
      <c r="CN26" s="489" t="str">
        <f>IFERROR(__xludf.DUMMYFUNCTION("""COMPUTED_VALUE"""),"Buizel")</f>
        <v>Buizel</v>
      </c>
      <c r="CO26" s="392" t="s">
        <v>158</v>
      </c>
      <c r="CP26" s="474"/>
      <c r="CQ26" s="93"/>
      <c r="CR26" s="413"/>
      <c r="CS26" s="414"/>
      <c r="CT26" s="474"/>
      <c r="CU26" s="474"/>
      <c r="CV26" s="93"/>
      <c r="CW26" s="415"/>
      <c r="CX26" s="468"/>
      <c r="CY26" s="474"/>
      <c r="CZ26" s="474"/>
      <c r="DA26" s="93"/>
      <c r="DB26" s="423"/>
      <c r="DC26" s="506"/>
      <c r="DD26" s="474"/>
      <c r="DE26" s="474"/>
      <c r="DF26" s="93"/>
      <c r="DG26" s="242"/>
      <c r="DH26" s="426"/>
      <c r="DI26" s="474"/>
      <c r="DJ26" s="474"/>
      <c r="DK26" s="93"/>
      <c r="DL26" s="429"/>
      <c r="DM26" s="430"/>
      <c r="DN26" s="363"/>
      <c r="DO26" s="345"/>
      <c r="DP26" s="93"/>
      <c r="DQ26" s="439"/>
      <c r="DR26" s="441"/>
      <c r="DS26" s="363"/>
      <c r="DT26" s="345"/>
      <c r="DU26" s="93"/>
      <c r="DV26" s="442"/>
      <c r="DW26" s="443"/>
      <c r="DX26" s="363"/>
      <c r="DY26" s="345"/>
      <c r="DZ26" s="93"/>
      <c r="EA26" s="21"/>
    </row>
    <row r="27" ht="17.25" customHeight="1">
      <c r="A27" s="406"/>
      <c r="B27" s="407"/>
      <c r="C27" s="234" t="s">
        <v>278</v>
      </c>
      <c r="D27" s="235" t="s">
        <v>279</v>
      </c>
      <c r="E27" s="93"/>
      <c r="F27" s="268"/>
      <c r="G27" s="268"/>
      <c r="H27" s="268"/>
      <c r="I27" s="268"/>
      <c r="J27" s="268"/>
      <c r="K27" s="268"/>
      <c r="L27" s="450"/>
      <c r="M27" s="268"/>
      <c r="N27" s="268"/>
      <c r="O27" s="268"/>
      <c r="P27" s="268"/>
      <c r="Q27" s="450"/>
      <c r="R27" s="268"/>
      <c r="S27" s="268"/>
      <c r="T27" s="268"/>
      <c r="U27" s="268"/>
      <c r="V27" s="450"/>
      <c r="W27" s="268"/>
      <c r="X27" s="268"/>
      <c r="Y27" s="268"/>
      <c r="Z27" s="268"/>
      <c r="AA27" s="450"/>
      <c r="AB27" s="268"/>
      <c r="AC27" s="268"/>
      <c r="AD27" s="268"/>
      <c r="AE27" s="268"/>
      <c r="AF27" s="450"/>
      <c r="AG27" s="268"/>
      <c r="AH27" s="268"/>
      <c r="AI27" s="268"/>
      <c r="AJ27" s="268"/>
      <c r="AK27" s="450"/>
      <c r="AL27" s="268"/>
      <c r="AM27" s="268"/>
      <c r="AN27" s="268"/>
      <c r="AO27" s="268"/>
      <c r="AP27" s="397"/>
      <c r="AQ27" s="509"/>
      <c r="AR27" s="397"/>
      <c r="AS27" s="93"/>
      <c r="AT27" s="359"/>
      <c r="AU27" s="518"/>
      <c r="AV27" s="474"/>
      <c r="AW27" s="506"/>
      <c r="AX27" s="93"/>
      <c r="AY27" s="364"/>
      <c r="AZ27" s="517"/>
      <c r="BA27" s="474"/>
      <c r="BB27" s="474"/>
      <c r="BC27" s="93"/>
      <c r="BD27" s="368"/>
      <c r="BE27" s="477"/>
      <c r="BF27" s="474"/>
      <c r="BG27" s="474"/>
      <c r="BH27" s="93"/>
      <c r="BI27" s="402"/>
      <c r="BJ27" s="490"/>
      <c r="BK27" s="474"/>
      <c r="BL27" s="474"/>
      <c r="BM27" s="93"/>
      <c r="BN27" s="372"/>
      <c r="BO27" s="492"/>
      <c r="BP27" s="474"/>
      <c r="BQ27" s="474"/>
      <c r="BR27" s="93"/>
      <c r="BS27" s="380"/>
      <c r="BT27" s="404"/>
      <c r="BU27" s="474"/>
      <c r="BV27" s="474"/>
      <c r="BW27" s="93"/>
      <c r="BX27" s="385"/>
      <c r="BY27" s="404"/>
      <c r="BZ27" s="474"/>
      <c r="CA27" s="474"/>
      <c r="CB27" s="93"/>
      <c r="CC27" s="387"/>
      <c r="CD27" s="404"/>
      <c r="CE27" s="389"/>
      <c r="CF27" s="474"/>
      <c r="CG27" s="93"/>
      <c r="CH27" s="387" t="str">
        <f>IFERROR(__xludf.DUMMYFUNCTION("""COMPUTED_VALUE"""),"")</f>
        <v/>
      </c>
      <c r="CI27" s="404" t="str">
        <f>IFERROR(__xludf.DUMMYFUNCTION("""COMPUTED_VALUE"""),"Rabsca")</f>
        <v>Rabsca</v>
      </c>
      <c r="CJ27" s="363" t="s">
        <v>158</v>
      </c>
      <c r="CK27" s="474"/>
      <c r="CL27" s="93"/>
      <c r="CM27" s="390" t="str">
        <f>IFERROR(__xludf.DUMMYFUNCTION("""COMPUTED_VALUE"""),"")</f>
        <v/>
      </c>
      <c r="CN27" s="489" t="str">
        <f>IFERROR(__xludf.DUMMYFUNCTION("""COMPUTED_VALUE"""),"Cacnea")</f>
        <v>Cacnea</v>
      </c>
      <c r="CO27" s="392" t="s">
        <v>158</v>
      </c>
      <c r="CP27" s="474"/>
      <c r="CQ27" s="93"/>
      <c r="CR27" s="413"/>
      <c r="CS27" s="414"/>
      <c r="CT27" s="474"/>
      <c r="CU27" s="474"/>
      <c r="CV27" s="93"/>
      <c r="CW27" s="415"/>
      <c r="CX27" s="468"/>
      <c r="CY27" s="474"/>
      <c r="CZ27" s="474"/>
      <c r="DA27" s="93"/>
      <c r="DB27" s="423"/>
      <c r="DC27" s="424"/>
      <c r="DD27" s="474"/>
      <c r="DE27" s="474"/>
      <c r="DF27" s="93"/>
      <c r="DG27" s="242"/>
      <c r="DH27" s="426"/>
      <c r="DI27" s="474"/>
      <c r="DJ27" s="474"/>
      <c r="DK27" s="93"/>
      <c r="DL27" s="429"/>
      <c r="DM27" s="430"/>
      <c r="DN27" s="363"/>
      <c r="DO27" s="345"/>
      <c r="DP27" s="93"/>
      <c r="DQ27" s="439"/>
      <c r="DR27" s="441"/>
      <c r="DS27" s="363"/>
      <c r="DT27" s="345"/>
      <c r="DU27" s="93"/>
      <c r="DV27" s="442"/>
      <c r="DW27" s="443"/>
      <c r="DX27" s="363"/>
      <c r="DY27" s="345"/>
      <c r="DZ27" s="74"/>
      <c r="EA27" s="3"/>
    </row>
    <row r="28" ht="17.25" customHeight="1">
      <c r="A28" s="406"/>
      <c r="B28" s="407"/>
      <c r="C28" s="234" t="s">
        <v>280</v>
      </c>
      <c r="D28" s="235" t="s">
        <v>281</v>
      </c>
      <c r="E28" s="93"/>
      <c r="F28" s="268"/>
      <c r="G28" s="268"/>
      <c r="H28" s="268"/>
      <c r="I28" s="268"/>
      <c r="J28" s="268"/>
      <c r="K28" s="268"/>
      <c r="L28" s="450"/>
      <c r="M28" s="268"/>
      <c r="N28" s="268"/>
      <c r="O28" s="268"/>
      <c r="P28" s="268"/>
      <c r="Q28" s="450"/>
      <c r="R28" s="268"/>
      <c r="S28" s="268"/>
      <c r="T28" s="268"/>
      <c r="U28" s="268"/>
      <c r="V28" s="450"/>
      <c r="W28" s="268"/>
      <c r="X28" s="268"/>
      <c r="Y28" s="268"/>
      <c r="Z28" s="268"/>
      <c r="AA28" s="450"/>
      <c r="AB28" s="268"/>
      <c r="AC28" s="268"/>
      <c r="AD28" s="268"/>
      <c r="AE28" s="268"/>
      <c r="AF28" s="450"/>
      <c r="AG28" s="268"/>
      <c r="AH28" s="268"/>
      <c r="AI28" s="268"/>
      <c r="AJ28" s="268"/>
      <c r="AK28" s="450"/>
      <c r="AL28" s="268"/>
      <c r="AM28" s="268"/>
      <c r="AN28" s="268"/>
      <c r="AO28" s="268"/>
      <c r="AP28" s="397"/>
      <c r="AQ28" s="509"/>
      <c r="AR28" s="397"/>
      <c r="AS28" s="93"/>
      <c r="AT28" s="359"/>
      <c r="AU28" s="518"/>
      <c r="AV28" s="474"/>
      <c r="AW28" s="506"/>
      <c r="AX28" s="93"/>
      <c r="AY28" s="364"/>
      <c r="AZ28" s="506"/>
      <c r="BA28" s="474"/>
      <c r="BB28" s="506"/>
      <c r="BC28" s="93"/>
      <c r="BD28" s="368"/>
      <c r="BE28" s="477"/>
      <c r="BF28" s="474"/>
      <c r="BG28" s="474"/>
      <c r="BH28" s="93"/>
      <c r="BI28" s="402"/>
      <c r="BJ28" s="478"/>
      <c r="BK28" s="474"/>
      <c r="BL28" s="474"/>
      <c r="BM28" s="93"/>
      <c r="BN28" s="372"/>
      <c r="BO28" s="490"/>
      <c r="BP28" s="474"/>
      <c r="BQ28" s="474"/>
      <c r="BR28" s="93"/>
      <c r="BS28" s="380"/>
      <c r="BT28" s="480"/>
      <c r="BU28" s="474"/>
      <c r="BV28" s="474"/>
      <c r="BW28" s="93"/>
      <c r="BX28" s="385"/>
      <c r="BY28" s="520"/>
      <c r="BZ28" s="474"/>
      <c r="CA28" s="474"/>
      <c r="CB28" s="93"/>
      <c r="CC28" s="387"/>
      <c r="CD28" s="404"/>
      <c r="CE28" s="389"/>
      <c r="CF28" s="474"/>
      <c r="CG28" s="93"/>
      <c r="CH28" s="387" t="str">
        <f>IFERROR(__xludf.DUMMYFUNCTION("""COMPUTED_VALUE"""),"")</f>
        <v/>
      </c>
      <c r="CI28" s="404" t="str">
        <f>IFERROR(__xludf.DUMMYFUNCTION("""COMPUTED_VALUE"""),"Raichu")</f>
        <v>Raichu</v>
      </c>
      <c r="CJ28" s="363" t="s">
        <v>159</v>
      </c>
      <c r="CK28" s="474"/>
      <c r="CL28" s="93"/>
      <c r="CM28" s="390" t="str">
        <f>IFERROR(__xludf.DUMMYFUNCTION("""COMPUTED_VALUE"""),"")</f>
        <v/>
      </c>
      <c r="CN28" s="489" t="str">
        <f>IFERROR(__xludf.DUMMYFUNCTION("""COMPUTED_VALUE"""),"Cacturne")</f>
        <v>Cacturne</v>
      </c>
      <c r="CO28" s="392" t="s">
        <v>158</v>
      </c>
      <c r="CP28" s="474"/>
      <c r="CQ28" s="93"/>
      <c r="CR28" s="413"/>
      <c r="CS28" s="414"/>
      <c r="CT28" s="474"/>
      <c r="CU28" s="474"/>
      <c r="CV28" s="93"/>
      <c r="CW28" s="415"/>
      <c r="CX28" s="468"/>
      <c r="CY28" s="474"/>
      <c r="CZ28" s="474"/>
      <c r="DA28" s="93"/>
      <c r="DB28" s="423"/>
      <c r="DC28" s="424"/>
      <c r="DD28" s="474"/>
      <c r="DE28" s="474"/>
      <c r="DF28" s="93"/>
      <c r="DG28" s="242"/>
      <c r="DH28" s="426"/>
      <c r="DI28" s="474"/>
      <c r="DJ28" s="474"/>
      <c r="DK28" s="93"/>
      <c r="DL28" s="429"/>
      <c r="DM28" s="430"/>
      <c r="DN28" s="363"/>
      <c r="DO28" s="345"/>
      <c r="DP28" s="93"/>
      <c r="DQ28" s="439"/>
      <c r="DR28" s="441"/>
      <c r="DS28" s="363"/>
      <c r="DT28" s="345"/>
      <c r="DU28" s="93"/>
      <c r="DV28" s="442"/>
      <c r="DW28" s="443"/>
      <c r="DX28" s="363"/>
      <c r="DY28" s="345"/>
      <c r="DZ28" s="93"/>
      <c r="EA28" s="21"/>
    </row>
    <row r="29" ht="17.25" customHeight="1">
      <c r="A29" s="406"/>
      <c r="B29" s="407"/>
      <c r="C29" s="234" t="s">
        <v>282</v>
      </c>
      <c r="D29" s="235" t="s">
        <v>283</v>
      </c>
      <c r="E29" s="93"/>
      <c r="F29" s="268"/>
      <c r="G29" s="268"/>
      <c r="H29" s="268"/>
      <c r="I29" s="268"/>
      <c r="J29" s="268"/>
      <c r="K29" s="268"/>
      <c r="L29" s="450"/>
      <c r="M29" s="268"/>
      <c r="N29" s="268"/>
      <c r="O29" s="268"/>
      <c r="P29" s="268"/>
      <c r="Q29" s="450"/>
      <c r="R29" s="268"/>
      <c r="S29" s="268"/>
      <c r="T29" s="268"/>
      <c r="U29" s="268"/>
      <c r="V29" s="450"/>
      <c r="W29" s="268"/>
      <c r="X29" s="268"/>
      <c r="Y29" s="268"/>
      <c r="Z29" s="268"/>
      <c r="AA29" s="450"/>
      <c r="AB29" s="268"/>
      <c r="AC29" s="268"/>
      <c r="AD29" s="268"/>
      <c r="AE29" s="268"/>
      <c r="AF29" s="450"/>
      <c r="AG29" s="268"/>
      <c r="AH29" s="268"/>
      <c r="AI29" s="268"/>
      <c r="AJ29" s="268"/>
      <c r="AK29" s="450"/>
      <c r="AL29" s="268"/>
      <c r="AM29" s="268"/>
      <c r="AN29" s="268"/>
      <c r="AO29" s="268"/>
      <c r="AP29" s="397"/>
      <c r="AQ29" s="509"/>
      <c r="AR29" s="397"/>
      <c r="AS29" s="93"/>
      <c r="AT29" s="359"/>
      <c r="AU29" s="518"/>
      <c r="AV29" s="474"/>
      <c r="AW29" s="506"/>
      <c r="AX29" s="93"/>
      <c r="AY29" s="364"/>
      <c r="AZ29" s="506"/>
      <c r="BA29" s="474"/>
      <c r="BB29" s="506"/>
      <c r="BC29" s="93"/>
      <c r="BD29" s="368"/>
      <c r="BE29" s="477"/>
      <c r="BF29" s="474"/>
      <c r="BG29" s="474"/>
      <c r="BH29" s="93"/>
      <c r="BI29" s="402"/>
      <c r="BJ29" s="478"/>
      <c r="BK29" s="474"/>
      <c r="BL29" s="474"/>
      <c r="BM29" s="93"/>
      <c r="BN29" s="372"/>
      <c r="BO29" s="404"/>
      <c r="BP29" s="474"/>
      <c r="BQ29" s="474"/>
      <c r="BR29" s="93"/>
      <c r="BS29" s="380"/>
      <c r="BT29" s="404"/>
      <c r="BU29" s="474"/>
      <c r="BV29" s="474"/>
      <c r="BW29" s="93"/>
      <c r="BX29" s="385"/>
      <c r="BY29" s="523"/>
      <c r="BZ29" s="474"/>
      <c r="CA29" s="474"/>
      <c r="CB29" s="93"/>
      <c r="CC29" s="387"/>
      <c r="CD29" s="404"/>
      <c r="CE29" s="389"/>
      <c r="CF29" s="474"/>
      <c r="CG29" s="93"/>
      <c r="CH29" s="387" t="str">
        <f>IFERROR(__xludf.DUMMYFUNCTION("""COMPUTED_VALUE"""),"")</f>
        <v/>
      </c>
      <c r="CI29" s="404" t="str">
        <f>IFERROR(__xludf.DUMMYFUNCTION("""COMPUTED_VALUE"""),"Rotom-Mow")</f>
        <v>Rotom-Mow</v>
      </c>
      <c r="CJ29" s="363" t="s">
        <v>158</v>
      </c>
      <c r="CK29" s="474"/>
      <c r="CL29" s="93"/>
      <c r="CM29" s="390" t="str">
        <f>IFERROR(__xludf.DUMMYFUNCTION("""COMPUTED_VALUE"""),"")</f>
        <v/>
      </c>
      <c r="CN29" s="489" t="str">
        <f>IFERROR(__xludf.DUMMYFUNCTION("""COMPUTED_VALUE"""),"Camerupt")</f>
        <v>Camerupt</v>
      </c>
      <c r="CO29" s="392" t="s">
        <v>159</v>
      </c>
      <c r="CP29" s="474"/>
      <c r="CQ29" s="93"/>
      <c r="CR29" s="413"/>
      <c r="CS29" s="414"/>
      <c r="CT29" s="474"/>
      <c r="CU29" s="474"/>
      <c r="CV29" s="93"/>
      <c r="CW29" s="415"/>
      <c r="CX29" s="468"/>
      <c r="CY29" s="474"/>
      <c r="CZ29" s="474"/>
      <c r="DA29" s="93"/>
      <c r="DB29" s="423"/>
      <c r="DC29" s="424"/>
      <c r="DD29" s="474"/>
      <c r="DE29" s="474"/>
      <c r="DF29" s="93"/>
      <c r="DG29" s="242"/>
      <c r="DH29" s="426"/>
      <c r="DI29" s="474"/>
      <c r="DJ29" s="474"/>
      <c r="DK29" s="93"/>
      <c r="DL29" s="429"/>
      <c r="DM29" s="430"/>
      <c r="DN29" s="363"/>
      <c r="DO29" s="345"/>
      <c r="DP29" s="93"/>
      <c r="DQ29" s="439"/>
      <c r="DR29" s="441"/>
      <c r="DS29" s="363"/>
      <c r="DT29" s="345"/>
      <c r="DU29" s="93"/>
      <c r="DV29" s="442"/>
      <c r="DW29" s="443"/>
      <c r="DX29" s="363"/>
      <c r="DY29" s="345"/>
      <c r="DZ29" s="93"/>
      <c r="EA29" s="21"/>
    </row>
    <row r="30" ht="17.25" customHeight="1">
      <c r="A30" s="406"/>
      <c r="B30" s="407"/>
      <c r="C30" s="234" t="s">
        <v>284</v>
      </c>
      <c r="D30" s="235" t="s">
        <v>285</v>
      </c>
      <c r="E30" s="93"/>
      <c r="F30" s="268"/>
      <c r="G30" s="268"/>
      <c r="H30" s="268"/>
      <c r="I30" s="268"/>
      <c r="J30" s="268"/>
      <c r="K30" s="268"/>
      <c r="L30" s="450"/>
      <c r="M30" s="268"/>
      <c r="N30" s="268"/>
      <c r="O30" s="268"/>
      <c r="P30" s="268"/>
      <c r="Q30" s="450"/>
      <c r="R30" s="268"/>
      <c r="S30" s="268"/>
      <c r="T30" s="268"/>
      <c r="U30" s="268"/>
      <c r="V30" s="450"/>
      <c r="W30" s="268"/>
      <c r="X30" s="268"/>
      <c r="Y30" s="268"/>
      <c r="Z30" s="268"/>
      <c r="AA30" s="450"/>
      <c r="AB30" s="268"/>
      <c r="AC30" s="268"/>
      <c r="AD30" s="268"/>
      <c r="AE30" s="268"/>
      <c r="AF30" s="450"/>
      <c r="AG30" s="268"/>
      <c r="AH30" s="268"/>
      <c r="AI30" s="268"/>
      <c r="AJ30" s="268"/>
      <c r="AK30" s="450"/>
      <c r="AL30" s="268"/>
      <c r="AM30" s="268"/>
      <c r="AN30" s="268"/>
      <c r="AO30" s="268"/>
      <c r="AP30" s="397"/>
      <c r="AQ30" s="509"/>
      <c r="AR30" s="397"/>
      <c r="AS30" s="93"/>
      <c r="AT30" s="359"/>
      <c r="AU30" s="518"/>
      <c r="AV30" s="474"/>
      <c r="AW30" s="506"/>
      <c r="AX30" s="93"/>
      <c r="AY30" s="364"/>
      <c r="AZ30" s="506"/>
      <c r="BA30" s="474"/>
      <c r="BB30" s="506"/>
      <c r="BC30" s="93"/>
      <c r="BD30" s="368"/>
      <c r="BE30" s="477"/>
      <c r="BF30" s="474"/>
      <c r="BG30" s="474"/>
      <c r="BH30" s="93"/>
      <c r="BI30" s="402"/>
      <c r="BJ30" s="478"/>
      <c r="BK30" s="474"/>
      <c r="BL30" s="474"/>
      <c r="BM30" s="93"/>
      <c r="BN30" s="372"/>
      <c r="BO30" s="520"/>
      <c r="BP30" s="474"/>
      <c r="BQ30" s="474"/>
      <c r="BR30" s="93"/>
      <c r="BS30" s="380"/>
      <c r="BT30" s="468"/>
      <c r="BU30" s="474"/>
      <c r="BV30" s="474"/>
      <c r="BW30" s="93"/>
      <c r="BX30" s="385"/>
      <c r="BY30" s="523"/>
      <c r="BZ30" s="474"/>
      <c r="CA30" s="474"/>
      <c r="CB30" s="93"/>
      <c r="CC30" s="387"/>
      <c r="CD30" s="404"/>
      <c r="CE30" s="389"/>
      <c r="CF30" s="474"/>
      <c r="CG30" s="93"/>
      <c r="CH30" s="387" t="str">
        <f>IFERROR(__xludf.DUMMYFUNCTION("""COMPUTED_VALUE"""),"")</f>
        <v/>
      </c>
      <c r="CI30" s="404" t="str">
        <f>IFERROR(__xludf.DUMMYFUNCTION("""COMPUTED_VALUE"""),"Sableye")</f>
        <v>Sableye</v>
      </c>
      <c r="CJ30" s="363" t="s">
        <v>158</v>
      </c>
      <c r="CK30" s="474"/>
      <c r="CL30" s="93"/>
      <c r="CM30" s="390" t="str">
        <f>IFERROR(__xludf.DUMMYFUNCTION("""COMPUTED_VALUE"""),"")</f>
        <v/>
      </c>
      <c r="CN30" s="489" t="str">
        <f>IFERROR(__xludf.DUMMYFUNCTION("""COMPUTED_VALUE"""),"Capsakid")</f>
        <v>Capsakid</v>
      </c>
      <c r="CO30" s="392" t="s">
        <v>158</v>
      </c>
      <c r="CP30" s="474"/>
      <c r="CQ30" s="93"/>
      <c r="CR30" s="413"/>
      <c r="CS30" s="414"/>
      <c r="CT30" s="474"/>
      <c r="CU30" s="474"/>
      <c r="CV30" s="93"/>
      <c r="CW30" s="415"/>
      <c r="CX30" s="468"/>
      <c r="CY30" s="474"/>
      <c r="CZ30" s="474"/>
      <c r="DA30" s="93"/>
      <c r="DB30" s="423"/>
      <c r="DC30" s="424"/>
      <c r="DD30" s="474"/>
      <c r="DE30" s="474"/>
      <c r="DF30" s="93"/>
      <c r="DG30" s="242"/>
      <c r="DH30" s="426"/>
      <c r="DI30" s="474"/>
      <c r="DJ30" s="474"/>
      <c r="DK30" s="93"/>
      <c r="DL30" s="429"/>
      <c r="DM30" s="430"/>
      <c r="DN30" s="363"/>
      <c r="DO30" s="345"/>
      <c r="DP30" s="93"/>
      <c r="DQ30" s="439"/>
      <c r="DR30" s="441"/>
      <c r="DS30" s="363"/>
      <c r="DT30" s="345"/>
      <c r="DU30" s="93"/>
      <c r="DV30" s="442"/>
      <c r="DW30" s="443"/>
      <c r="DX30" s="363"/>
      <c r="DY30" s="345"/>
      <c r="DZ30" s="93"/>
      <c r="EA30" s="21"/>
    </row>
    <row r="31" ht="17.25" customHeight="1">
      <c r="A31" s="21"/>
      <c r="B31" s="93"/>
      <c r="C31" s="234" t="s">
        <v>286</v>
      </c>
      <c r="D31" s="235" t="s">
        <v>287</v>
      </c>
      <c r="E31" s="93"/>
      <c r="F31" s="268"/>
      <c r="G31" s="268"/>
      <c r="H31" s="268"/>
      <c r="I31" s="268"/>
      <c r="J31" s="268"/>
      <c r="K31" s="268"/>
      <c r="L31" s="450"/>
      <c r="M31" s="268"/>
      <c r="N31" s="268"/>
      <c r="O31" s="268"/>
      <c r="P31" s="268"/>
      <c r="Q31" s="450"/>
      <c r="R31" s="268"/>
      <c r="S31" s="268"/>
      <c r="T31" s="268"/>
      <c r="U31" s="268"/>
      <c r="V31" s="450"/>
      <c r="W31" s="268"/>
      <c r="X31" s="268"/>
      <c r="Y31" s="268"/>
      <c r="Z31" s="268"/>
      <c r="AA31" s="450"/>
      <c r="AB31" s="268"/>
      <c r="AC31" s="268"/>
      <c r="AD31" s="268"/>
      <c r="AE31" s="268"/>
      <c r="AF31" s="450"/>
      <c r="AG31" s="268"/>
      <c r="AH31" s="268"/>
      <c r="AI31" s="268"/>
      <c r="AJ31" s="268"/>
      <c r="AK31" s="450"/>
      <c r="AL31" s="268"/>
      <c r="AM31" s="268"/>
      <c r="AN31" s="268"/>
      <c r="AO31" s="268"/>
      <c r="AP31" s="397"/>
      <c r="AQ31" s="509"/>
      <c r="AR31" s="397"/>
      <c r="AS31" s="93"/>
      <c r="AT31" s="359"/>
      <c r="AU31" s="518"/>
      <c r="AV31" s="524"/>
      <c r="AW31" s="518"/>
      <c r="AX31" s="93"/>
      <c r="AY31" s="364"/>
      <c r="AZ31" s="480"/>
      <c r="BA31" s="525"/>
      <c r="BB31" s="480"/>
      <c r="BC31" s="93"/>
      <c r="BD31" s="368"/>
      <c r="BE31" s="477"/>
      <c r="BF31" s="474"/>
      <c r="BG31" s="474"/>
      <c r="BH31" s="93"/>
      <c r="BI31" s="402"/>
      <c r="BJ31" s="478"/>
      <c r="BK31" s="474"/>
      <c r="BL31" s="474"/>
      <c r="BM31" s="93"/>
      <c r="BN31" s="372"/>
      <c r="BO31" s="404"/>
      <c r="BP31" s="474"/>
      <c r="BQ31" s="474"/>
      <c r="BR31" s="93"/>
      <c r="BS31" s="380"/>
      <c r="BU31" s="474"/>
      <c r="BV31" s="474"/>
      <c r="BW31" s="93"/>
      <c r="BX31" s="385"/>
      <c r="BY31" s="520"/>
      <c r="BZ31" s="474"/>
      <c r="CA31" s="474"/>
      <c r="CB31" s="93"/>
      <c r="CC31" s="387"/>
      <c r="CD31" s="404"/>
      <c r="CE31" s="389"/>
      <c r="CF31" s="474"/>
      <c r="CG31" s="93"/>
      <c r="CH31" s="387" t="str">
        <f>IFERROR(__xludf.DUMMYFUNCTION("""COMPUTED_VALUE"""),"")</f>
        <v/>
      </c>
      <c r="CI31" s="404" t="str">
        <f>IFERROR(__xludf.DUMMYFUNCTION("""COMPUTED_VALUE"""),"Scovillain")</f>
        <v>Scovillain</v>
      </c>
      <c r="CJ31" s="363" t="s">
        <v>158</v>
      </c>
      <c r="CK31" s="474"/>
      <c r="CL31" s="93"/>
      <c r="CM31" s="390" t="str">
        <f>IFERROR(__xludf.DUMMYFUNCTION("""COMPUTED_VALUE"""),"")</f>
        <v/>
      </c>
      <c r="CN31" s="489" t="str">
        <f>IFERROR(__xludf.DUMMYFUNCTION("""COMPUTED_VALUE"""),"Carkol")</f>
        <v>Carkol</v>
      </c>
      <c r="CO31" s="392" t="s">
        <v>158</v>
      </c>
      <c r="CP31" s="474"/>
      <c r="CQ31" s="93"/>
      <c r="CR31" s="413"/>
      <c r="CS31" s="506"/>
      <c r="CT31" s="474"/>
      <c r="CU31" s="474"/>
      <c r="CV31" s="93"/>
      <c r="CW31" s="415"/>
      <c r="CX31" s="468"/>
      <c r="CY31" s="474"/>
      <c r="CZ31" s="474"/>
      <c r="DA31" s="93"/>
      <c r="DB31" s="423"/>
      <c r="DC31" s="424"/>
      <c r="DD31" s="474"/>
      <c r="DE31" s="474"/>
      <c r="DF31" s="93"/>
      <c r="DG31" s="242"/>
      <c r="DH31" s="426"/>
      <c r="DI31" s="474"/>
      <c r="DJ31" s="474"/>
      <c r="DK31" s="93"/>
      <c r="DL31" s="429"/>
      <c r="DM31" s="430"/>
      <c r="DN31" s="363"/>
      <c r="DO31" s="345"/>
      <c r="DP31" s="93"/>
      <c r="DQ31" s="439"/>
      <c r="DR31" s="441"/>
      <c r="DS31" s="363"/>
      <c r="DT31" s="345"/>
      <c r="DU31" s="93"/>
      <c r="DV31" s="442"/>
      <c r="DW31" s="443"/>
      <c r="DX31" s="363"/>
      <c r="DY31" s="345"/>
      <c r="DZ31" s="93"/>
      <c r="EA31" s="21"/>
    </row>
    <row r="32" ht="17.25" customHeight="1">
      <c r="A32" s="406"/>
      <c r="B32" s="407"/>
      <c r="C32" s="234" t="s">
        <v>288</v>
      </c>
      <c r="D32" s="235" t="s">
        <v>289</v>
      </c>
      <c r="E32" s="93"/>
      <c r="F32" s="268"/>
      <c r="G32" s="268"/>
      <c r="H32" s="268"/>
      <c r="I32" s="268"/>
      <c r="J32" s="268"/>
      <c r="K32" s="268"/>
      <c r="L32" s="450"/>
      <c r="M32" s="268"/>
      <c r="N32" s="268"/>
      <c r="O32" s="268"/>
      <c r="P32" s="268"/>
      <c r="Q32" s="450"/>
      <c r="R32" s="268"/>
      <c r="S32" s="268"/>
      <c r="T32" s="268"/>
      <c r="U32" s="268"/>
      <c r="V32" s="450"/>
      <c r="W32" s="268"/>
      <c r="X32" s="268"/>
      <c r="Y32" s="268"/>
      <c r="Z32" s="268"/>
      <c r="AA32" s="450"/>
      <c r="AB32" s="268"/>
      <c r="AC32" s="268"/>
      <c r="AD32" s="268"/>
      <c r="AE32" s="268"/>
      <c r="AF32" s="450"/>
      <c r="AG32" s="268"/>
      <c r="AH32" s="268"/>
      <c r="AI32" s="268"/>
      <c r="AJ32" s="268"/>
      <c r="AK32" s="450"/>
      <c r="AL32" s="268"/>
      <c r="AM32" s="268"/>
      <c r="AN32" s="268"/>
      <c r="AO32" s="268"/>
      <c r="AP32" s="397"/>
      <c r="AQ32" s="509"/>
      <c r="AR32" s="397"/>
      <c r="AS32" s="93"/>
      <c r="AT32" s="359"/>
      <c r="AU32" s="518"/>
      <c r="AV32" s="524"/>
      <c r="AW32" s="518"/>
      <c r="AX32" s="93"/>
      <c r="AY32" s="364"/>
      <c r="AZ32" s="480"/>
      <c r="BA32" s="525"/>
      <c r="BB32" s="480"/>
      <c r="BC32" s="93"/>
      <c r="BD32" s="368"/>
      <c r="BE32" s="477"/>
      <c r="BF32" s="474"/>
      <c r="BG32" s="474"/>
      <c r="BH32" s="93"/>
      <c r="BI32" s="402"/>
      <c r="BJ32" s="478"/>
      <c r="BK32" s="474"/>
      <c r="BL32" s="474"/>
      <c r="BM32" s="93"/>
      <c r="BN32" s="372"/>
      <c r="BP32" s="474"/>
      <c r="BQ32" s="474"/>
      <c r="BR32" s="93"/>
      <c r="BS32" s="380"/>
      <c r="BU32" s="474"/>
      <c r="BV32" s="474"/>
      <c r="BW32" s="93"/>
      <c r="BX32" s="385"/>
      <c r="BY32" s="523"/>
      <c r="BZ32" s="474"/>
      <c r="CA32" s="474"/>
      <c r="CB32" s="93"/>
      <c r="CC32" s="387"/>
      <c r="CD32" s="404"/>
      <c r="CE32" s="389"/>
      <c r="CF32" s="474"/>
      <c r="CG32" s="93"/>
      <c r="CH32" s="387" t="str">
        <f>IFERROR(__xludf.DUMMYFUNCTION("""COMPUTED_VALUE"""),"")</f>
        <v/>
      </c>
      <c r="CI32" s="404" t="str">
        <f>IFERROR(__xludf.DUMMYFUNCTION("""COMPUTED_VALUE"""),"Slaking")</f>
        <v>Slaking</v>
      </c>
      <c r="CJ32" s="363" t="s">
        <v>159</v>
      </c>
      <c r="CK32" s="474"/>
      <c r="CL32" s="93"/>
      <c r="CM32" s="390" t="str">
        <f>IFERROR(__xludf.DUMMYFUNCTION("""COMPUTED_VALUE"""),"")</f>
        <v/>
      </c>
      <c r="CN32" s="489" t="str">
        <f>IFERROR(__xludf.DUMMYFUNCTION("""COMPUTED_VALUE"""),"Cetoddle")</f>
        <v>Cetoddle</v>
      </c>
      <c r="CO32" s="392" t="s">
        <v>158</v>
      </c>
      <c r="CP32" s="474"/>
      <c r="CQ32" s="93"/>
      <c r="CR32" s="413"/>
      <c r="CS32" s="414"/>
      <c r="CT32" s="474"/>
      <c r="CU32" s="474"/>
      <c r="CV32" s="93"/>
      <c r="CW32" s="415"/>
      <c r="CX32" s="468"/>
      <c r="CY32" s="474"/>
      <c r="CZ32" s="474"/>
      <c r="DA32" s="93"/>
      <c r="DB32" s="423"/>
      <c r="DC32" s="424"/>
      <c r="DD32" s="474"/>
      <c r="DE32" s="474"/>
      <c r="DF32" s="93"/>
      <c r="DG32" s="242"/>
      <c r="DH32" s="426"/>
      <c r="DI32" s="474"/>
      <c r="DJ32" s="474"/>
      <c r="DK32" s="93"/>
      <c r="DL32" s="429"/>
      <c r="DM32" s="430"/>
      <c r="DN32" s="363"/>
      <c r="DO32" s="345"/>
      <c r="DP32" s="93"/>
      <c r="DQ32" s="439"/>
      <c r="DR32" s="441"/>
      <c r="DS32" s="363"/>
      <c r="DT32" s="345"/>
      <c r="DU32" s="93"/>
      <c r="DV32" s="442"/>
      <c r="DW32" s="443"/>
      <c r="DX32" s="363"/>
      <c r="DY32" s="345"/>
      <c r="DZ32" s="93"/>
      <c r="EA32" s="21"/>
    </row>
    <row r="33" ht="17.25" customHeight="1">
      <c r="A33" s="499"/>
      <c r="B33" s="389"/>
      <c r="C33" s="234" t="s">
        <v>290</v>
      </c>
      <c r="D33" s="235" t="s">
        <v>291</v>
      </c>
      <c r="E33" s="93"/>
      <c r="F33" s="268"/>
      <c r="G33" s="268"/>
      <c r="H33" s="268"/>
      <c r="I33" s="268"/>
      <c r="J33" s="268"/>
      <c r="K33" s="268"/>
      <c r="L33" s="450"/>
      <c r="M33" s="268"/>
      <c r="N33" s="268"/>
      <c r="O33" s="268"/>
      <c r="P33" s="268"/>
      <c r="Q33" s="450"/>
      <c r="R33" s="268"/>
      <c r="S33" s="268"/>
      <c r="T33" s="268"/>
      <c r="U33" s="268"/>
      <c r="V33" s="450"/>
      <c r="W33" s="268"/>
      <c r="X33" s="268"/>
      <c r="Y33" s="268"/>
      <c r="Z33" s="268"/>
      <c r="AA33" s="450"/>
      <c r="AB33" s="268"/>
      <c r="AC33" s="268"/>
      <c r="AD33" s="268"/>
      <c r="AE33" s="268"/>
      <c r="AF33" s="450"/>
      <c r="AG33" s="268"/>
      <c r="AH33" s="268"/>
      <c r="AI33" s="268"/>
      <c r="AJ33" s="268"/>
      <c r="AK33" s="450"/>
      <c r="AL33" s="268"/>
      <c r="AM33" s="268"/>
      <c r="AN33" s="268"/>
      <c r="AO33" s="268"/>
      <c r="AP33" s="397"/>
      <c r="AQ33" s="509"/>
      <c r="AR33" s="397"/>
      <c r="AS33" s="93"/>
      <c r="AT33" s="359"/>
      <c r="AU33" s="518"/>
      <c r="AV33" s="524"/>
      <c r="AW33" s="518"/>
      <c r="AX33" s="93"/>
      <c r="AY33" s="364"/>
      <c r="AZ33" s="480"/>
      <c r="BA33" s="525"/>
      <c r="BB33" s="480"/>
      <c r="BC33" s="93"/>
      <c r="BD33" s="368"/>
      <c r="BE33" s="477"/>
      <c r="BF33" s="474"/>
      <c r="BG33" s="474"/>
      <c r="BH33" s="93"/>
      <c r="BI33" s="402"/>
      <c r="BJ33" s="478"/>
      <c r="BK33" s="474"/>
      <c r="BL33" s="474"/>
      <c r="BM33" s="93"/>
      <c r="BN33" s="372"/>
      <c r="BP33" s="474"/>
      <c r="BQ33" s="474"/>
      <c r="BR33" s="93"/>
      <c r="BS33" s="380"/>
      <c r="BU33" s="474"/>
      <c r="BV33" s="474"/>
      <c r="BW33" s="93"/>
      <c r="BX33" s="385"/>
      <c r="BY33" s="468"/>
      <c r="BZ33" s="474"/>
      <c r="CA33" s="474"/>
      <c r="CB33" s="93"/>
      <c r="CC33" s="387"/>
      <c r="CD33" s="404"/>
      <c r="CE33" s="389"/>
      <c r="CF33" s="474"/>
      <c r="CG33" s="93"/>
      <c r="CH33" s="387" t="str">
        <f>IFERROR(__xludf.DUMMYFUNCTION("""COMPUTED_VALUE"""),"")</f>
        <v/>
      </c>
      <c r="CI33" s="404" t="str">
        <f>IFERROR(__xludf.DUMMYFUNCTION("""COMPUTED_VALUE"""),"Slowking")</f>
        <v>Slowking</v>
      </c>
      <c r="CJ33" s="363" t="s">
        <v>158</v>
      </c>
      <c r="CK33" s="474"/>
      <c r="CL33" s="93"/>
      <c r="CM33" s="390" t="str">
        <f>IFERROR(__xludf.DUMMYFUNCTION("""COMPUTED_VALUE"""),"")</f>
        <v/>
      </c>
      <c r="CN33" s="489" t="str">
        <f>IFERROR(__xludf.DUMMYFUNCTION("""COMPUTED_VALUE"""),"Chansey")</f>
        <v>Chansey</v>
      </c>
      <c r="CO33" s="392" t="s">
        <v>159</v>
      </c>
      <c r="CP33" s="474"/>
      <c r="CQ33" s="93"/>
      <c r="CR33" s="413"/>
      <c r="CS33" s="414"/>
      <c r="CT33" s="474"/>
      <c r="CU33" s="474"/>
      <c r="CV33" s="93"/>
      <c r="CW33" s="415"/>
      <c r="CX33" s="468"/>
      <c r="CY33" s="474"/>
      <c r="CZ33" s="474"/>
      <c r="DA33" s="93"/>
      <c r="DB33" s="423"/>
      <c r="DC33" s="424"/>
      <c r="DD33" s="474"/>
      <c r="DE33" s="474"/>
      <c r="DF33" s="93"/>
      <c r="DG33" s="242"/>
      <c r="DH33" s="426"/>
      <c r="DI33" s="474"/>
      <c r="DJ33" s="474"/>
      <c r="DK33" s="93"/>
      <c r="DL33" s="429"/>
      <c r="DM33" s="430"/>
      <c r="DN33" s="363"/>
      <c r="DO33" s="345"/>
      <c r="DP33" s="93"/>
      <c r="DQ33" s="439"/>
      <c r="DR33" s="441"/>
      <c r="DS33" s="363"/>
      <c r="DT33" s="345"/>
      <c r="DU33" s="93"/>
      <c r="DV33" s="442"/>
      <c r="DW33" s="443"/>
      <c r="DX33" s="363"/>
      <c r="DY33" s="345"/>
      <c r="DZ33" s="93"/>
      <c r="EA33" s="21"/>
    </row>
    <row r="34" ht="17.25" customHeight="1">
      <c r="A34" s="406"/>
      <c r="B34" s="407"/>
      <c r="C34" s="234" t="s">
        <v>292</v>
      </c>
      <c r="D34" s="235" t="s">
        <v>293</v>
      </c>
      <c r="E34" s="93"/>
      <c r="F34" s="268"/>
      <c r="G34" s="268"/>
      <c r="H34" s="268"/>
      <c r="I34" s="268"/>
      <c r="J34" s="268"/>
      <c r="K34" s="268"/>
      <c r="L34" s="450"/>
      <c r="M34" s="268"/>
      <c r="N34" s="268"/>
      <c r="O34" s="268"/>
      <c r="P34" s="268"/>
      <c r="Q34" s="450"/>
      <c r="R34" s="268"/>
      <c r="S34" s="268"/>
      <c r="T34" s="268"/>
      <c r="U34" s="268"/>
      <c r="V34" s="450"/>
      <c r="W34" s="268"/>
      <c r="X34" s="268"/>
      <c r="Y34" s="268"/>
      <c r="Z34" s="268"/>
      <c r="AA34" s="450"/>
      <c r="AB34" s="268"/>
      <c r="AC34" s="268"/>
      <c r="AD34" s="268"/>
      <c r="AE34" s="268"/>
      <c r="AF34" s="450"/>
      <c r="AG34" s="268"/>
      <c r="AH34" s="268"/>
      <c r="AI34" s="268"/>
      <c r="AJ34" s="268"/>
      <c r="AK34" s="450"/>
      <c r="AL34" s="268"/>
      <c r="AM34" s="268"/>
      <c r="AN34" s="268"/>
      <c r="AO34" s="268"/>
      <c r="AP34" s="397"/>
      <c r="AQ34" s="509"/>
      <c r="AR34" s="397"/>
      <c r="AS34" s="93"/>
      <c r="AT34" s="359"/>
      <c r="AU34" s="518"/>
      <c r="AV34" s="524"/>
      <c r="AW34" s="518"/>
      <c r="AX34" s="93"/>
      <c r="AY34" s="364"/>
      <c r="AZ34" s="480"/>
      <c r="BA34" s="525"/>
      <c r="BB34" s="480"/>
      <c r="BC34" s="93"/>
      <c r="BD34" s="368"/>
      <c r="BE34" s="477"/>
      <c r="BF34" s="474"/>
      <c r="BG34" s="474"/>
      <c r="BH34" s="93"/>
      <c r="BI34" s="402"/>
      <c r="BJ34" s="478"/>
      <c r="BK34" s="474"/>
      <c r="BL34" s="474"/>
      <c r="BM34" s="93"/>
      <c r="BN34" s="372"/>
      <c r="BP34" s="474"/>
      <c r="BQ34" s="474"/>
      <c r="BR34" s="93"/>
      <c r="BS34" s="380"/>
      <c r="BU34" s="474"/>
      <c r="BV34" s="474"/>
      <c r="BW34" s="93"/>
      <c r="BX34" s="385"/>
      <c r="BY34" s="468"/>
      <c r="BZ34" s="474"/>
      <c r="CA34" s="474"/>
      <c r="CB34" s="93"/>
      <c r="CC34" s="387"/>
      <c r="CD34" s="404"/>
      <c r="CE34" s="389"/>
      <c r="CF34" s="474"/>
      <c r="CG34" s="93"/>
      <c r="CH34" s="387" t="str">
        <f>IFERROR(__xludf.DUMMYFUNCTION("""COMPUTED_VALUE"""),"")</f>
        <v/>
      </c>
      <c r="CI34" s="404" t="str">
        <f>IFERROR(__xludf.DUMMYFUNCTION("""COMPUTED_VALUE"""),"Spiritomb")</f>
        <v>Spiritomb</v>
      </c>
      <c r="CJ34" s="363" t="s">
        <v>158</v>
      </c>
      <c r="CK34" s="474"/>
      <c r="CL34" s="93"/>
      <c r="CM34" s="390" t="str">
        <f>IFERROR(__xludf.DUMMYFUNCTION("""COMPUTED_VALUE"""),"")</f>
        <v/>
      </c>
      <c r="CN34" s="489" t="str">
        <f>IFERROR(__xludf.DUMMYFUNCTION("""COMPUTED_VALUE"""),"Charcadet")</f>
        <v>Charcadet</v>
      </c>
      <c r="CO34" s="392" t="s">
        <v>158</v>
      </c>
      <c r="CP34" s="474"/>
      <c r="CQ34" s="93"/>
      <c r="CR34" s="413"/>
      <c r="CS34" s="414"/>
      <c r="CT34" s="474"/>
      <c r="CU34" s="474"/>
      <c r="CV34" s="93"/>
      <c r="CW34" s="415"/>
      <c r="CX34" s="468"/>
      <c r="CY34" s="474"/>
      <c r="CZ34" s="474"/>
      <c r="DA34" s="93"/>
      <c r="DB34" s="423"/>
      <c r="DC34" s="424"/>
      <c r="DD34" s="474"/>
      <c r="DE34" s="474"/>
      <c r="DF34" s="93"/>
      <c r="DG34" s="242"/>
      <c r="DH34" s="426"/>
      <c r="DI34" s="474"/>
      <c r="DJ34" s="474"/>
      <c r="DK34" s="93"/>
      <c r="DL34" s="429"/>
      <c r="DM34" s="430"/>
      <c r="DN34" s="363"/>
      <c r="DO34" s="345"/>
      <c r="DP34" s="93"/>
      <c r="DQ34" s="439"/>
      <c r="DR34" s="441"/>
      <c r="DS34" s="363"/>
      <c r="DT34" s="345"/>
      <c r="DU34" s="93"/>
      <c r="DV34" s="442"/>
      <c r="DW34" s="443"/>
      <c r="DX34" s="363"/>
      <c r="DY34" s="345"/>
      <c r="DZ34" s="93"/>
      <c r="EA34" s="21"/>
    </row>
    <row r="35" ht="17.25" customHeight="1">
      <c r="A35" s="21"/>
      <c r="B35" s="93"/>
      <c r="C35" s="234"/>
      <c r="D35" s="235" t="s">
        <v>294</v>
      </c>
      <c r="E35" s="93"/>
      <c r="F35" s="268"/>
      <c r="G35" s="268"/>
      <c r="H35" s="268"/>
      <c r="I35" s="268"/>
      <c r="J35" s="268"/>
      <c r="K35" s="268"/>
      <c r="L35" s="450"/>
      <c r="M35" s="268"/>
      <c r="N35" s="268"/>
      <c r="O35" s="268"/>
      <c r="P35" s="268"/>
      <c r="Q35" s="450"/>
      <c r="R35" s="268"/>
      <c r="S35" s="268"/>
      <c r="T35" s="268"/>
      <c r="U35" s="268"/>
      <c r="V35" s="450"/>
      <c r="W35" s="268"/>
      <c r="X35" s="268"/>
      <c r="Y35" s="268"/>
      <c r="Z35" s="268"/>
      <c r="AA35" s="450"/>
      <c r="AB35" s="268"/>
      <c r="AC35" s="268"/>
      <c r="AD35" s="268"/>
      <c r="AE35" s="268"/>
      <c r="AF35" s="450"/>
      <c r="AG35" s="268"/>
      <c r="AH35" s="268"/>
      <c r="AI35" s="268"/>
      <c r="AJ35" s="268"/>
      <c r="AK35" s="450"/>
      <c r="AL35" s="268"/>
      <c r="AM35" s="268"/>
      <c r="AN35" s="268"/>
      <c r="AO35" s="268"/>
      <c r="AP35" s="397"/>
      <c r="AQ35" s="509"/>
      <c r="AR35" s="397"/>
      <c r="AS35" s="93"/>
      <c r="AT35" s="359"/>
      <c r="AU35" s="518"/>
      <c r="AV35" s="524"/>
      <c r="AW35" s="518"/>
      <c r="AX35" s="93"/>
      <c r="AY35" s="364"/>
      <c r="AZ35" s="480"/>
      <c r="BA35" s="525"/>
      <c r="BB35" s="480"/>
      <c r="BC35" s="93"/>
      <c r="BD35" s="368"/>
      <c r="BE35" s="477"/>
      <c r="BF35" s="474"/>
      <c r="BG35" s="474"/>
      <c r="BH35" s="93"/>
      <c r="BI35" s="402"/>
      <c r="BJ35" s="478"/>
      <c r="BK35" s="474"/>
      <c r="BL35" s="474"/>
      <c r="BM35" s="93"/>
      <c r="BN35" s="372"/>
      <c r="BO35" s="455"/>
      <c r="BP35" s="474"/>
      <c r="BQ35" s="474"/>
      <c r="BR35" s="93"/>
      <c r="BS35" s="380"/>
      <c r="BU35" s="474"/>
      <c r="BV35" s="474"/>
      <c r="BW35" s="93"/>
      <c r="BX35" s="385"/>
      <c r="BY35" s="468"/>
      <c r="BZ35" s="474"/>
      <c r="CA35" s="474"/>
      <c r="CB35" s="93"/>
      <c r="CC35" s="387"/>
      <c r="CD35" s="527"/>
      <c r="CE35" s="389"/>
      <c r="CF35" s="474"/>
      <c r="CG35" s="93"/>
      <c r="CH35" s="387" t="str">
        <f>IFERROR(__xludf.DUMMYFUNCTION("""COMPUTED_VALUE"""),"")</f>
        <v/>
      </c>
      <c r="CI35" s="527" t="str">
        <f>IFERROR(__xludf.DUMMYFUNCTION("""COMPUTED_VALUE"""),"Toedscruel")</f>
        <v>Toedscruel</v>
      </c>
      <c r="CJ35" s="363" t="s">
        <v>158</v>
      </c>
      <c r="CK35" s="474"/>
      <c r="CL35" s="93"/>
      <c r="CM35" s="390" t="str">
        <f>IFERROR(__xludf.DUMMYFUNCTION("""COMPUTED_VALUE"""),"")</f>
        <v/>
      </c>
      <c r="CN35" s="529" t="str">
        <f>IFERROR(__xludf.DUMMYFUNCTION("""COMPUTED_VALUE"""),"Chewtle")</f>
        <v>Chewtle</v>
      </c>
      <c r="CO35" s="392" t="s">
        <v>158</v>
      </c>
      <c r="CP35" s="506"/>
      <c r="CQ35" s="93"/>
      <c r="CR35" s="413"/>
      <c r="CS35" s="414"/>
      <c r="CT35" s="474"/>
      <c r="CU35" s="474"/>
      <c r="CV35" s="93"/>
      <c r="CW35" s="415"/>
      <c r="CX35" s="468"/>
      <c r="CY35" s="474"/>
      <c r="CZ35" s="474"/>
      <c r="DA35" s="93"/>
      <c r="DB35" s="423"/>
      <c r="DC35" s="424"/>
      <c r="DD35" s="474"/>
      <c r="DE35" s="474"/>
      <c r="DF35" s="93"/>
      <c r="DG35" s="242"/>
      <c r="DH35" s="426"/>
      <c r="DI35" s="474"/>
      <c r="DJ35" s="474"/>
      <c r="DK35" s="93"/>
      <c r="DL35" s="429"/>
      <c r="DM35" s="430"/>
      <c r="DN35" s="363"/>
      <c r="DO35" s="345"/>
      <c r="DP35" s="93"/>
      <c r="DQ35" s="439"/>
      <c r="DR35" s="441"/>
      <c r="DS35" s="363"/>
      <c r="DT35" s="345"/>
      <c r="DU35" s="93"/>
      <c r="DV35" s="442"/>
      <c r="DW35" s="443"/>
      <c r="DX35" s="363"/>
      <c r="DY35" s="345"/>
      <c r="DZ35" s="93"/>
      <c r="EA35" s="21"/>
    </row>
    <row r="36" ht="17.25" customHeight="1">
      <c r="A36" s="21"/>
      <c r="B36" s="93"/>
      <c r="C36" s="234" t="s">
        <v>295</v>
      </c>
      <c r="D36" s="235" t="s">
        <v>296</v>
      </c>
      <c r="E36" s="93"/>
      <c r="F36" s="268"/>
      <c r="G36" s="268"/>
      <c r="H36" s="268"/>
      <c r="I36" s="268"/>
      <c r="J36" s="268"/>
      <c r="K36" s="268"/>
      <c r="L36" s="450"/>
      <c r="M36" s="268"/>
      <c r="N36" s="268"/>
      <c r="O36" s="268"/>
      <c r="P36" s="268"/>
      <c r="Q36" s="450"/>
      <c r="R36" s="268"/>
      <c r="S36" s="268"/>
      <c r="T36" s="268"/>
      <c r="U36" s="268"/>
      <c r="V36" s="450"/>
      <c r="W36" s="268"/>
      <c r="X36" s="268"/>
      <c r="Y36" s="268"/>
      <c r="Z36" s="268"/>
      <c r="AA36" s="450"/>
      <c r="AB36" s="268"/>
      <c r="AC36" s="268"/>
      <c r="AD36" s="268"/>
      <c r="AE36" s="268"/>
      <c r="AF36" s="450"/>
      <c r="AG36" s="268"/>
      <c r="AH36" s="268"/>
      <c r="AI36" s="268"/>
      <c r="AJ36" s="268"/>
      <c r="AK36" s="450"/>
      <c r="AL36" s="268"/>
      <c r="AM36" s="268"/>
      <c r="AN36" s="268"/>
      <c r="AO36" s="268"/>
      <c r="AP36" s="397"/>
      <c r="AQ36" s="509"/>
      <c r="AR36" s="397"/>
      <c r="AS36" s="93"/>
      <c r="AT36" s="359"/>
      <c r="AU36" s="518"/>
      <c r="AV36" s="524"/>
      <c r="AW36" s="518"/>
      <c r="AX36" s="93"/>
      <c r="AY36" s="364"/>
      <c r="AZ36" s="480"/>
      <c r="BA36" s="525"/>
      <c r="BB36" s="480"/>
      <c r="BC36" s="93"/>
      <c r="BD36" s="368"/>
      <c r="BE36" s="477"/>
      <c r="BF36" s="474"/>
      <c r="BG36" s="474"/>
      <c r="BH36" s="93"/>
      <c r="BI36" s="402"/>
      <c r="BJ36" s="478"/>
      <c r="BK36" s="474"/>
      <c r="BL36" s="474"/>
      <c r="BM36" s="93"/>
      <c r="BN36" s="372"/>
      <c r="BO36" s="455"/>
      <c r="BP36" s="474"/>
      <c r="BQ36" s="474"/>
      <c r="BR36" s="93"/>
      <c r="BS36" s="380"/>
      <c r="BU36" s="474"/>
      <c r="BV36" s="474"/>
      <c r="BW36" s="93"/>
      <c r="BX36" s="385"/>
      <c r="BY36" s="523"/>
      <c r="BZ36" s="474"/>
      <c r="CA36" s="474"/>
      <c r="CB36" s="93"/>
      <c r="CC36" s="387"/>
      <c r="CD36" s="404"/>
      <c r="CE36" s="363"/>
      <c r="CF36" s="389"/>
      <c r="CG36" s="93"/>
      <c r="CH36" s="387" t="str">
        <f>IFERROR(__xludf.DUMMYFUNCTION("""COMPUTED_VALUE"""),"")</f>
        <v/>
      </c>
      <c r="CI36" s="404" t="str">
        <f>IFERROR(__xludf.DUMMYFUNCTION("""COMPUTED_VALUE"""),"Toxtricity")</f>
        <v>Toxtricity</v>
      </c>
      <c r="CJ36" s="363" t="s">
        <v>158</v>
      </c>
      <c r="CK36" s="474"/>
      <c r="CL36" s="93"/>
      <c r="CM36" s="390" t="str">
        <f>IFERROR(__xludf.DUMMYFUNCTION("""COMPUTED_VALUE"""),"")</f>
        <v/>
      </c>
      <c r="CN36" s="489" t="str">
        <f>IFERROR(__xludf.DUMMYFUNCTION("""COMPUTED_VALUE"""),"Clauncher")</f>
        <v>Clauncher</v>
      </c>
      <c r="CO36" s="532" t="s">
        <v>158</v>
      </c>
      <c r="CP36" s="474"/>
      <c r="CQ36" s="93"/>
      <c r="CR36" s="413"/>
      <c r="CS36" s="414"/>
      <c r="CT36" s="474"/>
      <c r="CU36" s="474"/>
      <c r="CV36" s="93"/>
      <c r="CW36" s="415"/>
      <c r="CX36" s="468"/>
      <c r="CY36" s="474"/>
      <c r="CZ36" s="474"/>
      <c r="DA36" s="407"/>
      <c r="DB36" s="423"/>
      <c r="DC36" s="424"/>
      <c r="DD36" s="474"/>
      <c r="DE36" s="474"/>
      <c r="DF36" s="93"/>
      <c r="DG36" s="242"/>
      <c r="DH36" s="426"/>
      <c r="DI36" s="474"/>
      <c r="DJ36" s="474"/>
      <c r="DK36" s="93"/>
      <c r="DL36" s="429"/>
      <c r="DM36" s="430"/>
      <c r="DN36" s="508"/>
      <c r="DO36" s="475"/>
      <c r="DP36" s="93"/>
      <c r="DQ36" s="439"/>
      <c r="DR36" s="441"/>
      <c r="DS36" s="363"/>
      <c r="DT36" s="345"/>
      <c r="DU36" s="93"/>
      <c r="DV36" s="442"/>
      <c r="DW36" s="443"/>
      <c r="DX36" s="363"/>
      <c r="DY36" s="345"/>
      <c r="DZ36" s="533"/>
      <c r="EA36" s="534"/>
    </row>
    <row r="37" ht="17.25" customHeight="1">
      <c r="A37" s="21"/>
      <c r="B37" s="93"/>
      <c r="C37" s="234"/>
      <c r="D37" s="235" t="s">
        <v>297</v>
      </c>
      <c r="E37" s="93"/>
      <c r="F37" s="268"/>
      <c r="G37" s="268"/>
      <c r="H37" s="268"/>
      <c r="I37" s="268"/>
      <c r="J37" s="268"/>
      <c r="K37" s="268"/>
      <c r="L37" s="450"/>
      <c r="M37" s="268"/>
      <c r="N37" s="268"/>
      <c r="O37" s="268"/>
      <c r="P37" s="268"/>
      <c r="Q37" s="450"/>
      <c r="R37" s="268"/>
      <c r="S37" s="268"/>
      <c r="T37" s="268"/>
      <c r="U37" s="268"/>
      <c r="V37" s="450"/>
      <c r="W37" s="268"/>
      <c r="X37" s="268"/>
      <c r="Y37" s="268"/>
      <c r="Z37" s="268"/>
      <c r="AA37" s="450"/>
      <c r="AB37" s="268"/>
      <c r="AC37" s="268"/>
      <c r="AD37" s="268"/>
      <c r="AE37" s="268"/>
      <c r="AF37" s="450"/>
      <c r="AG37" s="268"/>
      <c r="AH37" s="268"/>
      <c r="AI37" s="268"/>
      <c r="AJ37" s="268"/>
      <c r="AK37" s="450"/>
      <c r="AL37" s="268"/>
      <c r="AM37" s="268"/>
      <c r="AN37" s="268"/>
      <c r="AO37" s="268"/>
      <c r="AP37" s="397"/>
      <c r="AQ37" s="509"/>
      <c r="AR37" s="397"/>
      <c r="AS37" s="93"/>
      <c r="AT37" s="359"/>
      <c r="AU37" s="518"/>
      <c r="AV37" s="524"/>
      <c r="AW37" s="518"/>
      <c r="AX37" s="93"/>
      <c r="AY37" s="364"/>
      <c r="AZ37" s="480"/>
      <c r="BA37" s="525"/>
      <c r="BB37" s="480"/>
      <c r="BC37" s="93"/>
      <c r="BD37" s="368"/>
      <c r="BE37" s="477"/>
      <c r="BF37" s="474"/>
      <c r="BG37" s="474"/>
      <c r="BH37" s="93"/>
      <c r="BI37" s="402"/>
      <c r="BJ37" s="478"/>
      <c r="BK37" s="474"/>
      <c r="BL37" s="474"/>
      <c r="BM37" s="93"/>
      <c r="BN37" s="372"/>
      <c r="BO37" s="455"/>
      <c r="BP37" s="474"/>
      <c r="BQ37" s="474"/>
      <c r="BR37" s="93"/>
      <c r="BS37" s="380"/>
      <c r="BT37" s="492"/>
      <c r="BU37" s="474"/>
      <c r="BV37" s="474"/>
      <c r="BW37" s="93"/>
      <c r="BX37" s="385"/>
      <c r="BY37" s="404"/>
      <c r="BZ37" s="474"/>
      <c r="CA37" s="474"/>
      <c r="CB37" s="93"/>
      <c r="CC37" s="387"/>
      <c r="CD37" s="404"/>
      <c r="CE37" s="363"/>
      <c r="CF37" s="535"/>
      <c r="CG37" s="93"/>
      <c r="CH37" s="387" t="str">
        <f>IFERROR(__xludf.DUMMYFUNCTION("""COMPUTED_VALUE"""),"")</f>
        <v/>
      </c>
      <c r="CI37" s="404" t="str">
        <f>IFERROR(__xludf.DUMMYFUNCTION("""COMPUTED_VALUE"""),"Weavile")</f>
        <v>Weavile</v>
      </c>
      <c r="CJ37" s="363" t="s">
        <v>158</v>
      </c>
      <c r="CK37" s="474"/>
      <c r="CL37" s="93"/>
      <c r="CM37" s="390" t="str">
        <f>IFERROR(__xludf.DUMMYFUNCTION("""COMPUTED_VALUE"""),"")</f>
        <v/>
      </c>
      <c r="CN37" s="489" t="str">
        <f>IFERROR(__xludf.DUMMYFUNCTION("""COMPUTED_VALUE"""),"Clawitzer")</f>
        <v>Clawitzer</v>
      </c>
      <c r="CO37" s="532" t="s">
        <v>158</v>
      </c>
      <c r="CP37" s="474"/>
      <c r="CQ37" s="93"/>
      <c r="CR37" s="413"/>
      <c r="CS37" s="414"/>
      <c r="CT37" s="474"/>
      <c r="CU37" s="474"/>
      <c r="CV37" s="93"/>
      <c r="CW37" s="415"/>
      <c r="CX37" s="468"/>
      <c r="CY37" s="474"/>
      <c r="CZ37" s="474"/>
      <c r="DA37" s="93"/>
      <c r="DB37" s="423"/>
      <c r="DC37" s="424"/>
      <c r="DD37" s="474"/>
      <c r="DE37" s="474"/>
      <c r="DF37" s="93"/>
      <c r="DG37" s="242"/>
      <c r="DH37" s="426"/>
      <c r="DI37" s="474"/>
      <c r="DJ37" s="474"/>
      <c r="DK37" s="93"/>
      <c r="DL37" s="429"/>
      <c r="DM37" s="430"/>
      <c r="DN37" s="474"/>
      <c r="DO37" s="474"/>
      <c r="DP37" s="93"/>
      <c r="DQ37" s="439"/>
      <c r="DR37" s="441"/>
      <c r="DS37" s="363"/>
      <c r="DT37" s="345"/>
      <c r="DU37" s="93"/>
      <c r="DV37" s="442"/>
      <c r="DW37" s="443"/>
      <c r="DX37" s="363"/>
      <c r="DY37" s="345"/>
      <c r="DZ37" s="533"/>
      <c r="EA37" s="534"/>
    </row>
    <row r="38" ht="17.25" customHeight="1">
      <c r="A38" s="406"/>
      <c r="B38" s="407"/>
      <c r="C38" s="234" t="s">
        <v>298</v>
      </c>
      <c r="D38" s="235" t="s">
        <v>299</v>
      </c>
      <c r="E38" s="93"/>
      <c r="F38" s="268"/>
      <c r="G38" s="268"/>
      <c r="H38" s="268"/>
      <c r="I38" s="268"/>
      <c r="J38" s="268"/>
      <c r="K38" s="268"/>
      <c r="L38" s="450"/>
      <c r="M38" s="268"/>
      <c r="N38" s="268"/>
      <c r="O38" s="268"/>
      <c r="P38" s="268"/>
      <c r="Q38" s="450"/>
      <c r="R38" s="268"/>
      <c r="S38" s="268"/>
      <c r="T38" s="268"/>
      <c r="U38" s="268"/>
      <c r="V38" s="450"/>
      <c r="W38" s="268"/>
      <c r="X38" s="268"/>
      <c r="Y38" s="268"/>
      <c r="Z38" s="268"/>
      <c r="AA38" s="450"/>
      <c r="AB38" s="268"/>
      <c r="AC38" s="268"/>
      <c r="AD38" s="268"/>
      <c r="AE38" s="268"/>
      <c r="AF38" s="450"/>
      <c r="AG38" s="268"/>
      <c r="AH38" s="268"/>
      <c r="AI38" s="268"/>
      <c r="AJ38" s="268"/>
      <c r="AK38" s="450"/>
      <c r="AL38" s="268"/>
      <c r="AM38" s="268"/>
      <c r="AN38" s="268"/>
      <c r="AO38" s="268"/>
      <c r="AP38" s="397"/>
      <c r="AQ38" s="509"/>
      <c r="AR38" s="397"/>
      <c r="AS38" s="93"/>
      <c r="AT38" s="359"/>
      <c r="AU38" s="518"/>
      <c r="AV38" s="524"/>
      <c r="AW38" s="518"/>
      <c r="AX38" s="93"/>
      <c r="AY38" s="364"/>
      <c r="AZ38" s="480"/>
      <c r="BA38" s="525"/>
      <c r="BB38" s="480"/>
      <c r="BC38" s="93"/>
      <c r="BD38" s="368"/>
      <c r="BE38" s="506"/>
      <c r="BF38" s="474"/>
      <c r="BG38" s="506"/>
      <c r="BH38" s="93"/>
      <c r="BI38" s="402"/>
      <c r="BJ38" s="478"/>
      <c r="BK38" s="474"/>
      <c r="BL38" s="474"/>
      <c r="BM38" s="93"/>
      <c r="BN38" s="372"/>
      <c r="BO38" s="506"/>
      <c r="BP38" s="474"/>
      <c r="BQ38" s="506"/>
      <c r="BR38" s="93"/>
      <c r="BS38" s="380"/>
      <c r="BT38" s="492"/>
      <c r="BU38" s="474"/>
      <c r="BV38" s="474"/>
      <c r="BW38" s="93"/>
      <c r="BX38" s="385"/>
      <c r="BY38" s="490"/>
      <c r="BZ38" s="474"/>
      <c r="CA38" s="474"/>
      <c r="CB38" s="93"/>
      <c r="CC38" s="387"/>
      <c r="CD38" s="404"/>
      <c r="CE38" s="363"/>
      <c r="CF38" s="404"/>
      <c r="CG38" s="93"/>
      <c r="CH38" s="387"/>
      <c r="CI38" s="404"/>
      <c r="CJ38" s="363"/>
      <c r="CK38" s="506"/>
      <c r="CL38" s="93"/>
      <c r="CM38" s="390" t="str">
        <f>IFERROR(__xludf.DUMMYFUNCTION("""COMPUTED_VALUE"""),"")</f>
        <v/>
      </c>
      <c r="CN38" s="489" t="str">
        <f>IFERROR(__xludf.DUMMYFUNCTION("""COMPUTED_VALUE"""),"Cloyster")</f>
        <v>Cloyster</v>
      </c>
      <c r="CO38" s="532" t="s">
        <v>158</v>
      </c>
      <c r="CP38" s="506"/>
      <c r="CQ38" s="93"/>
      <c r="CR38" s="413"/>
      <c r="CS38" s="414"/>
      <c r="CT38" s="474"/>
      <c r="CU38" s="474"/>
      <c r="CV38" s="93"/>
      <c r="CW38" s="415"/>
      <c r="CX38" s="468"/>
      <c r="CY38" s="474"/>
      <c r="CZ38" s="474"/>
      <c r="DA38" s="93"/>
      <c r="DB38" s="423"/>
      <c r="DC38" s="424"/>
      <c r="DD38" s="474"/>
      <c r="DE38" s="474"/>
      <c r="DF38" s="93"/>
      <c r="DG38" s="242"/>
      <c r="DH38" s="426"/>
      <c r="DI38" s="474"/>
      <c r="DJ38" s="474"/>
      <c r="DK38" s="93"/>
      <c r="DL38" s="429"/>
      <c r="DM38" s="430"/>
      <c r="DN38" s="474"/>
      <c r="DO38" s="474"/>
      <c r="DP38" s="93"/>
      <c r="DQ38" s="439"/>
      <c r="DR38" s="441"/>
      <c r="DS38" s="363"/>
      <c r="DT38" s="345"/>
      <c r="DU38" s="93"/>
      <c r="DV38" s="442"/>
      <c r="DW38" s="443"/>
      <c r="DX38" s="363"/>
      <c r="DY38" s="345"/>
      <c r="DZ38" s="533"/>
      <c r="EA38" s="534"/>
    </row>
    <row r="39" ht="17.25" customHeight="1">
      <c r="A39" s="406"/>
      <c r="B39" s="407"/>
      <c r="C39" s="234"/>
      <c r="D39" s="235" t="s">
        <v>300</v>
      </c>
      <c r="E39" s="93"/>
      <c r="F39" s="268"/>
      <c r="G39" s="268"/>
      <c r="H39" s="268"/>
      <c r="I39" s="268"/>
      <c r="J39" s="268"/>
      <c r="K39" s="268"/>
      <c r="L39" s="450"/>
      <c r="M39" s="268"/>
      <c r="N39" s="268"/>
      <c r="O39" s="268"/>
      <c r="P39" s="268"/>
      <c r="Q39" s="450"/>
      <c r="R39" s="268"/>
      <c r="S39" s="268"/>
      <c r="T39" s="268"/>
      <c r="U39" s="268"/>
      <c r="V39" s="450"/>
      <c r="W39" s="268"/>
      <c r="X39" s="268"/>
      <c r="Y39" s="268"/>
      <c r="Z39" s="268"/>
      <c r="AA39" s="450"/>
      <c r="AB39" s="268"/>
      <c r="AC39" s="268"/>
      <c r="AD39" s="268"/>
      <c r="AE39" s="268"/>
      <c r="AF39" s="450"/>
      <c r="AG39" s="268"/>
      <c r="AH39" s="268"/>
      <c r="AI39" s="268"/>
      <c r="AJ39" s="268"/>
      <c r="AK39" s="450"/>
      <c r="AL39" s="268"/>
      <c r="AM39" s="268"/>
      <c r="AN39" s="268"/>
      <c r="AO39" s="268"/>
      <c r="AP39" s="397"/>
      <c r="AQ39" s="509"/>
      <c r="AR39" s="397"/>
      <c r="AS39" s="93"/>
      <c r="AT39" s="359"/>
      <c r="AU39" s="518"/>
      <c r="AV39" s="524"/>
      <c r="AW39" s="518"/>
      <c r="AX39" s="93"/>
      <c r="AY39" s="364"/>
      <c r="AZ39" s="480"/>
      <c r="BA39" s="525"/>
      <c r="BB39" s="480"/>
      <c r="BC39" s="93"/>
      <c r="BD39" s="368"/>
      <c r="BE39" s="539"/>
      <c r="BF39" s="474"/>
      <c r="BG39" s="506"/>
      <c r="BH39" s="93"/>
      <c r="BI39" s="402"/>
      <c r="BJ39" s="478"/>
      <c r="BK39" s="474"/>
      <c r="BL39" s="474"/>
      <c r="BM39" s="93"/>
      <c r="BN39" s="372"/>
      <c r="BO39" s="547"/>
      <c r="BP39" s="474"/>
      <c r="BQ39" s="506"/>
      <c r="BR39" s="93"/>
      <c r="BS39" s="380"/>
      <c r="BT39" s="492"/>
      <c r="BU39" s="474"/>
      <c r="BV39" s="474"/>
      <c r="BW39" s="93"/>
      <c r="BX39" s="385"/>
      <c r="BY39" s="490"/>
      <c r="BZ39" s="474"/>
      <c r="CA39" s="474"/>
      <c r="CB39" s="93"/>
      <c r="CC39" s="387"/>
      <c r="CD39" s="404"/>
      <c r="CE39" s="363"/>
      <c r="CF39" s="404"/>
      <c r="CG39" s="93"/>
      <c r="CH39" s="387"/>
      <c r="CI39" s="404"/>
      <c r="CJ39" s="363"/>
      <c r="CK39" s="506"/>
      <c r="CL39" s="93"/>
      <c r="CM39" s="390" t="str">
        <f>IFERROR(__xludf.DUMMYFUNCTION("""COMPUTED_VALUE"""),"")</f>
        <v/>
      </c>
      <c r="CN39" s="489" t="str">
        <f>IFERROR(__xludf.DUMMYFUNCTION("""COMPUTED_VALUE"""),"Combee")</f>
        <v>Combee</v>
      </c>
      <c r="CO39" s="532" t="s">
        <v>158</v>
      </c>
      <c r="CP39" s="506"/>
      <c r="CQ39" s="93"/>
      <c r="CR39" s="413"/>
      <c r="CS39" s="414"/>
      <c r="CT39" s="474"/>
      <c r="CU39" s="474"/>
      <c r="CV39" s="93"/>
      <c r="CW39" s="415"/>
      <c r="CX39" s="468"/>
      <c r="CY39" s="474"/>
      <c r="CZ39" s="474"/>
      <c r="DA39" s="93"/>
      <c r="DB39" s="423"/>
      <c r="DC39" s="424"/>
      <c r="DD39" s="474"/>
      <c r="DE39" s="474"/>
      <c r="DF39" s="93"/>
      <c r="DG39" s="242"/>
      <c r="DH39" s="426"/>
      <c r="DI39" s="474"/>
      <c r="DJ39" s="474"/>
      <c r="DK39" s="93"/>
      <c r="DL39" s="429"/>
      <c r="DM39" s="430"/>
      <c r="DN39" s="474"/>
      <c r="DO39" s="474"/>
      <c r="DP39" s="93"/>
      <c r="DQ39" s="439"/>
      <c r="DR39" s="441"/>
      <c r="DS39" s="363"/>
      <c r="DT39" s="345"/>
      <c r="DU39" s="93"/>
      <c r="DV39" s="442"/>
      <c r="DW39" s="443"/>
      <c r="DX39" s="363"/>
      <c r="DY39" s="345"/>
      <c r="DZ39" s="533"/>
      <c r="EA39" s="534"/>
    </row>
    <row r="40" ht="17.25" customHeight="1">
      <c r="A40" s="10"/>
      <c r="B40" s="87"/>
      <c r="C40" s="234"/>
      <c r="D40" s="235"/>
      <c r="E40" s="93"/>
      <c r="F40" s="268"/>
      <c r="G40" s="268"/>
      <c r="H40" s="268"/>
      <c r="I40" s="268"/>
      <c r="J40" s="268"/>
      <c r="K40" s="268"/>
      <c r="L40" s="450"/>
      <c r="M40" s="268"/>
      <c r="N40" s="268"/>
      <c r="O40" s="268"/>
      <c r="P40" s="268"/>
      <c r="Q40" s="450"/>
      <c r="R40" s="268"/>
      <c r="S40" s="268"/>
      <c r="T40" s="268"/>
      <c r="U40" s="268"/>
      <c r="V40" s="450"/>
      <c r="W40" s="268"/>
      <c r="X40" s="268"/>
      <c r="Y40" s="268"/>
      <c r="Z40" s="268"/>
      <c r="AA40" s="450"/>
      <c r="AB40" s="268"/>
      <c r="AC40" s="268"/>
      <c r="AD40" s="268"/>
      <c r="AE40" s="268"/>
      <c r="AF40" s="450"/>
      <c r="AG40" s="268"/>
      <c r="AH40" s="268"/>
      <c r="AI40" s="268"/>
      <c r="AJ40" s="268"/>
      <c r="AK40" s="450"/>
      <c r="AL40" s="268"/>
      <c r="AM40" s="268"/>
      <c r="AN40" s="268"/>
      <c r="AO40" s="268"/>
      <c r="AP40" s="397"/>
      <c r="AQ40" s="509"/>
      <c r="AR40" s="397"/>
      <c r="AS40" s="93"/>
      <c r="AT40" s="359"/>
      <c r="AU40" s="518"/>
      <c r="AV40" s="524"/>
      <c r="AW40" s="518"/>
      <c r="AX40" s="93"/>
      <c r="AY40" s="364"/>
      <c r="AZ40" s="480"/>
      <c r="BA40" s="525"/>
      <c r="BB40" s="480"/>
      <c r="BC40" s="93"/>
      <c r="BD40" s="368"/>
      <c r="BE40" s="506"/>
      <c r="BF40" s="474"/>
      <c r="BG40" s="506"/>
      <c r="BH40" s="93"/>
      <c r="BI40" s="402"/>
      <c r="BJ40" s="478"/>
      <c r="BK40" s="474"/>
      <c r="BL40" s="474"/>
      <c r="BM40" s="93"/>
      <c r="BN40" s="372"/>
      <c r="BO40" s="506"/>
      <c r="BP40" s="474"/>
      <c r="BQ40" s="506"/>
      <c r="BR40" s="93"/>
      <c r="BS40" s="380"/>
      <c r="BT40" s="492"/>
      <c r="BU40" s="363"/>
      <c r="BV40" s="345"/>
      <c r="BW40" s="93"/>
      <c r="BX40" s="385"/>
      <c r="BY40" s="490"/>
      <c r="BZ40" s="474"/>
      <c r="CA40" s="474"/>
      <c r="CB40" s="93"/>
      <c r="CC40" s="387"/>
      <c r="CD40" s="404"/>
      <c r="CE40" s="363"/>
      <c r="CF40" s="404"/>
      <c r="CG40" s="93"/>
      <c r="CH40" s="387"/>
      <c r="CI40" s="404"/>
      <c r="CJ40" s="363"/>
      <c r="CK40" s="506"/>
      <c r="CL40" s="93"/>
      <c r="CM40" s="390" t="str">
        <f>IFERROR(__xludf.DUMMYFUNCTION("""COMPUTED_VALUE"""),"")</f>
        <v/>
      </c>
      <c r="CN40" s="489" t="str">
        <f>IFERROR(__xludf.DUMMYFUNCTION("""COMPUTED_VALUE"""),"Copperajah")</f>
        <v>Copperajah</v>
      </c>
      <c r="CO40" s="532" t="s">
        <v>158</v>
      </c>
      <c r="CP40" s="506"/>
      <c r="CQ40" s="93"/>
      <c r="CR40" s="413"/>
      <c r="CS40" s="414"/>
      <c r="CT40" s="474"/>
      <c r="CU40" s="474"/>
      <c r="CV40" s="93"/>
      <c r="CW40" s="415"/>
      <c r="CX40" s="468"/>
      <c r="CY40" s="474"/>
      <c r="CZ40" s="474"/>
      <c r="DA40" s="93"/>
      <c r="DB40" s="423"/>
      <c r="DC40" s="424"/>
      <c r="DD40" s="474"/>
      <c r="DE40" s="474"/>
      <c r="DF40" s="93"/>
      <c r="DG40" s="242"/>
      <c r="DH40" s="426"/>
      <c r="DI40" s="474"/>
      <c r="DJ40" s="474"/>
      <c r="DK40" s="93"/>
      <c r="DL40" s="429"/>
      <c r="DM40" s="430"/>
      <c r="DN40" s="474"/>
      <c r="DO40" s="474"/>
      <c r="DP40" s="93"/>
      <c r="DQ40" s="439"/>
      <c r="DR40" s="441"/>
      <c r="DS40" s="363"/>
      <c r="DT40" s="345"/>
      <c r="DU40" s="93"/>
      <c r="DV40" s="442"/>
      <c r="DW40" s="443"/>
      <c r="DX40" s="363"/>
      <c r="DY40" s="345"/>
      <c r="DZ40" s="533"/>
      <c r="EA40" s="534"/>
    </row>
    <row r="41" ht="17.25" customHeight="1">
      <c r="A41" s="446"/>
      <c r="B41" s="447"/>
      <c r="C41" s="234"/>
      <c r="D41" s="235"/>
      <c r="E41" s="93"/>
      <c r="F41" s="268"/>
      <c r="G41" s="268"/>
      <c r="H41" s="268"/>
      <c r="I41" s="268"/>
      <c r="J41" s="268"/>
      <c r="K41" s="268"/>
      <c r="L41" s="450"/>
      <c r="M41" s="268"/>
      <c r="N41" s="268"/>
      <c r="O41" s="268"/>
      <c r="P41" s="268"/>
      <c r="Q41" s="450"/>
      <c r="R41" s="268"/>
      <c r="S41" s="268"/>
      <c r="T41" s="268"/>
      <c r="U41" s="268"/>
      <c r="V41" s="450"/>
      <c r="W41" s="268"/>
      <c r="X41" s="268"/>
      <c r="Y41" s="268"/>
      <c r="Z41" s="268"/>
      <c r="AA41" s="450"/>
      <c r="AB41" s="268"/>
      <c r="AC41" s="268"/>
      <c r="AD41" s="268"/>
      <c r="AE41" s="268"/>
      <c r="AF41" s="450"/>
      <c r="AG41" s="268"/>
      <c r="AH41" s="268"/>
      <c r="AI41" s="268"/>
      <c r="AJ41" s="268"/>
      <c r="AK41" s="450"/>
      <c r="AL41" s="268"/>
      <c r="AM41" s="268"/>
      <c r="AN41" s="268"/>
      <c r="AO41" s="268"/>
      <c r="AP41" s="397"/>
      <c r="AQ41" s="509"/>
      <c r="AR41" s="397"/>
      <c r="AS41" s="93"/>
      <c r="AT41" s="359"/>
      <c r="AU41" s="518"/>
      <c r="AV41" s="524"/>
      <c r="AW41" s="518"/>
      <c r="AX41" s="93"/>
      <c r="AY41" s="364"/>
      <c r="AZ41" s="480"/>
      <c r="BA41" s="525"/>
      <c r="BB41" s="480"/>
      <c r="BC41" s="93"/>
      <c r="BD41" s="368"/>
      <c r="BE41" s="506"/>
      <c r="BF41" s="474"/>
      <c r="BG41" s="506"/>
      <c r="BH41" s="93"/>
      <c r="BI41" s="402"/>
      <c r="BJ41" s="478"/>
      <c r="BK41" s="474"/>
      <c r="BL41" s="474"/>
      <c r="BM41" s="93"/>
      <c r="BN41" s="372"/>
      <c r="BO41" s="506"/>
      <c r="BP41" s="474"/>
      <c r="BQ41" s="506"/>
      <c r="BR41" s="93"/>
      <c r="BS41" s="408"/>
      <c r="BT41" s="506"/>
      <c r="BU41" s="474"/>
      <c r="BV41" s="506"/>
      <c r="BW41" s="93"/>
      <c r="BX41" s="385"/>
      <c r="BY41" s="506"/>
      <c r="BZ41" s="474"/>
      <c r="CA41" s="506"/>
      <c r="CB41" s="93"/>
      <c r="CC41" s="387"/>
      <c r="CD41" s="404"/>
      <c r="CE41" s="363"/>
      <c r="CF41" s="404"/>
      <c r="CG41" s="93"/>
      <c r="CH41" s="387"/>
      <c r="CI41" s="404"/>
      <c r="CJ41" s="363"/>
      <c r="CK41" s="506"/>
      <c r="CL41" s="93"/>
      <c r="CM41" s="390" t="str">
        <f>IFERROR(__xludf.DUMMYFUNCTION("""COMPUTED_VALUE"""),"")</f>
        <v/>
      </c>
      <c r="CN41" s="489" t="str">
        <f>IFERROR(__xludf.DUMMYFUNCTION("""COMPUTED_VALUE"""),"Corvisquire")</f>
        <v>Corvisquire</v>
      </c>
      <c r="CO41" s="532" t="s">
        <v>158</v>
      </c>
      <c r="CP41" s="506"/>
      <c r="CQ41" s="93"/>
      <c r="CR41" s="413"/>
      <c r="CS41" s="414"/>
      <c r="CT41" s="474"/>
      <c r="CU41" s="474"/>
      <c r="CV41" s="93"/>
      <c r="CW41" s="415"/>
      <c r="CX41" s="468"/>
      <c r="CY41" s="474"/>
      <c r="CZ41" s="474"/>
      <c r="DA41" s="93"/>
      <c r="DB41" s="423"/>
      <c r="DC41" s="424"/>
      <c r="DD41" s="474"/>
      <c r="DE41" s="474"/>
      <c r="DF41" s="93"/>
      <c r="DG41" s="242"/>
      <c r="DH41" s="426"/>
      <c r="DI41" s="474"/>
      <c r="DJ41" s="474"/>
      <c r="DK41" s="93"/>
      <c r="DL41" s="429"/>
      <c r="DM41" s="430"/>
      <c r="DN41" s="474"/>
      <c r="DO41" s="474"/>
      <c r="DP41" s="93"/>
      <c r="DQ41" s="439"/>
      <c r="DR41" s="441"/>
      <c r="DS41" s="363"/>
      <c r="DT41" s="345"/>
      <c r="DU41" s="93"/>
      <c r="DV41" s="442"/>
      <c r="DW41" s="443"/>
      <c r="DX41" s="363"/>
      <c r="DY41" s="345"/>
      <c r="DZ41" s="533"/>
      <c r="EA41" s="534"/>
    </row>
    <row r="42" ht="17.25" customHeight="1">
      <c r="A42" s="10"/>
      <c r="B42" s="87"/>
      <c r="C42" s="234"/>
      <c r="D42" s="235"/>
      <c r="E42" s="93"/>
      <c r="F42" s="268"/>
      <c r="G42" s="268"/>
      <c r="H42" s="268"/>
      <c r="I42" s="268"/>
      <c r="J42" s="268"/>
      <c r="K42" s="268"/>
      <c r="L42" s="450"/>
      <c r="M42" s="268"/>
      <c r="N42" s="268"/>
      <c r="O42" s="268"/>
      <c r="P42" s="268"/>
      <c r="Q42" s="450"/>
      <c r="R42" s="268"/>
      <c r="S42" s="268"/>
      <c r="T42" s="268"/>
      <c r="U42" s="268"/>
      <c r="V42" s="450"/>
      <c r="W42" s="268"/>
      <c r="X42" s="268"/>
      <c r="Y42" s="268"/>
      <c r="Z42" s="268"/>
      <c r="AA42" s="450"/>
      <c r="AB42" s="268"/>
      <c r="AC42" s="268"/>
      <c r="AD42" s="268"/>
      <c r="AE42" s="268"/>
      <c r="AF42" s="450"/>
      <c r="AG42" s="268"/>
      <c r="AH42" s="268"/>
      <c r="AI42" s="268"/>
      <c r="AJ42" s="268"/>
      <c r="AK42" s="450"/>
      <c r="AL42" s="268"/>
      <c r="AM42" s="268"/>
      <c r="AN42" s="268"/>
      <c r="AO42" s="268"/>
      <c r="AP42" s="397"/>
      <c r="AQ42" s="509"/>
      <c r="AR42" s="397"/>
      <c r="AS42" s="93"/>
      <c r="AT42" s="359"/>
      <c r="AU42" s="518"/>
      <c r="AV42" s="524"/>
      <c r="AW42" s="518"/>
      <c r="AX42" s="93"/>
      <c r="AY42" s="364"/>
      <c r="AZ42" s="480"/>
      <c r="BA42" s="525"/>
      <c r="BB42" s="480"/>
      <c r="BC42" s="93"/>
      <c r="BD42" s="368"/>
      <c r="BE42" s="506"/>
      <c r="BF42" s="474"/>
      <c r="BG42" s="506"/>
      <c r="BH42" s="93"/>
      <c r="BI42" s="402"/>
      <c r="BJ42" s="478"/>
      <c r="BK42" s="474"/>
      <c r="BL42" s="474"/>
      <c r="BM42" s="93"/>
      <c r="BN42" s="372"/>
      <c r="BO42" s="455"/>
      <c r="BP42" s="557"/>
      <c r="BQ42" s="455"/>
      <c r="BR42" s="93"/>
      <c r="BS42" s="408"/>
      <c r="BT42" s="506"/>
      <c r="BU42" s="474"/>
      <c r="BV42" s="506"/>
      <c r="BW42" s="93"/>
      <c r="BX42" s="385"/>
      <c r="BY42" s="506"/>
      <c r="BZ42" s="474"/>
      <c r="CA42" s="506"/>
      <c r="CB42" s="93"/>
      <c r="CC42" s="387"/>
      <c r="CD42" s="404"/>
      <c r="CE42" s="363"/>
      <c r="CF42" s="404"/>
      <c r="CG42" s="93"/>
      <c r="CH42" s="387"/>
      <c r="CI42" s="404"/>
      <c r="CJ42" s="363"/>
      <c r="CK42" s="506"/>
      <c r="CL42" s="93"/>
      <c r="CM42" s="390" t="str">
        <f>IFERROR(__xludf.DUMMYFUNCTION("""COMPUTED_VALUE"""),"")</f>
        <v/>
      </c>
      <c r="CN42" s="489" t="str">
        <f>IFERROR(__xludf.DUMMYFUNCTION("""COMPUTED_VALUE"""),"Crabominable")</f>
        <v>Crabominable</v>
      </c>
      <c r="CO42" s="532" t="s">
        <v>158</v>
      </c>
      <c r="CP42" s="506"/>
      <c r="CQ42" s="93"/>
      <c r="CR42" s="413"/>
      <c r="CS42" s="414"/>
      <c r="CT42" s="474"/>
      <c r="CU42" s="474"/>
      <c r="CV42" s="93"/>
      <c r="CW42" s="415"/>
      <c r="CX42" s="468"/>
      <c r="CY42" s="474"/>
      <c r="CZ42" s="474"/>
      <c r="DA42" s="93"/>
      <c r="DB42" s="423"/>
      <c r="DC42" s="424"/>
      <c r="DD42" s="474"/>
      <c r="DE42" s="474"/>
      <c r="DF42" s="93"/>
      <c r="DG42" s="242"/>
      <c r="DH42" s="426"/>
      <c r="DI42" s="474"/>
      <c r="DJ42" s="474"/>
      <c r="DK42" s="93"/>
      <c r="DL42" s="429"/>
      <c r="DM42" s="430"/>
      <c r="DN42" s="474"/>
      <c r="DO42" s="474"/>
      <c r="DP42" s="93"/>
      <c r="DQ42" s="439"/>
      <c r="DR42" s="441"/>
      <c r="DS42" s="363"/>
      <c r="DT42" s="345"/>
      <c r="DU42" s="93"/>
      <c r="DV42" s="442"/>
      <c r="DW42" s="443"/>
      <c r="DX42" s="363"/>
      <c r="DY42" s="345"/>
      <c r="DZ42" s="533"/>
      <c r="EA42" s="534"/>
    </row>
    <row r="43" ht="17.25" customHeight="1">
      <c r="A43" s="406"/>
      <c r="B43" s="407"/>
      <c r="C43" s="234"/>
      <c r="D43" s="235"/>
      <c r="E43" s="93"/>
      <c r="F43" s="268"/>
      <c r="G43" s="268"/>
      <c r="H43" s="268"/>
      <c r="I43" s="268"/>
      <c r="J43" s="268"/>
      <c r="K43" s="268"/>
      <c r="L43" s="450"/>
      <c r="M43" s="268"/>
      <c r="N43" s="268"/>
      <c r="O43" s="268"/>
      <c r="P43" s="268"/>
      <c r="Q43" s="450"/>
      <c r="R43" s="268"/>
      <c r="S43" s="268"/>
      <c r="T43" s="268"/>
      <c r="U43" s="268"/>
      <c r="V43" s="450"/>
      <c r="W43" s="268"/>
      <c r="X43" s="268"/>
      <c r="Y43" s="268"/>
      <c r="Z43" s="268"/>
      <c r="AA43" s="450"/>
      <c r="AB43" s="268"/>
      <c r="AC43" s="268"/>
      <c r="AD43" s="268"/>
      <c r="AE43" s="268"/>
      <c r="AF43" s="450"/>
      <c r="AG43" s="268"/>
      <c r="AH43" s="268"/>
      <c r="AI43" s="268"/>
      <c r="AJ43" s="268"/>
      <c r="AK43" s="450"/>
      <c r="AL43" s="268"/>
      <c r="AM43" s="268"/>
      <c r="AN43" s="268"/>
      <c r="AO43" s="268"/>
      <c r="AP43" s="397"/>
      <c r="AQ43" s="509"/>
      <c r="AR43" s="397"/>
      <c r="AS43" s="93"/>
      <c r="AT43" s="359"/>
      <c r="AU43" s="518"/>
      <c r="AV43" s="524"/>
      <c r="AW43" s="518"/>
      <c r="AX43" s="93"/>
      <c r="AY43" s="364"/>
      <c r="AZ43" s="480"/>
      <c r="BA43" s="525"/>
      <c r="BB43" s="480"/>
      <c r="BC43" s="93"/>
      <c r="BD43" s="368"/>
      <c r="BE43" s="477"/>
      <c r="BF43" s="560"/>
      <c r="BG43" s="477"/>
      <c r="BH43" s="93"/>
      <c r="BI43" s="561"/>
      <c r="BJ43" s="562"/>
      <c r="BK43" s="474"/>
      <c r="BL43" s="474"/>
      <c r="BM43" s="93"/>
      <c r="BN43" s="372"/>
      <c r="BO43" s="455"/>
      <c r="BP43" s="557"/>
      <c r="BQ43" s="455"/>
      <c r="BR43" s="93"/>
      <c r="BS43" s="408"/>
      <c r="BT43" s="506"/>
      <c r="BU43" s="474"/>
      <c r="BV43" s="506"/>
      <c r="BW43" s="93"/>
      <c r="BX43" s="385"/>
      <c r="BY43" s="506"/>
      <c r="BZ43" s="474"/>
      <c r="CA43" s="506"/>
      <c r="CB43" s="93"/>
      <c r="CC43" s="387"/>
      <c r="CD43" s="404"/>
      <c r="CE43" s="363"/>
      <c r="CF43" s="404"/>
      <c r="CG43" s="93"/>
      <c r="CH43" s="387"/>
      <c r="CI43" s="404"/>
      <c r="CJ43" s="363"/>
      <c r="CK43" s="520"/>
      <c r="CL43" s="93"/>
      <c r="CM43" s="390" t="str">
        <f>IFERROR(__xludf.DUMMYFUNCTION("""COMPUTED_VALUE"""),"")</f>
        <v/>
      </c>
      <c r="CN43" s="489" t="str">
        <f>IFERROR(__xludf.DUMMYFUNCTION("""COMPUTED_VALUE"""),"Crabrawler")</f>
        <v>Crabrawler</v>
      </c>
      <c r="CO43" s="532" t="s">
        <v>158</v>
      </c>
      <c r="CP43" s="523"/>
      <c r="CQ43" s="93"/>
      <c r="CR43" s="413"/>
      <c r="CS43" s="414"/>
      <c r="CT43" s="474"/>
      <c r="CU43" s="474"/>
      <c r="CV43" s="93"/>
      <c r="CW43" s="415"/>
      <c r="CX43" s="468"/>
      <c r="CY43" s="474"/>
      <c r="CZ43" s="474"/>
      <c r="DA43" s="93"/>
      <c r="DB43" s="423"/>
      <c r="DC43" s="424"/>
      <c r="DD43" s="474"/>
      <c r="DE43" s="474"/>
      <c r="DF43" s="93"/>
      <c r="DG43" s="242"/>
      <c r="DH43" s="426"/>
      <c r="DI43" s="474"/>
      <c r="DJ43" s="474"/>
      <c r="DK43" s="93"/>
      <c r="DL43" s="429"/>
      <c r="DM43" s="430"/>
      <c r="DN43" s="474"/>
      <c r="DO43" s="474"/>
      <c r="DP43" s="93"/>
      <c r="DQ43" s="439"/>
      <c r="DR43" s="441"/>
      <c r="DS43" s="474"/>
      <c r="DT43" s="474"/>
      <c r="DU43" s="93"/>
      <c r="DV43" s="442"/>
      <c r="DW43" s="443"/>
      <c r="DX43" s="363"/>
      <c r="DY43" s="345"/>
      <c r="DZ43" s="74"/>
      <c r="EA43" s="3"/>
    </row>
    <row r="44" ht="17.25" customHeight="1">
      <c r="A44" s="406"/>
      <c r="B44" s="407"/>
      <c r="C44" s="234"/>
      <c r="D44" s="235"/>
      <c r="E44" s="93"/>
      <c r="F44" s="268"/>
      <c r="G44" s="268"/>
      <c r="H44" s="268"/>
      <c r="I44" s="268"/>
      <c r="J44" s="268"/>
      <c r="K44" s="268"/>
      <c r="L44" s="450"/>
      <c r="M44" s="268"/>
      <c r="N44" s="268"/>
      <c r="O44" s="268"/>
      <c r="P44" s="268"/>
      <c r="Q44" s="450"/>
      <c r="R44" s="268"/>
      <c r="S44" s="268"/>
      <c r="T44" s="268"/>
      <c r="U44" s="268"/>
      <c r="V44" s="450"/>
      <c r="W44" s="268"/>
      <c r="X44" s="268"/>
      <c r="Y44" s="268"/>
      <c r="Z44" s="268"/>
      <c r="AA44" s="450"/>
      <c r="AB44" s="268"/>
      <c r="AC44" s="268"/>
      <c r="AD44" s="268"/>
      <c r="AE44" s="268"/>
      <c r="AF44" s="450"/>
      <c r="AG44" s="268"/>
      <c r="AH44" s="268"/>
      <c r="AI44" s="268"/>
      <c r="AJ44" s="268"/>
      <c r="AK44" s="450"/>
      <c r="AL44" s="268"/>
      <c r="AM44" s="268"/>
      <c r="AN44" s="268"/>
      <c r="AO44" s="268"/>
      <c r="AP44" s="397"/>
      <c r="AQ44" s="509"/>
      <c r="AR44" s="397"/>
      <c r="AS44" s="93"/>
      <c r="AT44" s="359"/>
      <c r="AU44" s="518"/>
      <c r="AV44" s="524"/>
      <c r="AW44" s="518"/>
      <c r="AX44" s="93"/>
      <c r="AY44" s="364"/>
      <c r="AZ44" s="480"/>
      <c r="BA44" s="525"/>
      <c r="BB44" s="480"/>
      <c r="BC44" s="93"/>
      <c r="BD44" s="368"/>
      <c r="BE44" s="477"/>
      <c r="BF44" s="560"/>
      <c r="BG44" s="477"/>
      <c r="BH44" s="93"/>
      <c r="BI44" s="561"/>
      <c r="BJ44" s="562"/>
      <c r="BK44" s="474"/>
      <c r="BL44" s="474"/>
      <c r="BM44" s="93"/>
      <c r="BN44" s="372"/>
      <c r="BO44" s="455"/>
      <c r="BP44" s="557"/>
      <c r="BQ44" s="455"/>
      <c r="BR44" s="93"/>
      <c r="BS44" s="408"/>
      <c r="BT44" s="506"/>
      <c r="BU44" s="474"/>
      <c r="BV44" s="506"/>
      <c r="BW44" s="93"/>
      <c r="BX44" s="385"/>
      <c r="BY44" s="506"/>
      <c r="BZ44" s="474"/>
      <c r="CA44" s="506"/>
      <c r="CB44" s="93"/>
      <c r="CC44" s="387"/>
      <c r="CD44" s="404"/>
      <c r="CE44" s="363"/>
      <c r="CF44" s="404"/>
      <c r="CG44" s="93"/>
      <c r="CH44" s="387"/>
      <c r="CI44" s="404"/>
      <c r="CJ44" s="363"/>
      <c r="CK44" s="520"/>
      <c r="CL44" s="93"/>
      <c r="CM44" s="390" t="str">
        <f>IFERROR(__xludf.DUMMYFUNCTION("""COMPUTED_VALUE"""),"")</f>
        <v/>
      </c>
      <c r="CN44" s="489" t="str">
        <f>IFERROR(__xludf.DUMMYFUNCTION("""COMPUTED_VALUE"""),"Croagunk")</f>
        <v>Croagunk</v>
      </c>
      <c r="CO44" s="532" t="s">
        <v>158</v>
      </c>
      <c r="CP44" s="523"/>
      <c r="CQ44" s="93"/>
      <c r="CR44" s="413"/>
      <c r="CS44" s="414"/>
      <c r="CT44" s="474"/>
      <c r="CU44" s="474"/>
      <c r="CV44" s="93"/>
      <c r="CW44" s="415"/>
      <c r="CX44" s="468"/>
      <c r="CY44" s="474"/>
      <c r="CZ44" s="474"/>
      <c r="DA44" s="93"/>
      <c r="DB44" s="423"/>
      <c r="DC44" s="424"/>
      <c r="DD44" s="474"/>
      <c r="DE44" s="474"/>
      <c r="DF44" s="93"/>
      <c r="DG44" s="242"/>
      <c r="DH44" s="426"/>
      <c r="DI44" s="474"/>
      <c r="DJ44" s="474"/>
      <c r="DK44" s="93"/>
      <c r="DL44" s="429"/>
      <c r="DM44" s="430"/>
      <c r="DN44" s="474"/>
      <c r="DO44" s="474"/>
      <c r="DP44" s="93"/>
      <c r="DQ44" s="439"/>
      <c r="DR44" s="441"/>
      <c r="DS44" s="474"/>
      <c r="DT44" s="474"/>
      <c r="DU44" s="93"/>
      <c r="DV44" s="442"/>
      <c r="DW44" s="443"/>
      <c r="DX44" s="363"/>
      <c r="DY44" s="345"/>
      <c r="DZ44" s="74"/>
      <c r="EA44" s="3"/>
    </row>
    <row r="45" ht="17.25" customHeight="1">
      <c r="A45" s="406"/>
      <c r="B45" s="407"/>
      <c r="C45" s="234"/>
      <c r="D45" s="235"/>
      <c r="E45" s="93"/>
      <c r="F45" s="268"/>
      <c r="G45" s="268"/>
      <c r="H45" s="268"/>
      <c r="I45" s="268"/>
      <c r="J45" s="268"/>
      <c r="K45" s="268"/>
      <c r="L45" s="450"/>
      <c r="M45" s="268"/>
      <c r="N45" s="268"/>
      <c r="O45" s="268"/>
      <c r="P45" s="268"/>
      <c r="Q45" s="450"/>
      <c r="R45" s="268"/>
      <c r="S45" s="268"/>
      <c r="T45" s="268"/>
      <c r="U45" s="268"/>
      <c r="V45" s="450"/>
      <c r="W45" s="268"/>
      <c r="X45" s="268"/>
      <c r="Y45" s="268"/>
      <c r="Z45" s="268"/>
      <c r="AA45" s="450"/>
      <c r="AB45" s="268"/>
      <c r="AC45" s="268"/>
      <c r="AD45" s="268"/>
      <c r="AE45" s="268"/>
      <c r="AF45" s="450"/>
      <c r="AG45" s="268"/>
      <c r="AH45" s="268"/>
      <c r="AI45" s="268"/>
      <c r="AJ45" s="268"/>
      <c r="AK45" s="450"/>
      <c r="AL45" s="268"/>
      <c r="AM45" s="268"/>
      <c r="AN45" s="268"/>
      <c r="AO45" s="268"/>
      <c r="AP45" s="397"/>
      <c r="AQ45" s="509"/>
      <c r="AR45" s="397"/>
      <c r="AS45" s="93"/>
      <c r="AT45" s="359"/>
      <c r="AU45" s="518"/>
      <c r="AV45" s="524"/>
      <c r="AW45" s="518"/>
      <c r="AX45" s="93"/>
      <c r="AY45" s="364"/>
      <c r="AZ45" s="480"/>
      <c r="BA45" s="525"/>
      <c r="BB45" s="480"/>
      <c r="BC45" s="93"/>
      <c r="BD45" s="368"/>
      <c r="BE45" s="477"/>
      <c r="BF45" s="560"/>
      <c r="BG45" s="477"/>
      <c r="BH45" s="93"/>
      <c r="BI45" s="408"/>
      <c r="BJ45" s="506"/>
      <c r="BK45" s="474"/>
      <c r="BL45" s="506"/>
      <c r="BM45" s="93"/>
      <c r="BN45" s="372"/>
      <c r="BO45" s="455"/>
      <c r="BP45" s="557"/>
      <c r="BQ45" s="455"/>
      <c r="BR45" s="93"/>
      <c r="BS45" s="380"/>
      <c r="BT45" s="492"/>
      <c r="BU45" s="566"/>
      <c r="BV45" s="492"/>
      <c r="BW45" s="93"/>
      <c r="BX45" s="385"/>
      <c r="BY45" s="506"/>
      <c r="BZ45" s="474"/>
      <c r="CA45" s="506"/>
      <c r="CB45" s="93"/>
      <c r="CC45" s="387"/>
      <c r="CD45" s="404"/>
      <c r="CE45" s="363"/>
      <c r="CF45" s="404"/>
      <c r="CG45" s="93"/>
      <c r="CH45" s="387"/>
      <c r="CI45" s="404"/>
      <c r="CJ45" s="363"/>
      <c r="CK45" s="520"/>
      <c r="CL45" s="93"/>
      <c r="CM45" s="390" t="str">
        <f>IFERROR(__xludf.DUMMYFUNCTION("""COMPUTED_VALUE"""),"")</f>
        <v/>
      </c>
      <c r="CN45" s="489" t="str">
        <f>IFERROR(__xludf.DUMMYFUNCTION("""COMPUTED_VALUE"""),"Crocalor")</f>
        <v>Crocalor</v>
      </c>
      <c r="CO45" s="532" t="s">
        <v>158</v>
      </c>
      <c r="CP45" s="523"/>
      <c r="CQ45" s="93"/>
      <c r="CR45" s="413"/>
      <c r="CS45" s="414"/>
      <c r="CT45" s="474"/>
      <c r="CU45" s="474"/>
      <c r="CV45" s="93"/>
      <c r="CW45" s="415"/>
      <c r="CX45" s="468"/>
      <c r="CY45" s="474"/>
      <c r="CZ45" s="474"/>
      <c r="DA45" s="93"/>
      <c r="DB45" s="423"/>
      <c r="DC45" s="424"/>
      <c r="DD45" s="474"/>
      <c r="DE45" s="474"/>
      <c r="DF45" s="93"/>
      <c r="DG45" s="242"/>
      <c r="DH45" s="426"/>
      <c r="DI45" s="474"/>
      <c r="DJ45" s="474"/>
      <c r="DK45" s="93"/>
      <c r="DL45" s="429"/>
      <c r="DM45" s="430"/>
      <c r="DN45" s="474"/>
      <c r="DO45" s="474"/>
      <c r="DP45" s="93"/>
      <c r="DQ45" s="439"/>
      <c r="DR45" s="441"/>
      <c r="DS45" s="474"/>
      <c r="DT45" s="474"/>
      <c r="DU45" s="93"/>
      <c r="DV45" s="442"/>
      <c r="DW45" s="443"/>
      <c r="DX45" s="363"/>
      <c r="DY45" s="345"/>
      <c r="DZ45" s="93"/>
      <c r="EA45" s="21"/>
    </row>
    <row r="46" ht="17.25" customHeight="1">
      <c r="A46" s="21"/>
      <c r="B46" s="93"/>
      <c r="C46" s="234"/>
      <c r="D46" s="235"/>
      <c r="E46" s="93"/>
      <c r="F46" s="268"/>
      <c r="G46" s="268"/>
      <c r="H46" s="268"/>
      <c r="I46" s="268"/>
      <c r="J46" s="268"/>
      <c r="K46" s="268"/>
      <c r="L46" s="450"/>
      <c r="M46" s="268"/>
      <c r="N46" s="268"/>
      <c r="O46" s="268"/>
      <c r="P46" s="268"/>
      <c r="Q46" s="450"/>
      <c r="R46" s="268"/>
      <c r="S46" s="268"/>
      <c r="T46" s="268"/>
      <c r="U46" s="268"/>
      <c r="V46" s="450"/>
      <c r="W46" s="268"/>
      <c r="X46" s="268"/>
      <c r="Y46" s="268"/>
      <c r="Z46" s="268"/>
      <c r="AA46" s="450"/>
      <c r="AB46" s="268"/>
      <c r="AC46" s="268"/>
      <c r="AD46" s="268"/>
      <c r="AE46" s="268"/>
      <c r="AF46" s="450"/>
      <c r="AG46" s="268"/>
      <c r="AH46" s="268"/>
      <c r="AI46" s="268"/>
      <c r="AJ46" s="268"/>
      <c r="AK46" s="450"/>
      <c r="AL46" s="268"/>
      <c r="AM46" s="268"/>
      <c r="AN46" s="268"/>
      <c r="AO46" s="268"/>
      <c r="AP46" s="397"/>
      <c r="AQ46" s="509"/>
      <c r="AR46" s="397"/>
      <c r="AS46" s="93"/>
      <c r="AT46" s="359"/>
      <c r="AU46" s="518"/>
      <c r="AV46" s="524"/>
      <c r="AW46" s="518"/>
      <c r="AX46" s="93"/>
      <c r="AY46" s="364"/>
      <c r="AZ46" s="480"/>
      <c r="BA46" s="525"/>
      <c r="BB46" s="480"/>
      <c r="BC46" s="93"/>
      <c r="BD46" s="368"/>
      <c r="BE46" s="477"/>
      <c r="BF46" s="560"/>
      <c r="BG46" s="477"/>
      <c r="BH46" s="93"/>
      <c r="BI46" s="408"/>
      <c r="BJ46" s="506"/>
      <c r="BK46" s="474"/>
      <c r="BL46" s="506"/>
      <c r="BM46" s="93"/>
      <c r="BN46" s="372"/>
      <c r="BO46" s="455"/>
      <c r="BP46" s="557"/>
      <c r="BQ46" s="455"/>
      <c r="BR46" s="93"/>
      <c r="BS46" s="380"/>
      <c r="BT46" s="492"/>
      <c r="BU46" s="566"/>
      <c r="BV46" s="492"/>
      <c r="BW46" s="93"/>
      <c r="BX46" s="385"/>
      <c r="BY46" s="506"/>
      <c r="BZ46" s="474"/>
      <c r="CA46" s="506"/>
      <c r="CB46" s="93"/>
      <c r="CC46" s="387"/>
      <c r="CD46" s="404"/>
      <c r="CE46" s="363"/>
      <c r="CF46" s="404"/>
      <c r="CG46" s="93"/>
      <c r="CH46" s="387"/>
      <c r="CI46" s="404"/>
      <c r="CJ46" s="363"/>
      <c r="CK46" s="520"/>
      <c r="CL46" s="93"/>
      <c r="CM46" s="390" t="str">
        <f>IFERROR(__xludf.DUMMYFUNCTION("""COMPUTED_VALUE"""),"")</f>
        <v/>
      </c>
      <c r="CN46" s="489" t="str">
        <f>IFERROR(__xludf.DUMMYFUNCTION("""COMPUTED_VALUE"""),"Cubchoo")</f>
        <v>Cubchoo</v>
      </c>
      <c r="CO46" s="532" t="s">
        <v>158</v>
      </c>
      <c r="CP46" s="523"/>
      <c r="CQ46" s="93"/>
      <c r="CR46" s="413"/>
      <c r="CS46" s="414"/>
      <c r="CT46" s="474"/>
      <c r="CU46" s="474"/>
      <c r="CV46" s="93"/>
      <c r="CW46" s="415"/>
      <c r="CX46" s="468"/>
      <c r="CY46" s="474"/>
      <c r="CZ46" s="506"/>
      <c r="DA46" s="93"/>
      <c r="DB46" s="423"/>
      <c r="DC46" s="424"/>
      <c r="DD46" s="474"/>
      <c r="DE46" s="474"/>
      <c r="DF46" s="93"/>
      <c r="DG46" s="242"/>
      <c r="DH46" s="426"/>
      <c r="DI46" s="474"/>
      <c r="DJ46" s="474"/>
      <c r="DK46" s="93"/>
      <c r="DL46" s="429"/>
      <c r="DM46" s="430"/>
      <c r="DN46" s="474"/>
      <c r="DO46" s="474"/>
      <c r="DP46" s="93"/>
      <c r="DQ46" s="439"/>
      <c r="DR46" s="441"/>
      <c r="DS46" s="474"/>
      <c r="DT46" s="474"/>
      <c r="DU46" s="93"/>
      <c r="DV46" s="442"/>
      <c r="DW46" s="443"/>
      <c r="DX46" s="363"/>
      <c r="DY46" s="345"/>
      <c r="DZ46" s="93"/>
      <c r="EA46" s="21"/>
    </row>
    <row r="47" ht="17.25" customHeight="1">
      <c r="A47" s="446"/>
      <c r="B47" s="447"/>
      <c r="C47" s="234"/>
      <c r="D47" s="235"/>
      <c r="E47" s="93"/>
      <c r="F47" s="268"/>
      <c r="G47" s="268"/>
      <c r="H47" s="268"/>
      <c r="I47" s="268"/>
      <c r="J47" s="268"/>
      <c r="K47" s="268"/>
      <c r="L47" s="450"/>
      <c r="M47" s="268"/>
      <c r="N47" s="268"/>
      <c r="O47" s="268"/>
      <c r="P47" s="268"/>
      <c r="Q47" s="450"/>
      <c r="R47" s="268"/>
      <c r="S47" s="268"/>
      <c r="T47" s="268"/>
      <c r="U47" s="268"/>
      <c r="V47" s="450"/>
      <c r="W47" s="268"/>
      <c r="X47" s="268"/>
      <c r="Y47" s="268"/>
      <c r="Z47" s="268"/>
      <c r="AA47" s="450"/>
      <c r="AB47" s="268"/>
      <c r="AC47" s="268"/>
      <c r="AD47" s="268"/>
      <c r="AE47" s="268"/>
      <c r="AF47" s="450"/>
      <c r="AG47" s="268"/>
      <c r="AH47" s="268"/>
      <c r="AI47" s="268"/>
      <c r="AJ47" s="268"/>
      <c r="AK47" s="450"/>
      <c r="AL47" s="268"/>
      <c r="AM47" s="268"/>
      <c r="AN47" s="268"/>
      <c r="AO47" s="268"/>
      <c r="AP47" s="397"/>
      <c r="AQ47" s="509"/>
      <c r="AR47" s="397"/>
      <c r="AS47" s="93"/>
      <c r="AT47" s="359"/>
      <c r="AU47" s="518"/>
      <c r="AV47" s="524"/>
      <c r="AW47" s="518"/>
      <c r="AX47" s="93"/>
      <c r="AY47" s="364"/>
      <c r="AZ47" s="480"/>
      <c r="BA47" s="525"/>
      <c r="BB47" s="480"/>
      <c r="BC47" s="93"/>
      <c r="BD47" s="368"/>
      <c r="BE47" s="477"/>
      <c r="BF47" s="560"/>
      <c r="BG47" s="477"/>
      <c r="BH47" s="93"/>
      <c r="BI47" s="408"/>
      <c r="BJ47" s="506"/>
      <c r="BK47" s="474"/>
      <c r="BL47" s="506"/>
      <c r="BM47" s="93"/>
      <c r="BN47" s="372"/>
      <c r="BO47" s="455"/>
      <c r="BP47" s="557"/>
      <c r="BQ47" s="455"/>
      <c r="BR47" s="93"/>
      <c r="BS47" s="380"/>
      <c r="BT47" s="492"/>
      <c r="BU47" s="566"/>
      <c r="BV47" s="492"/>
      <c r="BW47" s="93"/>
      <c r="BX47" s="385"/>
      <c r="BY47" s="506"/>
      <c r="BZ47" s="474"/>
      <c r="CA47" s="506"/>
      <c r="CB47" s="93"/>
      <c r="CC47" s="387"/>
      <c r="CD47" s="404"/>
      <c r="CE47" s="363"/>
      <c r="CF47" s="404"/>
      <c r="CG47" s="93"/>
      <c r="CH47" s="387"/>
      <c r="CI47" s="404"/>
      <c r="CJ47" s="363"/>
      <c r="CK47" s="520"/>
      <c r="CL47" s="93"/>
      <c r="CM47" s="390" t="str">
        <f>IFERROR(__xludf.DUMMYFUNCTION("""COMPUTED_VALUE"""),"")</f>
        <v/>
      </c>
      <c r="CN47" s="489" t="str">
        <f>IFERROR(__xludf.DUMMYFUNCTION("""COMPUTED_VALUE"""),"Cufant")</f>
        <v>Cufant</v>
      </c>
      <c r="CO47" s="532" t="s">
        <v>158</v>
      </c>
      <c r="CP47" s="523"/>
      <c r="CQ47" s="93"/>
      <c r="CR47" s="413"/>
      <c r="CS47" s="414"/>
      <c r="CT47" s="474"/>
      <c r="CU47" s="474"/>
      <c r="CV47" s="93"/>
      <c r="CW47" s="415"/>
      <c r="CX47" s="506"/>
      <c r="CY47" s="474"/>
      <c r="CZ47" s="506"/>
      <c r="DA47" s="93"/>
      <c r="DB47" s="423"/>
      <c r="DC47" s="424"/>
      <c r="DD47" s="474"/>
      <c r="DE47" s="474"/>
      <c r="DF47" s="93"/>
      <c r="DG47" s="242"/>
      <c r="DH47" s="426"/>
      <c r="DI47" s="474"/>
      <c r="DJ47" s="474"/>
      <c r="DK47" s="93"/>
      <c r="DL47" s="429"/>
      <c r="DM47" s="430"/>
      <c r="DN47" s="474"/>
      <c r="DO47" s="474"/>
      <c r="DP47" s="93"/>
      <c r="DQ47" s="439"/>
      <c r="DR47" s="441"/>
      <c r="DS47" s="474"/>
      <c r="DT47" s="474"/>
      <c r="DU47" s="93"/>
      <c r="DV47" s="442"/>
      <c r="DW47" s="443"/>
      <c r="DX47" s="363"/>
      <c r="DY47" s="345"/>
      <c r="DZ47" s="93"/>
      <c r="EA47" s="21"/>
    </row>
    <row r="48" ht="17.25" customHeight="1">
      <c r="A48" s="446"/>
      <c r="B48" s="447"/>
      <c r="C48" s="234"/>
      <c r="D48" s="235"/>
      <c r="E48" s="93"/>
      <c r="F48" s="268"/>
      <c r="G48" s="268"/>
      <c r="H48" s="268"/>
      <c r="I48" s="268"/>
      <c r="J48" s="268"/>
      <c r="K48" s="268"/>
      <c r="L48" s="450"/>
      <c r="M48" s="268"/>
      <c r="N48" s="268"/>
      <c r="O48" s="268"/>
      <c r="P48" s="268"/>
      <c r="Q48" s="450"/>
      <c r="R48" s="268"/>
      <c r="S48" s="268"/>
      <c r="T48" s="268"/>
      <c r="U48" s="268"/>
      <c r="V48" s="450"/>
      <c r="W48" s="268"/>
      <c r="X48" s="268"/>
      <c r="Y48" s="268"/>
      <c r="Z48" s="268"/>
      <c r="AA48" s="450"/>
      <c r="AB48" s="268"/>
      <c r="AC48" s="268"/>
      <c r="AD48" s="268"/>
      <c r="AE48" s="268"/>
      <c r="AF48" s="450"/>
      <c r="AG48" s="268"/>
      <c r="AH48" s="268"/>
      <c r="AI48" s="268"/>
      <c r="AJ48" s="268"/>
      <c r="AK48" s="450"/>
      <c r="AL48" s="268"/>
      <c r="AM48" s="268"/>
      <c r="AN48" s="268"/>
      <c r="AO48" s="268"/>
      <c r="AP48" s="397"/>
      <c r="AQ48" s="509"/>
      <c r="AR48" s="397"/>
      <c r="AS48" s="93"/>
      <c r="AT48" s="359"/>
      <c r="AU48" s="518"/>
      <c r="AV48" s="524"/>
      <c r="AW48" s="518"/>
      <c r="AX48" s="93"/>
      <c r="AY48" s="364"/>
      <c r="AZ48" s="480"/>
      <c r="BA48" s="525"/>
      <c r="BB48" s="480"/>
      <c r="BC48" s="93"/>
      <c r="BD48" s="368"/>
      <c r="BE48" s="477"/>
      <c r="BF48" s="560"/>
      <c r="BG48" s="477"/>
      <c r="BH48" s="93"/>
      <c r="BI48" s="408"/>
      <c r="BJ48" s="506"/>
      <c r="BK48" s="474"/>
      <c r="BL48" s="506"/>
      <c r="BM48" s="93"/>
      <c r="BN48" s="372"/>
      <c r="BO48" s="455"/>
      <c r="BP48" s="557"/>
      <c r="BQ48" s="455"/>
      <c r="BR48" s="93"/>
      <c r="BS48" s="380"/>
      <c r="BT48" s="492"/>
      <c r="BU48" s="566"/>
      <c r="BV48" s="492"/>
      <c r="BW48" s="93"/>
      <c r="BX48" s="385"/>
      <c r="BY48" s="506"/>
      <c r="BZ48" s="474"/>
      <c r="CA48" s="506"/>
      <c r="CB48" s="93"/>
      <c r="CC48" s="387"/>
      <c r="CD48" s="404"/>
      <c r="CE48" s="363"/>
      <c r="CF48" s="404"/>
      <c r="CG48" s="93"/>
      <c r="CH48" s="387"/>
      <c r="CI48" s="404"/>
      <c r="CJ48" s="363"/>
      <c r="CK48" s="520"/>
      <c r="CL48" s="93"/>
      <c r="CM48" s="390" t="str">
        <f>IFERROR(__xludf.DUMMYFUNCTION("""COMPUTED_VALUE"""),"")</f>
        <v/>
      </c>
      <c r="CN48" s="489" t="str">
        <f>IFERROR(__xludf.DUMMYFUNCTION("""COMPUTED_VALUE"""),"Dedenne")</f>
        <v>Dedenne</v>
      </c>
      <c r="CO48" s="532" t="s">
        <v>158</v>
      </c>
      <c r="CP48" s="523"/>
      <c r="CQ48" s="93"/>
      <c r="CR48" s="413"/>
      <c r="CS48" s="414"/>
      <c r="CT48" s="474"/>
      <c r="CU48" s="474"/>
      <c r="CV48" s="93"/>
      <c r="CW48" s="408"/>
      <c r="CX48" s="506"/>
      <c r="CY48" s="474"/>
      <c r="CZ48" s="506"/>
      <c r="DA48" s="408"/>
      <c r="DB48" s="593"/>
      <c r="DC48" s="424"/>
      <c r="DD48" s="474"/>
      <c r="DE48" s="474"/>
      <c r="DF48" s="93"/>
      <c r="DG48" s="242"/>
      <c r="DH48" s="426"/>
      <c r="DI48" s="474"/>
      <c r="DJ48" s="474"/>
      <c r="DK48" s="93"/>
      <c r="DL48" s="429"/>
      <c r="DM48" s="430"/>
      <c r="DN48" s="474"/>
      <c r="DO48" s="474"/>
      <c r="DP48" s="93"/>
      <c r="DQ48" s="439"/>
      <c r="DR48" s="441"/>
      <c r="DS48" s="474"/>
      <c r="DT48" s="474"/>
      <c r="DU48" s="93"/>
      <c r="DV48" s="442"/>
      <c r="DW48" s="443"/>
      <c r="DX48" s="363"/>
      <c r="DY48" s="345"/>
      <c r="DZ48" s="93"/>
      <c r="EA48" s="21"/>
    </row>
    <row r="49" ht="17.25" customHeight="1">
      <c r="A49" s="21"/>
      <c r="B49" s="93"/>
      <c r="C49" s="234"/>
      <c r="D49" s="235"/>
      <c r="E49" s="93"/>
      <c r="F49" s="268"/>
      <c r="G49" s="268"/>
      <c r="H49" s="268"/>
      <c r="I49" s="268"/>
      <c r="J49" s="268"/>
      <c r="K49" s="268"/>
      <c r="L49" s="450"/>
      <c r="M49" s="268"/>
      <c r="N49" s="268"/>
      <c r="O49" s="268"/>
      <c r="P49" s="268"/>
      <c r="Q49" s="450"/>
      <c r="R49" s="268"/>
      <c r="S49" s="268"/>
      <c r="T49" s="268"/>
      <c r="U49" s="268"/>
      <c r="V49" s="450"/>
      <c r="W49" s="268"/>
      <c r="X49" s="268"/>
      <c r="Y49" s="268"/>
      <c r="Z49" s="268"/>
      <c r="AA49" s="450"/>
      <c r="AB49" s="268"/>
      <c r="AC49" s="268"/>
      <c r="AD49" s="268"/>
      <c r="AE49" s="268"/>
      <c r="AF49" s="450"/>
      <c r="AG49" s="268"/>
      <c r="AH49" s="268"/>
      <c r="AI49" s="268"/>
      <c r="AJ49" s="268"/>
      <c r="AK49" s="450"/>
      <c r="AL49" s="268"/>
      <c r="AM49" s="268"/>
      <c r="AN49" s="268"/>
      <c r="AO49" s="268"/>
      <c r="AP49" s="397"/>
      <c r="AQ49" s="509"/>
      <c r="AR49" s="397"/>
      <c r="AS49" s="93"/>
      <c r="AT49" s="359"/>
      <c r="AU49" s="518"/>
      <c r="AV49" s="524"/>
      <c r="AW49" s="518"/>
      <c r="AX49" s="93"/>
      <c r="AY49" s="364"/>
      <c r="AZ49" s="480"/>
      <c r="BA49" s="525"/>
      <c r="BB49" s="480"/>
      <c r="BC49" s="93"/>
      <c r="BD49" s="368"/>
      <c r="BE49" s="477"/>
      <c r="BF49" s="560"/>
      <c r="BG49" s="477"/>
      <c r="BH49" s="93"/>
      <c r="BI49" s="408"/>
      <c r="BJ49" s="506"/>
      <c r="BK49" s="474"/>
      <c r="BL49" s="506"/>
      <c r="BM49" s="93"/>
      <c r="BN49" s="372"/>
      <c r="BO49" s="455"/>
      <c r="BP49" s="557"/>
      <c r="BQ49" s="455"/>
      <c r="BR49" s="93"/>
      <c r="BS49" s="380"/>
      <c r="BT49" s="492"/>
      <c r="BU49" s="566"/>
      <c r="BV49" s="492"/>
      <c r="BW49" s="93"/>
      <c r="BX49" s="385"/>
      <c r="BY49" s="506"/>
      <c r="BZ49" s="474"/>
      <c r="CA49" s="506"/>
      <c r="CB49" s="93"/>
      <c r="CC49" s="387"/>
      <c r="CD49" s="404"/>
      <c r="CE49" s="363"/>
      <c r="CF49" s="404"/>
      <c r="CG49" s="93"/>
      <c r="CH49" s="387"/>
      <c r="CI49" s="404"/>
      <c r="CJ49" s="363"/>
      <c r="CK49" s="520"/>
      <c r="CL49" s="93"/>
      <c r="CM49" s="390" t="str">
        <f>IFERROR(__xludf.DUMMYFUNCTION("""COMPUTED_VALUE"""),"")</f>
        <v/>
      </c>
      <c r="CN49" s="489" t="str">
        <f>IFERROR(__xludf.DUMMYFUNCTION("""COMPUTED_VALUE"""),"Deerling")</f>
        <v>Deerling</v>
      </c>
      <c r="CO49" s="532" t="s">
        <v>158</v>
      </c>
      <c r="CP49" s="523"/>
      <c r="CQ49" s="93"/>
      <c r="CR49" s="413"/>
      <c r="CS49" s="414"/>
      <c r="CT49" s="474"/>
      <c r="CU49" s="474"/>
      <c r="CV49" s="93"/>
      <c r="CW49" s="408"/>
      <c r="CX49" s="506"/>
      <c r="CY49" s="474"/>
      <c r="CZ49" s="506"/>
      <c r="DA49" s="408"/>
      <c r="DB49" s="593"/>
      <c r="DC49" s="424"/>
      <c r="DD49" s="474"/>
      <c r="DE49" s="474"/>
      <c r="DF49" s="93"/>
      <c r="DG49" s="242"/>
      <c r="DH49" s="426"/>
      <c r="DI49" s="474"/>
      <c r="DJ49" s="474"/>
      <c r="DK49" s="93"/>
      <c r="DL49" s="429"/>
      <c r="DM49" s="430"/>
      <c r="DN49" s="474"/>
      <c r="DO49" s="474"/>
      <c r="DP49" s="93"/>
      <c r="DQ49" s="439"/>
      <c r="DR49" s="441"/>
      <c r="DS49" s="474"/>
      <c r="DT49" s="474"/>
      <c r="DU49" s="93"/>
      <c r="DV49" s="442"/>
      <c r="DW49" s="443"/>
      <c r="DX49" s="363"/>
      <c r="DY49" s="345"/>
      <c r="DZ49" s="93"/>
      <c r="EA49" s="21"/>
    </row>
    <row r="50" ht="17.25" customHeight="1">
      <c r="A50" s="446"/>
      <c r="B50" s="447"/>
      <c r="C50" s="234"/>
      <c r="D50" s="235"/>
      <c r="E50" s="93"/>
      <c r="F50" s="268"/>
      <c r="G50" s="268"/>
      <c r="H50" s="268"/>
      <c r="I50" s="268"/>
      <c r="J50" s="268"/>
      <c r="K50" s="268"/>
      <c r="L50" s="450"/>
      <c r="M50" s="268"/>
      <c r="N50" s="268"/>
      <c r="O50" s="268"/>
      <c r="P50" s="268"/>
      <c r="Q50" s="450"/>
      <c r="R50" s="268"/>
      <c r="S50" s="268"/>
      <c r="T50" s="268"/>
      <c r="U50" s="268"/>
      <c r="V50" s="450"/>
      <c r="W50" s="268"/>
      <c r="X50" s="268"/>
      <c r="Y50" s="268"/>
      <c r="Z50" s="268"/>
      <c r="AA50" s="450"/>
      <c r="AB50" s="268"/>
      <c r="AC50" s="268"/>
      <c r="AD50" s="268"/>
      <c r="AE50" s="268"/>
      <c r="AF50" s="450"/>
      <c r="AG50" s="268"/>
      <c r="AH50" s="268"/>
      <c r="AI50" s="268"/>
      <c r="AJ50" s="268"/>
      <c r="AK50" s="450"/>
      <c r="AL50" s="268"/>
      <c r="AM50" s="268"/>
      <c r="AN50" s="268"/>
      <c r="AO50" s="268"/>
      <c r="AP50" s="397"/>
      <c r="AQ50" s="509"/>
      <c r="AR50" s="397"/>
      <c r="AS50" s="93"/>
      <c r="AT50" s="359"/>
      <c r="AU50" s="518"/>
      <c r="AV50" s="524"/>
      <c r="AW50" s="518"/>
      <c r="AX50" s="93"/>
      <c r="AY50" s="364"/>
      <c r="AZ50" s="480"/>
      <c r="BA50" s="525"/>
      <c r="BB50" s="480"/>
      <c r="BC50" s="93"/>
      <c r="BD50" s="368"/>
      <c r="BE50" s="477"/>
      <c r="BF50" s="560"/>
      <c r="BG50" s="477"/>
      <c r="BH50" s="93"/>
      <c r="BI50" s="408"/>
      <c r="BJ50" s="506"/>
      <c r="BK50" s="474"/>
      <c r="BL50" s="506"/>
      <c r="BM50" s="93"/>
      <c r="BN50" s="372"/>
      <c r="BO50" s="455"/>
      <c r="BP50" s="557"/>
      <c r="BQ50" s="455"/>
      <c r="BR50" s="93"/>
      <c r="BS50" s="380"/>
      <c r="BT50" s="492"/>
      <c r="BU50" s="566"/>
      <c r="BV50" s="492"/>
      <c r="BW50" s="93"/>
      <c r="BX50" s="385"/>
      <c r="BY50" s="506"/>
      <c r="BZ50" s="474"/>
      <c r="CA50" s="506"/>
      <c r="CB50" s="93"/>
      <c r="CC50" s="387"/>
      <c r="CD50" s="404"/>
      <c r="CE50" s="363"/>
      <c r="CF50" s="404"/>
      <c r="CG50" s="93"/>
      <c r="CH50" s="387"/>
      <c r="CI50" s="404"/>
      <c r="CJ50" s="363"/>
      <c r="CK50" s="520"/>
      <c r="CL50" s="93"/>
      <c r="CM50" s="390" t="str">
        <f>IFERROR(__xludf.DUMMYFUNCTION("""COMPUTED_VALUE"""),"")</f>
        <v/>
      </c>
      <c r="CN50" s="489" t="str">
        <f>IFERROR(__xludf.DUMMYFUNCTION("""COMPUTED_VALUE"""),"Deino")</f>
        <v>Deino</v>
      </c>
      <c r="CO50" s="532" t="s">
        <v>158</v>
      </c>
      <c r="CP50" s="523"/>
      <c r="CQ50" s="93"/>
      <c r="CR50" s="413"/>
      <c r="CS50" s="414"/>
      <c r="CT50" s="474"/>
      <c r="CU50" s="474"/>
      <c r="CV50" s="93"/>
      <c r="CW50" s="408"/>
      <c r="CX50" s="506"/>
      <c r="CY50" s="474"/>
      <c r="CZ50" s="506"/>
      <c r="DA50" s="408"/>
      <c r="DB50" s="593"/>
      <c r="DC50" s="424"/>
      <c r="DD50" s="474"/>
      <c r="DE50" s="474"/>
      <c r="DF50" s="93"/>
      <c r="DG50" s="242"/>
      <c r="DH50" s="426"/>
      <c r="DI50" s="474"/>
      <c r="DJ50" s="474"/>
      <c r="DK50" s="93"/>
      <c r="DL50" s="429"/>
      <c r="DM50" s="430"/>
      <c r="DN50" s="474"/>
      <c r="DO50" s="474"/>
      <c r="DP50" s="93"/>
      <c r="DQ50" s="439"/>
      <c r="DR50" s="441"/>
      <c r="DS50" s="474"/>
      <c r="DT50" s="474"/>
      <c r="DU50" s="93"/>
      <c r="DV50" s="442"/>
      <c r="DW50" s="443"/>
      <c r="DX50" s="363"/>
      <c r="DY50" s="345"/>
      <c r="DZ50" s="93"/>
      <c r="EA50" s="21"/>
    </row>
    <row r="51" ht="17.25" customHeight="1">
      <c r="A51" s="10"/>
      <c r="B51" s="87"/>
      <c r="C51" s="234"/>
      <c r="D51" s="235"/>
      <c r="E51" s="93"/>
      <c r="F51" s="268"/>
      <c r="G51" s="268"/>
      <c r="H51" s="268"/>
      <c r="I51" s="268"/>
      <c r="J51" s="268"/>
      <c r="K51" s="268"/>
      <c r="L51" s="450"/>
      <c r="M51" s="268"/>
      <c r="N51" s="268"/>
      <c r="O51" s="268"/>
      <c r="P51" s="268"/>
      <c r="Q51" s="450"/>
      <c r="R51" s="268"/>
      <c r="S51" s="268"/>
      <c r="T51" s="268"/>
      <c r="U51" s="268"/>
      <c r="V51" s="450"/>
      <c r="W51" s="268"/>
      <c r="X51" s="268"/>
      <c r="Y51" s="268"/>
      <c r="Z51" s="268"/>
      <c r="AA51" s="450"/>
      <c r="AB51" s="268"/>
      <c r="AC51" s="268"/>
      <c r="AD51" s="268"/>
      <c r="AE51" s="268"/>
      <c r="AF51" s="450"/>
      <c r="AG51" s="268"/>
      <c r="AH51" s="268"/>
      <c r="AI51" s="268"/>
      <c r="AJ51" s="268"/>
      <c r="AK51" s="450"/>
      <c r="AL51" s="268"/>
      <c r="AM51" s="268"/>
      <c r="AN51" s="268"/>
      <c r="AO51" s="268"/>
      <c r="AP51" s="397"/>
      <c r="AQ51" s="509"/>
      <c r="AR51" s="397"/>
      <c r="AS51" s="93"/>
      <c r="AT51" s="359"/>
      <c r="AU51" s="518"/>
      <c r="AV51" s="524"/>
      <c r="AW51" s="518"/>
      <c r="AX51" s="93"/>
      <c r="AY51" s="364"/>
      <c r="AZ51" s="480"/>
      <c r="BA51" s="525"/>
      <c r="BB51" s="480"/>
      <c r="BC51" s="93"/>
      <c r="BD51" s="368"/>
      <c r="BE51" s="477"/>
      <c r="BF51" s="560"/>
      <c r="BG51" s="477"/>
      <c r="BH51" s="93"/>
      <c r="BI51" s="408"/>
      <c r="BJ51" s="506"/>
      <c r="BK51" s="474"/>
      <c r="BL51" s="506"/>
      <c r="BM51" s="93"/>
      <c r="BN51" s="372"/>
      <c r="BO51" s="455"/>
      <c r="BP51" s="557"/>
      <c r="BQ51" s="455"/>
      <c r="BR51" s="93"/>
      <c r="BS51" s="380"/>
      <c r="BT51" s="492"/>
      <c r="BU51" s="566"/>
      <c r="BV51" s="492"/>
      <c r="BW51" s="93"/>
      <c r="BX51" s="385"/>
      <c r="BY51" s="506"/>
      <c r="BZ51" s="474"/>
      <c r="CA51" s="506"/>
      <c r="CB51" s="93"/>
      <c r="CC51" s="387"/>
      <c r="CD51" s="404"/>
      <c r="CE51" s="363"/>
      <c r="CF51" s="404"/>
      <c r="CG51" s="93"/>
      <c r="CH51" s="387"/>
      <c r="CI51" s="404"/>
      <c r="CJ51" s="363"/>
      <c r="CK51" s="520"/>
      <c r="CL51" s="93"/>
      <c r="CM51" s="390" t="str">
        <f>IFERROR(__xludf.DUMMYFUNCTION("""COMPUTED_VALUE"""),"")</f>
        <v/>
      </c>
      <c r="CN51" s="489" t="str">
        <f>IFERROR(__xludf.DUMMYFUNCTION("""COMPUTED_VALUE"""),"Delibird")</f>
        <v>Delibird</v>
      </c>
      <c r="CO51" s="532" t="s">
        <v>158</v>
      </c>
      <c r="CP51" s="523"/>
      <c r="CQ51" s="93"/>
      <c r="CR51" s="413"/>
      <c r="CS51" s="414"/>
      <c r="CT51" s="474"/>
      <c r="CU51" s="474"/>
      <c r="CV51" s="93"/>
      <c r="CW51" s="408"/>
      <c r="CX51" s="506"/>
      <c r="CY51" s="474"/>
      <c r="CZ51" s="506"/>
      <c r="DA51" s="408"/>
      <c r="DB51" s="408"/>
      <c r="DC51" s="506"/>
      <c r="DD51" s="474"/>
      <c r="DE51" s="506"/>
      <c r="DF51" s="93"/>
      <c r="DG51" s="242"/>
      <c r="DH51" s="426"/>
      <c r="DI51" s="474"/>
      <c r="DJ51" s="474"/>
      <c r="DK51" s="93"/>
      <c r="DL51" s="429"/>
      <c r="DM51" s="430"/>
      <c r="DN51" s="474"/>
      <c r="DO51" s="474"/>
      <c r="DP51" s="93"/>
      <c r="DQ51" s="439"/>
      <c r="DR51" s="441"/>
      <c r="DS51" s="474"/>
      <c r="DT51" s="474"/>
      <c r="DU51" s="93"/>
      <c r="DV51" s="442"/>
      <c r="DW51" s="443"/>
      <c r="DX51" s="363"/>
      <c r="DY51" s="345"/>
      <c r="DZ51" s="93"/>
      <c r="EA51" s="21"/>
    </row>
    <row r="52" ht="17.25" customHeight="1">
      <c r="A52" s="446"/>
      <c r="B52" s="447"/>
      <c r="C52" s="234"/>
      <c r="D52" s="235"/>
      <c r="E52" s="93"/>
      <c r="F52" s="268"/>
      <c r="G52" s="268"/>
      <c r="H52" s="268"/>
      <c r="I52" s="268"/>
      <c r="J52" s="268"/>
      <c r="K52" s="268"/>
      <c r="L52" s="450"/>
      <c r="M52" s="268"/>
      <c r="N52" s="268"/>
      <c r="O52" s="268"/>
      <c r="P52" s="268"/>
      <c r="Q52" s="450"/>
      <c r="R52" s="268"/>
      <c r="S52" s="268"/>
      <c r="T52" s="268"/>
      <c r="U52" s="268"/>
      <c r="V52" s="450"/>
      <c r="W52" s="268"/>
      <c r="X52" s="268"/>
      <c r="Y52" s="268"/>
      <c r="Z52" s="268"/>
      <c r="AA52" s="450"/>
      <c r="AB52" s="268"/>
      <c r="AC52" s="268"/>
      <c r="AD52" s="268"/>
      <c r="AE52" s="268"/>
      <c r="AF52" s="450"/>
      <c r="AG52" s="268"/>
      <c r="AH52" s="268"/>
      <c r="AI52" s="268"/>
      <c r="AJ52" s="268"/>
      <c r="AK52" s="450"/>
      <c r="AL52" s="268"/>
      <c r="AM52" s="268"/>
      <c r="AN52" s="268"/>
      <c r="AO52" s="268"/>
      <c r="AP52" s="397"/>
      <c r="AQ52" s="509"/>
      <c r="AR52" s="397"/>
      <c r="AS52" s="93"/>
      <c r="AT52" s="359"/>
      <c r="AU52" s="518"/>
      <c r="AV52" s="524"/>
      <c r="AW52" s="518"/>
      <c r="AX52" s="93"/>
      <c r="AY52" s="364"/>
      <c r="AZ52" s="480"/>
      <c r="BA52" s="525"/>
      <c r="BB52" s="480"/>
      <c r="BC52" s="93"/>
      <c r="BD52" s="368"/>
      <c r="BE52" s="477"/>
      <c r="BF52" s="560"/>
      <c r="BG52" s="477"/>
      <c r="BH52" s="93"/>
      <c r="BI52" s="408"/>
      <c r="BJ52" s="506"/>
      <c r="BK52" s="474"/>
      <c r="BL52" s="506"/>
      <c r="BM52" s="93"/>
      <c r="BN52" s="372"/>
      <c r="BO52" s="455"/>
      <c r="BP52" s="557"/>
      <c r="BQ52" s="455"/>
      <c r="BR52" s="93"/>
      <c r="BS52" s="380"/>
      <c r="BT52" s="492"/>
      <c r="BU52" s="566"/>
      <c r="BV52" s="492"/>
      <c r="BW52" s="93"/>
      <c r="BX52" s="385"/>
      <c r="BY52" s="490"/>
      <c r="BZ52" s="605"/>
      <c r="CA52" s="490"/>
      <c r="CB52" s="93"/>
      <c r="CC52" s="387"/>
      <c r="CD52" s="404"/>
      <c r="CE52" s="363"/>
      <c r="CF52" s="404"/>
      <c r="CG52" s="93"/>
      <c r="CH52" s="387"/>
      <c r="CI52" s="404"/>
      <c r="CJ52" s="363"/>
      <c r="CK52" s="520"/>
      <c r="CL52" s="93"/>
      <c r="CM52" s="390" t="str">
        <f>IFERROR(__xludf.DUMMYFUNCTION("""COMPUTED_VALUE"""),"")</f>
        <v/>
      </c>
      <c r="CN52" s="489" t="str">
        <f>IFERROR(__xludf.DUMMYFUNCTION("""COMPUTED_VALUE"""),"Diglett")</f>
        <v>Diglett</v>
      </c>
      <c r="CO52" s="532" t="s">
        <v>158</v>
      </c>
      <c r="CP52" s="523"/>
      <c r="CQ52" s="93"/>
      <c r="CR52" s="413"/>
      <c r="CS52" s="506"/>
      <c r="CT52" s="474"/>
      <c r="CU52" s="506"/>
      <c r="CV52" s="93"/>
      <c r="CW52" s="408"/>
      <c r="CX52" s="506"/>
      <c r="CY52" s="474"/>
      <c r="CZ52" s="506"/>
      <c r="DA52" s="408"/>
      <c r="DB52" s="408"/>
      <c r="DC52" s="506"/>
      <c r="DD52" s="474"/>
      <c r="DE52" s="506"/>
      <c r="DF52" s="93"/>
      <c r="DG52" s="242"/>
      <c r="DH52" s="426"/>
      <c r="DI52" s="474"/>
      <c r="DJ52" s="474"/>
      <c r="DK52" s="93"/>
      <c r="DL52" s="429"/>
      <c r="DM52" s="430"/>
      <c r="DN52" s="474"/>
      <c r="DO52" s="474"/>
      <c r="DP52" s="93"/>
      <c r="DQ52" s="439"/>
      <c r="DR52" s="441"/>
      <c r="DS52" s="474"/>
      <c r="DT52" s="474"/>
      <c r="DU52" s="93"/>
      <c r="DV52" s="442"/>
      <c r="DW52" s="443"/>
      <c r="DX52" s="363"/>
      <c r="DY52" s="345"/>
      <c r="DZ52" s="93"/>
      <c r="EA52" s="21"/>
    </row>
    <row r="53" ht="17.25" customHeight="1">
      <c r="A53" s="10"/>
      <c r="B53" s="87"/>
      <c r="C53" s="234"/>
      <c r="D53" s="235"/>
      <c r="E53" s="93"/>
      <c r="F53" s="268"/>
      <c r="G53" s="268"/>
      <c r="H53" s="268"/>
      <c r="I53" s="268"/>
      <c r="J53" s="268"/>
      <c r="K53" s="268"/>
      <c r="L53" s="450"/>
      <c r="M53" s="268"/>
      <c r="N53" s="268"/>
      <c r="O53" s="268"/>
      <c r="P53" s="268"/>
      <c r="Q53" s="450"/>
      <c r="R53" s="268"/>
      <c r="S53" s="268"/>
      <c r="T53" s="268"/>
      <c r="U53" s="268"/>
      <c r="V53" s="450"/>
      <c r="W53" s="268"/>
      <c r="X53" s="268"/>
      <c r="Y53" s="268"/>
      <c r="Z53" s="268"/>
      <c r="AA53" s="450"/>
      <c r="AB53" s="268"/>
      <c r="AC53" s="268"/>
      <c r="AD53" s="268"/>
      <c r="AE53" s="268"/>
      <c r="AF53" s="450"/>
      <c r="AG53" s="268"/>
      <c r="AH53" s="268"/>
      <c r="AI53" s="268"/>
      <c r="AJ53" s="268"/>
      <c r="AK53" s="450"/>
      <c r="AL53" s="268"/>
      <c r="AM53" s="268"/>
      <c r="AN53" s="268"/>
      <c r="AO53" s="268"/>
      <c r="AP53" s="397"/>
      <c r="AQ53" s="509"/>
      <c r="AR53" s="397"/>
      <c r="AS53" s="93"/>
      <c r="AT53" s="359"/>
      <c r="AU53" s="518"/>
      <c r="AV53" s="524"/>
      <c r="AW53" s="518"/>
      <c r="AX53" s="93"/>
      <c r="AY53" s="364"/>
      <c r="AZ53" s="480"/>
      <c r="BA53" s="525"/>
      <c r="BB53" s="480"/>
      <c r="BC53" s="93"/>
      <c r="BD53" s="368"/>
      <c r="BE53" s="477"/>
      <c r="BF53" s="560"/>
      <c r="BG53" s="477"/>
      <c r="BH53" s="93"/>
      <c r="BI53" s="402"/>
      <c r="BJ53" s="478"/>
      <c r="BK53" s="609"/>
      <c r="BL53" s="478"/>
      <c r="BM53" s="93"/>
      <c r="BN53" s="372"/>
      <c r="BO53" s="455"/>
      <c r="BP53" s="557"/>
      <c r="BQ53" s="455"/>
      <c r="BR53" s="93"/>
      <c r="BS53" s="380"/>
      <c r="BT53" s="492"/>
      <c r="BU53" s="566"/>
      <c r="BV53" s="492"/>
      <c r="BW53" s="93"/>
      <c r="BX53" s="385"/>
      <c r="BY53" s="490"/>
      <c r="BZ53" s="605"/>
      <c r="CA53" s="490"/>
      <c r="CB53" s="93"/>
      <c r="CC53" s="387"/>
      <c r="CD53" s="404"/>
      <c r="CE53" s="363"/>
      <c r="CF53" s="404"/>
      <c r="CG53" s="93"/>
      <c r="CH53" s="387"/>
      <c r="CI53" s="404"/>
      <c r="CJ53" s="363"/>
      <c r="CK53" s="520"/>
      <c r="CL53" s="93"/>
      <c r="CM53" s="390" t="str">
        <f>IFERROR(__xludf.DUMMYFUNCTION("""COMPUTED_VALUE"""),"")</f>
        <v/>
      </c>
      <c r="CN53" s="489" t="str">
        <f>IFERROR(__xludf.DUMMYFUNCTION("""COMPUTED_VALUE"""),"Ditto")</f>
        <v>Ditto</v>
      </c>
      <c r="CO53" s="532" t="s">
        <v>158</v>
      </c>
      <c r="CP53" s="523"/>
      <c r="CQ53" s="93"/>
      <c r="CR53" s="413"/>
      <c r="CS53" s="506"/>
      <c r="CT53" s="474"/>
      <c r="CU53" s="506"/>
      <c r="CV53" s="93"/>
      <c r="CW53" s="408"/>
      <c r="CX53" s="506"/>
      <c r="CY53" s="474"/>
      <c r="CZ53" s="506"/>
      <c r="DA53" s="408"/>
      <c r="DB53" s="408"/>
      <c r="DC53" s="506"/>
      <c r="DD53" s="474"/>
      <c r="DE53" s="506"/>
      <c r="DF53" s="93"/>
      <c r="DG53" s="242"/>
      <c r="DH53" s="426"/>
      <c r="DI53" s="474"/>
      <c r="DJ53" s="474"/>
      <c r="DK53" s="93"/>
      <c r="DL53" s="429"/>
      <c r="DM53" s="430"/>
      <c r="DN53" s="474"/>
      <c r="DO53" s="474"/>
      <c r="DP53" s="93"/>
      <c r="DQ53" s="439"/>
      <c r="DR53" s="441"/>
      <c r="DS53" s="474"/>
      <c r="DT53" s="474"/>
      <c r="DU53" s="93"/>
      <c r="DV53" s="442"/>
      <c r="DW53" s="443"/>
      <c r="DX53" s="363"/>
      <c r="DY53" s="345"/>
      <c r="DZ53" s="93"/>
      <c r="EA53" s="21"/>
    </row>
    <row r="54" ht="17.25" customHeight="1">
      <c r="A54" s="446"/>
      <c r="B54" s="447"/>
      <c r="C54" s="234"/>
      <c r="D54" s="235"/>
      <c r="E54" s="93"/>
      <c r="F54" s="268"/>
      <c r="G54" s="268"/>
      <c r="H54" s="268"/>
      <c r="I54" s="268"/>
      <c r="J54" s="268"/>
      <c r="K54" s="268"/>
      <c r="L54" s="450"/>
      <c r="M54" s="268"/>
      <c r="N54" s="268"/>
      <c r="O54" s="268"/>
      <c r="P54" s="268"/>
      <c r="Q54" s="450"/>
      <c r="R54" s="268"/>
      <c r="S54" s="268"/>
      <c r="T54" s="268"/>
      <c r="U54" s="268"/>
      <c r="V54" s="450"/>
      <c r="W54" s="268"/>
      <c r="X54" s="268"/>
      <c r="Y54" s="268"/>
      <c r="Z54" s="268"/>
      <c r="AA54" s="450"/>
      <c r="AB54" s="268"/>
      <c r="AC54" s="268"/>
      <c r="AD54" s="268"/>
      <c r="AE54" s="268"/>
      <c r="AF54" s="450"/>
      <c r="AG54" s="268"/>
      <c r="AH54" s="268"/>
      <c r="AI54" s="268"/>
      <c r="AJ54" s="268"/>
      <c r="AK54" s="450"/>
      <c r="AL54" s="268"/>
      <c r="AM54" s="268"/>
      <c r="AN54" s="268"/>
      <c r="AO54" s="268"/>
      <c r="AP54" s="397"/>
      <c r="AQ54" s="509"/>
      <c r="AR54" s="397"/>
      <c r="AS54" s="93"/>
      <c r="AT54" s="359"/>
      <c r="AU54" s="518"/>
      <c r="AV54" s="524"/>
      <c r="AW54" s="518"/>
      <c r="AX54" s="93"/>
      <c r="AY54" s="364"/>
      <c r="AZ54" s="480"/>
      <c r="BA54" s="525"/>
      <c r="BB54" s="480"/>
      <c r="BC54" s="93"/>
      <c r="BD54" s="368"/>
      <c r="BE54" s="477"/>
      <c r="BF54" s="560"/>
      <c r="BG54" s="477"/>
      <c r="BH54" s="93"/>
      <c r="BI54" s="402"/>
      <c r="BJ54" s="478"/>
      <c r="BK54" s="609"/>
      <c r="BL54" s="478"/>
      <c r="BM54" s="93"/>
      <c r="BN54" s="372"/>
      <c r="BO54" s="455"/>
      <c r="BP54" s="557"/>
      <c r="BQ54" s="455"/>
      <c r="BR54" s="93"/>
      <c r="BS54" s="380"/>
      <c r="BT54" s="492"/>
      <c r="BU54" s="566"/>
      <c r="BV54" s="492"/>
      <c r="BW54" s="93"/>
      <c r="BX54" s="385"/>
      <c r="BY54" s="490"/>
      <c r="BZ54" s="605"/>
      <c r="CA54" s="490"/>
      <c r="CB54" s="93"/>
      <c r="CC54" s="387"/>
      <c r="CD54" s="404"/>
      <c r="CE54" s="363"/>
      <c r="CF54" s="404"/>
      <c r="CG54" s="93"/>
      <c r="CH54" s="387"/>
      <c r="CI54" s="404"/>
      <c r="CJ54" s="363"/>
      <c r="CK54" s="520"/>
      <c r="CL54" s="93"/>
      <c r="CM54" s="390" t="str">
        <f>IFERROR(__xludf.DUMMYFUNCTION("""COMPUTED_VALUE"""),"")</f>
        <v/>
      </c>
      <c r="CN54" s="489" t="str">
        <f>IFERROR(__xludf.DUMMYFUNCTION("""COMPUTED_VALUE"""),"Dolliv")</f>
        <v>Dolliv</v>
      </c>
      <c r="CO54" s="532" t="s">
        <v>158</v>
      </c>
      <c r="CP54" s="523"/>
      <c r="CQ54" s="93"/>
      <c r="CR54" s="413"/>
      <c r="CS54" s="506"/>
      <c r="CT54" s="474"/>
      <c r="CU54" s="506"/>
      <c r="CV54" s="93"/>
      <c r="CW54" s="408"/>
      <c r="CX54" s="506"/>
      <c r="CY54" s="474"/>
      <c r="CZ54" s="506"/>
      <c r="DA54" s="408"/>
      <c r="DB54" s="408"/>
      <c r="DC54" s="506"/>
      <c r="DD54" s="474"/>
      <c r="DE54" s="506"/>
      <c r="DF54" s="93"/>
      <c r="DG54" s="242"/>
      <c r="DH54" s="426"/>
      <c r="DI54" s="474"/>
      <c r="DJ54" s="474"/>
      <c r="DK54" s="93"/>
      <c r="DL54" s="429"/>
      <c r="DM54" s="430"/>
      <c r="DN54" s="474"/>
      <c r="DO54" s="474"/>
      <c r="DP54" s="93"/>
      <c r="DQ54" s="439"/>
      <c r="DR54" s="441"/>
      <c r="DS54" s="474"/>
      <c r="DT54" s="474"/>
      <c r="DU54" s="93"/>
      <c r="DV54" s="442"/>
      <c r="DW54" s="443"/>
      <c r="DX54" s="363"/>
      <c r="DY54" s="345"/>
      <c r="DZ54" s="93"/>
      <c r="EA54" s="21"/>
    </row>
    <row r="55" ht="17.25" customHeight="1">
      <c r="A55" s="446"/>
      <c r="B55" s="447"/>
      <c r="C55" s="234"/>
      <c r="D55" s="235"/>
      <c r="E55" s="93"/>
      <c r="F55" s="268"/>
      <c r="G55" s="268"/>
      <c r="H55" s="268"/>
      <c r="I55" s="268"/>
      <c r="J55" s="268"/>
      <c r="K55" s="268"/>
      <c r="L55" s="450"/>
      <c r="M55" s="268"/>
      <c r="N55" s="268"/>
      <c r="O55" s="268"/>
      <c r="P55" s="268"/>
      <c r="Q55" s="450"/>
      <c r="R55" s="268"/>
      <c r="S55" s="268"/>
      <c r="T55" s="268"/>
      <c r="U55" s="268"/>
      <c r="V55" s="450"/>
      <c r="W55" s="268"/>
      <c r="X55" s="268"/>
      <c r="Y55" s="268"/>
      <c r="Z55" s="268"/>
      <c r="AA55" s="450"/>
      <c r="AB55" s="268"/>
      <c r="AC55" s="268"/>
      <c r="AD55" s="268"/>
      <c r="AE55" s="268"/>
      <c r="AF55" s="450"/>
      <c r="AG55" s="268"/>
      <c r="AH55" s="268"/>
      <c r="AI55" s="268"/>
      <c r="AJ55" s="268"/>
      <c r="AK55" s="450"/>
      <c r="AL55" s="268"/>
      <c r="AM55" s="268"/>
      <c r="AN55" s="268"/>
      <c r="AO55" s="268"/>
      <c r="AP55" s="397"/>
      <c r="AQ55" s="509"/>
      <c r="AR55" s="397"/>
      <c r="AS55" s="93"/>
      <c r="AT55" s="359"/>
      <c r="AU55" s="518"/>
      <c r="AV55" s="524"/>
      <c r="AW55" s="518"/>
      <c r="AX55" s="93"/>
      <c r="AY55" s="364"/>
      <c r="AZ55" s="480"/>
      <c r="BA55" s="525"/>
      <c r="BB55" s="480"/>
      <c r="BC55" s="93"/>
      <c r="BD55" s="368"/>
      <c r="BE55" s="477"/>
      <c r="BF55" s="560"/>
      <c r="BG55" s="477"/>
      <c r="BH55" s="93"/>
      <c r="BI55" s="402"/>
      <c r="BJ55" s="478"/>
      <c r="BK55" s="609"/>
      <c r="BL55" s="478"/>
      <c r="BM55" s="93"/>
      <c r="BN55" s="372"/>
      <c r="BO55" s="455"/>
      <c r="BP55" s="557"/>
      <c r="BQ55" s="455"/>
      <c r="BR55" s="93"/>
      <c r="BS55" s="380"/>
      <c r="BT55" s="492"/>
      <c r="BU55" s="566"/>
      <c r="BV55" s="492"/>
      <c r="BW55" s="93"/>
      <c r="BX55" s="385"/>
      <c r="BY55" s="490"/>
      <c r="BZ55" s="605"/>
      <c r="CA55" s="490"/>
      <c r="CB55" s="93"/>
      <c r="CC55" s="387"/>
      <c r="CD55" s="404"/>
      <c r="CE55" s="363"/>
      <c r="CF55" s="404"/>
      <c r="CG55" s="93"/>
      <c r="CH55" s="387"/>
      <c r="CI55" s="404"/>
      <c r="CJ55" s="363"/>
      <c r="CK55" s="520"/>
      <c r="CL55" s="93"/>
      <c r="CM55" s="390" t="str">
        <f>IFERROR(__xludf.DUMMYFUNCTION("""COMPUTED_VALUE"""),"")</f>
        <v/>
      </c>
      <c r="CN55" s="489" t="str">
        <f>IFERROR(__xludf.DUMMYFUNCTION("""COMPUTED_VALUE"""),"Dragonair")</f>
        <v>Dragonair</v>
      </c>
      <c r="CO55" s="532" t="s">
        <v>158</v>
      </c>
      <c r="CP55" s="523"/>
      <c r="CQ55" s="93"/>
      <c r="CR55" s="413"/>
      <c r="CS55" s="506"/>
      <c r="CT55" s="474"/>
      <c r="CU55" s="506"/>
      <c r="CV55" s="93"/>
      <c r="CW55" s="408"/>
      <c r="CX55" s="506"/>
      <c r="CY55" s="474"/>
      <c r="CZ55" s="506"/>
      <c r="DA55" s="408"/>
      <c r="DB55" s="408"/>
      <c r="DC55" s="506"/>
      <c r="DD55" s="474"/>
      <c r="DE55" s="506"/>
      <c r="DF55" s="93"/>
      <c r="DG55" s="242"/>
      <c r="DH55" s="426"/>
      <c r="DI55" s="474"/>
      <c r="DJ55" s="474"/>
      <c r="DK55" s="93"/>
      <c r="DL55" s="429"/>
      <c r="DM55" s="430"/>
      <c r="DN55" s="474"/>
      <c r="DO55" s="474"/>
      <c r="DP55" s="93"/>
      <c r="DQ55" s="439"/>
      <c r="DR55" s="441"/>
      <c r="DS55" s="474"/>
      <c r="DT55" s="474"/>
      <c r="DU55" s="93"/>
      <c r="DV55" s="442"/>
      <c r="DW55" s="443"/>
      <c r="DX55" s="363"/>
      <c r="DY55" s="345"/>
      <c r="DZ55" s="93"/>
      <c r="EA55" s="21"/>
    </row>
    <row r="56" ht="17.25" customHeight="1">
      <c r="A56" s="446"/>
      <c r="B56" s="447"/>
      <c r="C56" s="234"/>
      <c r="D56" s="235"/>
      <c r="E56" s="93"/>
      <c r="F56" s="268"/>
      <c r="G56" s="268"/>
      <c r="H56" s="268"/>
      <c r="I56" s="268"/>
      <c r="J56" s="268"/>
      <c r="K56" s="268"/>
      <c r="L56" s="450"/>
      <c r="M56" s="268"/>
      <c r="N56" s="268"/>
      <c r="O56" s="268"/>
      <c r="P56" s="268"/>
      <c r="Q56" s="450"/>
      <c r="R56" s="268"/>
      <c r="S56" s="268"/>
      <c r="T56" s="268"/>
      <c r="U56" s="268"/>
      <c r="V56" s="450"/>
      <c r="W56" s="268"/>
      <c r="X56" s="268"/>
      <c r="Y56" s="268"/>
      <c r="Z56" s="268"/>
      <c r="AA56" s="450"/>
      <c r="AB56" s="268"/>
      <c r="AC56" s="268"/>
      <c r="AD56" s="268"/>
      <c r="AE56" s="268"/>
      <c r="AF56" s="450"/>
      <c r="AG56" s="268"/>
      <c r="AH56" s="268"/>
      <c r="AI56" s="268"/>
      <c r="AJ56" s="268"/>
      <c r="AK56" s="450"/>
      <c r="AL56" s="268"/>
      <c r="AM56" s="268"/>
      <c r="AN56" s="268"/>
      <c r="AO56" s="268"/>
      <c r="AP56" s="397"/>
      <c r="AQ56" s="509"/>
      <c r="AR56" s="397"/>
      <c r="AS56" s="93"/>
      <c r="AT56" s="359"/>
      <c r="AU56" s="518"/>
      <c r="AV56" s="524"/>
      <c r="AW56" s="518"/>
      <c r="AX56" s="93"/>
      <c r="AY56" s="364"/>
      <c r="AZ56" s="480"/>
      <c r="BA56" s="525"/>
      <c r="BB56" s="480"/>
      <c r="BC56" s="93"/>
      <c r="BD56" s="368"/>
      <c r="BE56" s="477"/>
      <c r="BF56" s="560"/>
      <c r="BG56" s="477"/>
      <c r="BH56" s="93"/>
      <c r="BI56" s="402"/>
      <c r="BJ56" s="478"/>
      <c r="BK56" s="609"/>
      <c r="BL56" s="478"/>
      <c r="BM56" s="93"/>
      <c r="BN56" s="372"/>
      <c r="BO56" s="455"/>
      <c r="BP56" s="557"/>
      <c r="BQ56" s="455"/>
      <c r="BR56" s="93"/>
      <c r="BS56" s="380"/>
      <c r="BT56" s="492"/>
      <c r="BU56" s="566"/>
      <c r="BV56" s="492"/>
      <c r="BW56" s="93"/>
      <c r="BX56" s="385"/>
      <c r="BY56" s="490"/>
      <c r="BZ56" s="605"/>
      <c r="CA56" s="490"/>
      <c r="CB56" s="93"/>
      <c r="CC56" s="387"/>
      <c r="CD56" s="404"/>
      <c r="CE56" s="363"/>
      <c r="CF56" s="404"/>
      <c r="CG56" s="93"/>
      <c r="CH56" s="387"/>
      <c r="CI56" s="404"/>
      <c r="CJ56" s="363"/>
      <c r="CK56" s="520"/>
      <c r="CL56" s="93"/>
      <c r="CM56" s="390" t="str">
        <f>IFERROR(__xludf.DUMMYFUNCTION("""COMPUTED_VALUE"""),"")</f>
        <v/>
      </c>
      <c r="CN56" s="489" t="str">
        <f>IFERROR(__xludf.DUMMYFUNCTION("""COMPUTED_VALUE"""),"Drakloak")</f>
        <v>Drakloak</v>
      </c>
      <c r="CO56" s="532" t="s">
        <v>158</v>
      </c>
      <c r="CP56" s="523"/>
      <c r="CQ56" s="93"/>
      <c r="CR56" s="413"/>
      <c r="CS56" s="506"/>
      <c r="CT56" s="474"/>
      <c r="CU56" s="506"/>
      <c r="CV56" s="93"/>
      <c r="CW56" s="408"/>
      <c r="CX56" s="506"/>
      <c r="CY56" s="474"/>
      <c r="CZ56" s="506"/>
      <c r="DA56" s="408"/>
      <c r="DB56" s="408"/>
      <c r="DC56" s="506"/>
      <c r="DD56" s="474"/>
      <c r="DE56" s="506"/>
      <c r="DF56" s="93"/>
      <c r="DG56" s="242"/>
      <c r="DH56" s="426"/>
      <c r="DI56" s="474"/>
      <c r="DJ56" s="474"/>
      <c r="DK56" s="93"/>
      <c r="DL56" s="429"/>
      <c r="DM56" s="430"/>
      <c r="DN56" s="474"/>
      <c r="DO56" s="474"/>
      <c r="DP56" s="93"/>
      <c r="DQ56" s="439"/>
      <c r="DR56" s="441"/>
      <c r="DS56" s="474"/>
      <c r="DT56" s="474"/>
      <c r="DU56" s="93"/>
      <c r="DV56" s="442"/>
      <c r="DW56" s="443"/>
      <c r="DX56" s="363"/>
      <c r="DY56" s="345"/>
      <c r="DZ56" s="93"/>
      <c r="EA56" s="21"/>
    </row>
    <row r="57" ht="17.25" customHeight="1">
      <c r="A57" s="406"/>
      <c r="B57" s="407"/>
      <c r="C57" s="234"/>
      <c r="D57" s="235"/>
      <c r="E57" s="93"/>
      <c r="F57" s="268"/>
      <c r="G57" s="268"/>
      <c r="H57" s="268"/>
      <c r="I57" s="268"/>
      <c r="J57" s="268"/>
      <c r="K57" s="268"/>
      <c r="L57" s="450"/>
      <c r="M57" s="268"/>
      <c r="N57" s="268"/>
      <c r="O57" s="268"/>
      <c r="P57" s="268"/>
      <c r="Q57" s="450"/>
      <c r="R57" s="268"/>
      <c r="S57" s="268"/>
      <c r="T57" s="268"/>
      <c r="U57" s="268"/>
      <c r="V57" s="450"/>
      <c r="W57" s="268"/>
      <c r="X57" s="268"/>
      <c r="Y57" s="268"/>
      <c r="Z57" s="268"/>
      <c r="AA57" s="450"/>
      <c r="AB57" s="268"/>
      <c r="AC57" s="268"/>
      <c r="AD57" s="268"/>
      <c r="AE57" s="268"/>
      <c r="AF57" s="450"/>
      <c r="AG57" s="268"/>
      <c r="AH57" s="268"/>
      <c r="AI57" s="268"/>
      <c r="AJ57" s="268"/>
      <c r="AK57" s="450"/>
      <c r="AL57" s="268"/>
      <c r="AM57" s="268"/>
      <c r="AN57" s="268"/>
      <c r="AO57" s="268"/>
      <c r="AP57" s="397"/>
      <c r="AQ57" s="509"/>
      <c r="AR57" s="397"/>
      <c r="AS57" s="93"/>
      <c r="AT57" s="359"/>
      <c r="AU57" s="518"/>
      <c r="AV57" s="524"/>
      <c r="AW57" s="518"/>
      <c r="AX57" s="93"/>
      <c r="AY57" s="364"/>
      <c r="AZ57" s="480"/>
      <c r="BA57" s="525"/>
      <c r="BB57" s="480"/>
      <c r="BC57" s="93"/>
      <c r="BD57" s="368"/>
      <c r="BE57" s="477"/>
      <c r="BF57" s="560"/>
      <c r="BG57" s="477"/>
      <c r="BH57" s="93"/>
      <c r="BI57" s="402"/>
      <c r="BJ57" s="478"/>
      <c r="BK57" s="609"/>
      <c r="BL57" s="478"/>
      <c r="BM57" s="93"/>
      <c r="BN57" s="372"/>
      <c r="BO57" s="455"/>
      <c r="BP57" s="557"/>
      <c r="BQ57" s="455"/>
      <c r="BR57" s="93"/>
      <c r="BS57" s="380"/>
      <c r="BT57" s="492"/>
      <c r="BU57" s="566"/>
      <c r="BV57" s="492"/>
      <c r="BW57" s="93"/>
      <c r="BX57" s="385"/>
      <c r="BY57" s="490"/>
      <c r="BZ57" s="605"/>
      <c r="CA57" s="490"/>
      <c r="CB57" s="93"/>
      <c r="CC57" s="387"/>
      <c r="CD57" s="404"/>
      <c r="CE57" s="363"/>
      <c r="CF57" s="404"/>
      <c r="CG57" s="93"/>
      <c r="CH57" s="387"/>
      <c r="CI57" s="404"/>
      <c r="CJ57" s="363"/>
      <c r="CK57" s="520"/>
      <c r="CL57" s="93"/>
      <c r="CM57" s="390" t="str">
        <f>IFERROR(__xludf.DUMMYFUNCTION("""COMPUTED_VALUE"""),"")</f>
        <v/>
      </c>
      <c r="CN57" s="489" t="str">
        <f>IFERROR(__xludf.DUMMYFUNCTION("""COMPUTED_VALUE"""),"Dratini")</f>
        <v>Dratini</v>
      </c>
      <c r="CO57" s="532" t="s">
        <v>158</v>
      </c>
      <c r="CP57" s="523"/>
      <c r="CQ57" s="93"/>
      <c r="CR57" s="413"/>
      <c r="CS57" s="506"/>
      <c r="CT57" s="474"/>
      <c r="CU57" s="506"/>
      <c r="CV57" s="93"/>
      <c r="CW57" s="408"/>
      <c r="CX57" s="506"/>
      <c r="CY57" s="474"/>
      <c r="CZ57" s="506"/>
      <c r="DA57" s="408"/>
      <c r="DB57" s="408"/>
      <c r="DC57" s="506"/>
      <c r="DD57" s="474"/>
      <c r="DE57" s="506"/>
      <c r="DF57" s="93"/>
      <c r="DG57" s="242"/>
      <c r="DH57" s="426"/>
      <c r="DI57" s="474"/>
      <c r="DJ57" s="474"/>
      <c r="DK57" s="93"/>
      <c r="DL57" s="429"/>
      <c r="DM57" s="430"/>
      <c r="DN57" s="474"/>
      <c r="DO57" s="474"/>
      <c r="DP57" s="93"/>
      <c r="DQ57" s="439"/>
      <c r="DR57" s="621"/>
      <c r="DS57" s="474"/>
      <c r="DT57" s="474"/>
      <c r="DU57" s="93"/>
      <c r="DV57" s="442"/>
      <c r="DW57" s="443"/>
      <c r="DX57" s="363"/>
      <c r="DY57" s="345"/>
      <c r="DZ57" s="93"/>
      <c r="EA57" s="21"/>
    </row>
    <row r="58" ht="17.25" customHeight="1">
      <c r="A58" s="446"/>
      <c r="B58" s="447"/>
      <c r="C58" s="234"/>
      <c r="D58" s="235"/>
      <c r="E58" s="93"/>
      <c r="F58" s="268"/>
      <c r="G58" s="268"/>
      <c r="H58" s="268"/>
      <c r="I58" s="268"/>
      <c r="J58" s="268"/>
      <c r="K58" s="268"/>
      <c r="L58" s="450"/>
      <c r="M58" s="268"/>
      <c r="N58" s="268"/>
      <c r="O58" s="268"/>
      <c r="P58" s="268"/>
      <c r="Q58" s="450"/>
      <c r="R58" s="268"/>
      <c r="S58" s="268"/>
      <c r="T58" s="268"/>
      <c r="U58" s="268"/>
      <c r="V58" s="450"/>
      <c r="W58" s="268"/>
      <c r="X58" s="268"/>
      <c r="Y58" s="268"/>
      <c r="Z58" s="268"/>
      <c r="AA58" s="450"/>
      <c r="AB58" s="268"/>
      <c r="AC58" s="268"/>
      <c r="AD58" s="268"/>
      <c r="AE58" s="268"/>
      <c r="AF58" s="450"/>
      <c r="AG58" s="268"/>
      <c r="AH58" s="268"/>
      <c r="AI58" s="268"/>
      <c r="AJ58" s="268"/>
      <c r="AK58" s="450"/>
      <c r="AL58" s="268"/>
      <c r="AM58" s="268"/>
      <c r="AN58" s="268"/>
      <c r="AO58" s="268"/>
      <c r="AP58" s="397"/>
      <c r="AQ58" s="509"/>
      <c r="AR58" s="397"/>
      <c r="AS58" s="93"/>
      <c r="AT58" s="359"/>
      <c r="AU58" s="518"/>
      <c r="AV58" s="524"/>
      <c r="AW58" s="518"/>
      <c r="AX58" s="93"/>
      <c r="AY58" s="364"/>
      <c r="AZ58" s="480"/>
      <c r="BA58" s="525"/>
      <c r="BB58" s="480"/>
      <c r="BC58" s="93"/>
      <c r="BD58" s="368"/>
      <c r="BE58" s="477"/>
      <c r="BF58" s="560"/>
      <c r="BG58" s="477"/>
      <c r="BH58" s="93"/>
      <c r="BI58" s="402"/>
      <c r="BJ58" s="478"/>
      <c r="BK58" s="609"/>
      <c r="BL58" s="478"/>
      <c r="BM58" s="93"/>
      <c r="BN58" s="372"/>
      <c r="BO58" s="455"/>
      <c r="BP58" s="557"/>
      <c r="BQ58" s="455"/>
      <c r="BR58" s="93"/>
      <c r="BS58" s="380"/>
      <c r="BT58" s="492"/>
      <c r="BU58" s="566"/>
      <c r="BV58" s="492"/>
      <c r="BW58" s="93"/>
      <c r="BX58" s="385"/>
      <c r="BY58" s="490"/>
      <c r="BZ58" s="605"/>
      <c r="CA58" s="490"/>
      <c r="CB58" s="93"/>
      <c r="CC58" s="387"/>
      <c r="CD58" s="404"/>
      <c r="CE58" s="363"/>
      <c r="CF58" s="404"/>
      <c r="CG58" s="93"/>
      <c r="CH58" s="387"/>
      <c r="CI58" s="404"/>
      <c r="CJ58" s="363"/>
      <c r="CK58" s="520"/>
      <c r="CL58" s="93"/>
      <c r="CM58" s="390" t="str">
        <f>IFERROR(__xludf.DUMMYFUNCTION("""COMPUTED_VALUE"""),"")</f>
        <v/>
      </c>
      <c r="CN58" s="489" t="str">
        <f>IFERROR(__xludf.DUMMYFUNCTION("""COMPUTED_VALUE"""),"Dreepy")</f>
        <v>Dreepy</v>
      </c>
      <c r="CO58" s="532" t="s">
        <v>158</v>
      </c>
      <c r="CP58" s="523"/>
      <c r="CQ58" s="93"/>
      <c r="CR58" s="413"/>
      <c r="CS58" s="506"/>
      <c r="CT58" s="474"/>
      <c r="CU58" s="506"/>
      <c r="CV58" s="93"/>
      <c r="CW58" s="408"/>
      <c r="CX58" s="506"/>
      <c r="CY58" s="474"/>
      <c r="CZ58" s="506"/>
      <c r="DA58" s="408"/>
      <c r="DB58" s="408"/>
      <c r="DC58" s="506"/>
      <c r="DD58" s="474"/>
      <c r="DE58" s="506"/>
      <c r="DF58" s="93"/>
      <c r="DG58" s="628"/>
      <c r="DH58" s="426"/>
      <c r="DI58" s="474"/>
      <c r="DJ58" s="474"/>
      <c r="DK58" s="93"/>
      <c r="DL58" s="429"/>
      <c r="DM58" s="430"/>
      <c r="DN58" s="474"/>
      <c r="DO58" s="474"/>
      <c r="DP58" s="93"/>
      <c r="DQ58" s="439"/>
      <c r="DR58" s="506"/>
      <c r="DS58" s="474"/>
      <c r="DT58" s="474"/>
      <c r="DU58" s="93"/>
      <c r="DV58" s="442"/>
      <c r="DW58" s="443"/>
      <c r="DX58" s="363"/>
      <c r="DY58" s="345"/>
      <c r="DZ58" s="93"/>
      <c r="EA58" s="21"/>
    </row>
    <row r="59" ht="17.25" customHeight="1">
      <c r="A59" s="446"/>
      <c r="B59" s="447"/>
      <c r="C59" s="234"/>
      <c r="D59" s="235"/>
      <c r="E59" s="93"/>
      <c r="F59" s="268"/>
      <c r="G59" s="268"/>
      <c r="H59" s="268"/>
      <c r="I59" s="268"/>
      <c r="J59" s="268"/>
      <c r="K59" s="268"/>
      <c r="L59" s="450"/>
      <c r="M59" s="268"/>
      <c r="N59" s="268"/>
      <c r="O59" s="268"/>
      <c r="P59" s="268"/>
      <c r="Q59" s="450"/>
      <c r="R59" s="268"/>
      <c r="S59" s="268"/>
      <c r="T59" s="268"/>
      <c r="U59" s="268"/>
      <c r="V59" s="450"/>
      <c r="W59" s="268"/>
      <c r="X59" s="268"/>
      <c r="Y59" s="268"/>
      <c r="Z59" s="268"/>
      <c r="AA59" s="450"/>
      <c r="AB59" s="268"/>
      <c r="AC59" s="268"/>
      <c r="AD59" s="268"/>
      <c r="AE59" s="268"/>
      <c r="AF59" s="450"/>
      <c r="AG59" s="268"/>
      <c r="AH59" s="268"/>
      <c r="AI59" s="268"/>
      <c r="AJ59" s="268"/>
      <c r="AK59" s="450"/>
      <c r="AL59" s="268"/>
      <c r="AM59" s="268"/>
      <c r="AN59" s="268"/>
      <c r="AO59" s="268"/>
      <c r="AP59" s="397"/>
      <c r="AQ59" s="509"/>
      <c r="AR59" s="397"/>
      <c r="AS59" s="93"/>
      <c r="AT59" s="359"/>
      <c r="AU59" s="518"/>
      <c r="AV59" s="524"/>
      <c r="AW59" s="518"/>
      <c r="AX59" s="93"/>
      <c r="AY59" s="364"/>
      <c r="AZ59" s="480"/>
      <c r="BA59" s="525"/>
      <c r="BB59" s="480"/>
      <c r="BC59" s="93"/>
      <c r="BD59" s="368"/>
      <c r="BE59" s="477"/>
      <c r="BF59" s="560"/>
      <c r="BG59" s="477"/>
      <c r="BH59" s="93"/>
      <c r="BI59" s="402"/>
      <c r="BJ59" s="478"/>
      <c r="BK59" s="609"/>
      <c r="BL59" s="478"/>
      <c r="BM59" s="93"/>
      <c r="BN59" s="372"/>
      <c r="BO59" s="455"/>
      <c r="BP59" s="557"/>
      <c r="BQ59" s="455"/>
      <c r="BR59" s="93"/>
      <c r="BS59" s="380"/>
      <c r="BT59" s="492"/>
      <c r="BU59" s="566"/>
      <c r="BV59" s="492"/>
      <c r="BW59" s="93"/>
      <c r="BX59" s="385"/>
      <c r="BY59" s="490"/>
      <c r="BZ59" s="605"/>
      <c r="CA59" s="490"/>
      <c r="CB59" s="93"/>
      <c r="CC59" s="387"/>
      <c r="CD59" s="404"/>
      <c r="CE59" s="363"/>
      <c r="CF59" s="404"/>
      <c r="CG59" s="93"/>
      <c r="CH59" s="387"/>
      <c r="CI59" s="404"/>
      <c r="CJ59" s="363"/>
      <c r="CK59" s="520"/>
      <c r="CL59" s="93"/>
      <c r="CM59" s="390" t="str">
        <f>IFERROR(__xludf.DUMMYFUNCTION("""COMPUTED_VALUE"""),"")</f>
        <v/>
      </c>
      <c r="CN59" s="489" t="str">
        <f>IFERROR(__xludf.DUMMYFUNCTION("""COMPUTED_VALUE"""),"Drifloon")</f>
        <v>Drifloon</v>
      </c>
      <c r="CO59" s="532" t="s">
        <v>158</v>
      </c>
      <c r="CP59" s="523"/>
      <c r="CQ59" s="93"/>
      <c r="CR59" s="413"/>
      <c r="CS59" s="506"/>
      <c r="CT59" s="474"/>
      <c r="CU59" s="506"/>
      <c r="CV59" s="93"/>
      <c r="CW59" s="408"/>
      <c r="CX59" s="506"/>
      <c r="CY59" s="474"/>
      <c r="CZ59" s="506"/>
      <c r="DA59" s="408"/>
      <c r="DB59" s="408"/>
      <c r="DC59" s="506"/>
      <c r="DD59" s="474"/>
      <c r="DE59" s="506"/>
      <c r="DF59" s="93"/>
      <c r="DG59" s="628"/>
      <c r="DH59" s="506"/>
      <c r="DI59" s="506"/>
      <c r="DJ59" s="506"/>
      <c r="DK59" s="93"/>
      <c r="DL59" s="429"/>
      <c r="DM59" s="430"/>
      <c r="DN59" s="474"/>
      <c r="DO59" s="474"/>
      <c r="DP59" s="93"/>
      <c r="DQ59" s="439"/>
      <c r="DR59" s="506"/>
      <c r="DS59" s="474"/>
      <c r="DT59" s="474"/>
      <c r="DU59" s="93"/>
      <c r="DV59" s="442"/>
      <c r="DW59" s="443"/>
      <c r="DX59" s="363"/>
      <c r="DY59" s="345"/>
      <c r="DZ59" s="93"/>
      <c r="EA59" s="21"/>
    </row>
    <row r="60" ht="17.25" customHeight="1">
      <c r="A60" s="446"/>
      <c r="B60" s="447"/>
      <c r="C60" s="234"/>
      <c r="D60" s="235"/>
      <c r="E60" s="93"/>
      <c r="F60" s="268"/>
      <c r="G60" s="268"/>
      <c r="H60" s="268"/>
      <c r="I60" s="268"/>
      <c r="J60" s="268"/>
      <c r="K60" s="268"/>
      <c r="L60" s="450"/>
      <c r="M60" s="268"/>
      <c r="N60" s="268"/>
      <c r="O60" s="268"/>
      <c r="P60" s="268"/>
      <c r="Q60" s="450"/>
      <c r="R60" s="268"/>
      <c r="S60" s="268"/>
      <c r="T60" s="268"/>
      <c r="U60" s="268"/>
      <c r="V60" s="450"/>
      <c r="W60" s="268"/>
      <c r="X60" s="268"/>
      <c r="Y60" s="268"/>
      <c r="Z60" s="268"/>
      <c r="AA60" s="450"/>
      <c r="AB60" s="268"/>
      <c r="AC60" s="268"/>
      <c r="AD60" s="268"/>
      <c r="AE60" s="268"/>
      <c r="AF60" s="450"/>
      <c r="AG60" s="268"/>
      <c r="AH60" s="268"/>
      <c r="AI60" s="268"/>
      <c r="AJ60" s="268"/>
      <c r="AK60" s="450"/>
      <c r="AL60" s="268"/>
      <c r="AM60" s="268"/>
      <c r="AN60" s="268"/>
      <c r="AO60" s="268"/>
      <c r="AP60" s="397"/>
      <c r="AQ60" s="509"/>
      <c r="AR60" s="397"/>
      <c r="AS60" s="93"/>
      <c r="AT60" s="359"/>
      <c r="AU60" s="518"/>
      <c r="AV60" s="524"/>
      <c r="AW60" s="518"/>
      <c r="AX60" s="93"/>
      <c r="AY60" s="364"/>
      <c r="AZ60" s="480"/>
      <c r="BA60" s="525"/>
      <c r="BB60" s="480"/>
      <c r="BC60" s="93"/>
      <c r="BD60" s="368"/>
      <c r="BE60" s="477"/>
      <c r="BF60" s="560"/>
      <c r="BG60" s="477"/>
      <c r="BH60" s="93"/>
      <c r="BI60" s="402"/>
      <c r="BJ60" s="478"/>
      <c r="BK60" s="609"/>
      <c r="BL60" s="478"/>
      <c r="BM60" s="93"/>
      <c r="BN60" s="372"/>
      <c r="BO60" s="455"/>
      <c r="BP60" s="557"/>
      <c r="BQ60" s="455"/>
      <c r="BR60" s="93"/>
      <c r="BS60" s="380"/>
      <c r="BT60" s="492"/>
      <c r="BU60" s="566"/>
      <c r="BV60" s="492"/>
      <c r="BW60" s="93"/>
      <c r="BX60" s="385"/>
      <c r="BY60" s="490"/>
      <c r="BZ60" s="605"/>
      <c r="CA60" s="490"/>
      <c r="CB60" s="93"/>
      <c r="CC60" s="387"/>
      <c r="CD60" s="404"/>
      <c r="CE60" s="363"/>
      <c r="CF60" s="404"/>
      <c r="CG60" s="93"/>
      <c r="CH60" s="387"/>
      <c r="CI60" s="404"/>
      <c r="CJ60" s="363"/>
      <c r="CK60" s="520"/>
      <c r="CL60" s="93"/>
      <c r="CM60" s="390" t="str">
        <f>IFERROR(__xludf.DUMMYFUNCTION("""COMPUTED_VALUE"""),"")</f>
        <v/>
      </c>
      <c r="CN60" s="489" t="str">
        <f>IFERROR(__xludf.DUMMYFUNCTION("""COMPUTED_VALUE"""),"Drowzee")</f>
        <v>Drowzee</v>
      </c>
      <c r="CO60" s="532" t="s">
        <v>158</v>
      </c>
      <c r="CP60" s="523"/>
      <c r="CQ60" s="93"/>
      <c r="CR60" s="413"/>
      <c r="CS60" s="506"/>
      <c r="CT60" s="474"/>
      <c r="CU60" s="506"/>
      <c r="CV60" s="93"/>
      <c r="CW60" s="408"/>
      <c r="CX60" s="506"/>
      <c r="CY60" s="474"/>
      <c r="CZ60" s="506"/>
      <c r="DA60" s="408"/>
      <c r="DB60" s="408"/>
      <c r="DC60" s="506"/>
      <c r="DD60" s="474"/>
      <c r="DE60" s="506"/>
      <c r="DF60" s="93"/>
      <c r="DG60" s="628"/>
      <c r="DH60" s="506"/>
      <c r="DI60" s="506"/>
      <c r="DJ60" s="506"/>
      <c r="DK60" s="93"/>
      <c r="DL60" s="429"/>
      <c r="DM60" s="430"/>
      <c r="DN60" s="474"/>
      <c r="DO60" s="474"/>
      <c r="DP60" s="93"/>
      <c r="DQ60" s="439"/>
      <c r="DR60" s="506"/>
      <c r="DS60" s="474"/>
      <c r="DT60" s="474"/>
      <c r="DU60" s="93"/>
      <c r="DV60" s="442"/>
      <c r="DW60" s="443"/>
      <c r="DX60" s="363"/>
      <c r="DY60" s="345"/>
      <c r="DZ60" s="93"/>
      <c r="EA60" s="21"/>
    </row>
    <row r="61" ht="17.25" customHeight="1">
      <c r="A61" s="10"/>
      <c r="B61" s="87"/>
      <c r="C61" s="234"/>
      <c r="D61" s="235"/>
      <c r="E61" s="93"/>
      <c r="F61" s="268"/>
      <c r="G61" s="268"/>
      <c r="H61" s="268"/>
      <c r="I61" s="268"/>
      <c r="J61" s="268"/>
      <c r="K61" s="268"/>
      <c r="L61" s="450"/>
      <c r="M61" s="268"/>
      <c r="N61" s="268"/>
      <c r="O61" s="268"/>
      <c r="P61" s="268"/>
      <c r="Q61" s="450"/>
      <c r="R61" s="268"/>
      <c r="S61" s="268"/>
      <c r="T61" s="268"/>
      <c r="U61" s="268"/>
      <c r="V61" s="450"/>
      <c r="W61" s="268"/>
      <c r="X61" s="268"/>
      <c r="Y61" s="268"/>
      <c r="Z61" s="268"/>
      <c r="AA61" s="450"/>
      <c r="AB61" s="268"/>
      <c r="AC61" s="268"/>
      <c r="AD61" s="268"/>
      <c r="AE61" s="268"/>
      <c r="AF61" s="450"/>
      <c r="AG61" s="268"/>
      <c r="AH61" s="268"/>
      <c r="AI61" s="268"/>
      <c r="AJ61" s="268"/>
      <c r="AK61" s="450"/>
      <c r="AL61" s="268"/>
      <c r="AM61" s="268"/>
      <c r="AN61" s="268"/>
      <c r="AO61" s="268"/>
      <c r="AP61" s="397"/>
      <c r="AQ61" s="509"/>
      <c r="AR61" s="397"/>
      <c r="AS61" s="93"/>
      <c r="AT61" s="359"/>
      <c r="AU61" s="518"/>
      <c r="AV61" s="524"/>
      <c r="AW61" s="518"/>
      <c r="AX61" s="93"/>
      <c r="AY61" s="364"/>
      <c r="AZ61" s="480"/>
      <c r="BA61" s="525"/>
      <c r="BB61" s="480"/>
      <c r="BC61" s="93"/>
      <c r="BD61" s="368"/>
      <c r="BE61" s="477"/>
      <c r="BF61" s="560"/>
      <c r="BG61" s="477"/>
      <c r="BH61" s="93"/>
      <c r="BI61" s="402"/>
      <c r="BJ61" s="478"/>
      <c r="BK61" s="609"/>
      <c r="BL61" s="478"/>
      <c r="BM61" s="93"/>
      <c r="BN61" s="372"/>
      <c r="BO61" s="455"/>
      <c r="BP61" s="557"/>
      <c r="BQ61" s="455"/>
      <c r="BR61" s="93"/>
      <c r="BS61" s="380"/>
      <c r="BT61" s="492"/>
      <c r="BU61" s="566"/>
      <c r="BV61" s="492"/>
      <c r="BW61" s="93"/>
      <c r="BX61" s="385"/>
      <c r="BY61" s="490"/>
      <c r="BZ61" s="605"/>
      <c r="CA61" s="490"/>
      <c r="CB61" s="93"/>
      <c r="CC61" s="387"/>
      <c r="CD61" s="404"/>
      <c r="CE61" s="363"/>
      <c r="CF61" s="404"/>
      <c r="CG61" s="93"/>
      <c r="CH61" s="387"/>
      <c r="CI61" s="404"/>
      <c r="CJ61" s="363"/>
      <c r="CK61" s="520"/>
      <c r="CL61" s="93"/>
      <c r="CM61" s="390" t="str">
        <f>IFERROR(__xludf.DUMMYFUNCTION("""COMPUTED_VALUE"""),"")</f>
        <v/>
      </c>
      <c r="CN61" s="489" t="str">
        <f>IFERROR(__xludf.DUMMYFUNCTION("""COMPUTED_VALUE"""),"Dugtrio")</f>
        <v>Dugtrio</v>
      </c>
      <c r="CO61" s="532" t="s">
        <v>158</v>
      </c>
      <c r="CP61" s="523"/>
      <c r="CQ61" s="93"/>
      <c r="CR61" s="413"/>
      <c r="CS61" s="414"/>
      <c r="CT61" s="632"/>
      <c r="CU61" s="414"/>
      <c r="CV61" s="93"/>
      <c r="CW61" s="415"/>
      <c r="CX61" s="468"/>
      <c r="CY61" s="633"/>
      <c r="CZ61" s="468"/>
      <c r="DA61" s="93"/>
      <c r="DB61" s="423"/>
      <c r="DC61" s="424"/>
      <c r="DD61" s="634"/>
      <c r="DE61" s="424"/>
      <c r="DF61" s="93"/>
      <c r="DG61" s="628"/>
      <c r="DH61" s="506"/>
      <c r="DI61" s="506"/>
      <c r="DJ61" s="506"/>
      <c r="DK61" s="93"/>
      <c r="DL61" s="429"/>
      <c r="DM61" s="430"/>
      <c r="DN61" s="474"/>
      <c r="DO61" s="474"/>
      <c r="DP61" s="93"/>
      <c r="DQ61" s="439"/>
      <c r="DR61" s="506"/>
      <c r="DS61" s="474"/>
      <c r="DT61" s="474"/>
      <c r="DU61" s="93"/>
      <c r="DV61" s="442"/>
      <c r="DW61" s="443"/>
      <c r="DX61" s="363"/>
      <c r="DY61" s="345"/>
      <c r="DZ61" s="93"/>
      <c r="EA61" s="21"/>
    </row>
    <row r="62" ht="17.25" customHeight="1">
      <c r="A62" s="446"/>
      <c r="B62" s="447"/>
      <c r="C62" s="234"/>
      <c r="D62" s="235"/>
      <c r="E62" s="93"/>
      <c r="F62" s="268"/>
      <c r="G62" s="268"/>
      <c r="H62" s="268"/>
      <c r="I62" s="268"/>
      <c r="J62" s="268"/>
      <c r="K62" s="268"/>
      <c r="L62" s="450"/>
      <c r="M62" s="268"/>
      <c r="N62" s="268"/>
      <c r="O62" s="268"/>
      <c r="P62" s="268"/>
      <c r="Q62" s="450"/>
      <c r="R62" s="268"/>
      <c r="S62" s="268"/>
      <c r="T62" s="268"/>
      <c r="U62" s="268"/>
      <c r="V62" s="450"/>
      <c r="W62" s="268"/>
      <c r="X62" s="268"/>
      <c r="Y62" s="268"/>
      <c r="Z62" s="268"/>
      <c r="AA62" s="450"/>
      <c r="AB62" s="268"/>
      <c r="AC62" s="268"/>
      <c r="AD62" s="268"/>
      <c r="AE62" s="268"/>
      <c r="AF62" s="450"/>
      <c r="AG62" s="268"/>
      <c r="AH62" s="268"/>
      <c r="AI62" s="268"/>
      <c r="AJ62" s="268"/>
      <c r="AK62" s="450"/>
      <c r="AL62" s="268"/>
      <c r="AM62" s="268"/>
      <c r="AN62" s="268"/>
      <c r="AO62" s="268"/>
      <c r="AP62" s="397"/>
      <c r="AQ62" s="509"/>
      <c r="AR62" s="397"/>
      <c r="AS62" s="93"/>
      <c r="AT62" s="359"/>
      <c r="AU62" s="518"/>
      <c r="AV62" s="524"/>
      <c r="AW62" s="518"/>
      <c r="AX62" s="93"/>
      <c r="AY62" s="364"/>
      <c r="AZ62" s="480"/>
      <c r="BA62" s="525"/>
      <c r="BB62" s="480"/>
      <c r="BC62" s="93"/>
      <c r="BD62" s="368"/>
      <c r="BE62" s="477"/>
      <c r="BF62" s="560"/>
      <c r="BG62" s="477"/>
      <c r="BH62" s="93"/>
      <c r="BI62" s="402"/>
      <c r="BJ62" s="478"/>
      <c r="BK62" s="609"/>
      <c r="BL62" s="478"/>
      <c r="BM62" s="93"/>
      <c r="BN62" s="372"/>
      <c r="BO62" s="455"/>
      <c r="BP62" s="557"/>
      <c r="BQ62" s="455"/>
      <c r="BR62" s="93"/>
      <c r="BS62" s="380"/>
      <c r="BT62" s="492"/>
      <c r="BU62" s="566"/>
      <c r="BV62" s="492"/>
      <c r="BW62" s="93"/>
      <c r="BX62" s="385"/>
      <c r="BY62" s="490"/>
      <c r="BZ62" s="605"/>
      <c r="CA62" s="490"/>
      <c r="CB62" s="93"/>
      <c r="CC62" s="387"/>
      <c r="CD62" s="404"/>
      <c r="CE62" s="363"/>
      <c r="CF62" s="404"/>
      <c r="CG62" s="93"/>
      <c r="CH62" s="387"/>
      <c r="CI62" s="404"/>
      <c r="CJ62" s="363"/>
      <c r="CK62" s="520"/>
      <c r="CL62" s="93"/>
      <c r="CM62" s="390" t="str">
        <f>IFERROR(__xludf.DUMMYFUNCTION("""COMPUTED_VALUE"""),"")</f>
        <v/>
      </c>
      <c r="CN62" s="489" t="str">
        <f>IFERROR(__xludf.DUMMYFUNCTION("""COMPUTED_VALUE"""),"Dunsparce")</f>
        <v>Dunsparce</v>
      </c>
      <c r="CO62" s="532" t="s">
        <v>158</v>
      </c>
      <c r="CP62" s="523"/>
      <c r="CQ62" s="93"/>
      <c r="CR62" s="413"/>
      <c r="CS62" s="414"/>
      <c r="CT62" s="632"/>
      <c r="CU62" s="414"/>
      <c r="CV62" s="93"/>
      <c r="CW62" s="415"/>
      <c r="CX62" s="468"/>
      <c r="CY62" s="633"/>
      <c r="CZ62" s="468"/>
      <c r="DA62" s="93"/>
      <c r="DB62" s="423"/>
      <c r="DC62" s="424"/>
      <c r="DD62" s="634"/>
      <c r="DE62" s="424"/>
      <c r="DF62" s="93"/>
      <c r="DG62" s="628"/>
      <c r="DH62" s="506"/>
      <c r="DI62" s="506"/>
      <c r="DJ62" s="506"/>
      <c r="DK62" s="93"/>
      <c r="DL62" s="429"/>
      <c r="DM62" s="430"/>
      <c r="DN62" s="474"/>
      <c r="DO62" s="474"/>
      <c r="DP62" s="93"/>
      <c r="DQ62" s="439"/>
      <c r="DR62" s="441"/>
      <c r="DS62" s="637"/>
      <c r="DT62" s="638"/>
      <c r="DU62" s="93"/>
      <c r="DV62" s="442"/>
      <c r="DW62" s="443"/>
      <c r="DX62" s="363"/>
      <c r="DY62" s="345"/>
      <c r="DZ62" s="93"/>
      <c r="EA62" s="21"/>
    </row>
    <row r="63" ht="17.25" customHeight="1">
      <c r="A63" s="10"/>
      <c r="B63" s="87"/>
      <c r="C63" s="234"/>
      <c r="D63" s="235"/>
      <c r="E63" s="93"/>
      <c r="F63" s="268"/>
      <c r="G63" s="268"/>
      <c r="H63" s="268"/>
      <c r="I63" s="268"/>
      <c r="J63" s="268"/>
      <c r="K63" s="268"/>
      <c r="L63" s="450"/>
      <c r="M63" s="268"/>
      <c r="N63" s="268"/>
      <c r="O63" s="268"/>
      <c r="P63" s="268"/>
      <c r="Q63" s="450"/>
      <c r="R63" s="268"/>
      <c r="S63" s="268"/>
      <c r="T63" s="268"/>
      <c r="U63" s="268"/>
      <c r="V63" s="450"/>
      <c r="W63" s="268"/>
      <c r="X63" s="268"/>
      <c r="Y63" s="268"/>
      <c r="Z63" s="268"/>
      <c r="AA63" s="450"/>
      <c r="AB63" s="268"/>
      <c r="AC63" s="268"/>
      <c r="AD63" s="268"/>
      <c r="AE63" s="268"/>
      <c r="AF63" s="450"/>
      <c r="AG63" s="268"/>
      <c r="AH63" s="268"/>
      <c r="AI63" s="268"/>
      <c r="AJ63" s="268"/>
      <c r="AK63" s="450"/>
      <c r="AL63" s="268"/>
      <c r="AM63" s="268"/>
      <c r="AN63" s="268"/>
      <c r="AO63" s="268"/>
      <c r="AP63" s="397"/>
      <c r="AQ63" s="509"/>
      <c r="AR63" s="397"/>
      <c r="AS63" s="93"/>
      <c r="AT63" s="359"/>
      <c r="AU63" s="518"/>
      <c r="AV63" s="524"/>
      <c r="AW63" s="518"/>
      <c r="AX63" s="93"/>
      <c r="AY63" s="364"/>
      <c r="AZ63" s="480"/>
      <c r="BA63" s="525"/>
      <c r="BB63" s="480"/>
      <c r="BC63" s="93"/>
      <c r="BD63" s="368"/>
      <c r="BE63" s="477"/>
      <c r="BF63" s="560"/>
      <c r="BG63" s="477"/>
      <c r="BH63" s="93"/>
      <c r="BI63" s="402"/>
      <c r="BJ63" s="478"/>
      <c r="BK63" s="609"/>
      <c r="BL63" s="478"/>
      <c r="BM63" s="93"/>
      <c r="BN63" s="372"/>
      <c r="BO63" s="455"/>
      <c r="BP63" s="557"/>
      <c r="BQ63" s="455"/>
      <c r="BR63" s="93"/>
      <c r="BS63" s="380"/>
      <c r="BT63" s="492"/>
      <c r="BU63" s="566"/>
      <c r="BV63" s="492"/>
      <c r="BW63" s="93"/>
      <c r="BX63" s="385"/>
      <c r="BY63" s="490"/>
      <c r="BZ63" s="605"/>
      <c r="CA63" s="490"/>
      <c r="CB63" s="93"/>
      <c r="CC63" s="387"/>
      <c r="CD63" s="404"/>
      <c r="CE63" s="363"/>
      <c r="CF63" s="404"/>
      <c r="CG63" s="93"/>
      <c r="CH63" s="387"/>
      <c r="CI63" s="404"/>
      <c r="CJ63" s="363"/>
      <c r="CK63" s="520"/>
      <c r="CL63" s="93"/>
      <c r="CM63" s="390" t="str">
        <f>IFERROR(__xludf.DUMMYFUNCTION("""COMPUTED_VALUE"""),"")</f>
        <v/>
      </c>
      <c r="CN63" s="489" t="str">
        <f>IFERROR(__xludf.DUMMYFUNCTION("""COMPUTED_VALUE"""),"Eelektrik")</f>
        <v>Eelektrik</v>
      </c>
      <c r="CO63" s="532" t="s">
        <v>158</v>
      </c>
      <c r="CP63" s="523"/>
      <c r="CQ63" s="93"/>
      <c r="CR63" s="413"/>
      <c r="CS63" s="414"/>
      <c r="CT63" s="632"/>
      <c r="CU63" s="414"/>
      <c r="CV63" s="93"/>
      <c r="CW63" s="415"/>
      <c r="CX63" s="468"/>
      <c r="CY63" s="633"/>
      <c r="CZ63" s="468"/>
      <c r="DA63" s="93"/>
      <c r="DB63" s="423"/>
      <c r="DC63" s="424"/>
      <c r="DD63" s="634"/>
      <c r="DE63" s="424"/>
      <c r="DF63" s="93"/>
      <c r="DG63" s="628"/>
      <c r="DH63" s="641"/>
      <c r="DI63" s="641"/>
      <c r="DJ63" s="641"/>
      <c r="DK63" s="93"/>
      <c r="DL63" s="429"/>
      <c r="DM63" s="430"/>
      <c r="DN63" s="474"/>
      <c r="DO63" s="474"/>
      <c r="DP63" s="93"/>
      <c r="DQ63" s="439"/>
      <c r="DR63" s="441"/>
      <c r="DS63" s="637"/>
      <c r="DT63" s="638"/>
      <c r="DU63" s="93"/>
      <c r="DV63" s="442"/>
      <c r="DW63" s="443"/>
      <c r="DX63" s="363"/>
      <c r="DY63" s="345"/>
      <c r="DZ63" s="87"/>
      <c r="EA63" s="10"/>
    </row>
    <row r="64" ht="17.25" customHeight="1">
      <c r="A64" s="406"/>
      <c r="B64" s="407"/>
      <c r="C64" s="234"/>
      <c r="D64" s="235"/>
      <c r="E64" s="93"/>
      <c r="F64" s="268"/>
      <c r="G64" s="268"/>
      <c r="H64" s="268"/>
      <c r="I64" s="268"/>
      <c r="J64" s="268"/>
      <c r="K64" s="268"/>
      <c r="L64" s="450"/>
      <c r="M64" s="268"/>
      <c r="N64" s="268"/>
      <c r="O64" s="268"/>
      <c r="P64" s="268"/>
      <c r="Q64" s="450"/>
      <c r="R64" s="268"/>
      <c r="S64" s="268"/>
      <c r="T64" s="268"/>
      <c r="U64" s="268"/>
      <c r="V64" s="450"/>
      <c r="W64" s="268"/>
      <c r="X64" s="268"/>
      <c r="Y64" s="268"/>
      <c r="Z64" s="268"/>
      <c r="AA64" s="450"/>
      <c r="AB64" s="268"/>
      <c r="AC64" s="268"/>
      <c r="AD64" s="268"/>
      <c r="AE64" s="268"/>
      <c r="AF64" s="450"/>
      <c r="AG64" s="268"/>
      <c r="AH64" s="268"/>
      <c r="AI64" s="268"/>
      <c r="AJ64" s="268"/>
      <c r="AK64" s="450"/>
      <c r="AL64" s="268"/>
      <c r="AM64" s="268"/>
      <c r="AN64" s="268"/>
      <c r="AO64" s="268"/>
      <c r="AP64" s="397"/>
      <c r="AQ64" s="509"/>
      <c r="AR64" s="397"/>
      <c r="AS64" s="93"/>
      <c r="AT64" s="359"/>
      <c r="AU64" s="518"/>
      <c r="AV64" s="524"/>
      <c r="AW64" s="518"/>
      <c r="AX64" s="93"/>
      <c r="AY64" s="364"/>
      <c r="AZ64" s="480"/>
      <c r="BA64" s="525"/>
      <c r="BB64" s="480"/>
      <c r="BC64" s="93"/>
      <c r="BD64" s="368"/>
      <c r="BE64" s="477"/>
      <c r="BF64" s="560"/>
      <c r="BG64" s="477"/>
      <c r="BH64" s="93"/>
      <c r="BI64" s="402"/>
      <c r="BJ64" s="478"/>
      <c r="BK64" s="609"/>
      <c r="BL64" s="478"/>
      <c r="BM64" s="93"/>
      <c r="BN64" s="372"/>
      <c r="BO64" s="455"/>
      <c r="BP64" s="557"/>
      <c r="BQ64" s="455"/>
      <c r="BR64" s="93"/>
      <c r="BS64" s="380"/>
      <c r="BT64" s="492"/>
      <c r="BU64" s="566"/>
      <c r="BV64" s="492"/>
      <c r="BW64" s="93"/>
      <c r="BX64" s="385"/>
      <c r="BY64" s="490"/>
      <c r="BZ64" s="605"/>
      <c r="CA64" s="490"/>
      <c r="CB64" s="93"/>
      <c r="CC64" s="387"/>
      <c r="CD64" s="404"/>
      <c r="CE64" s="363"/>
      <c r="CF64" s="404"/>
      <c r="CG64" s="93"/>
      <c r="CH64" s="387"/>
      <c r="CI64" s="404"/>
      <c r="CJ64" s="363"/>
      <c r="CK64" s="520"/>
      <c r="CL64" s="93"/>
      <c r="CM64" s="390" t="str">
        <f>IFERROR(__xludf.DUMMYFUNCTION("""COMPUTED_VALUE"""),"")</f>
        <v/>
      </c>
      <c r="CN64" s="489" t="str">
        <f>IFERROR(__xludf.DUMMYFUNCTION("""COMPUTED_VALUE"""),"Eelektross")</f>
        <v>Eelektross</v>
      </c>
      <c r="CO64" s="532" t="s">
        <v>158</v>
      </c>
      <c r="CP64" s="523"/>
      <c r="CQ64" s="93"/>
      <c r="CR64" s="413"/>
      <c r="CS64" s="414"/>
      <c r="CT64" s="632"/>
      <c r="CU64" s="414"/>
      <c r="CV64" s="93"/>
      <c r="CW64" s="415"/>
      <c r="CX64" s="468"/>
      <c r="CY64" s="633"/>
      <c r="CZ64" s="468"/>
      <c r="DA64" s="93"/>
      <c r="DB64" s="423"/>
      <c r="DC64" s="424"/>
      <c r="DD64" s="634"/>
      <c r="DE64" s="424"/>
      <c r="DF64" s="93"/>
      <c r="DG64" s="628"/>
      <c r="DH64" s="641"/>
      <c r="DI64" s="641"/>
      <c r="DJ64" s="641"/>
      <c r="DK64" s="93"/>
      <c r="DL64" s="429"/>
      <c r="DM64" s="430"/>
      <c r="DN64" s="474"/>
      <c r="DO64" s="474"/>
      <c r="DP64" s="93"/>
      <c r="DQ64" s="439"/>
      <c r="DR64" s="441"/>
      <c r="DS64" s="637"/>
      <c r="DT64" s="638"/>
      <c r="DU64" s="93"/>
      <c r="DV64" s="442"/>
      <c r="DW64" s="443"/>
      <c r="DX64" s="363"/>
      <c r="DY64" s="345"/>
      <c r="DZ64" s="87"/>
      <c r="EA64" s="10"/>
    </row>
    <row r="65" ht="17.25" customHeight="1">
      <c r="A65" s="446"/>
      <c r="B65" s="447"/>
      <c r="C65" s="234"/>
      <c r="D65" s="235"/>
      <c r="E65" s="93"/>
      <c r="F65" s="268"/>
      <c r="G65" s="268"/>
      <c r="H65" s="268"/>
      <c r="I65" s="268"/>
      <c r="J65" s="268"/>
      <c r="K65" s="268"/>
      <c r="L65" s="450"/>
      <c r="M65" s="268"/>
      <c r="N65" s="268"/>
      <c r="O65" s="268"/>
      <c r="P65" s="268"/>
      <c r="Q65" s="450"/>
      <c r="R65" s="268"/>
      <c r="S65" s="268"/>
      <c r="T65" s="268"/>
      <c r="U65" s="268"/>
      <c r="V65" s="450"/>
      <c r="W65" s="268"/>
      <c r="X65" s="268"/>
      <c r="Y65" s="268"/>
      <c r="Z65" s="268"/>
      <c r="AA65" s="450"/>
      <c r="AB65" s="268"/>
      <c r="AC65" s="268"/>
      <c r="AD65" s="268"/>
      <c r="AE65" s="268"/>
      <c r="AF65" s="450"/>
      <c r="AG65" s="268"/>
      <c r="AH65" s="268"/>
      <c r="AI65" s="268"/>
      <c r="AJ65" s="268"/>
      <c r="AK65" s="450"/>
      <c r="AL65" s="268"/>
      <c r="AM65" s="268"/>
      <c r="AN65" s="268"/>
      <c r="AO65" s="268"/>
      <c r="AP65" s="397"/>
      <c r="AQ65" s="509"/>
      <c r="AR65" s="397"/>
      <c r="AS65" s="93"/>
      <c r="AT65" s="359"/>
      <c r="AU65" s="518"/>
      <c r="AV65" s="524"/>
      <c r="AW65" s="518"/>
      <c r="AX65" s="93"/>
      <c r="AY65" s="364"/>
      <c r="AZ65" s="480"/>
      <c r="BA65" s="525"/>
      <c r="BB65" s="480"/>
      <c r="BC65" s="93"/>
      <c r="BD65" s="368"/>
      <c r="BE65" s="477"/>
      <c r="BF65" s="560"/>
      <c r="BG65" s="477"/>
      <c r="BH65" s="93"/>
      <c r="BI65" s="402"/>
      <c r="BJ65" s="478"/>
      <c r="BK65" s="609"/>
      <c r="BL65" s="478"/>
      <c r="BM65" s="93"/>
      <c r="BN65" s="372"/>
      <c r="BO65" s="455"/>
      <c r="BP65" s="557"/>
      <c r="BQ65" s="455"/>
      <c r="BR65" s="93"/>
      <c r="BS65" s="380"/>
      <c r="BT65" s="492"/>
      <c r="BU65" s="566"/>
      <c r="BV65" s="492"/>
      <c r="BW65" s="93"/>
      <c r="BX65" s="385"/>
      <c r="BY65" s="490"/>
      <c r="BZ65" s="605"/>
      <c r="CA65" s="490"/>
      <c r="CB65" s="93"/>
      <c r="CC65" s="387"/>
      <c r="CD65" s="404"/>
      <c r="CE65" s="363"/>
      <c r="CF65" s="404"/>
      <c r="CG65" s="93"/>
      <c r="CH65" s="387"/>
      <c r="CI65" s="404"/>
      <c r="CJ65" s="363"/>
      <c r="CK65" s="520"/>
      <c r="CL65" s="93"/>
      <c r="CM65" s="390" t="str">
        <f>IFERROR(__xludf.DUMMYFUNCTION("""COMPUTED_VALUE"""),"")</f>
        <v/>
      </c>
      <c r="CN65" s="489" t="str">
        <f>IFERROR(__xludf.DUMMYFUNCTION("""COMPUTED_VALUE"""),"Eevee")</f>
        <v>Eevee</v>
      </c>
      <c r="CO65" s="532" t="s">
        <v>158</v>
      </c>
      <c r="CP65" s="523"/>
      <c r="CQ65" s="93"/>
      <c r="CR65" s="413"/>
      <c r="CS65" s="414"/>
      <c r="CT65" s="632"/>
      <c r="CU65" s="414"/>
      <c r="CV65" s="93"/>
      <c r="CW65" s="415"/>
      <c r="CX65" s="468"/>
      <c r="CY65" s="633"/>
      <c r="CZ65" s="468"/>
      <c r="DA65" s="93"/>
      <c r="DB65" s="423"/>
      <c r="DC65" s="424"/>
      <c r="DD65" s="634"/>
      <c r="DE65" s="424"/>
      <c r="DF65" s="93"/>
      <c r="DG65" s="628"/>
      <c r="DH65" s="641"/>
      <c r="DI65" s="641"/>
      <c r="DJ65" s="641"/>
      <c r="DK65" s="93"/>
      <c r="DL65" s="429"/>
      <c r="DM65" s="430"/>
      <c r="DN65" s="474"/>
      <c r="DO65" s="474"/>
      <c r="DP65" s="93"/>
      <c r="DQ65" s="439"/>
      <c r="DR65" s="441"/>
      <c r="DS65" s="637"/>
      <c r="DT65" s="638"/>
      <c r="DU65" s="93"/>
      <c r="DV65" s="442"/>
      <c r="DW65" s="443"/>
      <c r="DX65" s="363"/>
      <c r="DY65" s="345"/>
      <c r="DZ65" s="87"/>
      <c r="EA65" s="10"/>
    </row>
    <row r="66" ht="17.25" customHeight="1">
      <c r="A66" s="10"/>
      <c r="B66" s="87"/>
      <c r="C66" s="234"/>
      <c r="D66" s="235"/>
      <c r="E66" s="93"/>
      <c r="F66" s="268"/>
      <c r="G66" s="268"/>
      <c r="H66" s="268"/>
      <c r="I66" s="268"/>
      <c r="J66" s="268"/>
      <c r="K66" s="268"/>
      <c r="L66" s="450"/>
      <c r="M66" s="268"/>
      <c r="N66" s="268"/>
      <c r="O66" s="268"/>
      <c r="P66" s="268"/>
      <c r="Q66" s="450"/>
      <c r="R66" s="268"/>
      <c r="S66" s="268"/>
      <c r="T66" s="268"/>
      <c r="U66" s="268"/>
      <c r="V66" s="450"/>
      <c r="W66" s="268"/>
      <c r="X66" s="268"/>
      <c r="Y66" s="268"/>
      <c r="Z66" s="268"/>
      <c r="AA66" s="450"/>
      <c r="AB66" s="268"/>
      <c r="AC66" s="268"/>
      <c r="AD66" s="268"/>
      <c r="AE66" s="268"/>
      <c r="AF66" s="450"/>
      <c r="AG66" s="268"/>
      <c r="AH66" s="268"/>
      <c r="AI66" s="268"/>
      <c r="AJ66" s="268"/>
      <c r="AK66" s="450"/>
      <c r="AL66" s="268"/>
      <c r="AM66" s="268"/>
      <c r="AN66" s="268"/>
      <c r="AO66" s="268"/>
      <c r="AP66" s="397"/>
      <c r="AQ66" s="509"/>
      <c r="AR66" s="397"/>
      <c r="AS66" s="93"/>
      <c r="AT66" s="359"/>
      <c r="AU66" s="518"/>
      <c r="AV66" s="524"/>
      <c r="AW66" s="518"/>
      <c r="AX66" s="93"/>
      <c r="AY66" s="364"/>
      <c r="AZ66" s="480"/>
      <c r="BA66" s="525"/>
      <c r="BB66" s="480"/>
      <c r="BC66" s="93"/>
      <c r="BD66" s="368"/>
      <c r="BE66" s="477"/>
      <c r="BF66" s="560"/>
      <c r="BG66" s="477"/>
      <c r="BH66" s="93"/>
      <c r="BI66" s="402"/>
      <c r="BJ66" s="478"/>
      <c r="BK66" s="609"/>
      <c r="BL66" s="478"/>
      <c r="BM66" s="93"/>
      <c r="BN66" s="372"/>
      <c r="BO66" s="455"/>
      <c r="BP66" s="557"/>
      <c r="BQ66" s="455"/>
      <c r="BR66" s="93"/>
      <c r="BS66" s="380"/>
      <c r="BT66" s="492"/>
      <c r="BU66" s="566"/>
      <c r="BV66" s="492"/>
      <c r="BW66" s="93"/>
      <c r="BX66" s="385"/>
      <c r="BY66" s="490"/>
      <c r="BZ66" s="605"/>
      <c r="CA66" s="490"/>
      <c r="CB66" s="93"/>
      <c r="CC66" s="387"/>
      <c r="CD66" s="404"/>
      <c r="CE66" s="363"/>
      <c r="CF66" s="404"/>
      <c r="CG66" s="93"/>
      <c r="CH66" s="387"/>
      <c r="CI66" s="404"/>
      <c r="CJ66" s="363"/>
      <c r="CK66" s="520"/>
      <c r="CL66" s="93"/>
      <c r="CM66" s="390" t="str">
        <f>IFERROR(__xludf.DUMMYFUNCTION("""COMPUTED_VALUE"""),"")</f>
        <v/>
      </c>
      <c r="CN66" s="489" t="str">
        <f>IFERROR(__xludf.DUMMYFUNCTION("""COMPUTED_VALUE"""),"Eiscue")</f>
        <v>Eiscue</v>
      </c>
      <c r="CO66" s="532" t="s">
        <v>158</v>
      </c>
      <c r="CP66" s="523"/>
      <c r="CQ66" s="93"/>
      <c r="CR66" s="413"/>
      <c r="CS66" s="414"/>
      <c r="CT66" s="632"/>
      <c r="CU66" s="414"/>
      <c r="CV66" s="93"/>
      <c r="CW66" s="415"/>
      <c r="CX66" s="468"/>
      <c r="CY66" s="633"/>
      <c r="CZ66" s="468"/>
      <c r="DA66" s="93"/>
      <c r="DB66" s="423"/>
      <c r="DC66" s="424"/>
      <c r="DD66" s="634"/>
      <c r="DE66" s="424"/>
      <c r="DF66" s="93"/>
      <c r="DG66" s="628"/>
      <c r="DH66" s="641"/>
      <c r="DI66" s="641"/>
      <c r="DJ66" s="641"/>
      <c r="DK66" s="93"/>
      <c r="DL66" s="429"/>
      <c r="DM66" s="430"/>
      <c r="DN66" s="474"/>
      <c r="DO66" s="474"/>
      <c r="DP66" s="93"/>
      <c r="DQ66" s="439"/>
      <c r="DR66" s="441"/>
      <c r="DS66" s="637"/>
      <c r="DT66" s="638"/>
      <c r="DU66" s="93"/>
      <c r="DV66" s="442"/>
      <c r="DW66" s="443"/>
      <c r="DX66" s="363"/>
      <c r="DY66" s="345"/>
      <c r="DZ66" s="87"/>
      <c r="EA66" s="10"/>
    </row>
    <row r="67" ht="17.25" customHeight="1">
      <c r="A67" s="10"/>
      <c r="B67" s="87"/>
      <c r="C67" s="234"/>
      <c r="D67" s="235"/>
      <c r="E67" s="93"/>
      <c r="F67" s="268"/>
      <c r="G67" s="268"/>
      <c r="H67" s="268"/>
      <c r="I67" s="268"/>
      <c r="J67" s="268"/>
      <c r="K67" s="268"/>
      <c r="L67" s="450"/>
      <c r="M67" s="268"/>
      <c r="N67" s="268"/>
      <c r="O67" s="268"/>
      <c r="P67" s="268"/>
      <c r="Q67" s="450"/>
      <c r="R67" s="268"/>
      <c r="S67" s="268"/>
      <c r="T67" s="268"/>
      <c r="U67" s="268"/>
      <c r="V67" s="450"/>
      <c r="W67" s="268"/>
      <c r="X67" s="268"/>
      <c r="Y67" s="268"/>
      <c r="Z67" s="268"/>
      <c r="AA67" s="450"/>
      <c r="AB67" s="268"/>
      <c r="AC67" s="268"/>
      <c r="AD67" s="268"/>
      <c r="AE67" s="268"/>
      <c r="AF67" s="450"/>
      <c r="AG67" s="268"/>
      <c r="AH67" s="268"/>
      <c r="AI67" s="268"/>
      <c r="AJ67" s="268"/>
      <c r="AK67" s="450"/>
      <c r="AL67" s="268"/>
      <c r="AM67" s="268"/>
      <c r="AN67" s="268"/>
      <c r="AO67" s="268"/>
      <c r="AP67" s="397"/>
      <c r="AQ67" s="509"/>
      <c r="AR67" s="397"/>
      <c r="AS67" s="93"/>
      <c r="AT67" s="359"/>
      <c r="AU67" s="518"/>
      <c r="AV67" s="524"/>
      <c r="AW67" s="518"/>
      <c r="AX67" s="93"/>
      <c r="AY67" s="364"/>
      <c r="AZ67" s="480"/>
      <c r="BA67" s="525"/>
      <c r="BB67" s="480"/>
      <c r="BC67" s="93"/>
      <c r="BD67" s="368"/>
      <c r="BE67" s="477"/>
      <c r="BF67" s="560"/>
      <c r="BG67" s="477"/>
      <c r="BH67" s="93"/>
      <c r="BI67" s="402"/>
      <c r="BJ67" s="478"/>
      <c r="BK67" s="609"/>
      <c r="BL67" s="478"/>
      <c r="BM67" s="93"/>
      <c r="BN67" s="372"/>
      <c r="BO67" s="455"/>
      <c r="BP67" s="557"/>
      <c r="BQ67" s="455"/>
      <c r="BR67" s="93"/>
      <c r="BS67" s="380"/>
      <c r="BT67" s="492"/>
      <c r="BU67" s="566"/>
      <c r="BV67" s="492"/>
      <c r="BW67" s="93"/>
      <c r="BX67" s="385"/>
      <c r="BY67" s="490"/>
      <c r="BZ67" s="605"/>
      <c r="CA67" s="490"/>
      <c r="CB67" s="93"/>
      <c r="CC67" s="387"/>
      <c r="CD67" s="404"/>
      <c r="CE67" s="363"/>
      <c r="CF67" s="404"/>
      <c r="CG67" s="93"/>
      <c r="CH67" s="387"/>
      <c r="CI67" s="404"/>
      <c r="CJ67" s="363"/>
      <c r="CK67" s="520"/>
      <c r="CL67" s="93"/>
      <c r="CM67" s="390" t="str">
        <f>IFERROR(__xludf.DUMMYFUNCTION("""COMPUTED_VALUE"""),"")</f>
        <v/>
      </c>
      <c r="CN67" s="489" t="str">
        <f>IFERROR(__xludf.DUMMYFUNCTION("""COMPUTED_VALUE"""),"Electrode")</f>
        <v>Electrode</v>
      </c>
      <c r="CO67" s="532" t="s">
        <v>158</v>
      </c>
      <c r="CP67" s="523"/>
      <c r="CQ67" s="93"/>
      <c r="CR67" s="413"/>
      <c r="CS67" s="414"/>
      <c r="CT67" s="632"/>
      <c r="CU67" s="414"/>
      <c r="CV67" s="93"/>
      <c r="CW67" s="415"/>
      <c r="CX67" s="468"/>
      <c r="CY67" s="633"/>
      <c r="CZ67" s="468"/>
      <c r="DA67" s="93"/>
      <c r="DB67" s="423"/>
      <c r="DC67" s="424"/>
      <c r="DD67" s="634"/>
      <c r="DE67" s="424"/>
      <c r="DF67" s="93"/>
      <c r="DG67" s="628"/>
      <c r="DH67" s="641"/>
      <c r="DI67" s="641"/>
      <c r="DJ67" s="641"/>
      <c r="DK67" s="93"/>
      <c r="DL67" s="429"/>
      <c r="DM67" s="430"/>
      <c r="DN67" s="474"/>
      <c r="DO67" s="474"/>
      <c r="DP67" s="93"/>
      <c r="DQ67" s="439"/>
      <c r="DR67" s="441"/>
      <c r="DS67" s="637"/>
      <c r="DT67" s="638"/>
      <c r="DU67" s="93"/>
      <c r="DV67" s="442"/>
      <c r="DW67" s="443"/>
      <c r="DX67" s="363"/>
      <c r="DY67" s="345"/>
      <c r="DZ67" s="87"/>
      <c r="EA67" s="10"/>
    </row>
    <row r="68" ht="17.25" customHeight="1">
      <c r="A68" s="10"/>
      <c r="B68" s="87"/>
      <c r="C68" s="234"/>
      <c r="D68" s="235"/>
      <c r="E68" s="93"/>
      <c r="F68" s="268"/>
      <c r="G68" s="268"/>
      <c r="H68" s="268"/>
      <c r="I68" s="268"/>
      <c r="J68" s="268"/>
      <c r="K68" s="268"/>
      <c r="L68" s="450"/>
      <c r="M68" s="268"/>
      <c r="N68" s="268"/>
      <c r="O68" s="268"/>
      <c r="P68" s="268"/>
      <c r="Q68" s="450"/>
      <c r="R68" s="268"/>
      <c r="S68" s="268"/>
      <c r="T68" s="268"/>
      <c r="U68" s="268"/>
      <c r="V68" s="450"/>
      <c r="W68" s="268"/>
      <c r="X68" s="268"/>
      <c r="Y68" s="268"/>
      <c r="Z68" s="268"/>
      <c r="AA68" s="450"/>
      <c r="AB68" s="268"/>
      <c r="AC68" s="268"/>
      <c r="AD68" s="268"/>
      <c r="AE68" s="268"/>
      <c r="AF68" s="450"/>
      <c r="AG68" s="268"/>
      <c r="AH68" s="268"/>
      <c r="AI68" s="268"/>
      <c r="AJ68" s="268"/>
      <c r="AK68" s="450"/>
      <c r="AL68" s="268"/>
      <c r="AM68" s="268"/>
      <c r="AN68" s="268"/>
      <c r="AO68" s="268"/>
      <c r="AP68" s="397"/>
      <c r="AQ68" s="509"/>
      <c r="AR68" s="397"/>
      <c r="AS68" s="93"/>
      <c r="AT68" s="359"/>
      <c r="AU68" s="518"/>
      <c r="AV68" s="524"/>
      <c r="AW68" s="518"/>
      <c r="AX68" s="93"/>
      <c r="AY68" s="364"/>
      <c r="AZ68" s="480"/>
      <c r="BA68" s="525"/>
      <c r="BB68" s="480"/>
      <c r="BC68" s="93"/>
      <c r="BD68" s="368"/>
      <c r="BE68" s="477"/>
      <c r="BF68" s="560"/>
      <c r="BG68" s="477"/>
      <c r="BH68" s="93"/>
      <c r="BI68" s="402"/>
      <c r="BJ68" s="478"/>
      <c r="BK68" s="609"/>
      <c r="BL68" s="478"/>
      <c r="BM68" s="93"/>
      <c r="BN68" s="372"/>
      <c r="BO68" s="455"/>
      <c r="BP68" s="557"/>
      <c r="BQ68" s="455"/>
      <c r="BR68" s="93"/>
      <c r="BS68" s="380"/>
      <c r="BT68" s="492"/>
      <c r="BU68" s="566"/>
      <c r="BV68" s="492"/>
      <c r="BW68" s="93"/>
      <c r="BX68" s="385"/>
      <c r="BY68" s="490"/>
      <c r="BZ68" s="605"/>
      <c r="CA68" s="490"/>
      <c r="CB68" s="93"/>
      <c r="CC68" s="387"/>
      <c r="CD68" s="404"/>
      <c r="CE68" s="363"/>
      <c r="CF68" s="404"/>
      <c r="CG68" s="93"/>
      <c r="CH68" s="387"/>
      <c r="CI68" s="404"/>
      <c r="CJ68" s="363"/>
      <c r="CK68" s="520"/>
      <c r="CL68" s="93"/>
      <c r="CM68" s="390" t="str">
        <f>IFERROR(__xludf.DUMMYFUNCTION("""COMPUTED_VALUE"""),"")</f>
        <v/>
      </c>
      <c r="CN68" s="489" t="str">
        <f>IFERROR(__xludf.DUMMYFUNCTION("""COMPUTED_VALUE"""),"Espeon")</f>
        <v>Espeon</v>
      </c>
      <c r="CO68" s="532" t="s">
        <v>158</v>
      </c>
      <c r="CP68" s="523"/>
      <c r="CQ68" s="93"/>
      <c r="CR68" s="413"/>
      <c r="CS68" s="414"/>
      <c r="CT68" s="632"/>
      <c r="CU68" s="414"/>
      <c r="CV68" s="93"/>
      <c r="CW68" s="415"/>
      <c r="CX68" s="468"/>
      <c r="CY68" s="633"/>
      <c r="CZ68" s="468"/>
      <c r="DA68" s="93"/>
      <c r="DB68" s="423"/>
      <c r="DC68" s="424"/>
      <c r="DD68" s="634"/>
      <c r="DE68" s="424"/>
      <c r="DF68" s="93"/>
      <c r="DG68" s="628"/>
      <c r="DH68" s="641"/>
      <c r="DI68" s="641"/>
      <c r="DJ68" s="641"/>
      <c r="DK68" s="93"/>
      <c r="DL68" s="429"/>
      <c r="DM68" s="430"/>
      <c r="DN68" s="474"/>
      <c r="DO68" s="474"/>
      <c r="DP68" s="93"/>
      <c r="DQ68" s="439"/>
      <c r="DR68" s="441"/>
      <c r="DS68" s="637"/>
      <c r="DT68" s="638"/>
      <c r="DU68" s="93"/>
      <c r="DV68" s="442"/>
      <c r="DW68" s="443"/>
      <c r="DX68" s="363"/>
      <c r="DY68" s="345"/>
      <c r="DZ68" s="87"/>
      <c r="EA68" s="10"/>
    </row>
    <row r="69" ht="17.25" customHeight="1">
      <c r="A69" s="10"/>
      <c r="B69" s="87"/>
      <c r="C69" s="234"/>
      <c r="D69" s="235"/>
      <c r="E69" s="93"/>
      <c r="F69" s="268"/>
      <c r="G69" s="268"/>
      <c r="H69" s="268"/>
      <c r="I69" s="268"/>
      <c r="J69" s="268"/>
      <c r="K69" s="268"/>
      <c r="L69" s="450"/>
      <c r="M69" s="268"/>
      <c r="N69" s="268"/>
      <c r="O69" s="268"/>
      <c r="P69" s="268"/>
      <c r="Q69" s="450"/>
      <c r="R69" s="268"/>
      <c r="S69" s="268"/>
      <c r="T69" s="268"/>
      <c r="U69" s="268"/>
      <c r="V69" s="450"/>
      <c r="W69" s="268"/>
      <c r="X69" s="268"/>
      <c r="Y69" s="268"/>
      <c r="Z69" s="268"/>
      <c r="AA69" s="450"/>
      <c r="AB69" s="268"/>
      <c r="AC69" s="268"/>
      <c r="AD69" s="268"/>
      <c r="AE69" s="268"/>
      <c r="AF69" s="450"/>
      <c r="AG69" s="268"/>
      <c r="AH69" s="268"/>
      <c r="AI69" s="268"/>
      <c r="AJ69" s="268"/>
      <c r="AK69" s="450"/>
      <c r="AL69" s="268"/>
      <c r="AM69" s="268"/>
      <c r="AN69" s="268"/>
      <c r="AO69" s="268"/>
      <c r="AP69" s="397"/>
      <c r="AQ69" s="509"/>
      <c r="AR69" s="397"/>
      <c r="AS69" s="93"/>
      <c r="AT69" s="359"/>
      <c r="AU69" s="518"/>
      <c r="AV69" s="524"/>
      <c r="AW69" s="518"/>
      <c r="AX69" s="93"/>
      <c r="AY69" s="364"/>
      <c r="AZ69" s="480"/>
      <c r="BA69" s="525"/>
      <c r="BB69" s="480"/>
      <c r="BC69" s="93"/>
      <c r="BD69" s="368"/>
      <c r="BE69" s="477"/>
      <c r="BF69" s="560"/>
      <c r="BG69" s="477"/>
      <c r="BH69" s="93"/>
      <c r="BI69" s="402"/>
      <c r="BJ69" s="478"/>
      <c r="BK69" s="609"/>
      <c r="BL69" s="478"/>
      <c r="BM69" s="93"/>
      <c r="BN69" s="372"/>
      <c r="BO69" s="455"/>
      <c r="BP69" s="557"/>
      <c r="BQ69" s="455"/>
      <c r="BR69" s="93"/>
      <c r="BS69" s="380"/>
      <c r="BT69" s="492"/>
      <c r="BU69" s="566"/>
      <c r="BV69" s="492"/>
      <c r="BW69" s="93"/>
      <c r="BX69" s="385"/>
      <c r="BY69" s="490"/>
      <c r="BZ69" s="605"/>
      <c r="CA69" s="490"/>
      <c r="CB69" s="93"/>
      <c r="CC69" s="387"/>
      <c r="CD69" s="404"/>
      <c r="CE69" s="363"/>
      <c r="CF69" s="404"/>
      <c r="CG69" s="93"/>
      <c r="CH69" s="387"/>
      <c r="CI69" s="404"/>
      <c r="CJ69" s="363"/>
      <c r="CK69" s="520"/>
      <c r="CL69" s="93"/>
      <c r="CM69" s="390" t="str">
        <f>IFERROR(__xludf.DUMMYFUNCTION("""COMPUTED_VALUE"""),"")</f>
        <v/>
      </c>
      <c r="CN69" s="489" t="str">
        <f>IFERROR(__xludf.DUMMYFUNCTION("""COMPUTED_VALUE"""),"Falinks")</f>
        <v>Falinks</v>
      </c>
      <c r="CO69" s="532" t="s">
        <v>158</v>
      </c>
      <c r="CP69" s="523"/>
      <c r="CQ69" s="93"/>
      <c r="CR69" s="413"/>
      <c r="CS69" s="414"/>
      <c r="CT69" s="632"/>
      <c r="CU69" s="414"/>
      <c r="CV69" s="93"/>
      <c r="CW69" s="415"/>
      <c r="CX69" s="468"/>
      <c r="CY69" s="633"/>
      <c r="CZ69" s="468"/>
      <c r="DA69" s="93"/>
      <c r="DB69" s="423"/>
      <c r="DC69" s="424"/>
      <c r="DD69" s="634"/>
      <c r="DE69" s="424"/>
      <c r="DF69" s="93"/>
      <c r="DG69" s="628"/>
      <c r="DH69" s="641"/>
      <c r="DI69" s="641"/>
      <c r="DJ69" s="641"/>
      <c r="DK69" s="93"/>
      <c r="DL69" s="429"/>
      <c r="DM69" s="430"/>
      <c r="DN69" s="474"/>
      <c r="DO69" s="474"/>
      <c r="DP69" s="93"/>
      <c r="DQ69" s="439"/>
      <c r="DR69" s="441"/>
      <c r="DS69" s="637"/>
      <c r="DT69" s="638"/>
      <c r="DU69" s="93"/>
      <c r="DV69" s="442"/>
      <c r="DW69" s="443"/>
      <c r="DX69" s="363"/>
      <c r="DY69" s="345"/>
      <c r="DZ69" s="87"/>
      <c r="EA69" s="10"/>
    </row>
    <row r="70" ht="17.25" customHeight="1">
      <c r="A70" s="10"/>
      <c r="B70" s="87"/>
      <c r="C70" s="234"/>
      <c r="D70" s="235"/>
      <c r="E70" s="93"/>
      <c r="F70" s="268"/>
      <c r="G70" s="268"/>
      <c r="H70" s="268"/>
      <c r="I70" s="268"/>
      <c r="J70" s="268"/>
      <c r="K70" s="268"/>
      <c r="L70" s="450"/>
      <c r="M70" s="268"/>
      <c r="N70" s="268"/>
      <c r="O70" s="268"/>
      <c r="P70" s="268"/>
      <c r="Q70" s="450"/>
      <c r="R70" s="268"/>
      <c r="S70" s="268"/>
      <c r="T70" s="268"/>
      <c r="U70" s="268"/>
      <c r="V70" s="450"/>
      <c r="W70" s="268"/>
      <c r="X70" s="268"/>
      <c r="Y70" s="268"/>
      <c r="Z70" s="268"/>
      <c r="AA70" s="450"/>
      <c r="AB70" s="268"/>
      <c r="AC70" s="268"/>
      <c r="AD70" s="268"/>
      <c r="AE70" s="268"/>
      <c r="AF70" s="450"/>
      <c r="AG70" s="268"/>
      <c r="AH70" s="268"/>
      <c r="AI70" s="268"/>
      <c r="AJ70" s="268"/>
      <c r="AK70" s="450"/>
      <c r="AL70" s="268"/>
      <c r="AM70" s="268"/>
      <c r="AN70" s="268"/>
      <c r="AO70" s="268"/>
      <c r="AP70" s="397"/>
      <c r="AQ70" s="509"/>
      <c r="AR70" s="397"/>
      <c r="AS70" s="93"/>
      <c r="AT70" s="359"/>
      <c r="AU70" s="518"/>
      <c r="AV70" s="524"/>
      <c r="AW70" s="518"/>
      <c r="AX70" s="93"/>
      <c r="AY70" s="364"/>
      <c r="AZ70" s="480"/>
      <c r="BA70" s="525"/>
      <c r="BB70" s="480"/>
      <c r="BC70" s="93"/>
      <c r="BD70" s="368"/>
      <c r="BE70" s="477"/>
      <c r="BF70" s="560"/>
      <c r="BG70" s="477"/>
      <c r="BH70" s="93"/>
      <c r="BI70" s="402"/>
      <c r="BJ70" s="478"/>
      <c r="BK70" s="609"/>
      <c r="BL70" s="478"/>
      <c r="BM70" s="93"/>
      <c r="BN70" s="372"/>
      <c r="BO70" s="455"/>
      <c r="BP70" s="557"/>
      <c r="BQ70" s="455"/>
      <c r="BR70" s="93"/>
      <c r="BS70" s="380"/>
      <c r="BT70" s="492"/>
      <c r="BU70" s="566"/>
      <c r="BV70" s="492"/>
      <c r="BW70" s="93"/>
      <c r="BX70" s="385"/>
      <c r="BY70" s="490"/>
      <c r="BZ70" s="605"/>
      <c r="CA70" s="490"/>
      <c r="CB70" s="93"/>
      <c r="CC70" s="387"/>
      <c r="CD70" s="404"/>
      <c r="CE70" s="363"/>
      <c r="CF70" s="404"/>
      <c r="CG70" s="93"/>
      <c r="CH70" s="387"/>
      <c r="CI70" s="404"/>
      <c r="CJ70" s="363"/>
      <c r="CK70" s="520"/>
      <c r="CL70" s="93"/>
      <c r="CM70" s="390" t="str">
        <f>IFERROR(__xludf.DUMMYFUNCTION("""COMPUTED_VALUE"""),"")</f>
        <v/>
      </c>
      <c r="CN70" s="489" t="str">
        <f>IFERROR(__xludf.DUMMYFUNCTION("""COMPUTED_VALUE"""),"Fidough")</f>
        <v>Fidough</v>
      </c>
      <c r="CO70" s="532" t="s">
        <v>158</v>
      </c>
      <c r="CP70" s="523"/>
      <c r="CQ70" s="93"/>
      <c r="CR70" s="413"/>
      <c r="CS70" s="414"/>
      <c r="CT70" s="632"/>
      <c r="CU70" s="414"/>
      <c r="CV70" s="93"/>
      <c r="CW70" s="415"/>
      <c r="CX70" s="468"/>
      <c r="CY70" s="633"/>
      <c r="CZ70" s="468"/>
      <c r="DA70" s="93"/>
      <c r="DB70" s="423"/>
      <c r="DC70" s="424"/>
      <c r="DD70" s="634"/>
      <c r="DE70" s="424"/>
      <c r="DF70" s="93"/>
      <c r="DG70" s="628"/>
      <c r="DH70" s="641"/>
      <c r="DI70" s="641"/>
      <c r="DJ70" s="641"/>
      <c r="DK70" s="93"/>
      <c r="DL70" s="429"/>
      <c r="DM70" s="430"/>
      <c r="DN70" s="474"/>
      <c r="DO70" s="474"/>
      <c r="DP70" s="93"/>
      <c r="DQ70" s="439"/>
      <c r="DR70" s="441"/>
      <c r="DS70" s="637"/>
      <c r="DT70" s="638"/>
      <c r="DU70" s="93"/>
      <c r="DV70" s="442"/>
      <c r="DW70" s="443"/>
      <c r="DX70" s="363"/>
      <c r="DY70" s="345"/>
      <c r="DZ70" s="87"/>
      <c r="EA70" s="10"/>
    </row>
    <row r="71" ht="17.25" customHeight="1">
      <c r="A71" s="10"/>
      <c r="B71" s="87"/>
      <c r="C71" s="234"/>
      <c r="D71" s="235"/>
      <c r="E71" s="93"/>
      <c r="F71" s="268"/>
      <c r="G71" s="268"/>
      <c r="H71" s="268"/>
      <c r="I71" s="268"/>
      <c r="J71" s="268"/>
      <c r="K71" s="268"/>
      <c r="L71" s="450"/>
      <c r="M71" s="268"/>
      <c r="N71" s="268"/>
      <c r="O71" s="268"/>
      <c r="P71" s="268"/>
      <c r="Q71" s="450"/>
      <c r="R71" s="268"/>
      <c r="S71" s="268"/>
      <c r="T71" s="268"/>
      <c r="U71" s="268"/>
      <c r="V71" s="450"/>
      <c r="W71" s="268"/>
      <c r="X71" s="268"/>
      <c r="Y71" s="268"/>
      <c r="Z71" s="268"/>
      <c r="AA71" s="450"/>
      <c r="AB71" s="268"/>
      <c r="AC71" s="268"/>
      <c r="AD71" s="268"/>
      <c r="AE71" s="268"/>
      <c r="AF71" s="450"/>
      <c r="AG71" s="268"/>
      <c r="AH71" s="268"/>
      <c r="AI71" s="268"/>
      <c r="AJ71" s="268"/>
      <c r="AK71" s="450"/>
      <c r="AL71" s="268"/>
      <c r="AM71" s="268"/>
      <c r="AN71" s="268"/>
      <c r="AO71" s="268"/>
      <c r="AP71" s="397"/>
      <c r="AQ71" s="509"/>
      <c r="AR71" s="397"/>
      <c r="AS71" s="93"/>
      <c r="AT71" s="359"/>
      <c r="AU71" s="518"/>
      <c r="AV71" s="524"/>
      <c r="AW71" s="518"/>
      <c r="AX71" s="93"/>
      <c r="AY71" s="364"/>
      <c r="AZ71" s="480"/>
      <c r="BA71" s="525"/>
      <c r="BB71" s="480"/>
      <c r="BC71" s="93"/>
      <c r="BD71" s="368"/>
      <c r="BE71" s="477"/>
      <c r="BF71" s="560"/>
      <c r="BG71" s="477"/>
      <c r="BH71" s="93"/>
      <c r="BI71" s="402"/>
      <c r="BJ71" s="478"/>
      <c r="BK71" s="609"/>
      <c r="BL71" s="478"/>
      <c r="BM71" s="93"/>
      <c r="BN71" s="372"/>
      <c r="BO71" s="455"/>
      <c r="BP71" s="557"/>
      <c r="BQ71" s="455"/>
      <c r="BR71" s="93"/>
      <c r="BS71" s="380"/>
      <c r="BT71" s="492"/>
      <c r="BU71" s="566"/>
      <c r="BV71" s="492"/>
      <c r="BW71" s="93"/>
      <c r="BX71" s="385"/>
      <c r="BY71" s="490"/>
      <c r="BZ71" s="605"/>
      <c r="CA71" s="490"/>
      <c r="CB71" s="93"/>
      <c r="CC71" s="387"/>
      <c r="CD71" s="404"/>
      <c r="CE71" s="363"/>
      <c r="CF71" s="404"/>
      <c r="CG71" s="93"/>
      <c r="CH71" s="387"/>
      <c r="CI71" s="404"/>
      <c r="CJ71" s="363"/>
      <c r="CK71" s="520"/>
      <c r="CL71" s="93"/>
      <c r="CM71" s="390" t="str">
        <f>IFERROR(__xludf.DUMMYFUNCTION("""COMPUTED_VALUE"""),"")</f>
        <v/>
      </c>
      <c r="CN71" s="489" t="str">
        <f>IFERROR(__xludf.DUMMYFUNCTION("""COMPUTED_VALUE"""),"Finneon")</f>
        <v>Finneon</v>
      </c>
      <c r="CO71" s="532" t="s">
        <v>158</v>
      </c>
      <c r="CP71" s="523"/>
      <c r="CQ71" s="93"/>
      <c r="CR71" s="413"/>
      <c r="CS71" s="414"/>
      <c r="CT71" s="632"/>
      <c r="CU71" s="414"/>
      <c r="CV71" s="93"/>
      <c r="CW71" s="415"/>
      <c r="CX71" s="468"/>
      <c r="CY71" s="633"/>
      <c r="CZ71" s="468"/>
      <c r="DA71" s="93"/>
      <c r="DB71" s="423"/>
      <c r="DC71" s="424"/>
      <c r="DD71" s="634"/>
      <c r="DE71" s="424"/>
      <c r="DF71" s="93"/>
      <c r="DG71" s="628"/>
      <c r="DH71" s="641"/>
      <c r="DI71" s="641"/>
      <c r="DJ71" s="641"/>
      <c r="DK71" s="93"/>
      <c r="DL71" s="429"/>
      <c r="DM71" s="430"/>
      <c r="DN71" s="430"/>
      <c r="DO71" s="430"/>
      <c r="DP71" s="93"/>
      <c r="DQ71" s="439"/>
      <c r="DR71" s="441"/>
      <c r="DS71" s="637"/>
      <c r="DT71" s="638"/>
      <c r="DU71" s="93"/>
      <c r="DV71" s="442"/>
      <c r="DW71" s="443"/>
      <c r="DX71" s="363"/>
      <c r="DY71" s="345"/>
      <c r="DZ71" s="87"/>
      <c r="EA71" s="10"/>
    </row>
    <row r="72" ht="17.25" customHeight="1">
      <c r="A72" s="10"/>
      <c r="B72" s="87"/>
      <c r="C72" s="234"/>
      <c r="D72" s="235"/>
      <c r="E72" s="93"/>
      <c r="F72" s="268"/>
      <c r="G72" s="268"/>
      <c r="H72" s="268"/>
      <c r="I72" s="268"/>
      <c r="J72" s="268"/>
      <c r="K72" s="268"/>
      <c r="L72" s="450"/>
      <c r="M72" s="268"/>
      <c r="N72" s="268"/>
      <c r="O72" s="268"/>
      <c r="P72" s="268"/>
      <c r="Q72" s="450"/>
      <c r="R72" s="268"/>
      <c r="S72" s="268"/>
      <c r="T72" s="268"/>
      <c r="U72" s="268"/>
      <c r="V72" s="450"/>
      <c r="W72" s="268"/>
      <c r="X72" s="268"/>
      <c r="Y72" s="268"/>
      <c r="Z72" s="268"/>
      <c r="AA72" s="450"/>
      <c r="AB72" s="268"/>
      <c r="AC72" s="268"/>
      <c r="AD72" s="268"/>
      <c r="AE72" s="268"/>
      <c r="AF72" s="450"/>
      <c r="AG72" s="268"/>
      <c r="AH72" s="268"/>
      <c r="AI72" s="268"/>
      <c r="AJ72" s="268"/>
      <c r="AK72" s="450"/>
      <c r="AL72" s="268"/>
      <c r="AM72" s="268"/>
      <c r="AN72" s="268"/>
      <c r="AO72" s="268"/>
      <c r="AP72" s="397"/>
      <c r="AQ72" s="509"/>
      <c r="AR72" s="397"/>
      <c r="AS72" s="93"/>
      <c r="AT72" s="359"/>
      <c r="AU72" s="518"/>
      <c r="AV72" s="524"/>
      <c r="AW72" s="518"/>
      <c r="AX72" s="93"/>
      <c r="AY72" s="364"/>
      <c r="AZ72" s="480"/>
      <c r="BA72" s="525"/>
      <c r="BB72" s="480"/>
      <c r="BC72" s="93"/>
      <c r="BD72" s="368"/>
      <c r="BE72" s="477"/>
      <c r="BF72" s="560"/>
      <c r="BG72" s="477"/>
      <c r="BH72" s="93"/>
      <c r="BI72" s="402"/>
      <c r="BJ72" s="478"/>
      <c r="BK72" s="609"/>
      <c r="BL72" s="478"/>
      <c r="BM72" s="93"/>
      <c r="BN72" s="372"/>
      <c r="BO72" s="455"/>
      <c r="BP72" s="557"/>
      <c r="BQ72" s="455"/>
      <c r="BR72" s="93"/>
      <c r="BS72" s="380"/>
      <c r="BT72" s="492"/>
      <c r="BU72" s="566"/>
      <c r="BV72" s="492"/>
      <c r="BW72" s="93"/>
      <c r="BX72" s="385"/>
      <c r="BY72" s="490"/>
      <c r="BZ72" s="605"/>
      <c r="CA72" s="490"/>
      <c r="CB72" s="93"/>
      <c r="CC72" s="387"/>
      <c r="CD72" s="404"/>
      <c r="CE72" s="363"/>
      <c r="CF72" s="404"/>
      <c r="CG72" s="93"/>
      <c r="CH72" s="387"/>
      <c r="CI72" s="404"/>
      <c r="CJ72" s="363"/>
      <c r="CK72" s="520"/>
      <c r="CL72" s="93"/>
      <c r="CM72" s="390" t="str">
        <f>IFERROR(__xludf.DUMMYFUNCTION("""COMPUTED_VALUE"""),"")</f>
        <v/>
      </c>
      <c r="CN72" s="489" t="str">
        <f>IFERROR(__xludf.DUMMYFUNCTION("""COMPUTED_VALUE"""),"Flaaffy")</f>
        <v>Flaaffy</v>
      </c>
      <c r="CO72" s="532" t="s">
        <v>158</v>
      </c>
      <c r="CP72" s="523"/>
      <c r="CQ72" s="93"/>
      <c r="CR72" s="413"/>
      <c r="CS72" s="414"/>
      <c r="CT72" s="632"/>
      <c r="CU72" s="414"/>
      <c r="CV72" s="93"/>
      <c r="CW72" s="415"/>
      <c r="CX72" s="468"/>
      <c r="CY72" s="633"/>
      <c r="CZ72" s="468"/>
      <c r="DA72" s="93"/>
      <c r="DB72" s="423"/>
      <c r="DC72" s="424"/>
      <c r="DD72" s="634"/>
      <c r="DE72" s="424"/>
      <c r="DF72" s="93"/>
      <c r="DG72" s="628"/>
      <c r="DH72" s="641"/>
      <c r="DI72" s="641"/>
      <c r="DJ72" s="641"/>
      <c r="DK72" s="93"/>
      <c r="DL72" s="429"/>
      <c r="DM72" s="430"/>
      <c r="DN72" s="430"/>
      <c r="DO72" s="430"/>
      <c r="DP72" s="93"/>
      <c r="DQ72" s="439"/>
      <c r="DR72" s="441"/>
      <c r="DS72" s="637"/>
      <c r="DT72" s="638"/>
      <c r="DU72" s="93"/>
      <c r="DV72" s="442"/>
      <c r="DW72" s="443"/>
      <c r="DX72" s="363"/>
      <c r="DY72" s="345"/>
      <c r="DZ72" s="87"/>
      <c r="EA72" s="10"/>
    </row>
    <row r="73" ht="17.25" customHeight="1">
      <c r="A73" s="10"/>
      <c r="B73" s="87"/>
      <c r="C73" s="234"/>
      <c r="D73" s="235"/>
      <c r="E73" s="93"/>
      <c r="F73" s="268"/>
      <c r="G73" s="268"/>
      <c r="H73" s="268"/>
      <c r="I73" s="268"/>
      <c r="J73" s="268"/>
      <c r="K73" s="268"/>
      <c r="L73" s="450"/>
      <c r="M73" s="268"/>
      <c r="N73" s="268"/>
      <c r="O73" s="268"/>
      <c r="P73" s="268"/>
      <c r="Q73" s="450"/>
      <c r="R73" s="268"/>
      <c r="S73" s="268"/>
      <c r="T73" s="268"/>
      <c r="U73" s="268"/>
      <c r="V73" s="450"/>
      <c r="W73" s="268"/>
      <c r="X73" s="268"/>
      <c r="Y73" s="268"/>
      <c r="Z73" s="268"/>
      <c r="AA73" s="450"/>
      <c r="AB73" s="268"/>
      <c r="AC73" s="268"/>
      <c r="AD73" s="268"/>
      <c r="AE73" s="268"/>
      <c r="AF73" s="450"/>
      <c r="AG73" s="268"/>
      <c r="AH73" s="268"/>
      <c r="AI73" s="268"/>
      <c r="AJ73" s="268"/>
      <c r="AK73" s="450"/>
      <c r="AL73" s="268"/>
      <c r="AM73" s="268"/>
      <c r="AN73" s="268"/>
      <c r="AO73" s="268"/>
      <c r="AP73" s="397"/>
      <c r="AQ73" s="509"/>
      <c r="AR73" s="397"/>
      <c r="AS73" s="93"/>
      <c r="AT73" s="359"/>
      <c r="AU73" s="518"/>
      <c r="AV73" s="524"/>
      <c r="AW73" s="518"/>
      <c r="AX73" s="93"/>
      <c r="AY73" s="364"/>
      <c r="AZ73" s="480"/>
      <c r="BA73" s="525"/>
      <c r="BB73" s="480"/>
      <c r="BC73" s="93"/>
      <c r="BD73" s="368"/>
      <c r="BE73" s="477"/>
      <c r="BF73" s="560"/>
      <c r="BG73" s="477"/>
      <c r="BH73" s="93"/>
      <c r="BI73" s="402"/>
      <c r="BJ73" s="478"/>
      <c r="BK73" s="609"/>
      <c r="BL73" s="478"/>
      <c r="BM73" s="93"/>
      <c r="BN73" s="372"/>
      <c r="BO73" s="455"/>
      <c r="BP73" s="557"/>
      <c r="BQ73" s="455"/>
      <c r="BR73" s="93"/>
      <c r="BS73" s="380"/>
      <c r="BT73" s="492"/>
      <c r="BU73" s="566"/>
      <c r="BV73" s="492"/>
      <c r="BW73" s="93"/>
      <c r="BX73" s="385"/>
      <c r="BY73" s="490"/>
      <c r="BZ73" s="605"/>
      <c r="CA73" s="490"/>
      <c r="CB73" s="93"/>
      <c r="CC73" s="387"/>
      <c r="CD73" s="404"/>
      <c r="CE73" s="363"/>
      <c r="CF73" s="404"/>
      <c r="CG73" s="93"/>
      <c r="CH73" s="387"/>
      <c r="CI73" s="404"/>
      <c r="CJ73" s="363"/>
      <c r="CK73" s="520"/>
      <c r="CL73" s="93"/>
      <c r="CM73" s="390" t="str">
        <f>IFERROR(__xludf.DUMMYFUNCTION("""COMPUTED_VALUE"""),"")</f>
        <v/>
      </c>
      <c r="CN73" s="489" t="str">
        <f>IFERROR(__xludf.DUMMYFUNCTION("""COMPUTED_VALUE"""),"Flabébé")</f>
        <v>Flabébé</v>
      </c>
      <c r="CO73" s="532" t="s">
        <v>158</v>
      </c>
      <c r="CP73" s="523"/>
      <c r="CQ73" s="93"/>
      <c r="CR73" s="413"/>
      <c r="CS73" s="414"/>
      <c r="CT73" s="632"/>
      <c r="CU73" s="414"/>
      <c r="CV73" s="93"/>
      <c r="CW73" s="415"/>
      <c r="CX73" s="468"/>
      <c r="CY73" s="633"/>
      <c r="CZ73" s="468"/>
      <c r="DA73" s="93"/>
      <c r="DB73" s="423"/>
      <c r="DC73" s="424"/>
      <c r="DD73" s="634"/>
      <c r="DE73" s="424"/>
      <c r="DF73" s="93"/>
      <c r="DG73" s="628"/>
      <c r="DH73" s="641"/>
      <c r="DI73" s="641"/>
      <c r="DJ73" s="641"/>
      <c r="DK73" s="93"/>
      <c r="DL73" s="429"/>
      <c r="DM73" s="430"/>
      <c r="DN73" s="430"/>
      <c r="DO73" s="430"/>
      <c r="DP73" s="93"/>
      <c r="DQ73" s="439"/>
      <c r="DR73" s="441"/>
      <c r="DS73" s="637"/>
      <c r="DT73" s="638"/>
      <c r="DU73" s="93"/>
      <c r="DV73" s="442"/>
      <c r="DW73" s="443"/>
      <c r="DX73" s="363"/>
      <c r="DY73" s="345"/>
      <c r="DZ73" s="87"/>
      <c r="EA73" s="10"/>
    </row>
    <row r="74" ht="17.25" customHeight="1">
      <c r="A74" s="10"/>
      <c r="B74" s="87"/>
      <c r="C74" s="234"/>
      <c r="D74" s="235"/>
      <c r="E74" s="93"/>
      <c r="F74" s="268"/>
      <c r="G74" s="268"/>
      <c r="H74" s="268"/>
      <c r="I74" s="268"/>
      <c r="J74" s="268"/>
      <c r="K74" s="268"/>
      <c r="L74" s="450"/>
      <c r="M74" s="268"/>
      <c r="N74" s="268"/>
      <c r="O74" s="268"/>
      <c r="P74" s="268"/>
      <c r="Q74" s="450"/>
      <c r="R74" s="268"/>
      <c r="S74" s="268"/>
      <c r="T74" s="268"/>
      <c r="U74" s="268"/>
      <c r="V74" s="450"/>
      <c r="W74" s="268"/>
      <c r="X74" s="268"/>
      <c r="Y74" s="268"/>
      <c r="Z74" s="268"/>
      <c r="AA74" s="450"/>
      <c r="AB74" s="268"/>
      <c r="AC74" s="268"/>
      <c r="AD74" s="268"/>
      <c r="AE74" s="268"/>
      <c r="AF74" s="450"/>
      <c r="AG74" s="268"/>
      <c r="AH74" s="268"/>
      <c r="AI74" s="268"/>
      <c r="AJ74" s="268"/>
      <c r="AK74" s="450"/>
      <c r="AL74" s="268"/>
      <c r="AM74" s="268"/>
      <c r="AN74" s="268"/>
      <c r="AO74" s="268"/>
      <c r="AP74" s="397"/>
      <c r="AQ74" s="509"/>
      <c r="AR74" s="397"/>
      <c r="AS74" s="93"/>
      <c r="AT74" s="359"/>
      <c r="AU74" s="518"/>
      <c r="AV74" s="524"/>
      <c r="AW74" s="518"/>
      <c r="AX74" s="93"/>
      <c r="AY74" s="364"/>
      <c r="AZ74" s="480"/>
      <c r="BA74" s="525"/>
      <c r="BB74" s="480"/>
      <c r="BC74" s="93"/>
      <c r="BD74" s="368"/>
      <c r="BE74" s="477"/>
      <c r="BF74" s="560"/>
      <c r="BG74" s="477"/>
      <c r="BH74" s="93"/>
      <c r="BI74" s="402"/>
      <c r="BJ74" s="478"/>
      <c r="BK74" s="609"/>
      <c r="BL74" s="478"/>
      <c r="BM74" s="93"/>
      <c r="BN74" s="372"/>
      <c r="BO74" s="455"/>
      <c r="BP74" s="557"/>
      <c r="BQ74" s="455"/>
      <c r="BR74" s="93"/>
      <c r="BS74" s="380"/>
      <c r="BT74" s="492"/>
      <c r="BU74" s="566"/>
      <c r="BV74" s="492"/>
      <c r="BW74" s="93"/>
      <c r="BX74" s="385"/>
      <c r="BY74" s="490"/>
      <c r="BZ74" s="605"/>
      <c r="CA74" s="490"/>
      <c r="CB74" s="93"/>
      <c r="CC74" s="387"/>
      <c r="CD74" s="404"/>
      <c r="CE74" s="363"/>
      <c r="CF74" s="404"/>
      <c r="CG74" s="93"/>
      <c r="CH74" s="387"/>
      <c r="CI74" s="404"/>
      <c r="CJ74" s="363"/>
      <c r="CK74" s="520"/>
      <c r="CL74" s="93"/>
      <c r="CM74" s="390" t="str">
        <f>IFERROR(__xludf.DUMMYFUNCTION("""COMPUTED_VALUE"""),"")</f>
        <v/>
      </c>
      <c r="CN74" s="489" t="str">
        <f>IFERROR(__xludf.DUMMYFUNCTION("""COMPUTED_VALUE"""),"Flapple")</f>
        <v>Flapple</v>
      </c>
      <c r="CO74" s="532" t="s">
        <v>158</v>
      </c>
      <c r="CP74" s="523"/>
      <c r="CQ74" s="93"/>
      <c r="CR74" s="413"/>
      <c r="CS74" s="414"/>
      <c r="CT74" s="632"/>
      <c r="CU74" s="414"/>
      <c r="CV74" s="93"/>
      <c r="CW74" s="415"/>
      <c r="CX74" s="468"/>
      <c r="CY74" s="633"/>
      <c r="CZ74" s="468"/>
      <c r="DA74" s="93"/>
      <c r="DB74" s="423"/>
      <c r="DC74" s="424"/>
      <c r="DD74" s="634"/>
      <c r="DE74" s="424"/>
      <c r="DF74" s="93"/>
      <c r="DG74" s="628"/>
      <c r="DH74" s="641"/>
      <c r="DI74" s="641"/>
      <c r="DJ74" s="641"/>
      <c r="DK74" s="93"/>
      <c r="DL74" s="429"/>
      <c r="DM74" s="430"/>
      <c r="DN74" s="430"/>
      <c r="DO74" s="430"/>
      <c r="DP74" s="93"/>
      <c r="DQ74" s="439"/>
      <c r="DR74" s="441"/>
      <c r="DS74" s="441"/>
      <c r="DT74" s="441"/>
      <c r="DU74" s="93"/>
      <c r="DV74" s="442"/>
      <c r="DW74" s="443"/>
      <c r="DX74" s="363"/>
      <c r="DY74" s="345"/>
      <c r="DZ74" s="87"/>
      <c r="EA74" s="10"/>
    </row>
    <row r="75" ht="17.25" customHeight="1">
      <c r="A75" s="10"/>
      <c r="B75" s="87"/>
      <c r="C75" s="234"/>
      <c r="D75" s="235"/>
      <c r="E75" s="93"/>
      <c r="F75" s="268"/>
      <c r="G75" s="268"/>
      <c r="H75" s="268"/>
      <c r="I75" s="268"/>
      <c r="J75" s="268"/>
      <c r="K75" s="268"/>
      <c r="L75" s="450"/>
      <c r="M75" s="268"/>
      <c r="N75" s="268"/>
      <c r="O75" s="268"/>
      <c r="P75" s="268"/>
      <c r="Q75" s="450"/>
      <c r="R75" s="268"/>
      <c r="S75" s="268"/>
      <c r="T75" s="268"/>
      <c r="U75" s="268"/>
      <c r="V75" s="450"/>
      <c r="W75" s="268"/>
      <c r="X75" s="268"/>
      <c r="Y75" s="268"/>
      <c r="Z75" s="268"/>
      <c r="AA75" s="450"/>
      <c r="AB75" s="268"/>
      <c r="AC75" s="268"/>
      <c r="AD75" s="268"/>
      <c r="AE75" s="268"/>
      <c r="AF75" s="450"/>
      <c r="AG75" s="268"/>
      <c r="AH75" s="268"/>
      <c r="AI75" s="268"/>
      <c r="AJ75" s="268"/>
      <c r="AK75" s="450"/>
      <c r="AL75" s="268"/>
      <c r="AM75" s="268"/>
      <c r="AN75" s="268"/>
      <c r="AO75" s="268"/>
      <c r="AP75" s="397"/>
      <c r="AQ75" s="509"/>
      <c r="AR75" s="397"/>
      <c r="AS75" s="93"/>
      <c r="AT75" s="359"/>
      <c r="AU75" s="518"/>
      <c r="AV75" s="524"/>
      <c r="AW75" s="518"/>
      <c r="AX75" s="93"/>
      <c r="AY75" s="364"/>
      <c r="AZ75" s="480"/>
      <c r="BA75" s="525"/>
      <c r="BB75" s="480"/>
      <c r="BC75" s="93"/>
      <c r="BD75" s="368"/>
      <c r="BE75" s="477"/>
      <c r="BF75" s="560"/>
      <c r="BG75" s="477"/>
      <c r="BH75" s="93"/>
      <c r="BI75" s="402"/>
      <c r="BJ75" s="478"/>
      <c r="BK75" s="609"/>
      <c r="BL75" s="478"/>
      <c r="BM75" s="93"/>
      <c r="BN75" s="372"/>
      <c r="BO75" s="455"/>
      <c r="BP75" s="557"/>
      <c r="BQ75" s="455"/>
      <c r="BR75" s="93"/>
      <c r="BS75" s="380"/>
      <c r="BT75" s="492"/>
      <c r="BU75" s="566"/>
      <c r="BV75" s="492"/>
      <c r="BW75" s="93"/>
      <c r="BX75" s="385"/>
      <c r="BY75" s="490"/>
      <c r="BZ75" s="605"/>
      <c r="CA75" s="490"/>
      <c r="CB75" s="93"/>
      <c r="CC75" s="387"/>
      <c r="CD75" s="404"/>
      <c r="CE75" s="363"/>
      <c r="CF75" s="404"/>
      <c r="CG75" s="93"/>
      <c r="CH75" s="387"/>
      <c r="CI75" s="404"/>
      <c r="CJ75" s="363"/>
      <c r="CK75" s="520"/>
      <c r="CL75" s="93"/>
      <c r="CM75" s="390" t="str">
        <f>IFERROR(__xludf.DUMMYFUNCTION("""COMPUTED_VALUE"""),"")</f>
        <v/>
      </c>
      <c r="CN75" s="489" t="str">
        <f>IFERROR(__xludf.DUMMYFUNCTION("""COMPUTED_VALUE"""),"Flareon")</f>
        <v>Flareon</v>
      </c>
      <c r="CO75" s="532" t="s">
        <v>158</v>
      </c>
      <c r="CP75" s="523"/>
      <c r="CQ75" s="93"/>
      <c r="CR75" s="413"/>
      <c r="CS75" s="414"/>
      <c r="CT75" s="632"/>
      <c r="CU75" s="414"/>
      <c r="CV75" s="93"/>
      <c r="CW75" s="415"/>
      <c r="CX75" s="468"/>
      <c r="CY75" s="633"/>
      <c r="CZ75" s="468"/>
      <c r="DA75" s="93"/>
      <c r="DB75" s="423"/>
      <c r="DC75" s="424"/>
      <c r="DD75" s="634"/>
      <c r="DE75" s="424"/>
      <c r="DF75" s="93"/>
      <c r="DG75" s="628"/>
      <c r="DH75" s="641"/>
      <c r="DI75" s="641"/>
      <c r="DJ75" s="641"/>
      <c r="DK75" s="93"/>
      <c r="DL75" s="429"/>
      <c r="DM75" s="430"/>
      <c r="DN75" s="430"/>
      <c r="DO75" s="430"/>
      <c r="DP75" s="93"/>
      <c r="DQ75" s="439"/>
      <c r="DR75" s="441"/>
      <c r="DS75" s="441"/>
      <c r="DT75" s="441"/>
      <c r="DU75" s="93"/>
      <c r="DV75" s="442"/>
      <c r="DW75" s="443"/>
      <c r="DX75" s="363"/>
      <c r="DY75" s="345"/>
      <c r="DZ75" s="87"/>
      <c r="EA75" s="10"/>
    </row>
    <row r="76" ht="17.25" customHeight="1">
      <c r="A76" s="10"/>
      <c r="B76" s="87"/>
      <c r="C76" s="234"/>
      <c r="D76" s="235"/>
      <c r="E76" s="93"/>
      <c r="F76" s="268"/>
      <c r="G76" s="268"/>
      <c r="H76" s="268"/>
      <c r="I76" s="268"/>
      <c r="J76" s="268"/>
      <c r="K76" s="268"/>
      <c r="L76" s="450"/>
      <c r="M76" s="268"/>
      <c r="N76" s="268"/>
      <c r="O76" s="268"/>
      <c r="P76" s="268"/>
      <c r="Q76" s="450"/>
      <c r="R76" s="268"/>
      <c r="S76" s="268"/>
      <c r="T76" s="268"/>
      <c r="U76" s="268"/>
      <c r="V76" s="450"/>
      <c r="W76" s="268"/>
      <c r="X76" s="268"/>
      <c r="Y76" s="268"/>
      <c r="Z76" s="268"/>
      <c r="AA76" s="450"/>
      <c r="AB76" s="268"/>
      <c r="AC76" s="268"/>
      <c r="AD76" s="268"/>
      <c r="AE76" s="268"/>
      <c r="AF76" s="450"/>
      <c r="AG76" s="268"/>
      <c r="AH76" s="268"/>
      <c r="AI76" s="268"/>
      <c r="AJ76" s="268"/>
      <c r="AK76" s="450"/>
      <c r="AL76" s="268"/>
      <c r="AM76" s="268"/>
      <c r="AN76" s="268"/>
      <c r="AO76" s="268"/>
      <c r="AP76" s="397"/>
      <c r="AQ76" s="509"/>
      <c r="AR76" s="397"/>
      <c r="AS76" s="93"/>
      <c r="AT76" s="359"/>
      <c r="AU76" s="518"/>
      <c r="AV76" s="524"/>
      <c r="AW76" s="518"/>
      <c r="AX76" s="93"/>
      <c r="AY76" s="364"/>
      <c r="AZ76" s="480"/>
      <c r="BA76" s="525"/>
      <c r="BB76" s="480"/>
      <c r="BC76" s="93"/>
      <c r="BD76" s="368"/>
      <c r="BE76" s="477"/>
      <c r="BF76" s="560"/>
      <c r="BG76" s="477"/>
      <c r="BH76" s="93"/>
      <c r="BI76" s="402"/>
      <c r="BJ76" s="478"/>
      <c r="BK76" s="609"/>
      <c r="BL76" s="478"/>
      <c r="BM76" s="93"/>
      <c r="BN76" s="372"/>
      <c r="BO76" s="455"/>
      <c r="BP76" s="557"/>
      <c r="BQ76" s="455"/>
      <c r="BR76" s="93"/>
      <c r="BS76" s="380"/>
      <c r="BT76" s="492"/>
      <c r="BU76" s="566"/>
      <c r="BV76" s="492"/>
      <c r="BW76" s="93"/>
      <c r="BX76" s="385"/>
      <c r="BY76" s="490"/>
      <c r="BZ76" s="605"/>
      <c r="CA76" s="490"/>
      <c r="CB76" s="93"/>
      <c r="CC76" s="387"/>
      <c r="CD76" s="404"/>
      <c r="CE76" s="363"/>
      <c r="CF76" s="404"/>
      <c r="CG76" s="93"/>
      <c r="CH76" s="387"/>
      <c r="CI76" s="404"/>
      <c r="CJ76" s="363"/>
      <c r="CK76" s="520"/>
      <c r="CL76" s="93"/>
      <c r="CM76" s="390" t="str">
        <f>IFERROR(__xludf.DUMMYFUNCTION("""COMPUTED_VALUE"""),"")</f>
        <v/>
      </c>
      <c r="CN76" s="489" t="str">
        <f>IFERROR(__xludf.DUMMYFUNCTION("""COMPUTED_VALUE"""),"Fletchinder")</f>
        <v>Fletchinder</v>
      </c>
      <c r="CO76" s="532" t="s">
        <v>158</v>
      </c>
      <c r="CP76" s="523"/>
      <c r="CQ76" s="93"/>
      <c r="CR76" s="413"/>
      <c r="CS76" s="414"/>
      <c r="CT76" s="632"/>
      <c r="CU76" s="414"/>
      <c r="CV76" s="93"/>
      <c r="CW76" s="415"/>
      <c r="CX76" s="468"/>
      <c r="CY76" s="633"/>
      <c r="CZ76" s="468"/>
      <c r="DA76" s="93"/>
      <c r="DB76" s="423"/>
      <c r="DC76" s="424"/>
      <c r="DD76" s="634"/>
      <c r="DE76" s="424"/>
      <c r="DF76" s="93"/>
      <c r="DG76" s="628"/>
      <c r="DH76" s="641"/>
      <c r="DI76" s="641"/>
      <c r="DJ76" s="641"/>
      <c r="DK76" s="93"/>
      <c r="DL76" s="429"/>
      <c r="DM76" s="430"/>
      <c r="DN76" s="430"/>
      <c r="DO76" s="430"/>
      <c r="DP76" s="93"/>
      <c r="DQ76" s="439"/>
      <c r="DR76" s="441"/>
      <c r="DS76" s="441"/>
      <c r="DT76" s="441"/>
      <c r="DU76" s="93"/>
      <c r="DV76" s="442"/>
      <c r="DW76" s="443"/>
      <c r="DX76" s="363"/>
      <c r="DY76" s="345"/>
      <c r="DZ76" s="87"/>
      <c r="EA76" s="10"/>
    </row>
    <row r="77" ht="17.25" customHeight="1">
      <c r="A77" s="10"/>
      <c r="B77" s="87"/>
      <c r="C77" s="234"/>
      <c r="D77" s="235"/>
      <c r="E77" s="93"/>
      <c r="F77" s="268"/>
      <c r="G77" s="268"/>
      <c r="H77" s="268"/>
      <c r="I77" s="268"/>
      <c r="J77" s="268"/>
      <c r="K77" s="268"/>
      <c r="L77" s="450"/>
      <c r="M77" s="268"/>
      <c r="N77" s="268"/>
      <c r="O77" s="268"/>
      <c r="P77" s="268"/>
      <c r="Q77" s="450"/>
      <c r="R77" s="268"/>
      <c r="S77" s="268"/>
      <c r="T77" s="268"/>
      <c r="U77" s="268"/>
      <c r="V77" s="450"/>
      <c r="W77" s="268"/>
      <c r="X77" s="268"/>
      <c r="Y77" s="268"/>
      <c r="Z77" s="268"/>
      <c r="AA77" s="450"/>
      <c r="AB77" s="268"/>
      <c r="AC77" s="268"/>
      <c r="AD77" s="268"/>
      <c r="AE77" s="268"/>
      <c r="AF77" s="450"/>
      <c r="AG77" s="268"/>
      <c r="AH77" s="268"/>
      <c r="AI77" s="268"/>
      <c r="AJ77" s="268"/>
      <c r="AK77" s="450"/>
      <c r="AL77" s="268"/>
      <c r="AM77" s="268"/>
      <c r="AN77" s="268"/>
      <c r="AO77" s="268"/>
      <c r="AP77" s="397"/>
      <c r="AQ77" s="509"/>
      <c r="AR77" s="397"/>
      <c r="AS77" s="93"/>
      <c r="AT77" s="359"/>
      <c r="AU77" s="518"/>
      <c r="AV77" s="524"/>
      <c r="AW77" s="518"/>
      <c r="AX77" s="93"/>
      <c r="AY77" s="364"/>
      <c r="AZ77" s="480"/>
      <c r="BA77" s="525"/>
      <c r="BB77" s="480"/>
      <c r="BC77" s="93"/>
      <c r="BD77" s="368"/>
      <c r="BE77" s="477"/>
      <c r="BF77" s="560"/>
      <c r="BG77" s="477"/>
      <c r="BH77" s="93"/>
      <c r="BI77" s="402"/>
      <c r="BJ77" s="478"/>
      <c r="BK77" s="609"/>
      <c r="BL77" s="478"/>
      <c r="BM77" s="93"/>
      <c r="BN77" s="372"/>
      <c r="BO77" s="455"/>
      <c r="BP77" s="557"/>
      <c r="BQ77" s="455"/>
      <c r="BR77" s="93"/>
      <c r="BS77" s="380"/>
      <c r="BT77" s="492"/>
      <c r="BU77" s="566"/>
      <c r="BV77" s="492"/>
      <c r="BW77" s="93"/>
      <c r="BX77" s="385"/>
      <c r="BY77" s="490"/>
      <c r="BZ77" s="605"/>
      <c r="CA77" s="490"/>
      <c r="CB77" s="93"/>
      <c r="CC77" s="387"/>
      <c r="CD77" s="404"/>
      <c r="CE77" s="363"/>
      <c r="CF77" s="404"/>
      <c r="CG77" s="93"/>
      <c r="CH77" s="387"/>
      <c r="CI77" s="404"/>
      <c r="CJ77" s="363"/>
      <c r="CK77" s="520"/>
      <c r="CL77" s="93"/>
      <c r="CM77" s="390" t="str">
        <f>IFERROR(__xludf.DUMMYFUNCTION("""COMPUTED_VALUE"""),"")</f>
        <v/>
      </c>
      <c r="CN77" s="489" t="str">
        <f>IFERROR(__xludf.DUMMYFUNCTION("""COMPUTED_VALUE"""),"Fletchling")</f>
        <v>Fletchling</v>
      </c>
      <c r="CO77" s="532" t="s">
        <v>158</v>
      </c>
      <c r="CP77" s="523"/>
      <c r="CQ77" s="93"/>
      <c r="CR77" s="413"/>
      <c r="CS77" s="414"/>
      <c r="CT77" s="632"/>
      <c r="CU77" s="414"/>
      <c r="CV77" s="93"/>
      <c r="CW77" s="415"/>
      <c r="CX77" s="468"/>
      <c r="CY77" s="633"/>
      <c r="CZ77" s="468"/>
      <c r="DA77" s="93"/>
      <c r="DB77" s="423"/>
      <c r="DC77" s="424"/>
      <c r="DD77" s="634"/>
      <c r="DE77" s="424"/>
      <c r="DF77" s="93"/>
      <c r="DG77" s="628"/>
      <c r="DH77" s="641"/>
      <c r="DI77" s="641"/>
      <c r="DJ77" s="641"/>
      <c r="DK77" s="93"/>
      <c r="DL77" s="429"/>
      <c r="DM77" s="430"/>
      <c r="DN77" s="430"/>
      <c r="DO77" s="430"/>
      <c r="DP77" s="93"/>
      <c r="DQ77" s="439"/>
      <c r="DR77" s="441"/>
      <c r="DS77" s="441"/>
      <c r="DT77" s="441"/>
      <c r="DU77" s="93"/>
      <c r="DV77" s="442"/>
      <c r="DW77" s="443"/>
      <c r="DX77" s="363"/>
      <c r="DY77" s="345"/>
      <c r="DZ77" s="87"/>
      <c r="EA77" s="10"/>
    </row>
    <row r="78" ht="17.25" customHeight="1">
      <c r="A78" s="10"/>
      <c r="B78" s="87"/>
      <c r="C78" s="234"/>
      <c r="D78" s="235"/>
      <c r="E78" s="93"/>
      <c r="F78" s="268"/>
      <c r="G78" s="268"/>
      <c r="H78" s="268"/>
      <c r="I78" s="268"/>
      <c r="J78" s="268"/>
      <c r="K78" s="268"/>
      <c r="L78" s="450"/>
      <c r="M78" s="268"/>
      <c r="N78" s="268"/>
      <c r="O78" s="268"/>
      <c r="P78" s="268"/>
      <c r="Q78" s="450"/>
      <c r="R78" s="268"/>
      <c r="S78" s="268"/>
      <c r="T78" s="268"/>
      <c r="U78" s="268"/>
      <c r="V78" s="450"/>
      <c r="W78" s="268"/>
      <c r="X78" s="268"/>
      <c r="Y78" s="268"/>
      <c r="Z78" s="268"/>
      <c r="AA78" s="450"/>
      <c r="AB78" s="268"/>
      <c r="AC78" s="268"/>
      <c r="AD78" s="268"/>
      <c r="AE78" s="268"/>
      <c r="AF78" s="450"/>
      <c r="AG78" s="268"/>
      <c r="AH78" s="268"/>
      <c r="AI78" s="268"/>
      <c r="AJ78" s="268"/>
      <c r="AK78" s="450"/>
      <c r="AL78" s="268"/>
      <c r="AM78" s="268"/>
      <c r="AN78" s="268"/>
      <c r="AO78" s="268"/>
      <c r="AP78" s="397"/>
      <c r="AQ78" s="509"/>
      <c r="AR78" s="397"/>
      <c r="AS78" s="93"/>
      <c r="AT78" s="359"/>
      <c r="AU78" s="518"/>
      <c r="AV78" s="524"/>
      <c r="AW78" s="518"/>
      <c r="AX78" s="93"/>
      <c r="AY78" s="364"/>
      <c r="AZ78" s="480"/>
      <c r="BA78" s="525"/>
      <c r="BB78" s="480"/>
      <c r="BC78" s="93"/>
      <c r="BD78" s="368"/>
      <c r="BE78" s="477"/>
      <c r="BF78" s="560"/>
      <c r="BG78" s="477"/>
      <c r="BH78" s="93"/>
      <c r="BI78" s="402"/>
      <c r="BJ78" s="478"/>
      <c r="BK78" s="609"/>
      <c r="BL78" s="478"/>
      <c r="BM78" s="93"/>
      <c r="BN78" s="372"/>
      <c r="BO78" s="455"/>
      <c r="BP78" s="557"/>
      <c r="BQ78" s="455"/>
      <c r="BR78" s="93"/>
      <c r="BS78" s="380"/>
      <c r="BT78" s="492"/>
      <c r="BU78" s="566"/>
      <c r="BV78" s="492"/>
      <c r="BW78" s="93"/>
      <c r="BX78" s="385"/>
      <c r="BY78" s="490"/>
      <c r="BZ78" s="605"/>
      <c r="CA78" s="490"/>
      <c r="CB78" s="93"/>
      <c r="CC78" s="387"/>
      <c r="CD78" s="404"/>
      <c r="CE78" s="363"/>
      <c r="CF78" s="404"/>
      <c r="CG78" s="93"/>
      <c r="CH78" s="387"/>
      <c r="CI78" s="404"/>
      <c r="CJ78" s="363"/>
      <c r="CK78" s="520"/>
      <c r="CL78" s="93"/>
      <c r="CM78" s="390" t="str">
        <f>IFERROR(__xludf.DUMMYFUNCTION("""COMPUTED_VALUE"""),"")</f>
        <v/>
      </c>
      <c r="CN78" s="489" t="str">
        <f>IFERROR(__xludf.DUMMYFUNCTION("""COMPUTED_VALUE"""),"Flittle")</f>
        <v>Flittle</v>
      </c>
      <c r="CO78" s="532" t="s">
        <v>158</v>
      </c>
      <c r="CP78" s="523"/>
      <c r="CQ78" s="93"/>
      <c r="CR78" s="413"/>
      <c r="CS78" s="414"/>
      <c r="CT78" s="632"/>
      <c r="CU78" s="414"/>
      <c r="CV78" s="93"/>
      <c r="CW78" s="415"/>
      <c r="CX78" s="468"/>
      <c r="CY78" s="633"/>
      <c r="CZ78" s="468"/>
      <c r="DA78" s="93"/>
      <c r="DB78" s="423"/>
      <c r="DC78" s="424"/>
      <c r="DD78" s="634"/>
      <c r="DE78" s="424"/>
      <c r="DF78" s="93"/>
      <c r="DG78" s="628"/>
      <c r="DH78" s="641"/>
      <c r="DI78" s="641"/>
      <c r="DJ78" s="641"/>
      <c r="DK78" s="93"/>
      <c r="DL78" s="429"/>
      <c r="DM78" s="430"/>
      <c r="DN78" s="430"/>
      <c r="DO78" s="430"/>
      <c r="DP78" s="93"/>
      <c r="DQ78" s="439"/>
      <c r="DR78" s="441"/>
      <c r="DS78" s="441"/>
      <c r="DT78" s="441"/>
      <c r="DU78" s="93"/>
      <c r="DV78" s="442"/>
      <c r="DW78" s="443"/>
      <c r="DX78" s="363"/>
      <c r="DY78" s="345"/>
      <c r="DZ78" s="87"/>
      <c r="EA78" s="10"/>
    </row>
    <row r="79" ht="17.25" customHeight="1">
      <c r="A79" s="10"/>
      <c r="B79" s="87"/>
      <c r="C79" s="234"/>
      <c r="D79" s="235"/>
      <c r="E79" s="93"/>
      <c r="F79" s="268"/>
      <c r="G79" s="268"/>
      <c r="H79" s="268"/>
      <c r="I79" s="268"/>
      <c r="J79" s="268"/>
      <c r="K79" s="268"/>
      <c r="L79" s="450"/>
      <c r="M79" s="268"/>
      <c r="N79" s="268"/>
      <c r="O79" s="268"/>
      <c r="P79" s="268"/>
      <c r="Q79" s="450"/>
      <c r="R79" s="268"/>
      <c r="S79" s="268"/>
      <c r="T79" s="268"/>
      <c r="U79" s="268"/>
      <c r="V79" s="450"/>
      <c r="W79" s="268"/>
      <c r="X79" s="268"/>
      <c r="Y79" s="268"/>
      <c r="Z79" s="268"/>
      <c r="AA79" s="450"/>
      <c r="AB79" s="268"/>
      <c r="AC79" s="268"/>
      <c r="AD79" s="268"/>
      <c r="AE79" s="268"/>
      <c r="AF79" s="450"/>
      <c r="AG79" s="268"/>
      <c r="AH79" s="268"/>
      <c r="AI79" s="268"/>
      <c r="AJ79" s="268"/>
      <c r="AK79" s="450"/>
      <c r="AL79" s="268"/>
      <c r="AM79" s="268"/>
      <c r="AN79" s="268"/>
      <c r="AO79" s="268"/>
      <c r="AP79" s="397"/>
      <c r="AQ79" s="509"/>
      <c r="AR79" s="397"/>
      <c r="AS79" s="93"/>
      <c r="AT79" s="359"/>
      <c r="AU79" s="518"/>
      <c r="AV79" s="524"/>
      <c r="AW79" s="518"/>
      <c r="AX79" s="93"/>
      <c r="AY79" s="364"/>
      <c r="AZ79" s="480"/>
      <c r="BA79" s="525"/>
      <c r="BB79" s="480"/>
      <c r="BC79" s="93"/>
      <c r="BD79" s="368"/>
      <c r="BE79" s="477"/>
      <c r="BF79" s="560"/>
      <c r="BG79" s="477"/>
      <c r="BH79" s="93"/>
      <c r="BI79" s="402"/>
      <c r="BJ79" s="478"/>
      <c r="BK79" s="609"/>
      <c r="BL79" s="478"/>
      <c r="BM79" s="93"/>
      <c r="BN79" s="372"/>
      <c r="BO79" s="455"/>
      <c r="BP79" s="557"/>
      <c r="BQ79" s="455"/>
      <c r="BR79" s="93"/>
      <c r="BS79" s="380"/>
      <c r="BT79" s="492"/>
      <c r="BU79" s="566"/>
      <c r="BV79" s="492"/>
      <c r="BW79" s="93"/>
      <c r="BX79" s="385"/>
      <c r="BY79" s="490"/>
      <c r="BZ79" s="605"/>
      <c r="CA79" s="490"/>
      <c r="CB79" s="93"/>
      <c r="CC79" s="387"/>
      <c r="CD79" s="404"/>
      <c r="CE79" s="363"/>
      <c r="CF79" s="404"/>
      <c r="CG79" s="93"/>
      <c r="CH79" s="387"/>
      <c r="CI79" s="404"/>
      <c r="CJ79" s="363"/>
      <c r="CK79" s="520"/>
      <c r="CL79" s="93"/>
      <c r="CM79" s="390" t="str">
        <f>IFERROR(__xludf.DUMMYFUNCTION("""COMPUTED_VALUE"""),"")</f>
        <v/>
      </c>
      <c r="CN79" s="489" t="str">
        <f>IFERROR(__xludf.DUMMYFUNCTION("""COMPUTED_VALUE"""),"Floette")</f>
        <v>Floette</v>
      </c>
      <c r="CO79" s="532" t="s">
        <v>158</v>
      </c>
      <c r="CP79" s="523"/>
      <c r="CQ79" s="93"/>
      <c r="CR79" s="413"/>
      <c r="CS79" s="414"/>
      <c r="CT79" s="632"/>
      <c r="CU79" s="414"/>
      <c r="CV79" s="93"/>
      <c r="CW79" s="415"/>
      <c r="CX79" s="468"/>
      <c r="CY79" s="633"/>
      <c r="CZ79" s="468"/>
      <c r="DA79" s="93"/>
      <c r="DB79" s="423"/>
      <c r="DC79" s="424"/>
      <c r="DD79" s="634"/>
      <c r="DE79" s="424"/>
      <c r="DF79" s="93"/>
      <c r="DG79" s="628"/>
      <c r="DH79" s="641"/>
      <c r="DI79" s="641"/>
      <c r="DJ79" s="641"/>
      <c r="DK79" s="93"/>
      <c r="DL79" s="429"/>
      <c r="DM79" s="430"/>
      <c r="DN79" s="430"/>
      <c r="DO79" s="430"/>
      <c r="DP79" s="93"/>
      <c r="DQ79" s="439"/>
      <c r="DR79" s="441"/>
      <c r="DS79" s="441"/>
      <c r="DT79" s="441"/>
      <c r="DU79" s="93"/>
      <c r="DV79" s="442"/>
      <c r="DW79" s="443"/>
      <c r="DX79" s="363"/>
      <c r="DY79" s="345"/>
      <c r="DZ79" s="87"/>
      <c r="EA79" s="10"/>
    </row>
    <row r="80" ht="17.25" customHeight="1">
      <c r="A80" s="10"/>
      <c r="B80" s="87"/>
      <c r="C80" s="234"/>
      <c r="D80" s="235"/>
      <c r="E80" s="93"/>
      <c r="F80" s="268"/>
      <c r="G80" s="268"/>
      <c r="H80" s="268"/>
      <c r="I80" s="268"/>
      <c r="J80" s="268"/>
      <c r="K80" s="268"/>
      <c r="L80" s="450"/>
      <c r="M80" s="268"/>
      <c r="N80" s="268"/>
      <c r="O80" s="268"/>
      <c r="P80" s="268"/>
      <c r="Q80" s="450"/>
      <c r="R80" s="268"/>
      <c r="S80" s="268"/>
      <c r="T80" s="268"/>
      <c r="U80" s="268"/>
      <c r="V80" s="450"/>
      <c r="W80" s="268"/>
      <c r="X80" s="268"/>
      <c r="Y80" s="268"/>
      <c r="Z80" s="268"/>
      <c r="AA80" s="450"/>
      <c r="AB80" s="268"/>
      <c r="AC80" s="268"/>
      <c r="AD80" s="268"/>
      <c r="AE80" s="268"/>
      <c r="AF80" s="450"/>
      <c r="AG80" s="268"/>
      <c r="AH80" s="268"/>
      <c r="AI80" s="268"/>
      <c r="AJ80" s="268"/>
      <c r="AK80" s="450"/>
      <c r="AL80" s="268"/>
      <c r="AM80" s="268"/>
      <c r="AN80" s="268"/>
      <c r="AO80" s="268"/>
      <c r="AP80" s="397"/>
      <c r="AQ80" s="509"/>
      <c r="AR80" s="397"/>
      <c r="AS80" s="93"/>
      <c r="AT80" s="359"/>
      <c r="AU80" s="518"/>
      <c r="AV80" s="524"/>
      <c r="AW80" s="518"/>
      <c r="AX80" s="93"/>
      <c r="AY80" s="364"/>
      <c r="AZ80" s="480"/>
      <c r="BA80" s="525"/>
      <c r="BB80" s="480"/>
      <c r="BC80" s="93"/>
      <c r="BD80" s="368"/>
      <c r="BE80" s="477"/>
      <c r="BF80" s="560"/>
      <c r="BG80" s="477"/>
      <c r="BH80" s="93"/>
      <c r="BI80" s="402"/>
      <c r="BJ80" s="478"/>
      <c r="BK80" s="609"/>
      <c r="BL80" s="478"/>
      <c r="BM80" s="93"/>
      <c r="BN80" s="372"/>
      <c r="BO80" s="455"/>
      <c r="BP80" s="557"/>
      <c r="BQ80" s="455"/>
      <c r="BR80" s="93"/>
      <c r="BS80" s="380"/>
      <c r="BT80" s="492"/>
      <c r="BU80" s="566"/>
      <c r="BV80" s="492"/>
      <c r="BW80" s="93"/>
      <c r="BX80" s="385"/>
      <c r="BY80" s="490"/>
      <c r="BZ80" s="605"/>
      <c r="CA80" s="490"/>
      <c r="CB80" s="93"/>
      <c r="CC80" s="387"/>
      <c r="CD80" s="404"/>
      <c r="CE80" s="363"/>
      <c r="CF80" s="404"/>
      <c r="CG80" s="93"/>
      <c r="CH80" s="387"/>
      <c r="CI80" s="404"/>
      <c r="CJ80" s="363"/>
      <c r="CK80" s="520"/>
      <c r="CL80" s="93"/>
      <c r="CM80" s="390" t="str">
        <f>IFERROR(__xludf.DUMMYFUNCTION("""COMPUTED_VALUE"""),"")</f>
        <v/>
      </c>
      <c r="CN80" s="489" t="str">
        <f>IFERROR(__xludf.DUMMYFUNCTION("""COMPUTED_VALUE"""),"Floragato")</f>
        <v>Floragato</v>
      </c>
      <c r="CO80" s="532" t="s">
        <v>158</v>
      </c>
      <c r="CP80" s="523"/>
      <c r="CQ80" s="93"/>
      <c r="CR80" s="413"/>
      <c r="CS80" s="414"/>
      <c r="CT80" s="632"/>
      <c r="CU80" s="414"/>
      <c r="CV80" s="93"/>
      <c r="CW80" s="415"/>
      <c r="CX80" s="468"/>
      <c r="CY80" s="633"/>
      <c r="CZ80" s="468"/>
      <c r="DA80" s="93"/>
      <c r="DB80" s="423"/>
      <c r="DC80" s="424"/>
      <c r="DD80" s="634"/>
      <c r="DE80" s="424"/>
      <c r="DF80" s="93"/>
      <c r="DG80" s="628"/>
      <c r="DH80" s="641"/>
      <c r="DI80" s="641"/>
      <c r="DJ80" s="641"/>
      <c r="DK80" s="93"/>
      <c r="DL80" s="429"/>
      <c r="DM80" s="430"/>
      <c r="DN80" s="430"/>
      <c r="DO80" s="430"/>
      <c r="DP80" s="93"/>
      <c r="DQ80" s="439"/>
      <c r="DR80" s="441"/>
      <c r="DS80" s="441"/>
      <c r="DT80" s="441"/>
      <c r="DU80" s="93"/>
      <c r="DV80" s="442"/>
      <c r="DW80" s="443"/>
      <c r="DX80" s="363"/>
      <c r="DY80" s="345"/>
      <c r="DZ80" s="87"/>
      <c r="EA80" s="10"/>
    </row>
    <row r="81" ht="17.25" customHeight="1">
      <c r="A81" s="10"/>
      <c r="B81" s="87"/>
      <c r="C81" s="234"/>
      <c r="D81" s="235"/>
      <c r="E81" s="93"/>
      <c r="F81" s="268"/>
      <c r="G81" s="268"/>
      <c r="H81" s="268"/>
      <c r="I81" s="268"/>
      <c r="J81" s="268"/>
      <c r="K81" s="268"/>
      <c r="L81" s="450"/>
      <c r="M81" s="268"/>
      <c r="N81" s="268"/>
      <c r="O81" s="268"/>
      <c r="P81" s="268"/>
      <c r="Q81" s="450"/>
      <c r="R81" s="268"/>
      <c r="S81" s="268"/>
      <c r="T81" s="268"/>
      <c r="U81" s="268"/>
      <c r="V81" s="450"/>
      <c r="W81" s="268"/>
      <c r="X81" s="268"/>
      <c r="Y81" s="268"/>
      <c r="Z81" s="268"/>
      <c r="AA81" s="450"/>
      <c r="AB81" s="268"/>
      <c r="AC81" s="268"/>
      <c r="AD81" s="268"/>
      <c r="AE81" s="268"/>
      <c r="AF81" s="450"/>
      <c r="AG81" s="268"/>
      <c r="AH81" s="268"/>
      <c r="AI81" s="268"/>
      <c r="AJ81" s="268"/>
      <c r="AK81" s="450"/>
      <c r="AL81" s="268"/>
      <c r="AM81" s="268"/>
      <c r="AN81" s="268"/>
      <c r="AO81" s="268"/>
      <c r="AP81" s="397"/>
      <c r="AQ81" s="509"/>
      <c r="AR81" s="397"/>
      <c r="AS81" s="93"/>
      <c r="AT81" s="359"/>
      <c r="AU81" s="518"/>
      <c r="AV81" s="524"/>
      <c r="AW81" s="518"/>
      <c r="AX81" s="93"/>
      <c r="AY81" s="364"/>
      <c r="AZ81" s="480"/>
      <c r="BA81" s="525"/>
      <c r="BB81" s="480"/>
      <c r="BC81" s="93"/>
      <c r="BD81" s="368"/>
      <c r="BE81" s="477"/>
      <c r="BF81" s="560"/>
      <c r="BG81" s="477"/>
      <c r="BH81" s="93"/>
      <c r="BI81" s="402"/>
      <c r="BJ81" s="478"/>
      <c r="BK81" s="609"/>
      <c r="BL81" s="478"/>
      <c r="BM81" s="93"/>
      <c r="BN81" s="372"/>
      <c r="BO81" s="455"/>
      <c r="BP81" s="557"/>
      <c r="BQ81" s="455"/>
      <c r="BR81" s="93"/>
      <c r="BS81" s="380"/>
      <c r="BT81" s="492"/>
      <c r="BU81" s="566"/>
      <c r="BV81" s="492"/>
      <c r="BW81" s="93"/>
      <c r="BX81" s="385"/>
      <c r="BY81" s="490"/>
      <c r="BZ81" s="605"/>
      <c r="CA81" s="490"/>
      <c r="CB81" s="93"/>
      <c r="CC81" s="387"/>
      <c r="CD81" s="404"/>
      <c r="CE81" s="363"/>
      <c r="CF81" s="404"/>
      <c r="CG81" s="93"/>
      <c r="CH81" s="387"/>
      <c r="CI81" s="404"/>
      <c r="CJ81" s="363"/>
      <c r="CK81" s="520"/>
      <c r="CL81" s="93"/>
      <c r="CM81" s="390" t="str">
        <f>IFERROR(__xludf.DUMMYFUNCTION("""COMPUTED_VALUE"""),"")</f>
        <v/>
      </c>
      <c r="CN81" s="489" t="str">
        <f>IFERROR(__xludf.DUMMYFUNCTION("""COMPUTED_VALUE"""),"Florges")</f>
        <v>Florges</v>
      </c>
      <c r="CO81" s="532" t="s">
        <v>158</v>
      </c>
      <c r="CP81" s="523"/>
      <c r="CQ81" s="93"/>
      <c r="CR81" s="413"/>
      <c r="CS81" s="414"/>
      <c r="CT81" s="632"/>
      <c r="CU81" s="414"/>
      <c r="CV81" s="93"/>
      <c r="CW81" s="415"/>
      <c r="CX81" s="468"/>
      <c r="CY81" s="633"/>
      <c r="CZ81" s="468"/>
      <c r="DA81" s="93"/>
      <c r="DB81" s="423"/>
      <c r="DC81" s="424"/>
      <c r="DD81" s="634"/>
      <c r="DE81" s="424"/>
      <c r="DF81" s="93"/>
      <c r="DG81" s="628"/>
      <c r="DH81" s="641"/>
      <c r="DI81" s="641"/>
      <c r="DJ81" s="641"/>
      <c r="DK81" s="93"/>
      <c r="DL81" s="429"/>
      <c r="DM81" s="430"/>
      <c r="DN81" s="430"/>
      <c r="DO81" s="430"/>
      <c r="DP81" s="93"/>
      <c r="DQ81" s="439"/>
      <c r="DR81" s="441"/>
      <c r="DS81" s="441"/>
      <c r="DT81" s="441"/>
      <c r="DU81" s="93"/>
      <c r="DV81" s="442"/>
      <c r="DW81" s="443"/>
      <c r="DX81" s="363"/>
      <c r="DY81" s="345"/>
      <c r="DZ81" s="87"/>
      <c r="EA81" s="10"/>
    </row>
    <row r="82" ht="17.25" customHeight="1">
      <c r="A82" s="10"/>
      <c r="B82" s="87"/>
      <c r="C82" s="234"/>
      <c r="D82" s="235"/>
      <c r="E82" s="93"/>
      <c r="F82" s="268"/>
      <c r="G82" s="268"/>
      <c r="H82" s="268"/>
      <c r="I82" s="268"/>
      <c r="J82" s="268"/>
      <c r="K82" s="268"/>
      <c r="L82" s="450"/>
      <c r="M82" s="268"/>
      <c r="N82" s="268"/>
      <c r="O82" s="268"/>
      <c r="P82" s="268"/>
      <c r="Q82" s="450"/>
      <c r="R82" s="268"/>
      <c r="S82" s="268"/>
      <c r="T82" s="268"/>
      <c r="U82" s="268"/>
      <c r="V82" s="450"/>
      <c r="W82" s="268"/>
      <c r="X82" s="268"/>
      <c r="Y82" s="268"/>
      <c r="Z82" s="268"/>
      <c r="AA82" s="450"/>
      <c r="AB82" s="268"/>
      <c r="AC82" s="268"/>
      <c r="AD82" s="268"/>
      <c r="AE82" s="268"/>
      <c r="AF82" s="450"/>
      <c r="AG82" s="268"/>
      <c r="AH82" s="268"/>
      <c r="AI82" s="268"/>
      <c r="AJ82" s="268"/>
      <c r="AK82" s="450"/>
      <c r="AL82" s="268"/>
      <c r="AM82" s="268"/>
      <c r="AN82" s="268"/>
      <c r="AO82" s="268"/>
      <c r="AP82" s="397"/>
      <c r="AQ82" s="509"/>
      <c r="AR82" s="397"/>
      <c r="AS82" s="93"/>
      <c r="AT82" s="359"/>
      <c r="AU82" s="518"/>
      <c r="AV82" s="524"/>
      <c r="AW82" s="518"/>
      <c r="AX82" s="93"/>
      <c r="AY82" s="364"/>
      <c r="AZ82" s="480"/>
      <c r="BA82" s="525"/>
      <c r="BB82" s="480"/>
      <c r="BC82" s="93"/>
      <c r="BD82" s="368"/>
      <c r="BE82" s="477"/>
      <c r="BF82" s="560"/>
      <c r="BG82" s="477"/>
      <c r="BH82" s="93"/>
      <c r="BI82" s="402"/>
      <c r="BJ82" s="478"/>
      <c r="BK82" s="609"/>
      <c r="BL82" s="478"/>
      <c r="BM82" s="93"/>
      <c r="BN82" s="372"/>
      <c r="BO82" s="455"/>
      <c r="BP82" s="557"/>
      <c r="BQ82" s="455"/>
      <c r="BR82" s="93"/>
      <c r="BS82" s="380"/>
      <c r="BT82" s="492"/>
      <c r="BU82" s="566"/>
      <c r="BV82" s="492"/>
      <c r="BW82" s="93"/>
      <c r="BX82" s="385"/>
      <c r="BY82" s="490"/>
      <c r="BZ82" s="605"/>
      <c r="CA82" s="490"/>
      <c r="CB82" s="93"/>
      <c r="CC82" s="387"/>
      <c r="CD82" s="404"/>
      <c r="CE82" s="363"/>
      <c r="CF82" s="404"/>
      <c r="CG82" s="93"/>
      <c r="CH82" s="387"/>
      <c r="CI82" s="404"/>
      <c r="CJ82" s="363"/>
      <c r="CK82" s="520"/>
      <c r="CL82" s="93"/>
      <c r="CM82" s="390" t="str">
        <f>IFERROR(__xludf.DUMMYFUNCTION("""COMPUTED_VALUE"""),"")</f>
        <v/>
      </c>
      <c r="CN82" s="489" t="str">
        <f>IFERROR(__xludf.DUMMYFUNCTION("""COMPUTED_VALUE"""),"Fomantis")</f>
        <v>Fomantis</v>
      </c>
      <c r="CO82" s="532" t="s">
        <v>158</v>
      </c>
      <c r="CP82" s="523"/>
      <c r="CQ82" s="93"/>
      <c r="CR82" s="413"/>
      <c r="CS82" s="414"/>
      <c r="CT82" s="632"/>
      <c r="CU82" s="414"/>
      <c r="CV82" s="93"/>
      <c r="CW82" s="415"/>
      <c r="CX82" s="468"/>
      <c r="CY82" s="633"/>
      <c r="CZ82" s="468"/>
      <c r="DA82" s="93"/>
      <c r="DB82" s="423"/>
      <c r="DC82" s="424"/>
      <c r="DD82" s="634"/>
      <c r="DE82" s="424"/>
      <c r="DF82" s="93"/>
      <c r="DG82" s="628"/>
      <c r="DH82" s="641"/>
      <c r="DI82" s="641"/>
      <c r="DJ82" s="641"/>
      <c r="DK82" s="93"/>
      <c r="DL82" s="429"/>
      <c r="DM82" s="430"/>
      <c r="DN82" s="430"/>
      <c r="DO82" s="430"/>
      <c r="DP82" s="93"/>
      <c r="DQ82" s="439"/>
      <c r="DR82" s="441"/>
      <c r="DS82" s="441"/>
      <c r="DT82" s="441"/>
      <c r="DU82" s="93"/>
      <c r="DV82" s="442"/>
      <c r="DW82" s="443"/>
      <c r="DX82" s="363"/>
      <c r="DY82" s="345"/>
      <c r="DZ82" s="87"/>
      <c r="EA82" s="10"/>
    </row>
    <row r="83" ht="17.25" customHeight="1">
      <c r="A83" s="10"/>
      <c r="B83" s="87"/>
      <c r="C83" s="234"/>
      <c r="D83" s="235"/>
      <c r="E83" s="93"/>
      <c r="F83" s="268"/>
      <c r="G83" s="268"/>
      <c r="H83" s="268"/>
      <c r="I83" s="268"/>
      <c r="J83" s="268"/>
      <c r="K83" s="268"/>
      <c r="L83" s="450"/>
      <c r="M83" s="268"/>
      <c r="N83" s="268"/>
      <c r="O83" s="268"/>
      <c r="P83" s="268"/>
      <c r="Q83" s="450"/>
      <c r="R83" s="268"/>
      <c r="S83" s="268"/>
      <c r="T83" s="268"/>
      <c r="U83" s="268"/>
      <c r="V83" s="450"/>
      <c r="W83" s="268"/>
      <c r="X83" s="268"/>
      <c r="Y83" s="268"/>
      <c r="Z83" s="268"/>
      <c r="AA83" s="450"/>
      <c r="AB83" s="268"/>
      <c r="AC83" s="268"/>
      <c r="AD83" s="268"/>
      <c r="AE83" s="268"/>
      <c r="AF83" s="450"/>
      <c r="AG83" s="268"/>
      <c r="AH83" s="268"/>
      <c r="AI83" s="268"/>
      <c r="AJ83" s="268"/>
      <c r="AK83" s="450"/>
      <c r="AL83" s="268"/>
      <c r="AM83" s="268"/>
      <c r="AN83" s="268"/>
      <c r="AO83" s="268"/>
      <c r="AP83" s="397"/>
      <c r="AQ83" s="509"/>
      <c r="AR83" s="397"/>
      <c r="AS83" s="93"/>
      <c r="AT83" s="359"/>
      <c r="AU83" s="518"/>
      <c r="AV83" s="524"/>
      <c r="AW83" s="518"/>
      <c r="AX83" s="93"/>
      <c r="AY83" s="364"/>
      <c r="AZ83" s="480"/>
      <c r="BA83" s="525"/>
      <c r="BB83" s="480"/>
      <c r="BC83" s="93"/>
      <c r="BD83" s="368"/>
      <c r="BE83" s="477"/>
      <c r="BF83" s="560"/>
      <c r="BG83" s="477"/>
      <c r="BH83" s="93"/>
      <c r="BI83" s="402"/>
      <c r="BJ83" s="478"/>
      <c r="BK83" s="609"/>
      <c r="BL83" s="478"/>
      <c r="BM83" s="93"/>
      <c r="BN83" s="372"/>
      <c r="BO83" s="455"/>
      <c r="BP83" s="557"/>
      <c r="BQ83" s="455"/>
      <c r="BR83" s="93"/>
      <c r="BS83" s="380"/>
      <c r="BT83" s="492"/>
      <c r="BU83" s="566"/>
      <c r="BV83" s="492"/>
      <c r="BW83" s="93"/>
      <c r="BX83" s="385"/>
      <c r="BY83" s="490"/>
      <c r="BZ83" s="605"/>
      <c r="CA83" s="490"/>
      <c r="CB83" s="93"/>
      <c r="CC83" s="387"/>
      <c r="CD83" s="404"/>
      <c r="CE83" s="363"/>
      <c r="CF83" s="404"/>
      <c r="CG83" s="93"/>
      <c r="CH83" s="387"/>
      <c r="CI83" s="404"/>
      <c r="CJ83" s="363"/>
      <c r="CK83" s="520"/>
      <c r="CL83" s="93"/>
      <c r="CM83" s="390" t="str">
        <f>IFERROR(__xludf.DUMMYFUNCTION("""COMPUTED_VALUE"""),"")</f>
        <v/>
      </c>
      <c r="CN83" s="489" t="str">
        <f>IFERROR(__xludf.DUMMYFUNCTION("""COMPUTED_VALUE"""),"Foongus")</f>
        <v>Foongus</v>
      </c>
      <c r="CO83" s="532" t="s">
        <v>158</v>
      </c>
      <c r="CP83" s="523"/>
      <c r="CQ83" s="93"/>
      <c r="CR83" s="413"/>
      <c r="CS83" s="414"/>
      <c r="CT83" s="632"/>
      <c r="CU83" s="414"/>
      <c r="CV83" s="93"/>
      <c r="CW83" s="415"/>
      <c r="CX83" s="468"/>
      <c r="CY83" s="633"/>
      <c r="CZ83" s="468"/>
      <c r="DA83" s="93"/>
      <c r="DB83" s="423"/>
      <c r="DC83" s="424"/>
      <c r="DD83" s="634"/>
      <c r="DE83" s="424"/>
      <c r="DF83" s="93"/>
      <c r="DG83" s="628"/>
      <c r="DH83" s="641"/>
      <c r="DI83" s="641"/>
      <c r="DJ83" s="641"/>
      <c r="DK83" s="93"/>
      <c r="DL83" s="429"/>
      <c r="DM83" s="430"/>
      <c r="DN83" s="430"/>
      <c r="DO83" s="430"/>
      <c r="DP83" s="93"/>
      <c r="DQ83" s="439"/>
      <c r="DR83" s="441"/>
      <c r="DS83" s="441"/>
      <c r="DT83" s="441"/>
      <c r="DU83" s="93"/>
      <c r="DV83" s="442"/>
      <c r="DW83" s="443"/>
      <c r="DX83" s="363"/>
      <c r="DY83" s="345"/>
      <c r="DZ83" s="87"/>
      <c r="EA83" s="10"/>
    </row>
    <row r="84" ht="17.25" customHeight="1">
      <c r="A84" s="10"/>
      <c r="B84" s="87"/>
      <c r="C84" s="234"/>
      <c r="D84" s="235"/>
      <c r="E84" s="93"/>
      <c r="F84" s="268"/>
      <c r="G84" s="268"/>
      <c r="H84" s="268"/>
      <c r="I84" s="268"/>
      <c r="J84" s="268"/>
      <c r="K84" s="268"/>
      <c r="L84" s="450"/>
      <c r="M84" s="268"/>
      <c r="N84" s="268"/>
      <c r="O84" s="268"/>
      <c r="P84" s="268"/>
      <c r="Q84" s="450"/>
      <c r="R84" s="268"/>
      <c r="S84" s="268"/>
      <c r="T84" s="268"/>
      <c r="U84" s="268"/>
      <c r="V84" s="450"/>
      <c r="W84" s="268"/>
      <c r="X84" s="268"/>
      <c r="Y84" s="268"/>
      <c r="Z84" s="268"/>
      <c r="AA84" s="450"/>
      <c r="AB84" s="268"/>
      <c r="AC84" s="268"/>
      <c r="AD84" s="268"/>
      <c r="AE84" s="268"/>
      <c r="AF84" s="450"/>
      <c r="AG84" s="268"/>
      <c r="AH84" s="268"/>
      <c r="AI84" s="268"/>
      <c r="AJ84" s="268"/>
      <c r="AK84" s="450"/>
      <c r="AL84" s="268"/>
      <c r="AM84" s="268"/>
      <c r="AN84" s="268"/>
      <c r="AO84" s="268"/>
      <c r="AP84" s="397"/>
      <c r="AQ84" s="509"/>
      <c r="AR84" s="397"/>
      <c r="AS84" s="93"/>
      <c r="AT84" s="359"/>
      <c r="AU84" s="518"/>
      <c r="AV84" s="524"/>
      <c r="AW84" s="518"/>
      <c r="AX84" s="93"/>
      <c r="AY84" s="364"/>
      <c r="AZ84" s="480"/>
      <c r="BA84" s="525"/>
      <c r="BB84" s="480"/>
      <c r="BC84" s="93"/>
      <c r="BD84" s="368"/>
      <c r="BE84" s="477"/>
      <c r="BF84" s="560"/>
      <c r="BG84" s="477"/>
      <c r="BH84" s="93"/>
      <c r="BI84" s="402"/>
      <c r="BJ84" s="478"/>
      <c r="BK84" s="609"/>
      <c r="BL84" s="478"/>
      <c r="BM84" s="93"/>
      <c r="BN84" s="372"/>
      <c r="BO84" s="455"/>
      <c r="BP84" s="557"/>
      <c r="BQ84" s="455"/>
      <c r="BR84" s="93"/>
      <c r="BS84" s="380"/>
      <c r="BT84" s="492"/>
      <c r="BU84" s="566"/>
      <c r="BV84" s="492"/>
      <c r="BW84" s="93"/>
      <c r="BX84" s="385"/>
      <c r="BY84" s="490"/>
      <c r="BZ84" s="605"/>
      <c r="CA84" s="490"/>
      <c r="CB84" s="93"/>
      <c r="CC84" s="387"/>
      <c r="CD84" s="404"/>
      <c r="CE84" s="363"/>
      <c r="CF84" s="404"/>
      <c r="CG84" s="93"/>
      <c r="CH84" s="387"/>
      <c r="CI84" s="404"/>
      <c r="CJ84" s="363"/>
      <c r="CK84" s="520"/>
      <c r="CL84" s="93"/>
      <c r="CM84" s="390" t="str">
        <f>IFERROR(__xludf.DUMMYFUNCTION("""COMPUTED_VALUE"""),"")</f>
        <v/>
      </c>
      <c r="CN84" s="489" t="str">
        <f>IFERROR(__xludf.DUMMYFUNCTION("""COMPUTED_VALUE"""),"Forretress")</f>
        <v>Forretress</v>
      </c>
      <c r="CO84" s="532" t="s">
        <v>158</v>
      </c>
      <c r="CP84" s="523"/>
      <c r="CQ84" s="93"/>
      <c r="CR84" s="413"/>
      <c r="CS84" s="414"/>
      <c r="CT84" s="632"/>
      <c r="CU84" s="414"/>
      <c r="CV84" s="93"/>
      <c r="CW84" s="415"/>
      <c r="CX84" s="468"/>
      <c r="CY84" s="633"/>
      <c r="CZ84" s="468"/>
      <c r="DA84" s="93"/>
      <c r="DB84" s="423"/>
      <c r="DC84" s="424"/>
      <c r="DD84" s="634"/>
      <c r="DE84" s="424"/>
      <c r="DF84" s="93"/>
      <c r="DG84" s="628"/>
      <c r="DH84" s="641"/>
      <c r="DI84" s="641"/>
      <c r="DJ84" s="641"/>
      <c r="DK84" s="93"/>
      <c r="DL84" s="429"/>
      <c r="DM84" s="430"/>
      <c r="DN84" s="430"/>
      <c r="DO84" s="430"/>
      <c r="DP84" s="93"/>
      <c r="DQ84" s="439"/>
      <c r="DR84" s="441"/>
      <c r="DS84" s="441"/>
      <c r="DT84" s="441"/>
      <c r="DU84" s="93"/>
      <c r="DV84" s="442"/>
      <c r="DW84" s="443"/>
      <c r="DX84" s="363"/>
      <c r="DY84" s="345"/>
      <c r="DZ84" s="87"/>
      <c r="EA84" s="10"/>
    </row>
    <row r="85" ht="17.25" customHeight="1">
      <c r="A85" s="10"/>
      <c r="B85" s="87"/>
      <c r="C85" s="234"/>
      <c r="D85" s="235"/>
      <c r="E85" s="93"/>
      <c r="F85" s="268"/>
      <c r="G85" s="268"/>
      <c r="H85" s="268"/>
      <c r="I85" s="268"/>
      <c r="J85" s="268"/>
      <c r="K85" s="268"/>
      <c r="L85" s="450"/>
      <c r="M85" s="268"/>
      <c r="N85" s="268"/>
      <c r="O85" s="268"/>
      <c r="P85" s="268"/>
      <c r="Q85" s="450"/>
      <c r="R85" s="268"/>
      <c r="S85" s="268"/>
      <c r="T85" s="268"/>
      <c r="U85" s="268"/>
      <c r="V85" s="450"/>
      <c r="W85" s="268"/>
      <c r="X85" s="268"/>
      <c r="Y85" s="268"/>
      <c r="Z85" s="268"/>
      <c r="AA85" s="450"/>
      <c r="AB85" s="268"/>
      <c r="AC85" s="268"/>
      <c r="AD85" s="268"/>
      <c r="AE85" s="268"/>
      <c r="AF85" s="450"/>
      <c r="AG85" s="268"/>
      <c r="AH85" s="268"/>
      <c r="AI85" s="268"/>
      <c r="AJ85" s="268"/>
      <c r="AK85" s="450"/>
      <c r="AL85" s="268"/>
      <c r="AM85" s="268"/>
      <c r="AN85" s="268"/>
      <c r="AO85" s="268"/>
      <c r="AP85" s="397"/>
      <c r="AQ85" s="509"/>
      <c r="AR85" s="397"/>
      <c r="AS85" s="93"/>
      <c r="AT85" s="359"/>
      <c r="AU85" s="518"/>
      <c r="AV85" s="524"/>
      <c r="AW85" s="518"/>
      <c r="AX85" s="93"/>
      <c r="AY85" s="364"/>
      <c r="AZ85" s="480"/>
      <c r="BA85" s="525"/>
      <c r="BB85" s="480"/>
      <c r="BC85" s="93"/>
      <c r="BD85" s="368"/>
      <c r="BE85" s="477"/>
      <c r="BF85" s="560"/>
      <c r="BG85" s="477"/>
      <c r="BH85" s="93"/>
      <c r="BI85" s="402"/>
      <c r="BJ85" s="478"/>
      <c r="BK85" s="609"/>
      <c r="BL85" s="478"/>
      <c r="BM85" s="93"/>
      <c r="BN85" s="372"/>
      <c r="BO85" s="455"/>
      <c r="BP85" s="557"/>
      <c r="BQ85" s="455"/>
      <c r="BR85" s="93"/>
      <c r="BS85" s="380"/>
      <c r="BT85" s="492"/>
      <c r="BU85" s="566"/>
      <c r="BV85" s="492"/>
      <c r="BW85" s="93"/>
      <c r="BX85" s="385"/>
      <c r="BY85" s="490"/>
      <c r="BZ85" s="605"/>
      <c r="CA85" s="490"/>
      <c r="CB85" s="93"/>
      <c r="CC85" s="387"/>
      <c r="CD85" s="404"/>
      <c r="CE85" s="363"/>
      <c r="CF85" s="404"/>
      <c r="CG85" s="93"/>
      <c r="CH85" s="387"/>
      <c r="CI85" s="404"/>
      <c r="CJ85" s="363"/>
      <c r="CK85" s="520"/>
      <c r="CL85" s="93"/>
      <c r="CM85" s="390" t="str">
        <f>IFERROR(__xludf.DUMMYFUNCTION("""COMPUTED_VALUE"""),"")</f>
        <v/>
      </c>
      <c r="CN85" s="489" t="str">
        <f>IFERROR(__xludf.DUMMYFUNCTION("""COMPUTED_VALUE"""),"Fraxure")</f>
        <v>Fraxure</v>
      </c>
      <c r="CO85" s="532" t="s">
        <v>158</v>
      </c>
      <c r="CP85" s="523"/>
      <c r="CQ85" s="93"/>
      <c r="CR85" s="413"/>
      <c r="CS85" s="414"/>
      <c r="CT85" s="632"/>
      <c r="CU85" s="414"/>
      <c r="CV85" s="93"/>
      <c r="CW85" s="415"/>
      <c r="CX85" s="468"/>
      <c r="CY85" s="633"/>
      <c r="CZ85" s="468"/>
      <c r="DA85" s="93"/>
      <c r="DB85" s="423"/>
      <c r="DC85" s="424"/>
      <c r="DD85" s="634"/>
      <c r="DE85" s="424"/>
      <c r="DF85" s="93"/>
      <c r="DG85" s="628"/>
      <c r="DH85" s="641"/>
      <c r="DI85" s="641"/>
      <c r="DJ85" s="641"/>
      <c r="DK85" s="93"/>
      <c r="DL85" s="429"/>
      <c r="DM85" s="430"/>
      <c r="DN85" s="430"/>
      <c r="DO85" s="430"/>
      <c r="DP85" s="93"/>
      <c r="DQ85" s="439"/>
      <c r="DR85" s="441"/>
      <c r="DS85" s="441"/>
      <c r="DT85" s="441"/>
      <c r="DU85" s="93"/>
      <c r="DV85" s="442"/>
      <c r="DW85" s="443"/>
      <c r="DX85" s="363"/>
      <c r="DY85" s="345"/>
      <c r="DZ85" s="87"/>
      <c r="EA85" s="10"/>
    </row>
    <row r="86" ht="17.25" customHeight="1">
      <c r="A86" s="10"/>
      <c r="B86" s="87"/>
      <c r="C86" s="234"/>
      <c r="D86" s="235"/>
      <c r="E86" s="93"/>
      <c r="F86" s="268"/>
      <c r="G86" s="268"/>
      <c r="H86" s="268"/>
      <c r="I86" s="268"/>
      <c r="J86" s="268"/>
      <c r="K86" s="268"/>
      <c r="L86" s="450"/>
      <c r="M86" s="268"/>
      <c r="N86" s="268"/>
      <c r="O86" s="268"/>
      <c r="P86" s="268"/>
      <c r="Q86" s="450"/>
      <c r="R86" s="268"/>
      <c r="S86" s="268"/>
      <c r="T86" s="268"/>
      <c r="U86" s="268"/>
      <c r="V86" s="450"/>
      <c r="W86" s="268"/>
      <c r="X86" s="268"/>
      <c r="Y86" s="268"/>
      <c r="Z86" s="268"/>
      <c r="AA86" s="450"/>
      <c r="AB86" s="268"/>
      <c r="AC86" s="268"/>
      <c r="AD86" s="268"/>
      <c r="AE86" s="268"/>
      <c r="AF86" s="450"/>
      <c r="AG86" s="268"/>
      <c r="AH86" s="268"/>
      <c r="AI86" s="268"/>
      <c r="AJ86" s="268"/>
      <c r="AK86" s="450"/>
      <c r="AL86" s="268"/>
      <c r="AM86" s="268"/>
      <c r="AN86" s="268"/>
      <c r="AO86" s="268"/>
      <c r="AP86" s="397"/>
      <c r="AQ86" s="509"/>
      <c r="AR86" s="397"/>
      <c r="AS86" s="93"/>
      <c r="AT86" s="359"/>
      <c r="AU86" s="518"/>
      <c r="AV86" s="524"/>
      <c r="AW86" s="518"/>
      <c r="AX86" s="93"/>
      <c r="AY86" s="364"/>
      <c r="AZ86" s="480"/>
      <c r="BA86" s="525"/>
      <c r="BB86" s="480"/>
      <c r="BC86" s="93"/>
      <c r="BD86" s="368"/>
      <c r="BE86" s="477"/>
      <c r="BF86" s="560"/>
      <c r="BG86" s="477"/>
      <c r="BH86" s="93"/>
      <c r="BI86" s="402"/>
      <c r="BJ86" s="478"/>
      <c r="BK86" s="609"/>
      <c r="BL86" s="478"/>
      <c r="BM86" s="93"/>
      <c r="BN86" s="372"/>
      <c r="BO86" s="455"/>
      <c r="BP86" s="557"/>
      <c r="BQ86" s="455"/>
      <c r="BR86" s="93"/>
      <c r="BS86" s="380"/>
      <c r="BT86" s="492"/>
      <c r="BU86" s="566"/>
      <c r="BV86" s="492"/>
      <c r="BW86" s="93"/>
      <c r="BX86" s="385"/>
      <c r="BY86" s="490"/>
      <c r="BZ86" s="605"/>
      <c r="CA86" s="490"/>
      <c r="CB86" s="93"/>
      <c r="CC86" s="387"/>
      <c r="CD86" s="404"/>
      <c r="CE86" s="363"/>
      <c r="CF86" s="404"/>
      <c r="CG86" s="93"/>
      <c r="CH86" s="387"/>
      <c r="CI86" s="404"/>
      <c r="CJ86" s="363"/>
      <c r="CK86" s="520"/>
      <c r="CL86" s="93"/>
      <c r="CM86" s="390" t="str">
        <f>IFERROR(__xludf.DUMMYFUNCTION("""COMPUTED_VALUE"""),"")</f>
        <v/>
      </c>
      <c r="CN86" s="489" t="str">
        <f>IFERROR(__xludf.DUMMYFUNCTION("""COMPUTED_VALUE"""),"Frigibax")</f>
        <v>Frigibax</v>
      </c>
      <c r="CO86" s="532" t="s">
        <v>158</v>
      </c>
      <c r="CP86" s="523"/>
      <c r="CQ86" s="93"/>
      <c r="CR86" s="413"/>
      <c r="CS86" s="414"/>
      <c r="CT86" s="632"/>
      <c r="CU86" s="414"/>
      <c r="CV86" s="93"/>
      <c r="CW86" s="415"/>
      <c r="CX86" s="468"/>
      <c r="CY86" s="633"/>
      <c r="CZ86" s="468"/>
      <c r="DA86" s="93"/>
      <c r="DB86" s="423"/>
      <c r="DC86" s="424"/>
      <c r="DD86" s="634"/>
      <c r="DE86" s="424"/>
      <c r="DF86" s="93"/>
      <c r="DG86" s="628"/>
      <c r="DH86" s="641"/>
      <c r="DI86" s="641"/>
      <c r="DJ86" s="641"/>
      <c r="DK86" s="93"/>
      <c r="DL86" s="429"/>
      <c r="DM86" s="430"/>
      <c r="DN86" s="430"/>
      <c r="DO86" s="430"/>
      <c r="DP86" s="93"/>
      <c r="DQ86" s="439"/>
      <c r="DR86" s="441"/>
      <c r="DS86" s="441"/>
      <c r="DT86" s="441"/>
      <c r="DU86" s="93"/>
      <c r="DV86" s="442"/>
      <c r="DW86" s="443"/>
      <c r="DX86" s="363"/>
      <c r="DY86" s="345"/>
      <c r="DZ86" s="87"/>
      <c r="EA86" s="10"/>
    </row>
    <row r="87" ht="17.25" customHeight="1">
      <c r="A87" s="10"/>
      <c r="B87" s="87"/>
      <c r="C87" s="234"/>
      <c r="D87" s="235"/>
      <c r="E87" s="93"/>
      <c r="F87" s="268"/>
      <c r="G87" s="268"/>
      <c r="H87" s="268"/>
      <c r="I87" s="268"/>
      <c r="J87" s="268"/>
      <c r="K87" s="268"/>
      <c r="L87" s="450"/>
      <c r="M87" s="268"/>
      <c r="N87" s="268"/>
      <c r="O87" s="268"/>
      <c r="P87" s="268"/>
      <c r="Q87" s="450"/>
      <c r="R87" s="268"/>
      <c r="S87" s="268"/>
      <c r="T87" s="268"/>
      <c r="U87" s="268"/>
      <c r="V87" s="450"/>
      <c r="W87" s="268"/>
      <c r="X87" s="268"/>
      <c r="Y87" s="268"/>
      <c r="Z87" s="268"/>
      <c r="AA87" s="450"/>
      <c r="AB87" s="268"/>
      <c r="AC87" s="268"/>
      <c r="AD87" s="268"/>
      <c r="AE87" s="268"/>
      <c r="AF87" s="450"/>
      <c r="AG87" s="268"/>
      <c r="AH87" s="268"/>
      <c r="AI87" s="268"/>
      <c r="AJ87" s="268"/>
      <c r="AK87" s="450"/>
      <c r="AL87" s="268"/>
      <c r="AM87" s="268"/>
      <c r="AN87" s="268"/>
      <c r="AO87" s="268"/>
      <c r="AP87" s="397"/>
      <c r="AQ87" s="509"/>
      <c r="AR87" s="397"/>
      <c r="AS87" s="93"/>
      <c r="AT87" s="359"/>
      <c r="AU87" s="518"/>
      <c r="AV87" s="524"/>
      <c r="AW87" s="518"/>
      <c r="AX87" s="93"/>
      <c r="AY87" s="364"/>
      <c r="AZ87" s="480"/>
      <c r="BA87" s="525"/>
      <c r="BB87" s="480"/>
      <c r="BC87" s="93"/>
      <c r="BD87" s="368"/>
      <c r="BE87" s="477"/>
      <c r="BF87" s="560"/>
      <c r="BG87" s="477"/>
      <c r="BH87" s="93"/>
      <c r="BI87" s="402"/>
      <c r="BJ87" s="478"/>
      <c r="BK87" s="609"/>
      <c r="BL87" s="478"/>
      <c r="BM87" s="93"/>
      <c r="BN87" s="372"/>
      <c r="BO87" s="455"/>
      <c r="BP87" s="557"/>
      <c r="BQ87" s="455"/>
      <c r="BR87" s="93"/>
      <c r="BS87" s="380"/>
      <c r="BT87" s="492"/>
      <c r="BU87" s="566"/>
      <c r="BV87" s="492"/>
      <c r="BW87" s="93"/>
      <c r="BX87" s="385"/>
      <c r="BY87" s="490"/>
      <c r="BZ87" s="605"/>
      <c r="CA87" s="490"/>
      <c r="CB87" s="93"/>
      <c r="CC87" s="387"/>
      <c r="CD87" s="404"/>
      <c r="CE87" s="363"/>
      <c r="CF87" s="404"/>
      <c r="CG87" s="93"/>
      <c r="CH87" s="387"/>
      <c r="CI87" s="404"/>
      <c r="CJ87" s="363"/>
      <c r="CK87" s="520"/>
      <c r="CL87" s="93"/>
      <c r="CM87" s="390" t="str">
        <f>IFERROR(__xludf.DUMMYFUNCTION("""COMPUTED_VALUE"""),"")</f>
        <v/>
      </c>
      <c r="CN87" s="489" t="str">
        <f>IFERROR(__xludf.DUMMYFUNCTION("""COMPUTED_VALUE"""),"Froslass")</f>
        <v>Froslass</v>
      </c>
      <c r="CO87" s="532" t="s">
        <v>158</v>
      </c>
      <c r="CP87" s="523"/>
      <c r="CQ87" s="93"/>
      <c r="CR87" s="413"/>
      <c r="CS87" s="414"/>
      <c r="CT87" s="632"/>
      <c r="CU87" s="414"/>
      <c r="CV87" s="93"/>
      <c r="CW87" s="415"/>
      <c r="CX87" s="468"/>
      <c r="CY87" s="633"/>
      <c r="CZ87" s="468"/>
      <c r="DA87" s="93"/>
      <c r="DB87" s="423"/>
      <c r="DC87" s="424"/>
      <c r="DD87" s="634"/>
      <c r="DE87" s="424"/>
      <c r="DF87" s="93"/>
      <c r="DG87" s="628"/>
      <c r="DH87" s="641"/>
      <c r="DI87" s="641"/>
      <c r="DJ87" s="641"/>
      <c r="DK87" s="93"/>
      <c r="DL87" s="429"/>
      <c r="DM87" s="430"/>
      <c r="DN87" s="430"/>
      <c r="DO87" s="430"/>
      <c r="DP87" s="93"/>
      <c r="DQ87" s="439"/>
      <c r="DR87" s="441"/>
      <c r="DS87" s="441"/>
      <c r="DT87" s="441"/>
      <c r="DU87" s="93"/>
      <c r="DV87" s="442"/>
      <c r="DW87" s="443"/>
      <c r="DX87" s="363"/>
      <c r="DY87" s="345"/>
      <c r="DZ87" s="87"/>
      <c r="EA87" s="10"/>
    </row>
    <row r="88" ht="17.25" customHeight="1">
      <c r="A88" s="10"/>
      <c r="B88" s="87"/>
      <c r="C88" s="234"/>
      <c r="D88" s="235"/>
      <c r="E88" s="93"/>
      <c r="F88" s="268"/>
      <c r="G88" s="268"/>
      <c r="H88" s="268"/>
      <c r="I88" s="268"/>
      <c r="J88" s="268"/>
      <c r="K88" s="268"/>
      <c r="L88" s="450"/>
      <c r="M88" s="268"/>
      <c r="N88" s="268"/>
      <c r="O88" s="268"/>
      <c r="P88" s="268"/>
      <c r="Q88" s="450"/>
      <c r="R88" s="268"/>
      <c r="S88" s="268"/>
      <c r="T88" s="268"/>
      <c r="U88" s="268"/>
      <c r="V88" s="450"/>
      <c r="W88" s="268"/>
      <c r="X88" s="268"/>
      <c r="Y88" s="268"/>
      <c r="Z88" s="268"/>
      <c r="AA88" s="450"/>
      <c r="AB88" s="268"/>
      <c r="AC88" s="268"/>
      <c r="AD88" s="268"/>
      <c r="AE88" s="268"/>
      <c r="AF88" s="450"/>
      <c r="AG88" s="268"/>
      <c r="AH88" s="268"/>
      <c r="AI88" s="268"/>
      <c r="AJ88" s="268"/>
      <c r="AK88" s="450"/>
      <c r="AL88" s="268"/>
      <c r="AM88" s="268"/>
      <c r="AN88" s="268"/>
      <c r="AO88" s="268"/>
      <c r="AP88" s="397"/>
      <c r="AQ88" s="509"/>
      <c r="AR88" s="397"/>
      <c r="AS88" s="93"/>
      <c r="AT88" s="359"/>
      <c r="AU88" s="518"/>
      <c r="AV88" s="524"/>
      <c r="AW88" s="518"/>
      <c r="AX88" s="93"/>
      <c r="AY88" s="364"/>
      <c r="AZ88" s="480"/>
      <c r="BA88" s="525"/>
      <c r="BB88" s="480"/>
      <c r="BC88" s="93"/>
      <c r="BD88" s="368"/>
      <c r="BE88" s="477"/>
      <c r="BF88" s="560"/>
      <c r="BG88" s="477"/>
      <c r="BH88" s="93"/>
      <c r="BI88" s="402"/>
      <c r="BJ88" s="478"/>
      <c r="BK88" s="609"/>
      <c r="BL88" s="478"/>
      <c r="BM88" s="93"/>
      <c r="BN88" s="372"/>
      <c r="BO88" s="455"/>
      <c r="BP88" s="557"/>
      <c r="BQ88" s="455"/>
      <c r="BR88" s="93"/>
      <c r="BS88" s="380"/>
      <c r="BT88" s="492"/>
      <c r="BU88" s="566"/>
      <c r="BV88" s="492"/>
      <c r="BW88" s="93"/>
      <c r="BX88" s="385"/>
      <c r="BY88" s="490"/>
      <c r="BZ88" s="605"/>
      <c r="CA88" s="490"/>
      <c r="CB88" s="93"/>
      <c r="CC88" s="387"/>
      <c r="CD88" s="404"/>
      <c r="CE88" s="363"/>
      <c r="CF88" s="404"/>
      <c r="CG88" s="93"/>
      <c r="CH88" s="387"/>
      <c r="CI88" s="404"/>
      <c r="CJ88" s="363"/>
      <c r="CK88" s="520"/>
      <c r="CL88" s="93"/>
      <c r="CM88" s="390" t="str">
        <f>IFERROR(__xludf.DUMMYFUNCTION("""COMPUTED_VALUE"""),"")</f>
        <v/>
      </c>
      <c r="CN88" s="489" t="str">
        <f>IFERROR(__xludf.DUMMYFUNCTION("""COMPUTED_VALUE"""),"Frosmoth")</f>
        <v>Frosmoth</v>
      </c>
      <c r="CO88" s="532" t="s">
        <v>158</v>
      </c>
      <c r="CP88" s="523"/>
      <c r="CQ88" s="93"/>
      <c r="CR88" s="413"/>
      <c r="CS88" s="414"/>
      <c r="CT88" s="632"/>
      <c r="CU88" s="414"/>
      <c r="CV88" s="93"/>
      <c r="CW88" s="415"/>
      <c r="CX88" s="468"/>
      <c r="CY88" s="633"/>
      <c r="CZ88" s="468"/>
      <c r="DA88" s="93"/>
      <c r="DB88" s="423"/>
      <c r="DC88" s="424"/>
      <c r="DD88" s="634"/>
      <c r="DE88" s="424"/>
      <c r="DF88" s="93"/>
      <c r="DG88" s="628"/>
      <c r="DH88" s="641"/>
      <c r="DI88" s="641"/>
      <c r="DJ88" s="641"/>
      <c r="DK88" s="93"/>
      <c r="DL88" s="429"/>
      <c r="DM88" s="430"/>
      <c r="DN88" s="430"/>
      <c r="DO88" s="430"/>
      <c r="DP88" s="93"/>
      <c r="DQ88" s="439"/>
      <c r="DR88" s="441"/>
      <c r="DS88" s="441"/>
      <c r="DT88" s="441"/>
      <c r="DU88" s="93"/>
      <c r="DV88" s="442"/>
      <c r="DW88" s="443"/>
      <c r="DX88" s="363"/>
      <c r="DY88" s="345"/>
      <c r="DZ88" s="87"/>
      <c r="EA88" s="10"/>
    </row>
    <row r="89" ht="17.25" customHeight="1">
      <c r="A89" s="10"/>
      <c r="B89" s="87"/>
      <c r="C89" s="234"/>
      <c r="D89" s="235"/>
      <c r="E89" s="93"/>
      <c r="F89" s="268"/>
      <c r="G89" s="268"/>
      <c r="H89" s="268"/>
      <c r="I89" s="268"/>
      <c r="J89" s="268"/>
      <c r="K89" s="268"/>
      <c r="L89" s="450"/>
      <c r="M89" s="268"/>
      <c r="N89" s="268"/>
      <c r="O89" s="268"/>
      <c r="P89" s="268"/>
      <c r="Q89" s="450"/>
      <c r="R89" s="268"/>
      <c r="S89" s="268"/>
      <c r="T89" s="268"/>
      <c r="U89" s="268"/>
      <c r="V89" s="450"/>
      <c r="W89" s="268"/>
      <c r="X89" s="268"/>
      <c r="Y89" s="268"/>
      <c r="Z89" s="268"/>
      <c r="AA89" s="450"/>
      <c r="AB89" s="268"/>
      <c r="AC89" s="268"/>
      <c r="AD89" s="268"/>
      <c r="AE89" s="268"/>
      <c r="AF89" s="450"/>
      <c r="AG89" s="268"/>
      <c r="AH89" s="268"/>
      <c r="AI89" s="268"/>
      <c r="AJ89" s="268"/>
      <c r="AK89" s="450"/>
      <c r="AL89" s="268"/>
      <c r="AM89" s="268"/>
      <c r="AN89" s="268"/>
      <c r="AO89" s="268"/>
      <c r="AP89" s="397"/>
      <c r="AQ89" s="509"/>
      <c r="AR89" s="397"/>
      <c r="AS89" s="93"/>
      <c r="AT89" s="359"/>
      <c r="AU89" s="518"/>
      <c r="AV89" s="524"/>
      <c r="AW89" s="518"/>
      <c r="AX89" s="93"/>
      <c r="AY89" s="364"/>
      <c r="AZ89" s="480"/>
      <c r="BA89" s="525"/>
      <c r="BB89" s="480"/>
      <c r="BC89" s="93"/>
      <c r="BD89" s="368"/>
      <c r="BE89" s="477"/>
      <c r="BF89" s="560"/>
      <c r="BG89" s="477"/>
      <c r="BH89" s="93"/>
      <c r="BI89" s="402"/>
      <c r="BJ89" s="478"/>
      <c r="BK89" s="609"/>
      <c r="BL89" s="478"/>
      <c r="BM89" s="93"/>
      <c r="BN89" s="372"/>
      <c r="BO89" s="455"/>
      <c r="BP89" s="557"/>
      <c r="BQ89" s="455"/>
      <c r="BR89" s="93"/>
      <c r="BS89" s="380"/>
      <c r="BT89" s="492"/>
      <c r="BU89" s="566"/>
      <c r="BV89" s="492"/>
      <c r="BW89" s="93"/>
      <c r="BX89" s="385"/>
      <c r="BY89" s="490"/>
      <c r="BZ89" s="605"/>
      <c r="CA89" s="490"/>
      <c r="CB89" s="93"/>
      <c r="CC89" s="387"/>
      <c r="CD89" s="404"/>
      <c r="CE89" s="363"/>
      <c r="CF89" s="404"/>
      <c r="CG89" s="93"/>
      <c r="CH89" s="387"/>
      <c r="CI89" s="404"/>
      <c r="CJ89" s="363"/>
      <c r="CK89" s="520"/>
      <c r="CL89" s="93"/>
      <c r="CM89" s="390" t="str">
        <f>IFERROR(__xludf.DUMMYFUNCTION("""COMPUTED_VALUE"""),"")</f>
        <v/>
      </c>
      <c r="CN89" s="489" t="str">
        <f>IFERROR(__xludf.DUMMYFUNCTION("""COMPUTED_VALUE"""),"Fuecoco")</f>
        <v>Fuecoco</v>
      </c>
      <c r="CO89" s="532" t="s">
        <v>158</v>
      </c>
      <c r="CP89" s="523"/>
      <c r="CQ89" s="93"/>
      <c r="CR89" s="413"/>
      <c r="CS89" s="414"/>
      <c r="CT89" s="632"/>
      <c r="CU89" s="414"/>
      <c r="CV89" s="93"/>
      <c r="CW89" s="415"/>
      <c r="CX89" s="468"/>
      <c r="CY89" s="633"/>
      <c r="CZ89" s="468"/>
      <c r="DA89" s="93"/>
      <c r="DB89" s="423"/>
      <c r="DC89" s="424"/>
      <c r="DD89" s="634"/>
      <c r="DE89" s="424"/>
      <c r="DF89" s="93"/>
      <c r="DG89" s="628"/>
      <c r="DH89" s="641"/>
      <c r="DI89" s="641"/>
      <c r="DJ89" s="641"/>
      <c r="DK89" s="93"/>
      <c r="DL89" s="429"/>
      <c r="DM89" s="430"/>
      <c r="DN89" s="430"/>
      <c r="DO89" s="430"/>
      <c r="DP89" s="93"/>
      <c r="DQ89" s="439"/>
      <c r="DR89" s="441"/>
      <c r="DS89" s="441"/>
      <c r="DT89" s="441"/>
      <c r="DU89" s="93"/>
      <c r="DV89" s="442"/>
      <c r="DW89" s="443"/>
      <c r="DX89" s="363"/>
      <c r="DY89" s="345"/>
      <c r="DZ89" s="87"/>
      <c r="EA89" s="10"/>
    </row>
    <row r="90" ht="17.25" customHeight="1">
      <c r="A90" s="10"/>
      <c r="B90" s="87"/>
      <c r="C90" s="234"/>
      <c r="D90" s="235"/>
      <c r="E90" s="93"/>
      <c r="F90" s="268"/>
      <c r="G90" s="268"/>
      <c r="H90" s="268"/>
      <c r="I90" s="268"/>
      <c r="J90" s="268"/>
      <c r="K90" s="268"/>
      <c r="L90" s="450"/>
      <c r="M90" s="268"/>
      <c r="N90" s="268"/>
      <c r="O90" s="268"/>
      <c r="P90" s="268"/>
      <c r="Q90" s="450"/>
      <c r="R90" s="268"/>
      <c r="S90" s="268"/>
      <c r="T90" s="268"/>
      <c r="U90" s="268"/>
      <c r="V90" s="450"/>
      <c r="W90" s="268"/>
      <c r="X90" s="268"/>
      <c r="Y90" s="268"/>
      <c r="Z90" s="268"/>
      <c r="AA90" s="450"/>
      <c r="AB90" s="268"/>
      <c r="AC90" s="268"/>
      <c r="AD90" s="268"/>
      <c r="AE90" s="268"/>
      <c r="AF90" s="450"/>
      <c r="AG90" s="268"/>
      <c r="AH90" s="268"/>
      <c r="AI90" s="268"/>
      <c r="AJ90" s="268"/>
      <c r="AK90" s="450"/>
      <c r="AL90" s="268"/>
      <c r="AM90" s="268"/>
      <c r="AN90" s="268"/>
      <c r="AO90" s="268"/>
      <c r="AP90" s="397"/>
      <c r="AQ90" s="509"/>
      <c r="AR90" s="397"/>
      <c r="AS90" s="93"/>
      <c r="AT90" s="359"/>
      <c r="AU90" s="518"/>
      <c r="AV90" s="524"/>
      <c r="AW90" s="518"/>
      <c r="AX90" s="93"/>
      <c r="AY90" s="364"/>
      <c r="AZ90" s="480"/>
      <c r="BA90" s="525"/>
      <c r="BB90" s="480"/>
      <c r="BC90" s="93"/>
      <c r="BD90" s="368"/>
      <c r="BE90" s="477"/>
      <c r="BF90" s="560"/>
      <c r="BG90" s="477"/>
      <c r="BH90" s="93"/>
      <c r="BI90" s="402"/>
      <c r="BJ90" s="478"/>
      <c r="BK90" s="609"/>
      <c r="BL90" s="478"/>
      <c r="BM90" s="93"/>
      <c r="BN90" s="372"/>
      <c r="BO90" s="455"/>
      <c r="BP90" s="557"/>
      <c r="BQ90" s="455"/>
      <c r="BR90" s="93"/>
      <c r="BS90" s="380"/>
      <c r="BT90" s="492"/>
      <c r="BU90" s="566"/>
      <c r="BV90" s="492"/>
      <c r="BW90" s="93"/>
      <c r="BX90" s="385"/>
      <c r="BY90" s="490"/>
      <c r="BZ90" s="605"/>
      <c r="CA90" s="490"/>
      <c r="CB90" s="93"/>
      <c r="CC90" s="387"/>
      <c r="CD90" s="404"/>
      <c r="CE90" s="363"/>
      <c r="CF90" s="404"/>
      <c r="CG90" s="93"/>
      <c r="CH90" s="387"/>
      <c r="CI90" s="404"/>
      <c r="CJ90" s="363"/>
      <c r="CK90" s="520"/>
      <c r="CL90" s="93"/>
      <c r="CM90" s="390" t="str">
        <f>IFERROR(__xludf.DUMMYFUNCTION("""COMPUTED_VALUE"""),"")</f>
        <v/>
      </c>
      <c r="CN90" s="489" t="str">
        <f>IFERROR(__xludf.DUMMYFUNCTION("""COMPUTED_VALUE"""),"Gabite")</f>
        <v>Gabite</v>
      </c>
      <c r="CO90" s="532" t="s">
        <v>158</v>
      </c>
      <c r="CP90" s="523"/>
      <c r="CQ90" s="93"/>
      <c r="CR90" s="413"/>
      <c r="CS90" s="414"/>
      <c r="CT90" s="632"/>
      <c r="CU90" s="414"/>
      <c r="CV90" s="93"/>
      <c r="CW90" s="415"/>
      <c r="CX90" s="468"/>
      <c r="CY90" s="633"/>
      <c r="CZ90" s="468"/>
      <c r="DA90" s="93"/>
      <c r="DB90" s="423"/>
      <c r="DC90" s="424"/>
      <c r="DD90" s="634"/>
      <c r="DE90" s="424"/>
      <c r="DF90" s="93"/>
      <c r="DG90" s="628"/>
      <c r="DH90" s="641"/>
      <c r="DI90" s="641"/>
      <c r="DJ90" s="641"/>
      <c r="DK90" s="93"/>
      <c r="DL90" s="429"/>
      <c r="DM90" s="430"/>
      <c r="DN90" s="430"/>
      <c r="DO90" s="430"/>
      <c r="DP90" s="93"/>
      <c r="DQ90" s="439"/>
      <c r="DR90" s="441"/>
      <c r="DS90" s="441"/>
      <c r="DT90" s="441"/>
      <c r="DU90" s="93"/>
      <c r="DV90" s="442"/>
      <c r="DW90" s="443"/>
      <c r="DX90" s="363"/>
      <c r="DY90" s="345"/>
      <c r="DZ90" s="87"/>
      <c r="EA90" s="10"/>
    </row>
    <row r="91" ht="17.25" customHeight="1">
      <c r="A91" s="10"/>
      <c r="B91" s="87"/>
      <c r="C91" s="234"/>
      <c r="D91" s="235"/>
      <c r="E91" s="93"/>
      <c r="F91" s="268"/>
      <c r="G91" s="268"/>
      <c r="H91" s="268"/>
      <c r="I91" s="268"/>
      <c r="J91" s="268"/>
      <c r="K91" s="268"/>
      <c r="L91" s="450"/>
      <c r="M91" s="268"/>
      <c r="N91" s="268"/>
      <c r="O91" s="268"/>
      <c r="P91" s="268"/>
      <c r="Q91" s="450"/>
      <c r="R91" s="268"/>
      <c r="S91" s="268"/>
      <c r="T91" s="268"/>
      <c r="U91" s="268"/>
      <c r="V91" s="450"/>
      <c r="W91" s="268"/>
      <c r="X91" s="268"/>
      <c r="Y91" s="268"/>
      <c r="Z91" s="268"/>
      <c r="AA91" s="450"/>
      <c r="AB91" s="268"/>
      <c r="AC91" s="268"/>
      <c r="AD91" s="268"/>
      <c r="AE91" s="268"/>
      <c r="AF91" s="450"/>
      <c r="AG91" s="268"/>
      <c r="AH91" s="268"/>
      <c r="AI91" s="268"/>
      <c r="AJ91" s="268"/>
      <c r="AK91" s="450"/>
      <c r="AL91" s="268"/>
      <c r="AM91" s="268"/>
      <c r="AN91" s="268"/>
      <c r="AO91" s="268"/>
      <c r="AP91" s="397"/>
      <c r="AQ91" s="509"/>
      <c r="AR91" s="397"/>
      <c r="AS91" s="93"/>
      <c r="AT91" s="359"/>
      <c r="AU91" s="518"/>
      <c r="AV91" s="524"/>
      <c r="AW91" s="518"/>
      <c r="AX91" s="93"/>
      <c r="AY91" s="364"/>
      <c r="AZ91" s="480"/>
      <c r="BA91" s="525"/>
      <c r="BB91" s="480"/>
      <c r="BC91" s="93"/>
      <c r="BD91" s="368"/>
      <c r="BE91" s="477"/>
      <c r="BF91" s="560"/>
      <c r="BG91" s="477"/>
      <c r="BH91" s="93"/>
      <c r="BI91" s="402"/>
      <c r="BJ91" s="478"/>
      <c r="BK91" s="609"/>
      <c r="BL91" s="478"/>
      <c r="BM91" s="93"/>
      <c r="BN91" s="372"/>
      <c r="BO91" s="455"/>
      <c r="BP91" s="557"/>
      <c r="BQ91" s="455"/>
      <c r="BR91" s="93"/>
      <c r="BS91" s="380"/>
      <c r="BT91" s="492"/>
      <c r="BU91" s="566"/>
      <c r="BV91" s="492"/>
      <c r="BW91" s="93"/>
      <c r="BX91" s="385"/>
      <c r="BY91" s="490"/>
      <c r="BZ91" s="605"/>
      <c r="CA91" s="490"/>
      <c r="CB91" s="93"/>
      <c r="CC91" s="387"/>
      <c r="CD91" s="404"/>
      <c r="CE91" s="363"/>
      <c r="CF91" s="404"/>
      <c r="CG91" s="93"/>
      <c r="CH91" s="387"/>
      <c r="CI91" s="404"/>
      <c r="CJ91" s="363"/>
      <c r="CK91" s="520"/>
      <c r="CL91" s="93"/>
      <c r="CM91" s="390" t="str">
        <f>IFERROR(__xludf.DUMMYFUNCTION("""COMPUTED_VALUE"""),"")</f>
        <v/>
      </c>
      <c r="CN91" s="489" t="str">
        <f>IFERROR(__xludf.DUMMYFUNCTION("""COMPUTED_VALUE"""),"Gastly")</f>
        <v>Gastly</v>
      </c>
      <c r="CO91" s="532" t="s">
        <v>158</v>
      </c>
      <c r="CP91" s="523"/>
      <c r="CQ91" s="93"/>
      <c r="CR91" s="413"/>
      <c r="CS91" s="414"/>
      <c r="CT91" s="632"/>
      <c r="CU91" s="414"/>
      <c r="CV91" s="93"/>
      <c r="CW91" s="415"/>
      <c r="CX91" s="468"/>
      <c r="CY91" s="633"/>
      <c r="CZ91" s="468"/>
      <c r="DA91" s="93"/>
      <c r="DB91" s="423"/>
      <c r="DC91" s="424"/>
      <c r="DD91" s="634"/>
      <c r="DE91" s="424"/>
      <c r="DF91" s="93"/>
      <c r="DG91" s="628"/>
      <c r="DH91" s="641"/>
      <c r="DI91" s="641"/>
      <c r="DJ91" s="641"/>
      <c r="DK91" s="93"/>
      <c r="DL91" s="429"/>
      <c r="DM91" s="430"/>
      <c r="DN91" s="430"/>
      <c r="DO91" s="430"/>
      <c r="DP91" s="93"/>
      <c r="DQ91" s="439"/>
      <c r="DR91" s="441"/>
      <c r="DS91" s="441"/>
      <c r="DT91" s="441"/>
      <c r="DU91" s="93"/>
      <c r="DV91" s="442"/>
      <c r="DW91" s="443"/>
      <c r="DX91" s="363"/>
      <c r="DY91" s="345"/>
      <c r="DZ91" s="87"/>
      <c r="EA91" s="10"/>
    </row>
    <row r="92" ht="17.25" customHeight="1">
      <c r="A92" s="10"/>
      <c r="B92" s="87"/>
      <c r="C92" s="234"/>
      <c r="D92" s="235"/>
      <c r="E92" s="93"/>
      <c r="F92" s="268"/>
      <c r="G92" s="268"/>
      <c r="H92" s="268"/>
      <c r="I92" s="268"/>
      <c r="J92" s="268"/>
      <c r="K92" s="268"/>
      <c r="L92" s="450"/>
      <c r="M92" s="268"/>
      <c r="N92" s="268"/>
      <c r="O92" s="268"/>
      <c r="P92" s="268"/>
      <c r="Q92" s="450"/>
      <c r="R92" s="268"/>
      <c r="S92" s="268"/>
      <c r="T92" s="268"/>
      <c r="U92" s="268"/>
      <c r="V92" s="450"/>
      <c r="W92" s="268"/>
      <c r="X92" s="268"/>
      <c r="Y92" s="268"/>
      <c r="Z92" s="268"/>
      <c r="AA92" s="450"/>
      <c r="AB92" s="268"/>
      <c r="AC92" s="268"/>
      <c r="AD92" s="268"/>
      <c r="AE92" s="268"/>
      <c r="AF92" s="450"/>
      <c r="AG92" s="268"/>
      <c r="AH92" s="268"/>
      <c r="AI92" s="268"/>
      <c r="AJ92" s="268"/>
      <c r="AK92" s="450"/>
      <c r="AL92" s="268"/>
      <c r="AM92" s="268"/>
      <c r="AN92" s="268"/>
      <c r="AO92" s="268"/>
      <c r="AP92" s="397"/>
      <c r="AQ92" s="509"/>
      <c r="AR92" s="397"/>
      <c r="AS92" s="93"/>
      <c r="AT92" s="359"/>
      <c r="AU92" s="518"/>
      <c r="AV92" s="524"/>
      <c r="AW92" s="518"/>
      <c r="AX92" s="93"/>
      <c r="AY92" s="364"/>
      <c r="AZ92" s="480"/>
      <c r="BA92" s="525"/>
      <c r="BB92" s="480"/>
      <c r="BC92" s="93"/>
      <c r="BD92" s="368"/>
      <c r="BE92" s="477"/>
      <c r="BF92" s="560"/>
      <c r="BG92" s="477"/>
      <c r="BH92" s="93"/>
      <c r="BI92" s="402"/>
      <c r="BJ92" s="478"/>
      <c r="BK92" s="609"/>
      <c r="BL92" s="478"/>
      <c r="BM92" s="93"/>
      <c r="BN92" s="372"/>
      <c r="BO92" s="455"/>
      <c r="BP92" s="557"/>
      <c r="BQ92" s="455"/>
      <c r="BR92" s="93"/>
      <c r="BS92" s="380"/>
      <c r="BT92" s="492"/>
      <c r="BU92" s="566"/>
      <c r="BV92" s="492"/>
      <c r="BW92" s="93"/>
      <c r="BX92" s="385"/>
      <c r="BY92" s="490"/>
      <c r="BZ92" s="605"/>
      <c r="CA92" s="490"/>
      <c r="CB92" s="93"/>
      <c r="CC92" s="387"/>
      <c r="CD92" s="404"/>
      <c r="CE92" s="363"/>
      <c r="CF92" s="404"/>
      <c r="CG92" s="93"/>
      <c r="CH92" s="387"/>
      <c r="CI92" s="404"/>
      <c r="CJ92" s="363"/>
      <c r="CK92" s="520"/>
      <c r="CL92" s="93"/>
      <c r="CM92" s="390" t="str">
        <f>IFERROR(__xludf.DUMMYFUNCTION("""COMPUTED_VALUE"""),"")</f>
        <v/>
      </c>
      <c r="CN92" s="489" t="str">
        <f>IFERROR(__xludf.DUMMYFUNCTION("""COMPUTED_VALUE"""),"Gible")</f>
        <v>Gible</v>
      </c>
      <c r="CO92" s="532" t="s">
        <v>158</v>
      </c>
      <c r="CP92" s="523"/>
      <c r="CQ92" s="93"/>
      <c r="CR92" s="413"/>
      <c r="CS92" s="414"/>
      <c r="CT92" s="632"/>
      <c r="CU92" s="414"/>
      <c r="CV92" s="93"/>
      <c r="CW92" s="415"/>
      <c r="CX92" s="468"/>
      <c r="CY92" s="633"/>
      <c r="CZ92" s="468"/>
      <c r="DA92" s="93"/>
      <c r="DB92" s="423"/>
      <c r="DC92" s="424"/>
      <c r="DD92" s="634"/>
      <c r="DE92" s="424"/>
      <c r="DF92" s="93"/>
      <c r="DG92" s="628"/>
      <c r="DH92" s="641"/>
      <c r="DI92" s="641"/>
      <c r="DJ92" s="641"/>
      <c r="DK92" s="93"/>
      <c r="DL92" s="429"/>
      <c r="DM92" s="430"/>
      <c r="DN92" s="430"/>
      <c r="DO92" s="430"/>
      <c r="DP92" s="93"/>
      <c r="DQ92" s="439"/>
      <c r="DR92" s="441"/>
      <c r="DS92" s="441"/>
      <c r="DT92" s="441"/>
      <c r="DU92" s="93"/>
      <c r="DV92" s="442"/>
      <c r="DW92" s="443"/>
      <c r="DX92" s="363"/>
      <c r="DY92" s="345"/>
      <c r="DZ92" s="87"/>
      <c r="EA92" s="10"/>
    </row>
    <row r="93" ht="17.25" customHeight="1">
      <c r="A93" s="10"/>
      <c r="B93" s="87"/>
      <c r="C93" s="234"/>
      <c r="D93" s="235"/>
      <c r="E93" s="93"/>
      <c r="F93" s="268"/>
      <c r="G93" s="268"/>
      <c r="H93" s="268"/>
      <c r="I93" s="268"/>
      <c r="J93" s="268"/>
      <c r="K93" s="268"/>
      <c r="L93" s="450"/>
      <c r="M93" s="268"/>
      <c r="N93" s="268"/>
      <c r="O93" s="268"/>
      <c r="P93" s="268"/>
      <c r="Q93" s="450"/>
      <c r="R93" s="268"/>
      <c r="S93" s="268"/>
      <c r="T93" s="268"/>
      <c r="U93" s="268"/>
      <c r="V93" s="450"/>
      <c r="W93" s="268"/>
      <c r="X93" s="268"/>
      <c r="Y93" s="268"/>
      <c r="Z93" s="268"/>
      <c r="AA93" s="450"/>
      <c r="AB93" s="268"/>
      <c r="AC93" s="268"/>
      <c r="AD93" s="268"/>
      <c r="AE93" s="268"/>
      <c r="AF93" s="450"/>
      <c r="AG93" s="268"/>
      <c r="AH93" s="268"/>
      <c r="AI93" s="268"/>
      <c r="AJ93" s="268"/>
      <c r="AK93" s="450"/>
      <c r="AL93" s="268"/>
      <c r="AM93" s="268"/>
      <c r="AN93" s="268"/>
      <c r="AO93" s="268"/>
      <c r="AP93" s="397"/>
      <c r="AQ93" s="509"/>
      <c r="AR93" s="397"/>
      <c r="AS93" s="93"/>
      <c r="AT93" s="359"/>
      <c r="AU93" s="518"/>
      <c r="AV93" s="524"/>
      <c r="AW93" s="518"/>
      <c r="AX93" s="93"/>
      <c r="AY93" s="364"/>
      <c r="AZ93" s="480"/>
      <c r="BA93" s="525"/>
      <c r="BB93" s="480"/>
      <c r="BC93" s="93"/>
      <c r="BD93" s="368"/>
      <c r="BE93" s="477"/>
      <c r="BF93" s="560"/>
      <c r="BG93" s="477"/>
      <c r="BH93" s="93"/>
      <c r="BI93" s="402"/>
      <c r="BJ93" s="478"/>
      <c r="BK93" s="609"/>
      <c r="BL93" s="478"/>
      <c r="BM93" s="93"/>
      <c r="BN93" s="372"/>
      <c r="BO93" s="455"/>
      <c r="BP93" s="557"/>
      <c r="BQ93" s="455"/>
      <c r="BR93" s="93"/>
      <c r="BS93" s="380"/>
      <c r="BT93" s="492"/>
      <c r="BU93" s="566"/>
      <c r="BV93" s="492"/>
      <c r="BW93" s="93"/>
      <c r="BX93" s="385"/>
      <c r="BY93" s="490"/>
      <c r="BZ93" s="605"/>
      <c r="CA93" s="490"/>
      <c r="CB93" s="93"/>
      <c r="CC93" s="387"/>
      <c r="CD93" s="404"/>
      <c r="CE93" s="363"/>
      <c r="CF93" s="404"/>
      <c r="CG93" s="93"/>
      <c r="CH93" s="387"/>
      <c r="CI93" s="404"/>
      <c r="CJ93" s="363"/>
      <c r="CK93" s="520"/>
      <c r="CL93" s="93"/>
      <c r="CM93" s="390" t="str">
        <f>IFERROR(__xludf.DUMMYFUNCTION("""COMPUTED_VALUE"""),"")</f>
        <v/>
      </c>
      <c r="CN93" s="489" t="str">
        <f>IFERROR(__xludf.DUMMYFUNCTION("""COMPUTED_VALUE"""),"Gimmighoul")</f>
        <v>Gimmighoul</v>
      </c>
      <c r="CO93" s="532" t="s">
        <v>158</v>
      </c>
      <c r="CP93" s="523"/>
      <c r="CQ93" s="93"/>
      <c r="CR93" s="413"/>
      <c r="CS93" s="414"/>
      <c r="CT93" s="632"/>
      <c r="CU93" s="414"/>
      <c r="CV93" s="93"/>
      <c r="CW93" s="415"/>
      <c r="CX93" s="468"/>
      <c r="CY93" s="633"/>
      <c r="CZ93" s="468"/>
      <c r="DA93" s="93"/>
      <c r="DB93" s="423"/>
      <c r="DC93" s="424"/>
      <c r="DD93" s="634"/>
      <c r="DE93" s="424"/>
      <c r="DF93" s="93"/>
      <c r="DG93" s="628"/>
      <c r="DH93" s="641"/>
      <c r="DI93" s="641"/>
      <c r="DJ93" s="641"/>
      <c r="DK93" s="93"/>
      <c r="DL93" s="429"/>
      <c r="DM93" s="430"/>
      <c r="DN93" s="430"/>
      <c r="DO93" s="430"/>
      <c r="DP93" s="93"/>
      <c r="DQ93" s="439"/>
      <c r="DR93" s="441"/>
      <c r="DS93" s="441"/>
      <c r="DT93" s="441"/>
      <c r="DU93" s="93"/>
      <c r="DV93" s="442"/>
      <c r="DW93" s="443"/>
      <c r="DX93" s="363"/>
      <c r="DY93" s="345"/>
      <c r="DZ93" s="87"/>
      <c r="EA93" s="10"/>
    </row>
    <row r="94" ht="17.25" customHeight="1">
      <c r="A94" s="10"/>
      <c r="B94" s="87"/>
      <c r="C94" s="234"/>
      <c r="D94" s="235"/>
      <c r="E94" s="93"/>
      <c r="F94" s="268"/>
      <c r="G94" s="268"/>
      <c r="H94" s="268"/>
      <c r="I94" s="268"/>
      <c r="J94" s="268"/>
      <c r="K94" s="268"/>
      <c r="L94" s="450"/>
      <c r="M94" s="268"/>
      <c r="N94" s="268"/>
      <c r="O94" s="268"/>
      <c r="P94" s="268"/>
      <c r="Q94" s="450"/>
      <c r="R94" s="268"/>
      <c r="S94" s="268"/>
      <c r="T94" s="268"/>
      <c r="U94" s="268"/>
      <c r="V94" s="450"/>
      <c r="W94" s="268"/>
      <c r="X94" s="268"/>
      <c r="Y94" s="268"/>
      <c r="Z94" s="268"/>
      <c r="AA94" s="450"/>
      <c r="AB94" s="268"/>
      <c r="AC94" s="268"/>
      <c r="AD94" s="268"/>
      <c r="AE94" s="268"/>
      <c r="AF94" s="450"/>
      <c r="AG94" s="268"/>
      <c r="AH94" s="268"/>
      <c r="AI94" s="268"/>
      <c r="AJ94" s="268"/>
      <c r="AK94" s="450"/>
      <c r="AL94" s="268"/>
      <c r="AM94" s="268"/>
      <c r="AN94" s="268"/>
      <c r="AO94" s="268"/>
      <c r="AP94" s="397"/>
      <c r="AQ94" s="509"/>
      <c r="AR94" s="397"/>
      <c r="AS94" s="93"/>
      <c r="AT94" s="359"/>
      <c r="AU94" s="518"/>
      <c r="AV94" s="524"/>
      <c r="AW94" s="518"/>
      <c r="AX94" s="93"/>
      <c r="AY94" s="364"/>
      <c r="AZ94" s="480"/>
      <c r="BA94" s="525"/>
      <c r="BB94" s="480"/>
      <c r="BC94" s="93"/>
      <c r="BD94" s="368"/>
      <c r="BE94" s="477"/>
      <c r="BF94" s="560"/>
      <c r="BG94" s="477"/>
      <c r="BH94" s="93"/>
      <c r="BI94" s="402"/>
      <c r="BJ94" s="478"/>
      <c r="BK94" s="609"/>
      <c r="BL94" s="478"/>
      <c r="BM94" s="93"/>
      <c r="BN94" s="372"/>
      <c r="BO94" s="455"/>
      <c r="BP94" s="557"/>
      <c r="BQ94" s="455"/>
      <c r="BR94" s="93"/>
      <c r="BS94" s="380"/>
      <c r="BT94" s="492"/>
      <c r="BU94" s="566"/>
      <c r="BV94" s="492"/>
      <c r="BW94" s="93"/>
      <c r="BX94" s="385"/>
      <c r="BY94" s="490"/>
      <c r="BZ94" s="605"/>
      <c r="CA94" s="490"/>
      <c r="CB94" s="93"/>
      <c r="CC94" s="387"/>
      <c r="CD94" s="404"/>
      <c r="CE94" s="363"/>
      <c r="CF94" s="404"/>
      <c r="CG94" s="93"/>
      <c r="CH94" s="387"/>
      <c r="CI94" s="404"/>
      <c r="CJ94" s="363"/>
      <c r="CK94" s="520"/>
      <c r="CL94" s="93"/>
      <c r="CM94" s="390" t="str">
        <f>IFERROR(__xludf.DUMMYFUNCTION("""COMPUTED_VALUE"""),"")</f>
        <v/>
      </c>
      <c r="CN94" s="489" t="str">
        <f>IFERROR(__xludf.DUMMYFUNCTION("""COMPUTED_VALUE"""),"Girafarig")</f>
        <v>Girafarig</v>
      </c>
      <c r="CO94" s="532" t="s">
        <v>158</v>
      </c>
      <c r="CP94" s="523"/>
      <c r="CQ94" s="93"/>
      <c r="CR94" s="413"/>
      <c r="CS94" s="414"/>
      <c r="CT94" s="632"/>
      <c r="CU94" s="414"/>
      <c r="CV94" s="93"/>
      <c r="CW94" s="415"/>
      <c r="CX94" s="468"/>
      <c r="CY94" s="633"/>
      <c r="CZ94" s="468"/>
      <c r="DA94" s="93"/>
      <c r="DB94" s="423"/>
      <c r="DC94" s="424"/>
      <c r="DD94" s="634"/>
      <c r="DE94" s="424"/>
      <c r="DF94" s="93"/>
      <c r="DG94" s="628"/>
      <c r="DH94" s="641"/>
      <c r="DI94" s="641"/>
      <c r="DJ94" s="641"/>
      <c r="DK94" s="93"/>
      <c r="DL94" s="429"/>
      <c r="DM94" s="430"/>
      <c r="DN94" s="430"/>
      <c r="DO94" s="430"/>
      <c r="DP94" s="93"/>
      <c r="DQ94" s="439"/>
      <c r="DR94" s="441"/>
      <c r="DS94" s="441"/>
      <c r="DT94" s="441"/>
      <c r="DU94" s="93"/>
      <c r="DV94" s="442"/>
      <c r="DW94" s="443"/>
      <c r="DX94" s="363"/>
      <c r="DY94" s="345"/>
      <c r="DZ94" s="87"/>
      <c r="EA94" s="10"/>
    </row>
    <row r="95" ht="17.25" customHeight="1">
      <c r="A95" s="10"/>
      <c r="B95" s="87"/>
      <c r="C95" s="234"/>
      <c r="D95" s="235"/>
      <c r="E95" s="93"/>
      <c r="F95" s="268"/>
      <c r="G95" s="268"/>
      <c r="H95" s="268"/>
      <c r="I95" s="268"/>
      <c r="J95" s="268"/>
      <c r="K95" s="268"/>
      <c r="L95" s="450"/>
      <c r="M95" s="268"/>
      <c r="N95" s="268"/>
      <c r="O95" s="268"/>
      <c r="P95" s="268"/>
      <c r="Q95" s="450"/>
      <c r="R95" s="268"/>
      <c r="S95" s="268"/>
      <c r="T95" s="268"/>
      <c r="U95" s="268"/>
      <c r="V95" s="450"/>
      <c r="W95" s="268"/>
      <c r="X95" s="268"/>
      <c r="Y95" s="268"/>
      <c r="Z95" s="268"/>
      <c r="AA95" s="450"/>
      <c r="AB95" s="268"/>
      <c r="AC95" s="268"/>
      <c r="AD95" s="268"/>
      <c r="AE95" s="268"/>
      <c r="AF95" s="450"/>
      <c r="AG95" s="268"/>
      <c r="AH95" s="268"/>
      <c r="AI95" s="268"/>
      <c r="AJ95" s="268"/>
      <c r="AK95" s="450"/>
      <c r="AL95" s="268"/>
      <c r="AM95" s="268"/>
      <c r="AN95" s="268"/>
      <c r="AO95" s="268"/>
      <c r="AP95" s="397"/>
      <c r="AQ95" s="509"/>
      <c r="AR95" s="397"/>
      <c r="AS95" s="93"/>
      <c r="AT95" s="359"/>
      <c r="AU95" s="518"/>
      <c r="AV95" s="524"/>
      <c r="AW95" s="518"/>
      <c r="AX95" s="93"/>
      <c r="AY95" s="364"/>
      <c r="AZ95" s="480"/>
      <c r="BA95" s="525"/>
      <c r="BB95" s="480"/>
      <c r="BC95" s="93"/>
      <c r="BD95" s="368"/>
      <c r="BE95" s="477"/>
      <c r="BF95" s="560"/>
      <c r="BG95" s="477"/>
      <c r="BH95" s="93"/>
      <c r="BI95" s="402"/>
      <c r="BJ95" s="478"/>
      <c r="BK95" s="609"/>
      <c r="BL95" s="478"/>
      <c r="BM95" s="93"/>
      <c r="BN95" s="372"/>
      <c r="BO95" s="455"/>
      <c r="BP95" s="557"/>
      <c r="BQ95" s="455"/>
      <c r="BR95" s="93"/>
      <c r="BS95" s="380"/>
      <c r="BT95" s="492"/>
      <c r="BU95" s="566"/>
      <c r="BV95" s="492"/>
      <c r="BW95" s="93"/>
      <c r="BX95" s="385"/>
      <c r="BY95" s="490"/>
      <c r="BZ95" s="605"/>
      <c r="CA95" s="490"/>
      <c r="CB95" s="93"/>
      <c r="CC95" s="387"/>
      <c r="CD95" s="404"/>
      <c r="CE95" s="363"/>
      <c r="CF95" s="404"/>
      <c r="CG95" s="93"/>
      <c r="CH95" s="387"/>
      <c r="CI95" s="404"/>
      <c r="CJ95" s="363"/>
      <c r="CK95" s="520"/>
      <c r="CL95" s="93"/>
      <c r="CM95" s="390" t="str">
        <f>IFERROR(__xludf.DUMMYFUNCTION("""COMPUTED_VALUE"""),"")</f>
        <v/>
      </c>
      <c r="CN95" s="489" t="str">
        <f>IFERROR(__xludf.DUMMYFUNCTION("""COMPUTED_VALUE"""),"Glaceon")</f>
        <v>Glaceon</v>
      </c>
      <c r="CO95" s="532" t="s">
        <v>158</v>
      </c>
      <c r="CP95" s="523"/>
      <c r="CQ95" s="93"/>
      <c r="CR95" s="413"/>
      <c r="CS95" s="414"/>
      <c r="CT95" s="632"/>
      <c r="CU95" s="414"/>
      <c r="CV95" s="93"/>
      <c r="CW95" s="415"/>
      <c r="CX95" s="468"/>
      <c r="CY95" s="633"/>
      <c r="CZ95" s="468"/>
      <c r="DA95" s="93"/>
      <c r="DB95" s="423"/>
      <c r="DC95" s="424"/>
      <c r="DD95" s="634"/>
      <c r="DE95" s="424"/>
      <c r="DF95" s="93"/>
      <c r="DG95" s="628"/>
      <c r="DH95" s="641"/>
      <c r="DI95" s="641"/>
      <c r="DJ95" s="641"/>
      <c r="DK95" s="93"/>
      <c r="DL95" s="429"/>
      <c r="DM95" s="430"/>
      <c r="DN95" s="430"/>
      <c r="DO95" s="430"/>
      <c r="DP95" s="93"/>
      <c r="DQ95" s="439"/>
      <c r="DR95" s="441"/>
      <c r="DS95" s="441"/>
      <c r="DT95" s="441"/>
      <c r="DU95" s="93"/>
      <c r="DV95" s="442"/>
      <c r="DW95" s="443"/>
      <c r="DX95" s="363"/>
      <c r="DY95" s="345"/>
      <c r="DZ95" s="87"/>
      <c r="EA95" s="10"/>
    </row>
    <row r="96" ht="17.25" customHeight="1">
      <c r="A96" s="10"/>
      <c r="B96" s="87"/>
      <c r="C96" s="234"/>
      <c r="D96" s="235"/>
      <c r="E96" s="93"/>
      <c r="F96" s="268"/>
      <c r="G96" s="268"/>
      <c r="H96" s="268"/>
      <c r="I96" s="268"/>
      <c r="J96" s="268"/>
      <c r="K96" s="268"/>
      <c r="L96" s="450"/>
      <c r="M96" s="268"/>
      <c r="N96" s="268"/>
      <c r="O96" s="268"/>
      <c r="P96" s="268"/>
      <c r="Q96" s="450"/>
      <c r="R96" s="268"/>
      <c r="S96" s="268"/>
      <c r="T96" s="268"/>
      <c r="U96" s="268"/>
      <c r="V96" s="450"/>
      <c r="W96" s="268"/>
      <c r="X96" s="268"/>
      <c r="Y96" s="268"/>
      <c r="Z96" s="268"/>
      <c r="AA96" s="450"/>
      <c r="AB96" s="268"/>
      <c r="AC96" s="268"/>
      <c r="AD96" s="268"/>
      <c r="AE96" s="268"/>
      <c r="AF96" s="450"/>
      <c r="AG96" s="268"/>
      <c r="AH96" s="268"/>
      <c r="AI96" s="268"/>
      <c r="AJ96" s="268"/>
      <c r="AK96" s="450"/>
      <c r="AL96" s="268"/>
      <c r="AM96" s="268"/>
      <c r="AN96" s="268"/>
      <c r="AO96" s="268"/>
      <c r="AP96" s="397"/>
      <c r="AQ96" s="509"/>
      <c r="AR96" s="397"/>
      <c r="AS96" s="93"/>
      <c r="AT96" s="359"/>
      <c r="AU96" s="518"/>
      <c r="AV96" s="524"/>
      <c r="AW96" s="518"/>
      <c r="AX96" s="93"/>
      <c r="AY96" s="364"/>
      <c r="AZ96" s="480"/>
      <c r="BA96" s="525"/>
      <c r="BB96" s="480"/>
      <c r="BC96" s="93"/>
      <c r="BD96" s="368"/>
      <c r="BE96" s="477"/>
      <c r="BF96" s="560"/>
      <c r="BG96" s="477"/>
      <c r="BH96" s="93"/>
      <c r="BI96" s="402"/>
      <c r="BJ96" s="478"/>
      <c r="BK96" s="609"/>
      <c r="BL96" s="478"/>
      <c r="BM96" s="93"/>
      <c r="BN96" s="372"/>
      <c r="BO96" s="455"/>
      <c r="BP96" s="557"/>
      <c r="BQ96" s="455"/>
      <c r="BR96" s="93"/>
      <c r="BS96" s="380"/>
      <c r="BT96" s="492"/>
      <c r="BU96" s="566"/>
      <c r="BV96" s="492"/>
      <c r="BW96" s="93"/>
      <c r="BX96" s="385"/>
      <c r="BY96" s="490"/>
      <c r="BZ96" s="605"/>
      <c r="CA96" s="490"/>
      <c r="CB96" s="93"/>
      <c r="CC96" s="387"/>
      <c r="CD96" s="404"/>
      <c r="CE96" s="363"/>
      <c r="CF96" s="404"/>
      <c r="CG96" s="93"/>
      <c r="CH96" s="387"/>
      <c r="CI96" s="404"/>
      <c r="CJ96" s="363"/>
      <c r="CK96" s="520"/>
      <c r="CL96" s="93"/>
      <c r="CM96" s="390" t="str">
        <f>IFERROR(__xludf.DUMMYFUNCTION("""COMPUTED_VALUE"""),"")</f>
        <v/>
      </c>
      <c r="CN96" s="489" t="str">
        <f>IFERROR(__xludf.DUMMYFUNCTION("""COMPUTED_VALUE"""),"Glalie")</f>
        <v>Glalie</v>
      </c>
      <c r="CO96" s="532" t="s">
        <v>158</v>
      </c>
      <c r="CP96" s="523"/>
      <c r="CQ96" s="93"/>
      <c r="CR96" s="413"/>
      <c r="CS96" s="414"/>
      <c r="CT96" s="632"/>
      <c r="CU96" s="414"/>
      <c r="CV96" s="93"/>
      <c r="CW96" s="415"/>
      <c r="CX96" s="468"/>
      <c r="CY96" s="633"/>
      <c r="CZ96" s="468"/>
      <c r="DA96" s="93"/>
      <c r="DB96" s="423"/>
      <c r="DC96" s="424"/>
      <c r="DD96" s="634"/>
      <c r="DE96" s="424"/>
      <c r="DF96" s="93"/>
      <c r="DG96" s="628"/>
      <c r="DH96" s="641"/>
      <c r="DI96" s="641"/>
      <c r="DJ96" s="641"/>
      <c r="DK96" s="93"/>
      <c r="DL96" s="429"/>
      <c r="DM96" s="430"/>
      <c r="DN96" s="430"/>
      <c r="DO96" s="430"/>
      <c r="DP96" s="93"/>
      <c r="DQ96" s="439"/>
      <c r="DR96" s="441"/>
      <c r="DS96" s="441"/>
      <c r="DT96" s="441"/>
      <c r="DU96" s="93"/>
      <c r="DV96" s="442"/>
      <c r="DW96" s="443"/>
      <c r="DX96" s="363"/>
      <c r="DY96" s="345"/>
      <c r="DZ96" s="87"/>
      <c r="EA96" s="10"/>
    </row>
    <row r="97" ht="17.25" customHeight="1">
      <c r="A97" s="10"/>
      <c r="B97" s="87"/>
      <c r="C97" s="234"/>
      <c r="D97" s="235"/>
      <c r="E97" s="93"/>
      <c r="F97" s="268"/>
      <c r="G97" s="268"/>
      <c r="H97" s="268"/>
      <c r="I97" s="268"/>
      <c r="J97" s="268"/>
      <c r="K97" s="268"/>
      <c r="L97" s="450"/>
      <c r="M97" s="268"/>
      <c r="N97" s="268"/>
      <c r="O97" s="268"/>
      <c r="P97" s="268"/>
      <c r="Q97" s="450"/>
      <c r="R97" s="268"/>
      <c r="S97" s="268"/>
      <c r="T97" s="268"/>
      <c r="U97" s="268"/>
      <c r="V97" s="450"/>
      <c r="W97" s="268"/>
      <c r="X97" s="268"/>
      <c r="Y97" s="268"/>
      <c r="Z97" s="268"/>
      <c r="AA97" s="450"/>
      <c r="AB97" s="268"/>
      <c r="AC97" s="268"/>
      <c r="AD97" s="268"/>
      <c r="AE97" s="268"/>
      <c r="AF97" s="450"/>
      <c r="AG97" s="268"/>
      <c r="AH97" s="268"/>
      <c r="AI97" s="268"/>
      <c r="AJ97" s="268"/>
      <c r="AK97" s="450"/>
      <c r="AL97" s="268"/>
      <c r="AM97" s="268"/>
      <c r="AN97" s="268"/>
      <c r="AO97" s="268"/>
      <c r="AP97" s="397"/>
      <c r="AQ97" s="509"/>
      <c r="AR97" s="397"/>
      <c r="AS97" s="93"/>
      <c r="AT97" s="359"/>
      <c r="AU97" s="518"/>
      <c r="AV97" s="524"/>
      <c r="AW97" s="518"/>
      <c r="AX97" s="93"/>
      <c r="AY97" s="364"/>
      <c r="AZ97" s="480"/>
      <c r="BA97" s="525"/>
      <c r="BB97" s="480"/>
      <c r="BC97" s="93"/>
      <c r="BD97" s="368"/>
      <c r="BE97" s="477"/>
      <c r="BF97" s="560"/>
      <c r="BG97" s="477"/>
      <c r="BH97" s="93"/>
      <c r="BI97" s="402"/>
      <c r="BJ97" s="478"/>
      <c r="BK97" s="609"/>
      <c r="BL97" s="478"/>
      <c r="BM97" s="93"/>
      <c r="BN97" s="372"/>
      <c r="BO97" s="455"/>
      <c r="BP97" s="557"/>
      <c r="BQ97" s="455"/>
      <c r="BR97" s="93"/>
      <c r="BS97" s="380"/>
      <c r="BT97" s="492"/>
      <c r="BU97" s="566"/>
      <c r="BV97" s="492"/>
      <c r="BW97" s="93"/>
      <c r="BX97" s="385"/>
      <c r="BY97" s="490"/>
      <c r="BZ97" s="605"/>
      <c r="CA97" s="490"/>
      <c r="CB97" s="93"/>
      <c r="CC97" s="387"/>
      <c r="CD97" s="404"/>
      <c r="CE97" s="363"/>
      <c r="CF97" s="404"/>
      <c r="CG97" s="93"/>
      <c r="CH97" s="387"/>
      <c r="CI97" s="404"/>
      <c r="CJ97" s="363"/>
      <c r="CK97" s="520"/>
      <c r="CL97" s="93"/>
      <c r="CM97" s="390" t="str">
        <f>IFERROR(__xludf.DUMMYFUNCTION("""COMPUTED_VALUE"""),"")</f>
        <v/>
      </c>
      <c r="CN97" s="489" t="str">
        <f>IFERROR(__xludf.DUMMYFUNCTION("""COMPUTED_VALUE"""),"Glimmet")</f>
        <v>Glimmet</v>
      </c>
      <c r="CO97" s="532" t="s">
        <v>158</v>
      </c>
      <c r="CP97" s="523"/>
      <c r="CQ97" s="93"/>
      <c r="CR97" s="413"/>
      <c r="CS97" s="414"/>
      <c r="CT97" s="632"/>
      <c r="CU97" s="414"/>
      <c r="CV97" s="93"/>
      <c r="CW97" s="415"/>
      <c r="CX97" s="468"/>
      <c r="CY97" s="633"/>
      <c r="CZ97" s="468"/>
      <c r="DA97" s="93"/>
      <c r="DB97" s="423"/>
      <c r="DC97" s="424"/>
      <c r="DD97" s="634"/>
      <c r="DE97" s="424"/>
      <c r="DF97" s="93"/>
      <c r="DG97" s="628"/>
      <c r="DH97" s="641"/>
      <c r="DI97" s="641"/>
      <c r="DJ97" s="641"/>
      <c r="DK97" s="93"/>
      <c r="DL97" s="429"/>
      <c r="DM97" s="430"/>
      <c r="DN97" s="430"/>
      <c r="DO97" s="430"/>
      <c r="DP97" s="93"/>
      <c r="DQ97" s="439"/>
      <c r="DR97" s="441"/>
      <c r="DS97" s="441"/>
      <c r="DT97" s="441"/>
      <c r="DU97" s="93"/>
      <c r="DV97" s="442"/>
      <c r="DW97" s="443"/>
      <c r="DX97" s="363"/>
      <c r="DY97" s="345"/>
      <c r="DZ97" s="87"/>
      <c r="EA97" s="10"/>
    </row>
    <row r="98" ht="17.25" customHeight="1">
      <c r="A98" s="10"/>
      <c r="B98" s="87"/>
      <c r="C98" s="234"/>
      <c r="D98" s="235"/>
      <c r="E98" s="93"/>
      <c r="F98" s="268"/>
      <c r="G98" s="268"/>
      <c r="H98" s="268"/>
      <c r="I98" s="268"/>
      <c r="J98" s="268"/>
      <c r="K98" s="268"/>
      <c r="L98" s="450"/>
      <c r="M98" s="268"/>
      <c r="N98" s="268"/>
      <c r="O98" s="268"/>
      <c r="P98" s="268"/>
      <c r="Q98" s="450"/>
      <c r="R98" s="268"/>
      <c r="S98" s="268"/>
      <c r="T98" s="268"/>
      <c r="U98" s="268"/>
      <c r="V98" s="450"/>
      <c r="W98" s="268"/>
      <c r="X98" s="268"/>
      <c r="Y98" s="268"/>
      <c r="Z98" s="268"/>
      <c r="AA98" s="450"/>
      <c r="AB98" s="268"/>
      <c r="AC98" s="268"/>
      <c r="AD98" s="268"/>
      <c r="AE98" s="268"/>
      <c r="AF98" s="450"/>
      <c r="AG98" s="268"/>
      <c r="AH98" s="268"/>
      <c r="AI98" s="268"/>
      <c r="AJ98" s="268"/>
      <c r="AK98" s="450"/>
      <c r="AL98" s="268"/>
      <c r="AM98" s="268"/>
      <c r="AN98" s="268"/>
      <c r="AO98" s="268"/>
      <c r="AP98" s="397"/>
      <c r="AQ98" s="509"/>
      <c r="AR98" s="397"/>
      <c r="AS98" s="93"/>
      <c r="AT98" s="359"/>
      <c r="AU98" s="518"/>
      <c r="AV98" s="524"/>
      <c r="AW98" s="518"/>
      <c r="AX98" s="93"/>
      <c r="AY98" s="364"/>
      <c r="AZ98" s="480"/>
      <c r="BA98" s="525"/>
      <c r="BB98" s="480"/>
      <c r="BC98" s="93"/>
      <c r="BD98" s="368"/>
      <c r="BE98" s="477"/>
      <c r="BF98" s="560"/>
      <c r="BG98" s="477"/>
      <c r="BH98" s="93"/>
      <c r="BI98" s="402"/>
      <c r="BJ98" s="478"/>
      <c r="BK98" s="609"/>
      <c r="BL98" s="478"/>
      <c r="BM98" s="93"/>
      <c r="BN98" s="372"/>
      <c r="BO98" s="455"/>
      <c r="BP98" s="557"/>
      <c r="BQ98" s="455"/>
      <c r="BR98" s="93"/>
      <c r="BS98" s="380"/>
      <c r="BT98" s="492"/>
      <c r="BU98" s="566"/>
      <c r="BV98" s="492"/>
      <c r="BW98" s="93"/>
      <c r="BX98" s="385"/>
      <c r="BY98" s="490"/>
      <c r="BZ98" s="605"/>
      <c r="CA98" s="490"/>
      <c r="CB98" s="93"/>
      <c r="CC98" s="387"/>
      <c r="CD98" s="404"/>
      <c r="CE98" s="363"/>
      <c r="CF98" s="404"/>
      <c r="CG98" s="93"/>
      <c r="CH98" s="387"/>
      <c r="CI98" s="404"/>
      <c r="CJ98" s="363"/>
      <c r="CK98" s="520"/>
      <c r="CL98" s="93"/>
      <c r="CM98" s="390" t="str">
        <f>IFERROR(__xludf.DUMMYFUNCTION("""COMPUTED_VALUE"""),"")</f>
        <v/>
      </c>
      <c r="CN98" s="489" t="str">
        <f>IFERROR(__xludf.DUMMYFUNCTION("""COMPUTED_VALUE"""),"Gogoat")</f>
        <v>Gogoat</v>
      </c>
      <c r="CO98" s="532" t="s">
        <v>158</v>
      </c>
      <c r="CP98" s="523"/>
      <c r="CQ98" s="93"/>
      <c r="CR98" s="413"/>
      <c r="CS98" s="414"/>
      <c r="CT98" s="632"/>
      <c r="CU98" s="414"/>
      <c r="CV98" s="93"/>
      <c r="CW98" s="415"/>
      <c r="CX98" s="468"/>
      <c r="CY98" s="633"/>
      <c r="CZ98" s="468"/>
      <c r="DA98" s="93"/>
      <c r="DB98" s="423"/>
      <c r="DC98" s="424"/>
      <c r="DD98" s="634"/>
      <c r="DE98" s="424"/>
      <c r="DF98" s="93"/>
      <c r="DG98" s="628"/>
      <c r="DH98" s="641"/>
      <c r="DI98" s="641"/>
      <c r="DJ98" s="641"/>
      <c r="DK98" s="93"/>
      <c r="DL98" s="429"/>
      <c r="DM98" s="430"/>
      <c r="DN98" s="430"/>
      <c r="DO98" s="430"/>
      <c r="DP98" s="93"/>
      <c r="DQ98" s="439"/>
      <c r="DR98" s="441"/>
      <c r="DS98" s="441"/>
      <c r="DT98" s="441"/>
      <c r="DU98" s="93"/>
      <c r="DV98" s="442"/>
      <c r="DW98" s="443"/>
      <c r="DX98" s="363"/>
      <c r="DY98" s="345"/>
      <c r="DZ98" s="87"/>
      <c r="EA98" s="10"/>
    </row>
    <row r="99" ht="17.25" customHeight="1">
      <c r="A99" s="10"/>
      <c r="B99" s="87"/>
      <c r="C99" s="234"/>
      <c r="D99" s="235"/>
      <c r="E99" s="93"/>
      <c r="F99" s="268"/>
      <c r="G99" s="268"/>
      <c r="H99" s="268"/>
      <c r="I99" s="268"/>
      <c r="J99" s="268"/>
      <c r="K99" s="268"/>
      <c r="L99" s="450"/>
      <c r="M99" s="268"/>
      <c r="N99" s="268"/>
      <c r="O99" s="268"/>
      <c r="P99" s="268"/>
      <c r="Q99" s="450"/>
      <c r="R99" s="268"/>
      <c r="S99" s="268"/>
      <c r="T99" s="268"/>
      <c r="U99" s="268"/>
      <c r="V99" s="450"/>
      <c r="W99" s="268"/>
      <c r="X99" s="268"/>
      <c r="Y99" s="268"/>
      <c r="Z99" s="268"/>
      <c r="AA99" s="450"/>
      <c r="AB99" s="268"/>
      <c r="AC99" s="268"/>
      <c r="AD99" s="268"/>
      <c r="AE99" s="268"/>
      <c r="AF99" s="450"/>
      <c r="AG99" s="268"/>
      <c r="AH99" s="268"/>
      <c r="AI99" s="268"/>
      <c r="AJ99" s="268"/>
      <c r="AK99" s="450"/>
      <c r="AL99" s="268"/>
      <c r="AM99" s="268"/>
      <c r="AN99" s="268"/>
      <c r="AO99" s="268"/>
      <c r="AP99" s="397"/>
      <c r="AQ99" s="509"/>
      <c r="AR99" s="397"/>
      <c r="AS99" s="93"/>
      <c r="AT99" s="359"/>
      <c r="AU99" s="518"/>
      <c r="AV99" s="524"/>
      <c r="AW99" s="518"/>
      <c r="AX99" s="93"/>
      <c r="AY99" s="364"/>
      <c r="AZ99" s="480"/>
      <c r="BA99" s="525"/>
      <c r="BB99" s="480"/>
      <c r="BC99" s="93"/>
      <c r="BD99" s="368"/>
      <c r="BE99" s="477"/>
      <c r="BF99" s="560"/>
      <c r="BG99" s="477"/>
      <c r="BH99" s="93"/>
      <c r="BI99" s="402"/>
      <c r="BJ99" s="478"/>
      <c r="BK99" s="609"/>
      <c r="BL99" s="478"/>
      <c r="BM99" s="93"/>
      <c r="BN99" s="372"/>
      <c r="BO99" s="455"/>
      <c r="BP99" s="557"/>
      <c r="BQ99" s="455"/>
      <c r="BR99" s="93"/>
      <c r="BS99" s="380"/>
      <c r="BT99" s="492"/>
      <c r="BU99" s="566"/>
      <c r="BV99" s="492"/>
      <c r="BW99" s="93"/>
      <c r="BX99" s="385"/>
      <c r="BY99" s="490"/>
      <c r="BZ99" s="605"/>
      <c r="CA99" s="490"/>
      <c r="CB99" s="93"/>
      <c r="CC99" s="387"/>
      <c r="CD99" s="404"/>
      <c r="CE99" s="363"/>
      <c r="CF99" s="404"/>
      <c r="CG99" s="93"/>
      <c r="CH99" s="387"/>
      <c r="CI99" s="404"/>
      <c r="CJ99" s="363"/>
      <c r="CK99" s="520"/>
      <c r="CL99" s="93"/>
      <c r="CM99" s="390" t="str">
        <f>IFERROR(__xludf.DUMMYFUNCTION("""COMPUTED_VALUE"""),"")</f>
        <v/>
      </c>
      <c r="CN99" s="489" t="str">
        <f>IFERROR(__xludf.DUMMYFUNCTION("""COMPUTED_VALUE"""),"Golduck")</f>
        <v>Golduck</v>
      </c>
      <c r="CO99" s="532" t="s">
        <v>158</v>
      </c>
      <c r="CP99" s="523"/>
      <c r="CQ99" s="93"/>
      <c r="CR99" s="413"/>
      <c r="CS99" s="414"/>
      <c r="CT99" s="632"/>
      <c r="CU99" s="414"/>
      <c r="CV99" s="93"/>
      <c r="CW99" s="415"/>
      <c r="CX99" s="468"/>
      <c r="CY99" s="633"/>
      <c r="CZ99" s="468"/>
      <c r="DA99" s="93"/>
      <c r="DB99" s="423"/>
      <c r="DC99" s="424"/>
      <c r="DD99" s="634"/>
      <c r="DE99" s="424"/>
      <c r="DF99" s="93"/>
      <c r="DG99" s="628"/>
      <c r="DH99" s="641"/>
      <c r="DI99" s="641"/>
      <c r="DJ99" s="641"/>
      <c r="DK99" s="93"/>
      <c r="DL99" s="429"/>
      <c r="DM99" s="430"/>
      <c r="DN99" s="430"/>
      <c r="DO99" s="430"/>
      <c r="DP99" s="93"/>
      <c r="DQ99" s="439"/>
      <c r="DR99" s="441"/>
      <c r="DS99" s="441"/>
      <c r="DT99" s="441"/>
      <c r="DU99" s="93"/>
      <c r="DV99" s="442"/>
      <c r="DW99" s="443"/>
      <c r="DX99" s="363"/>
      <c r="DY99" s="345"/>
      <c r="DZ99" s="87"/>
      <c r="EA99" s="10"/>
    </row>
    <row r="100" ht="17.25" customHeight="1">
      <c r="A100" s="10"/>
      <c r="B100" s="87"/>
      <c r="C100" s="234"/>
      <c r="D100" s="235"/>
      <c r="E100" s="93"/>
      <c r="F100" s="268"/>
      <c r="G100" s="268"/>
      <c r="H100" s="268"/>
      <c r="I100" s="268"/>
      <c r="J100" s="268"/>
      <c r="K100" s="268"/>
      <c r="L100" s="450"/>
      <c r="M100" s="268"/>
      <c r="N100" s="268"/>
      <c r="O100" s="268"/>
      <c r="P100" s="268"/>
      <c r="Q100" s="450"/>
      <c r="R100" s="268"/>
      <c r="S100" s="268"/>
      <c r="T100" s="268"/>
      <c r="U100" s="268"/>
      <c r="V100" s="450"/>
      <c r="W100" s="268"/>
      <c r="X100" s="268"/>
      <c r="Y100" s="268"/>
      <c r="Z100" s="268"/>
      <c r="AA100" s="450"/>
      <c r="AB100" s="268"/>
      <c r="AC100" s="268"/>
      <c r="AD100" s="268"/>
      <c r="AE100" s="268"/>
      <c r="AF100" s="450"/>
      <c r="AG100" s="268"/>
      <c r="AH100" s="268"/>
      <c r="AI100" s="268"/>
      <c r="AJ100" s="268"/>
      <c r="AK100" s="450"/>
      <c r="AL100" s="268"/>
      <c r="AM100" s="268"/>
      <c r="AN100" s="268"/>
      <c r="AO100" s="268"/>
      <c r="AP100" s="397"/>
      <c r="AQ100" s="509"/>
      <c r="AR100" s="397"/>
      <c r="AS100" s="93"/>
      <c r="AT100" s="359"/>
      <c r="AU100" s="518"/>
      <c r="AV100" s="524"/>
      <c r="AW100" s="518"/>
      <c r="AX100" s="93"/>
      <c r="AY100" s="364"/>
      <c r="AZ100" s="480"/>
      <c r="BA100" s="525"/>
      <c r="BB100" s="480"/>
      <c r="BC100" s="93"/>
      <c r="BD100" s="368"/>
      <c r="BE100" s="477"/>
      <c r="BF100" s="560"/>
      <c r="BG100" s="477"/>
      <c r="BH100" s="93"/>
      <c r="BI100" s="402"/>
      <c r="BJ100" s="478"/>
      <c r="BK100" s="609"/>
      <c r="BL100" s="478"/>
      <c r="BM100" s="93"/>
      <c r="BN100" s="372"/>
      <c r="BO100" s="455"/>
      <c r="BP100" s="557"/>
      <c r="BQ100" s="455"/>
      <c r="BR100" s="93"/>
      <c r="BS100" s="380"/>
      <c r="BT100" s="492"/>
      <c r="BU100" s="566"/>
      <c r="BV100" s="492"/>
      <c r="BW100" s="93"/>
      <c r="BX100" s="385"/>
      <c r="BY100" s="490"/>
      <c r="BZ100" s="605"/>
      <c r="CA100" s="490"/>
      <c r="CB100" s="93"/>
      <c r="CC100" s="387"/>
      <c r="CD100" s="404"/>
      <c r="CE100" s="363"/>
      <c r="CF100" s="404"/>
      <c r="CG100" s="93"/>
      <c r="CH100" s="387"/>
      <c r="CI100" s="404"/>
      <c r="CJ100" s="363"/>
      <c r="CK100" s="520"/>
      <c r="CL100" s="93"/>
      <c r="CM100" s="390" t="str">
        <f>IFERROR(__xludf.DUMMYFUNCTION("""COMPUTED_VALUE"""),"")</f>
        <v/>
      </c>
      <c r="CN100" s="489" t="str">
        <f>IFERROR(__xludf.DUMMYFUNCTION("""COMPUTED_VALUE"""),"Goomy")</f>
        <v>Goomy</v>
      </c>
      <c r="CO100" s="532" t="s">
        <v>158</v>
      </c>
      <c r="CP100" s="523"/>
      <c r="CQ100" s="93"/>
      <c r="CR100" s="413"/>
      <c r="CS100" s="414"/>
      <c r="CT100" s="632"/>
      <c r="CU100" s="414"/>
      <c r="CV100" s="93"/>
      <c r="CW100" s="415"/>
      <c r="CX100" s="468"/>
      <c r="CY100" s="633"/>
      <c r="CZ100" s="468"/>
      <c r="DA100" s="93"/>
      <c r="DB100" s="423"/>
      <c r="DC100" s="424"/>
      <c r="DD100" s="634"/>
      <c r="DE100" s="424"/>
      <c r="DF100" s="93"/>
      <c r="DG100" s="628"/>
      <c r="DH100" s="641"/>
      <c r="DI100" s="641"/>
      <c r="DJ100" s="641"/>
      <c r="DK100" s="93"/>
      <c r="DL100" s="429"/>
      <c r="DM100" s="430"/>
      <c r="DN100" s="430"/>
      <c r="DO100" s="430"/>
      <c r="DP100" s="93"/>
      <c r="DQ100" s="439"/>
      <c r="DR100" s="441"/>
      <c r="DS100" s="441"/>
      <c r="DT100" s="441"/>
      <c r="DU100" s="93"/>
      <c r="DV100" s="442"/>
      <c r="DW100" s="443"/>
      <c r="DX100" s="363"/>
      <c r="DY100" s="345"/>
      <c r="DZ100" s="87"/>
      <c r="EA100" s="10"/>
    </row>
    <row r="101" ht="17.25" customHeight="1">
      <c r="A101" s="10"/>
      <c r="B101" s="87"/>
      <c r="C101" s="234"/>
      <c r="D101" s="235"/>
      <c r="E101" s="93"/>
      <c r="F101" s="268"/>
      <c r="G101" s="268"/>
      <c r="H101" s="268"/>
      <c r="I101" s="268"/>
      <c r="J101" s="268"/>
      <c r="K101" s="268"/>
      <c r="L101" s="450"/>
      <c r="M101" s="268"/>
      <c r="N101" s="268"/>
      <c r="O101" s="268"/>
      <c r="P101" s="268"/>
      <c r="Q101" s="450"/>
      <c r="R101" s="268"/>
      <c r="S101" s="268"/>
      <c r="T101" s="268"/>
      <c r="U101" s="268"/>
      <c r="V101" s="450"/>
      <c r="W101" s="268"/>
      <c r="X101" s="268"/>
      <c r="Y101" s="268"/>
      <c r="Z101" s="268"/>
      <c r="AA101" s="450"/>
      <c r="AB101" s="268"/>
      <c r="AC101" s="268"/>
      <c r="AD101" s="268"/>
      <c r="AE101" s="268"/>
      <c r="AF101" s="450"/>
      <c r="AG101" s="268"/>
      <c r="AH101" s="268"/>
      <c r="AI101" s="268"/>
      <c r="AJ101" s="268"/>
      <c r="AK101" s="450"/>
      <c r="AL101" s="268"/>
      <c r="AM101" s="268"/>
      <c r="AN101" s="268"/>
      <c r="AO101" s="268"/>
      <c r="AP101" s="397"/>
      <c r="AQ101" s="509"/>
      <c r="AR101" s="397"/>
      <c r="AS101" s="93"/>
      <c r="AT101" s="359"/>
      <c r="AU101" s="518"/>
      <c r="AV101" s="524"/>
      <c r="AW101" s="518"/>
      <c r="AX101" s="93"/>
      <c r="AY101" s="364"/>
      <c r="AZ101" s="480"/>
      <c r="BA101" s="525"/>
      <c r="BB101" s="480"/>
      <c r="BC101" s="93"/>
      <c r="BD101" s="368"/>
      <c r="BE101" s="477"/>
      <c r="BF101" s="560"/>
      <c r="BG101" s="477"/>
      <c r="BH101" s="93"/>
      <c r="BI101" s="402"/>
      <c r="BJ101" s="478"/>
      <c r="BK101" s="609"/>
      <c r="BL101" s="478"/>
      <c r="BM101" s="93"/>
      <c r="BN101" s="372"/>
      <c r="BO101" s="455"/>
      <c r="BP101" s="557"/>
      <c r="BQ101" s="455"/>
      <c r="BR101" s="93"/>
      <c r="BS101" s="380"/>
      <c r="BT101" s="492"/>
      <c r="BU101" s="566"/>
      <c r="BV101" s="492"/>
      <c r="BW101" s="93"/>
      <c r="BX101" s="385"/>
      <c r="BY101" s="490"/>
      <c r="BZ101" s="605"/>
      <c r="CA101" s="490"/>
      <c r="CB101" s="93"/>
      <c r="CC101" s="387"/>
      <c r="CD101" s="404"/>
      <c r="CE101" s="363"/>
      <c r="CF101" s="404"/>
      <c r="CG101" s="93"/>
      <c r="CH101" s="387"/>
      <c r="CI101" s="404"/>
      <c r="CJ101" s="363"/>
      <c r="CK101" s="520"/>
      <c r="CL101" s="93"/>
      <c r="CM101" s="390" t="str">
        <f>IFERROR(__xludf.DUMMYFUNCTION("""COMPUTED_VALUE"""),"")</f>
        <v/>
      </c>
      <c r="CN101" s="489" t="str">
        <f>IFERROR(__xludf.DUMMYFUNCTION("""COMPUTED_VALUE"""),"Gothita")</f>
        <v>Gothita</v>
      </c>
      <c r="CO101" s="532" t="s">
        <v>158</v>
      </c>
      <c r="CP101" s="523"/>
      <c r="CQ101" s="93"/>
      <c r="CR101" s="413"/>
      <c r="CS101" s="414"/>
      <c r="CT101" s="632"/>
      <c r="CU101" s="414"/>
      <c r="CV101" s="93"/>
      <c r="CW101" s="415"/>
      <c r="CX101" s="468"/>
      <c r="CY101" s="633"/>
      <c r="CZ101" s="468"/>
      <c r="DA101" s="93"/>
      <c r="DB101" s="423"/>
      <c r="DC101" s="424"/>
      <c r="DD101" s="634"/>
      <c r="DE101" s="424"/>
      <c r="DF101" s="93"/>
      <c r="DG101" s="628"/>
      <c r="DH101" s="641"/>
      <c r="DI101" s="641"/>
      <c r="DJ101" s="641"/>
      <c r="DK101" s="93"/>
      <c r="DL101" s="429"/>
      <c r="DM101" s="430"/>
      <c r="DN101" s="430"/>
      <c r="DO101" s="430"/>
      <c r="DP101" s="93"/>
      <c r="DQ101" s="439"/>
      <c r="DR101" s="441"/>
      <c r="DS101" s="441"/>
      <c r="DT101" s="441"/>
      <c r="DU101" s="93"/>
      <c r="DV101" s="442"/>
      <c r="DW101" s="443"/>
      <c r="DX101" s="363"/>
      <c r="DY101" s="345"/>
      <c r="DZ101" s="87"/>
      <c r="EA101" s="10"/>
    </row>
    <row r="102" ht="17.25" customHeight="1">
      <c r="A102" s="10"/>
      <c r="B102" s="87"/>
      <c r="C102" s="234"/>
      <c r="D102" s="235"/>
      <c r="E102" s="93"/>
      <c r="F102" s="268"/>
      <c r="G102" s="268"/>
      <c r="H102" s="268"/>
      <c r="I102" s="268"/>
      <c r="J102" s="268"/>
      <c r="K102" s="268"/>
      <c r="L102" s="450"/>
      <c r="M102" s="268"/>
      <c r="N102" s="268"/>
      <c r="O102" s="268"/>
      <c r="P102" s="268"/>
      <c r="Q102" s="450"/>
      <c r="R102" s="268"/>
      <c r="S102" s="268"/>
      <c r="T102" s="268"/>
      <c r="U102" s="268"/>
      <c r="V102" s="450"/>
      <c r="W102" s="268"/>
      <c r="X102" s="268"/>
      <c r="Y102" s="268"/>
      <c r="Z102" s="268"/>
      <c r="AA102" s="450"/>
      <c r="AB102" s="268"/>
      <c r="AC102" s="268"/>
      <c r="AD102" s="268"/>
      <c r="AE102" s="268"/>
      <c r="AF102" s="450"/>
      <c r="AG102" s="268"/>
      <c r="AH102" s="268"/>
      <c r="AI102" s="268"/>
      <c r="AJ102" s="268"/>
      <c r="AK102" s="450"/>
      <c r="AL102" s="268"/>
      <c r="AM102" s="268"/>
      <c r="AN102" s="268"/>
      <c r="AO102" s="268"/>
      <c r="AP102" s="397"/>
      <c r="AQ102" s="509"/>
      <c r="AR102" s="397"/>
      <c r="AS102" s="93"/>
      <c r="AT102" s="359"/>
      <c r="AU102" s="518"/>
      <c r="AV102" s="524"/>
      <c r="AW102" s="518"/>
      <c r="AX102" s="93"/>
      <c r="AY102" s="364"/>
      <c r="AZ102" s="480"/>
      <c r="BA102" s="525"/>
      <c r="BB102" s="480"/>
      <c r="BC102" s="93"/>
      <c r="BD102" s="368"/>
      <c r="BE102" s="477"/>
      <c r="BF102" s="560"/>
      <c r="BG102" s="477"/>
      <c r="BH102" s="93"/>
      <c r="BI102" s="402"/>
      <c r="BJ102" s="478"/>
      <c r="BK102" s="609"/>
      <c r="BL102" s="478"/>
      <c r="BM102" s="93"/>
      <c r="BN102" s="372"/>
      <c r="BO102" s="455"/>
      <c r="BP102" s="557"/>
      <c r="BQ102" s="455"/>
      <c r="BR102" s="93"/>
      <c r="BS102" s="380"/>
      <c r="BT102" s="492"/>
      <c r="BU102" s="566"/>
      <c r="BV102" s="492"/>
      <c r="BW102" s="93"/>
      <c r="BX102" s="385"/>
      <c r="BY102" s="490"/>
      <c r="BZ102" s="605"/>
      <c r="CA102" s="490"/>
      <c r="CB102" s="93"/>
      <c r="CC102" s="387"/>
      <c r="CD102" s="404"/>
      <c r="CE102" s="363"/>
      <c r="CF102" s="404"/>
      <c r="CG102" s="93"/>
      <c r="CH102" s="387"/>
      <c r="CI102" s="404"/>
      <c r="CJ102" s="363"/>
      <c r="CK102" s="520"/>
      <c r="CL102" s="93"/>
      <c r="CM102" s="390" t="str">
        <f>IFERROR(__xludf.DUMMYFUNCTION("""COMPUTED_VALUE"""),"")</f>
        <v/>
      </c>
      <c r="CN102" s="489" t="str">
        <f>IFERROR(__xludf.DUMMYFUNCTION("""COMPUTED_VALUE"""),"Greavard")</f>
        <v>Greavard</v>
      </c>
      <c r="CO102" s="532" t="s">
        <v>158</v>
      </c>
      <c r="CP102" s="523"/>
      <c r="CQ102" s="93"/>
      <c r="CR102" s="413"/>
      <c r="CS102" s="414"/>
      <c r="CT102" s="632"/>
      <c r="CU102" s="414"/>
      <c r="CV102" s="93"/>
      <c r="CW102" s="415"/>
      <c r="CX102" s="468"/>
      <c r="CY102" s="633"/>
      <c r="CZ102" s="468"/>
      <c r="DA102" s="93"/>
      <c r="DB102" s="423"/>
      <c r="DC102" s="424"/>
      <c r="DD102" s="634"/>
      <c r="DE102" s="424"/>
      <c r="DF102" s="93"/>
      <c r="DG102" s="628"/>
      <c r="DH102" s="641"/>
      <c r="DI102" s="641"/>
      <c r="DJ102" s="641"/>
      <c r="DK102" s="93"/>
      <c r="DL102" s="429"/>
      <c r="DM102" s="430"/>
      <c r="DN102" s="430"/>
      <c r="DO102" s="430"/>
      <c r="DP102" s="93"/>
      <c r="DQ102" s="439"/>
      <c r="DR102" s="441"/>
      <c r="DS102" s="441"/>
      <c r="DT102" s="441"/>
      <c r="DU102" s="93"/>
      <c r="DV102" s="442"/>
      <c r="DW102" s="443"/>
      <c r="DX102" s="363"/>
      <c r="DY102" s="345"/>
      <c r="DZ102" s="87"/>
      <c r="EA102" s="10"/>
    </row>
    <row r="103" ht="17.25" customHeight="1">
      <c r="A103" s="10"/>
      <c r="B103" s="87"/>
      <c r="C103" s="234"/>
      <c r="D103" s="235"/>
      <c r="E103" s="93"/>
      <c r="F103" s="268"/>
      <c r="G103" s="268"/>
      <c r="H103" s="268"/>
      <c r="I103" s="268"/>
      <c r="J103" s="268"/>
      <c r="K103" s="268"/>
      <c r="L103" s="450"/>
      <c r="M103" s="268"/>
      <c r="N103" s="268"/>
      <c r="O103" s="268"/>
      <c r="P103" s="268"/>
      <c r="Q103" s="450"/>
      <c r="R103" s="268"/>
      <c r="S103" s="268"/>
      <c r="T103" s="268"/>
      <c r="U103" s="268"/>
      <c r="V103" s="450"/>
      <c r="W103" s="268"/>
      <c r="X103" s="268"/>
      <c r="Y103" s="268"/>
      <c r="Z103" s="268"/>
      <c r="AA103" s="450"/>
      <c r="AB103" s="268"/>
      <c r="AC103" s="268"/>
      <c r="AD103" s="268"/>
      <c r="AE103" s="268"/>
      <c r="AF103" s="450"/>
      <c r="AG103" s="268"/>
      <c r="AH103" s="268"/>
      <c r="AI103" s="268"/>
      <c r="AJ103" s="268"/>
      <c r="AK103" s="450"/>
      <c r="AL103" s="268"/>
      <c r="AM103" s="268"/>
      <c r="AN103" s="268"/>
      <c r="AO103" s="268"/>
      <c r="AP103" s="397"/>
      <c r="AQ103" s="509"/>
      <c r="AR103" s="397"/>
      <c r="AS103" s="93"/>
      <c r="AT103" s="359"/>
      <c r="AU103" s="518"/>
      <c r="AV103" s="524"/>
      <c r="AW103" s="518"/>
      <c r="AX103" s="93"/>
      <c r="AY103" s="364"/>
      <c r="AZ103" s="480"/>
      <c r="BA103" s="525"/>
      <c r="BB103" s="480"/>
      <c r="BC103" s="93"/>
      <c r="BD103" s="368"/>
      <c r="BE103" s="477"/>
      <c r="BF103" s="560"/>
      <c r="BG103" s="477"/>
      <c r="BH103" s="93"/>
      <c r="BI103" s="402"/>
      <c r="BJ103" s="478"/>
      <c r="BK103" s="609"/>
      <c r="BL103" s="478"/>
      <c r="BM103" s="93"/>
      <c r="BN103" s="372"/>
      <c r="BO103" s="455"/>
      <c r="BP103" s="557"/>
      <c r="BQ103" s="455"/>
      <c r="BR103" s="93"/>
      <c r="BS103" s="380"/>
      <c r="BT103" s="492"/>
      <c r="BU103" s="566"/>
      <c r="BV103" s="492"/>
      <c r="BW103" s="93"/>
      <c r="BX103" s="385"/>
      <c r="BY103" s="490"/>
      <c r="BZ103" s="605"/>
      <c r="CA103" s="490"/>
      <c r="CB103" s="93"/>
      <c r="CC103" s="387"/>
      <c r="CD103" s="404"/>
      <c r="CE103" s="363"/>
      <c r="CF103" s="404"/>
      <c r="CG103" s="93"/>
      <c r="CH103" s="387"/>
      <c r="CI103" s="404"/>
      <c r="CJ103" s="363"/>
      <c r="CK103" s="520"/>
      <c r="CL103" s="93"/>
      <c r="CM103" s="390" t="str">
        <f>IFERROR(__xludf.DUMMYFUNCTION("""COMPUTED_VALUE"""),"")</f>
        <v/>
      </c>
      <c r="CN103" s="489" t="str">
        <f>IFERROR(__xludf.DUMMYFUNCTION("""COMPUTED_VALUE"""),"Greedent")</f>
        <v>Greedent</v>
      </c>
      <c r="CO103" s="532" t="s">
        <v>158</v>
      </c>
      <c r="CP103" s="523"/>
      <c r="CQ103" s="93"/>
      <c r="CR103" s="413"/>
      <c r="CS103" s="414"/>
      <c r="CT103" s="632"/>
      <c r="CU103" s="414"/>
      <c r="CV103" s="93"/>
      <c r="CW103" s="415"/>
      <c r="CX103" s="468"/>
      <c r="CY103" s="633"/>
      <c r="CZ103" s="468"/>
      <c r="DA103" s="93"/>
      <c r="DB103" s="423"/>
      <c r="DC103" s="424"/>
      <c r="DD103" s="634"/>
      <c r="DE103" s="424"/>
      <c r="DF103" s="93"/>
      <c r="DG103" s="628"/>
      <c r="DH103" s="641"/>
      <c r="DI103" s="641"/>
      <c r="DJ103" s="641"/>
      <c r="DK103" s="93"/>
      <c r="DL103" s="429"/>
      <c r="DM103" s="430"/>
      <c r="DN103" s="430"/>
      <c r="DO103" s="430"/>
      <c r="DP103" s="93"/>
      <c r="DQ103" s="439"/>
      <c r="DR103" s="441"/>
      <c r="DS103" s="441"/>
      <c r="DT103" s="441"/>
      <c r="DU103" s="93"/>
      <c r="DV103" s="442"/>
      <c r="DW103" s="443"/>
      <c r="DX103" s="363"/>
      <c r="DY103" s="345"/>
      <c r="DZ103" s="87"/>
      <c r="EA103" s="10"/>
    </row>
    <row r="104" ht="17.25" customHeight="1">
      <c r="A104" s="10"/>
      <c r="B104" s="87"/>
      <c r="C104" s="234"/>
      <c r="D104" s="235"/>
      <c r="E104" s="93"/>
      <c r="F104" s="268"/>
      <c r="G104" s="268"/>
      <c r="H104" s="268"/>
      <c r="I104" s="268"/>
      <c r="J104" s="268"/>
      <c r="K104" s="268"/>
      <c r="L104" s="450"/>
      <c r="M104" s="268"/>
      <c r="N104" s="268"/>
      <c r="O104" s="268"/>
      <c r="P104" s="268"/>
      <c r="Q104" s="450"/>
      <c r="R104" s="268"/>
      <c r="S104" s="268"/>
      <c r="T104" s="268"/>
      <c r="U104" s="268"/>
      <c r="V104" s="450"/>
      <c r="W104" s="268"/>
      <c r="X104" s="268"/>
      <c r="Y104" s="268"/>
      <c r="Z104" s="268"/>
      <c r="AA104" s="450"/>
      <c r="AB104" s="268"/>
      <c r="AC104" s="268"/>
      <c r="AD104" s="268"/>
      <c r="AE104" s="268"/>
      <c r="AF104" s="450"/>
      <c r="AG104" s="268"/>
      <c r="AH104" s="268"/>
      <c r="AI104" s="268"/>
      <c r="AJ104" s="268"/>
      <c r="AK104" s="450"/>
      <c r="AL104" s="268"/>
      <c r="AM104" s="268"/>
      <c r="AN104" s="268"/>
      <c r="AO104" s="268"/>
      <c r="AP104" s="397"/>
      <c r="AQ104" s="509"/>
      <c r="AR104" s="397"/>
      <c r="AS104" s="93"/>
      <c r="AT104" s="359"/>
      <c r="AU104" s="518"/>
      <c r="AV104" s="524"/>
      <c r="AW104" s="518"/>
      <c r="AX104" s="93"/>
      <c r="AY104" s="364"/>
      <c r="AZ104" s="480"/>
      <c r="BA104" s="525"/>
      <c r="BB104" s="480"/>
      <c r="BC104" s="93"/>
      <c r="BD104" s="368"/>
      <c r="BE104" s="477"/>
      <c r="BF104" s="560"/>
      <c r="BG104" s="477"/>
      <c r="BH104" s="93"/>
      <c r="BI104" s="402"/>
      <c r="BJ104" s="478"/>
      <c r="BK104" s="609"/>
      <c r="BL104" s="478"/>
      <c r="BM104" s="93"/>
      <c r="BN104" s="372"/>
      <c r="BO104" s="455"/>
      <c r="BP104" s="557"/>
      <c r="BQ104" s="455"/>
      <c r="BR104" s="93"/>
      <c r="BS104" s="380"/>
      <c r="BT104" s="492"/>
      <c r="BU104" s="566"/>
      <c r="BV104" s="492"/>
      <c r="BW104" s="93"/>
      <c r="BX104" s="385"/>
      <c r="BY104" s="490"/>
      <c r="BZ104" s="605"/>
      <c r="CA104" s="490"/>
      <c r="CB104" s="93"/>
      <c r="CC104" s="387"/>
      <c r="CD104" s="404"/>
      <c r="CE104" s="363"/>
      <c r="CF104" s="404"/>
      <c r="CG104" s="93"/>
      <c r="CH104" s="387"/>
      <c r="CI104" s="404"/>
      <c r="CJ104" s="363"/>
      <c r="CK104" s="520"/>
      <c r="CL104" s="93"/>
      <c r="CM104" s="390" t="str">
        <f>IFERROR(__xludf.DUMMYFUNCTION("""COMPUTED_VALUE"""),"")</f>
        <v/>
      </c>
      <c r="CN104" s="489" t="str">
        <f>IFERROR(__xludf.DUMMYFUNCTION("""COMPUTED_VALUE"""),"Grimer")</f>
        <v>Grimer</v>
      </c>
      <c r="CO104" s="532" t="s">
        <v>158</v>
      </c>
      <c r="CP104" s="523"/>
      <c r="CQ104" s="93"/>
      <c r="CR104" s="413"/>
      <c r="CS104" s="414"/>
      <c r="CT104" s="632"/>
      <c r="CU104" s="414"/>
      <c r="CV104" s="93"/>
      <c r="CW104" s="415"/>
      <c r="CX104" s="468"/>
      <c r="CY104" s="633"/>
      <c r="CZ104" s="468"/>
      <c r="DA104" s="93"/>
      <c r="DB104" s="423"/>
      <c r="DC104" s="424"/>
      <c r="DD104" s="634"/>
      <c r="DE104" s="424"/>
      <c r="DF104" s="93"/>
      <c r="DG104" s="628"/>
      <c r="DH104" s="641"/>
      <c r="DI104" s="641"/>
      <c r="DJ104" s="641"/>
      <c r="DK104" s="93"/>
      <c r="DL104" s="429"/>
      <c r="DM104" s="430"/>
      <c r="DN104" s="430"/>
      <c r="DO104" s="430"/>
      <c r="DP104" s="93"/>
      <c r="DQ104" s="439"/>
      <c r="DR104" s="441"/>
      <c r="DS104" s="441"/>
      <c r="DT104" s="441"/>
      <c r="DU104" s="93"/>
      <c r="DV104" s="442"/>
      <c r="DW104" s="443"/>
      <c r="DX104" s="363"/>
      <c r="DY104" s="345"/>
      <c r="DZ104" s="87"/>
      <c r="EA104" s="10"/>
    </row>
    <row r="105" ht="17.25" customHeight="1">
      <c r="A105" s="10"/>
      <c r="B105" s="87"/>
      <c r="C105" s="234"/>
      <c r="D105" s="235"/>
      <c r="E105" s="93"/>
      <c r="F105" s="268"/>
      <c r="G105" s="268"/>
      <c r="H105" s="268"/>
      <c r="I105" s="268"/>
      <c r="J105" s="268"/>
      <c r="K105" s="268"/>
      <c r="L105" s="450"/>
      <c r="M105" s="268"/>
      <c r="N105" s="268"/>
      <c r="O105" s="268"/>
      <c r="P105" s="268"/>
      <c r="Q105" s="450"/>
      <c r="R105" s="268"/>
      <c r="S105" s="268"/>
      <c r="T105" s="268"/>
      <c r="U105" s="268"/>
      <c r="V105" s="450"/>
      <c r="W105" s="268"/>
      <c r="X105" s="268"/>
      <c r="Y105" s="268"/>
      <c r="Z105" s="268"/>
      <c r="AA105" s="450"/>
      <c r="AB105" s="268"/>
      <c r="AC105" s="268"/>
      <c r="AD105" s="268"/>
      <c r="AE105" s="268"/>
      <c r="AF105" s="450"/>
      <c r="AG105" s="268"/>
      <c r="AH105" s="268"/>
      <c r="AI105" s="268"/>
      <c r="AJ105" s="268"/>
      <c r="AK105" s="450"/>
      <c r="AL105" s="268"/>
      <c r="AM105" s="268"/>
      <c r="AN105" s="268"/>
      <c r="AO105" s="268"/>
      <c r="AP105" s="397"/>
      <c r="AQ105" s="509"/>
      <c r="AR105" s="397"/>
      <c r="AS105" s="93"/>
      <c r="AT105" s="359"/>
      <c r="AU105" s="518"/>
      <c r="AV105" s="524"/>
      <c r="AW105" s="518"/>
      <c r="AX105" s="93"/>
      <c r="AY105" s="364"/>
      <c r="AZ105" s="480"/>
      <c r="BA105" s="525"/>
      <c r="BB105" s="480"/>
      <c r="BC105" s="93"/>
      <c r="BD105" s="368"/>
      <c r="BE105" s="477"/>
      <c r="BF105" s="560"/>
      <c r="BG105" s="477"/>
      <c r="BH105" s="93"/>
      <c r="BI105" s="402"/>
      <c r="BJ105" s="478"/>
      <c r="BK105" s="609"/>
      <c r="BL105" s="478"/>
      <c r="BM105" s="93"/>
      <c r="BN105" s="372"/>
      <c r="BO105" s="455"/>
      <c r="BP105" s="557"/>
      <c r="BQ105" s="455"/>
      <c r="BR105" s="93"/>
      <c r="BS105" s="380"/>
      <c r="BT105" s="492"/>
      <c r="BU105" s="566"/>
      <c r="BV105" s="492"/>
      <c r="BW105" s="93"/>
      <c r="BX105" s="385"/>
      <c r="BY105" s="490"/>
      <c r="BZ105" s="605"/>
      <c r="CA105" s="490"/>
      <c r="CB105" s="93"/>
      <c r="CC105" s="387"/>
      <c r="CD105" s="404"/>
      <c r="CE105" s="363"/>
      <c r="CF105" s="404"/>
      <c r="CG105" s="93"/>
      <c r="CH105" s="387"/>
      <c r="CI105" s="404"/>
      <c r="CJ105" s="363"/>
      <c r="CK105" s="520"/>
      <c r="CL105" s="93"/>
      <c r="CM105" s="390" t="str">
        <f>IFERROR(__xludf.DUMMYFUNCTION("""COMPUTED_VALUE"""),"")</f>
        <v/>
      </c>
      <c r="CN105" s="489" t="str">
        <f>IFERROR(__xludf.DUMMYFUNCTION("""COMPUTED_VALUE"""),"Growlithe")</f>
        <v>Growlithe</v>
      </c>
      <c r="CO105" s="532" t="s">
        <v>158</v>
      </c>
      <c r="CP105" s="523"/>
      <c r="CQ105" s="93"/>
      <c r="CR105" s="413"/>
      <c r="CS105" s="414"/>
      <c r="CT105" s="632"/>
      <c r="CU105" s="414"/>
      <c r="CV105" s="93"/>
      <c r="CW105" s="415"/>
      <c r="CX105" s="468"/>
      <c r="CY105" s="633"/>
      <c r="CZ105" s="468"/>
      <c r="DA105" s="93"/>
      <c r="DB105" s="423"/>
      <c r="DC105" s="424"/>
      <c r="DD105" s="634"/>
      <c r="DE105" s="424"/>
      <c r="DF105" s="93"/>
      <c r="DG105" s="628"/>
      <c r="DH105" s="641"/>
      <c r="DI105" s="641"/>
      <c r="DJ105" s="641"/>
      <c r="DK105" s="93"/>
      <c r="DL105" s="429"/>
      <c r="DM105" s="430"/>
      <c r="DN105" s="430"/>
      <c r="DO105" s="430"/>
      <c r="DP105" s="93"/>
      <c r="DQ105" s="439"/>
      <c r="DR105" s="441"/>
      <c r="DS105" s="441"/>
      <c r="DT105" s="441"/>
      <c r="DU105" s="93"/>
      <c r="DV105" s="442"/>
      <c r="DW105" s="443"/>
      <c r="DX105" s="363"/>
      <c r="DY105" s="345"/>
      <c r="DZ105" s="87"/>
      <c r="EA105" s="10"/>
    </row>
    <row r="106" ht="17.25" customHeight="1">
      <c r="A106" s="10"/>
      <c r="B106" s="87"/>
      <c r="C106" s="234"/>
      <c r="D106" s="235"/>
      <c r="E106" s="93"/>
      <c r="F106" s="268"/>
      <c r="G106" s="268"/>
      <c r="H106" s="268"/>
      <c r="I106" s="268"/>
      <c r="J106" s="268"/>
      <c r="K106" s="268"/>
      <c r="L106" s="450"/>
      <c r="M106" s="268"/>
      <c r="N106" s="268"/>
      <c r="O106" s="268"/>
      <c r="P106" s="268"/>
      <c r="Q106" s="450"/>
      <c r="R106" s="268"/>
      <c r="S106" s="268"/>
      <c r="T106" s="268"/>
      <c r="U106" s="268"/>
      <c r="V106" s="450"/>
      <c r="W106" s="268"/>
      <c r="X106" s="268"/>
      <c r="Y106" s="268"/>
      <c r="Z106" s="268"/>
      <c r="AA106" s="450"/>
      <c r="AB106" s="268"/>
      <c r="AC106" s="268"/>
      <c r="AD106" s="268"/>
      <c r="AE106" s="268"/>
      <c r="AF106" s="450"/>
      <c r="AG106" s="268"/>
      <c r="AH106" s="268"/>
      <c r="AI106" s="268"/>
      <c r="AJ106" s="268"/>
      <c r="AK106" s="450"/>
      <c r="AL106" s="268"/>
      <c r="AM106" s="268"/>
      <c r="AN106" s="268"/>
      <c r="AO106" s="268"/>
      <c r="AP106" s="397"/>
      <c r="AQ106" s="509"/>
      <c r="AR106" s="397"/>
      <c r="AS106" s="93"/>
      <c r="AT106" s="359"/>
      <c r="AU106" s="518"/>
      <c r="AV106" s="524"/>
      <c r="AW106" s="518"/>
      <c r="AX106" s="93"/>
      <c r="AY106" s="364"/>
      <c r="AZ106" s="480"/>
      <c r="BA106" s="525"/>
      <c r="BB106" s="480"/>
      <c r="BC106" s="93"/>
      <c r="BD106" s="368"/>
      <c r="BE106" s="477"/>
      <c r="BF106" s="560"/>
      <c r="BG106" s="477"/>
      <c r="BH106" s="93"/>
      <c r="BI106" s="402"/>
      <c r="BJ106" s="478"/>
      <c r="BK106" s="609"/>
      <c r="BL106" s="478"/>
      <c r="BM106" s="93"/>
      <c r="BN106" s="372"/>
      <c r="BO106" s="455"/>
      <c r="BP106" s="557"/>
      <c r="BQ106" s="455"/>
      <c r="BR106" s="93"/>
      <c r="BS106" s="380"/>
      <c r="BT106" s="492"/>
      <c r="BU106" s="566"/>
      <c r="BV106" s="492"/>
      <c r="BW106" s="93"/>
      <c r="BX106" s="385"/>
      <c r="BY106" s="490"/>
      <c r="BZ106" s="605"/>
      <c r="CA106" s="490"/>
      <c r="CB106" s="93"/>
      <c r="CC106" s="387"/>
      <c r="CD106" s="404"/>
      <c r="CE106" s="363"/>
      <c r="CF106" s="404"/>
      <c r="CG106" s="93"/>
      <c r="CH106" s="387"/>
      <c r="CI106" s="404"/>
      <c r="CJ106" s="363"/>
      <c r="CK106" s="520"/>
      <c r="CL106" s="93"/>
      <c r="CM106" s="390" t="str">
        <f>IFERROR(__xludf.DUMMYFUNCTION("""COMPUTED_VALUE"""),"")</f>
        <v/>
      </c>
      <c r="CN106" s="489" t="str">
        <f>IFERROR(__xludf.DUMMYFUNCTION("""COMPUTED_VALUE"""),"Grumpig")</f>
        <v>Grumpig</v>
      </c>
      <c r="CO106" s="532" t="s">
        <v>158</v>
      </c>
      <c r="CP106" s="523"/>
      <c r="CQ106" s="93"/>
      <c r="CR106" s="413"/>
      <c r="CS106" s="414"/>
      <c r="CT106" s="632"/>
      <c r="CU106" s="414"/>
      <c r="CV106" s="93"/>
      <c r="CW106" s="415"/>
      <c r="CX106" s="468"/>
      <c r="CY106" s="633"/>
      <c r="CZ106" s="468"/>
      <c r="DA106" s="93"/>
      <c r="DB106" s="423"/>
      <c r="DC106" s="424"/>
      <c r="DD106" s="634"/>
      <c r="DE106" s="424"/>
      <c r="DF106" s="93"/>
      <c r="DG106" s="628"/>
      <c r="DH106" s="641"/>
      <c r="DI106" s="641"/>
      <c r="DJ106" s="641"/>
      <c r="DK106" s="93"/>
      <c r="DL106" s="429"/>
      <c r="DM106" s="430"/>
      <c r="DN106" s="430"/>
      <c r="DO106" s="430"/>
      <c r="DP106" s="93"/>
      <c r="DQ106" s="439"/>
      <c r="DR106" s="441"/>
      <c r="DS106" s="441"/>
      <c r="DT106" s="441"/>
      <c r="DU106" s="93"/>
      <c r="DV106" s="442"/>
      <c r="DW106" s="443"/>
      <c r="DX106" s="363"/>
      <c r="DY106" s="345"/>
      <c r="DZ106" s="87"/>
      <c r="EA106" s="10"/>
    </row>
    <row r="107" ht="17.25" customHeight="1">
      <c r="A107" s="10"/>
      <c r="B107" s="87"/>
      <c r="C107" s="234"/>
      <c r="D107" s="235"/>
      <c r="E107" s="93"/>
      <c r="F107" s="268"/>
      <c r="G107" s="268"/>
      <c r="H107" s="268"/>
      <c r="I107" s="268"/>
      <c r="J107" s="268"/>
      <c r="K107" s="268"/>
      <c r="L107" s="450"/>
      <c r="M107" s="268"/>
      <c r="N107" s="268"/>
      <c r="O107" s="268"/>
      <c r="P107" s="268"/>
      <c r="Q107" s="450"/>
      <c r="R107" s="268"/>
      <c r="S107" s="268"/>
      <c r="T107" s="268"/>
      <c r="U107" s="268"/>
      <c r="V107" s="450"/>
      <c r="W107" s="268"/>
      <c r="X107" s="268"/>
      <c r="Y107" s="268"/>
      <c r="Z107" s="268"/>
      <c r="AA107" s="450"/>
      <c r="AB107" s="268"/>
      <c r="AC107" s="268"/>
      <c r="AD107" s="268"/>
      <c r="AE107" s="268"/>
      <c r="AF107" s="450"/>
      <c r="AG107" s="268"/>
      <c r="AH107" s="268"/>
      <c r="AI107" s="268"/>
      <c r="AJ107" s="268"/>
      <c r="AK107" s="450"/>
      <c r="AL107" s="268"/>
      <c r="AM107" s="268"/>
      <c r="AN107" s="268"/>
      <c r="AO107" s="268"/>
      <c r="AP107" s="397"/>
      <c r="AQ107" s="509"/>
      <c r="AR107" s="397"/>
      <c r="AS107" s="93"/>
      <c r="AT107" s="359"/>
      <c r="AU107" s="518"/>
      <c r="AV107" s="524"/>
      <c r="AW107" s="518"/>
      <c r="AX107" s="93"/>
      <c r="AY107" s="364"/>
      <c r="AZ107" s="480"/>
      <c r="BA107" s="525"/>
      <c r="BB107" s="480"/>
      <c r="BC107" s="93"/>
      <c r="BD107" s="368"/>
      <c r="BE107" s="477"/>
      <c r="BF107" s="560"/>
      <c r="BG107" s="477"/>
      <c r="BH107" s="93"/>
      <c r="BI107" s="402"/>
      <c r="BJ107" s="478"/>
      <c r="BK107" s="609"/>
      <c r="BL107" s="478"/>
      <c r="BM107" s="93"/>
      <c r="BN107" s="372"/>
      <c r="BO107" s="455"/>
      <c r="BP107" s="557"/>
      <c r="BQ107" s="455"/>
      <c r="BR107" s="93"/>
      <c r="BS107" s="380"/>
      <c r="BT107" s="492"/>
      <c r="BU107" s="566"/>
      <c r="BV107" s="492"/>
      <c r="BW107" s="93"/>
      <c r="BX107" s="385"/>
      <c r="BY107" s="490"/>
      <c r="BZ107" s="605"/>
      <c r="CA107" s="490"/>
      <c r="CB107" s="93"/>
      <c r="CC107" s="387"/>
      <c r="CD107" s="404"/>
      <c r="CE107" s="363"/>
      <c r="CF107" s="404"/>
      <c r="CG107" s="93"/>
      <c r="CH107" s="387"/>
      <c r="CI107" s="404"/>
      <c r="CJ107" s="363"/>
      <c r="CK107" s="520"/>
      <c r="CL107" s="93"/>
      <c r="CM107" s="390" t="str">
        <f>IFERROR(__xludf.DUMMYFUNCTION("""COMPUTED_VALUE"""),"")</f>
        <v/>
      </c>
      <c r="CN107" s="489" t="str">
        <f>IFERROR(__xludf.DUMMYFUNCTION("""COMPUTED_VALUE"""),"Gumshoos")</f>
        <v>Gumshoos</v>
      </c>
      <c r="CO107" s="532" t="s">
        <v>158</v>
      </c>
      <c r="CP107" s="523"/>
      <c r="CQ107" s="93"/>
      <c r="CR107" s="413"/>
      <c r="CS107" s="414"/>
      <c r="CT107" s="632"/>
      <c r="CU107" s="414"/>
      <c r="CV107" s="93"/>
      <c r="CW107" s="415"/>
      <c r="CX107" s="468"/>
      <c r="CY107" s="633"/>
      <c r="CZ107" s="468"/>
      <c r="DA107" s="93"/>
      <c r="DB107" s="423"/>
      <c r="DC107" s="424"/>
      <c r="DD107" s="634"/>
      <c r="DE107" s="424"/>
      <c r="DF107" s="93"/>
      <c r="DG107" s="628"/>
      <c r="DH107" s="641"/>
      <c r="DI107" s="641"/>
      <c r="DJ107" s="641"/>
      <c r="DK107" s="93"/>
      <c r="DL107" s="429"/>
      <c r="DM107" s="430"/>
      <c r="DN107" s="430"/>
      <c r="DO107" s="430"/>
      <c r="DP107" s="93"/>
      <c r="DQ107" s="439"/>
      <c r="DR107" s="441"/>
      <c r="DS107" s="441"/>
      <c r="DT107" s="441"/>
      <c r="DU107" s="93"/>
      <c r="DV107" s="442"/>
      <c r="DW107" s="443"/>
      <c r="DX107" s="363"/>
      <c r="DY107" s="345"/>
      <c r="DZ107" s="87"/>
      <c r="EA107" s="10"/>
    </row>
    <row r="108" ht="17.25" customHeight="1">
      <c r="A108" s="10"/>
      <c r="B108" s="87"/>
      <c r="C108" s="234"/>
      <c r="D108" s="235"/>
      <c r="E108" s="93"/>
      <c r="F108" s="268"/>
      <c r="G108" s="268"/>
      <c r="H108" s="268"/>
      <c r="I108" s="268"/>
      <c r="J108" s="268"/>
      <c r="K108" s="268"/>
      <c r="L108" s="450"/>
      <c r="M108" s="268"/>
      <c r="N108" s="268"/>
      <c r="O108" s="268"/>
      <c r="P108" s="268"/>
      <c r="Q108" s="450"/>
      <c r="R108" s="268"/>
      <c r="S108" s="268"/>
      <c r="T108" s="268"/>
      <c r="U108" s="268"/>
      <c r="V108" s="450"/>
      <c r="W108" s="268"/>
      <c r="X108" s="268"/>
      <c r="Y108" s="268"/>
      <c r="Z108" s="268"/>
      <c r="AA108" s="450"/>
      <c r="AB108" s="268"/>
      <c r="AC108" s="268"/>
      <c r="AD108" s="268"/>
      <c r="AE108" s="268"/>
      <c r="AF108" s="450"/>
      <c r="AG108" s="268"/>
      <c r="AH108" s="268"/>
      <c r="AI108" s="268"/>
      <c r="AJ108" s="268"/>
      <c r="AK108" s="450"/>
      <c r="AL108" s="268"/>
      <c r="AM108" s="268"/>
      <c r="AN108" s="268"/>
      <c r="AO108" s="268"/>
      <c r="AP108" s="397"/>
      <c r="AQ108" s="509"/>
      <c r="AR108" s="397"/>
      <c r="AS108" s="93"/>
      <c r="AT108" s="359"/>
      <c r="AU108" s="518"/>
      <c r="AV108" s="524"/>
      <c r="AW108" s="518"/>
      <c r="AX108" s="93"/>
      <c r="AY108" s="364"/>
      <c r="AZ108" s="480"/>
      <c r="BA108" s="525"/>
      <c r="BB108" s="480"/>
      <c r="BC108" s="93"/>
      <c r="BD108" s="368"/>
      <c r="BE108" s="477"/>
      <c r="BF108" s="560"/>
      <c r="BG108" s="477"/>
      <c r="BH108" s="93"/>
      <c r="BI108" s="402"/>
      <c r="BJ108" s="478"/>
      <c r="BK108" s="609"/>
      <c r="BL108" s="478"/>
      <c r="BM108" s="93"/>
      <c r="BN108" s="372"/>
      <c r="BO108" s="455"/>
      <c r="BP108" s="557"/>
      <c r="BQ108" s="455"/>
      <c r="BR108" s="93"/>
      <c r="BS108" s="380"/>
      <c r="BT108" s="492"/>
      <c r="BU108" s="566"/>
      <c r="BV108" s="492"/>
      <c r="BW108" s="93"/>
      <c r="BX108" s="385"/>
      <c r="BY108" s="490"/>
      <c r="BZ108" s="605"/>
      <c r="CA108" s="490"/>
      <c r="CB108" s="93"/>
      <c r="CC108" s="387"/>
      <c r="CD108" s="404"/>
      <c r="CE108" s="363"/>
      <c r="CF108" s="404"/>
      <c r="CG108" s="93"/>
      <c r="CH108" s="387"/>
      <c r="CI108" s="404"/>
      <c r="CJ108" s="363"/>
      <c r="CK108" s="520"/>
      <c r="CL108" s="93"/>
      <c r="CM108" s="390" t="str">
        <f>IFERROR(__xludf.DUMMYFUNCTION("""COMPUTED_VALUE"""),"")</f>
        <v/>
      </c>
      <c r="CN108" s="489" t="str">
        <f>IFERROR(__xludf.DUMMYFUNCTION("""COMPUTED_VALUE"""),"Happiny")</f>
        <v>Happiny</v>
      </c>
      <c r="CO108" s="532" t="s">
        <v>158</v>
      </c>
      <c r="CP108" s="523"/>
      <c r="CQ108" s="93"/>
      <c r="CR108" s="413"/>
      <c r="CS108" s="414"/>
      <c r="CT108" s="632"/>
      <c r="CU108" s="414"/>
      <c r="CV108" s="93"/>
      <c r="CW108" s="415"/>
      <c r="CX108" s="468"/>
      <c r="CY108" s="633"/>
      <c r="CZ108" s="468"/>
      <c r="DA108" s="93"/>
      <c r="DB108" s="423"/>
      <c r="DC108" s="424"/>
      <c r="DD108" s="634"/>
      <c r="DE108" s="424"/>
      <c r="DF108" s="93"/>
      <c r="DG108" s="628"/>
      <c r="DH108" s="641"/>
      <c r="DI108" s="641"/>
      <c r="DJ108" s="641"/>
      <c r="DK108" s="93"/>
      <c r="DL108" s="429"/>
      <c r="DM108" s="430"/>
      <c r="DN108" s="430"/>
      <c r="DO108" s="430"/>
      <c r="DP108" s="93"/>
      <c r="DQ108" s="439"/>
      <c r="DR108" s="441"/>
      <c r="DS108" s="441"/>
      <c r="DT108" s="441"/>
      <c r="DU108" s="93"/>
      <c r="DV108" s="442"/>
      <c r="DW108" s="443"/>
      <c r="DX108" s="363"/>
      <c r="DY108" s="345"/>
      <c r="DZ108" s="87"/>
      <c r="EA108" s="10"/>
    </row>
    <row r="109" ht="17.25" customHeight="1">
      <c r="A109" s="10"/>
      <c r="B109" s="87"/>
      <c r="C109" s="234"/>
      <c r="D109" s="235"/>
      <c r="E109" s="93"/>
      <c r="F109" s="268"/>
      <c r="G109" s="268"/>
      <c r="H109" s="268"/>
      <c r="I109" s="268"/>
      <c r="J109" s="268"/>
      <c r="K109" s="268"/>
      <c r="L109" s="450"/>
      <c r="M109" s="268"/>
      <c r="N109" s="268"/>
      <c r="O109" s="268"/>
      <c r="P109" s="268"/>
      <c r="Q109" s="450"/>
      <c r="R109" s="268"/>
      <c r="S109" s="268"/>
      <c r="T109" s="268"/>
      <c r="U109" s="268"/>
      <c r="V109" s="450"/>
      <c r="W109" s="268"/>
      <c r="X109" s="268"/>
      <c r="Y109" s="268"/>
      <c r="Z109" s="268"/>
      <c r="AA109" s="450"/>
      <c r="AB109" s="268"/>
      <c r="AC109" s="268"/>
      <c r="AD109" s="268"/>
      <c r="AE109" s="268"/>
      <c r="AF109" s="450"/>
      <c r="AG109" s="268"/>
      <c r="AH109" s="268"/>
      <c r="AI109" s="268"/>
      <c r="AJ109" s="268"/>
      <c r="AK109" s="450"/>
      <c r="AL109" s="268"/>
      <c r="AM109" s="268"/>
      <c r="AN109" s="268"/>
      <c r="AO109" s="268"/>
      <c r="AP109" s="397"/>
      <c r="AQ109" s="509"/>
      <c r="AR109" s="397"/>
      <c r="AS109" s="93"/>
      <c r="AT109" s="359"/>
      <c r="AU109" s="518"/>
      <c r="AV109" s="524"/>
      <c r="AW109" s="518"/>
      <c r="AX109" s="93"/>
      <c r="AY109" s="364"/>
      <c r="AZ109" s="480"/>
      <c r="BA109" s="525"/>
      <c r="BB109" s="480"/>
      <c r="BC109" s="93"/>
      <c r="BD109" s="368"/>
      <c r="BE109" s="477"/>
      <c r="BF109" s="560"/>
      <c r="BG109" s="477"/>
      <c r="BH109" s="93"/>
      <c r="BI109" s="402"/>
      <c r="BJ109" s="478"/>
      <c r="BK109" s="609"/>
      <c r="BL109" s="478"/>
      <c r="BM109" s="93"/>
      <c r="BN109" s="372"/>
      <c r="BO109" s="455"/>
      <c r="BP109" s="557"/>
      <c r="BQ109" s="455"/>
      <c r="BR109" s="93"/>
      <c r="BS109" s="380"/>
      <c r="BT109" s="492"/>
      <c r="BU109" s="566"/>
      <c r="BV109" s="492"/>
      <c r="BW109" s="93"/>
      <c r="BX109" s="385"/>
      <c r="BY109" s="490"/>
      <c r="BZ109" s="605"/>
      <c r="CA109" s="490"/>
      <c r="CB109" s="93"/>
      <c r="CC109" s="387"/>
      <c r="CD109" s="404"/>
      <c r="CE109" s="363"/>
      <c r="CF109" s="404"/>
      <c r="CG109" s="93"/>
      <c r="CH109" s="387"/>
      <c r="CI109" s="404"/>
      <c r="CJ109" s="363"/>
      <c r="CK109" s="520"/>
      <c r="CL109" s="93"/>
      <c r="CM109" s="390" t="str">
        <f>IFERROR(__xludf.DUMMYFUNCTION("""COMPUTED_VALUE"""),"")</f>
        <v/>
      </c>
      <c r="CN109" s="489" t="str">
        <f>IFERROR(__xludf.DUMMYFUNCTION("""COMPUTED_VALUE"""),"Hatenna")</f>
        <v>Hatenna</v>
      </c>
      <c r="CO109" s="532" t="s">
        <v>158</v>
      </c>
      <c r="CP109" s="523"/>
      <c r="CQ109" s="93"/>
      <c r="CR109" s="413"/>
      <c r="CS109" s="414"/>
      <c r="CT109" s="632"/>
      <c r="CU109" s="414"/>
      <c r="CV109" s="93"/>
      <c r="CW109" s="415"/>
      <c r="CX109" s="468"/>
      <c r="CY109" s="633"/>
      <c r="CZ109" s="468"/>
      <c r="DA109" s="93"/>
      <c r="DB109" s="423"/>
      <c r="DC109" s="424"/>
      <c r="DD109" s="634"/>
      <c r="DE109" s="424"/>
      <c r="DF109" s="93"/>
      <c r="DG109" s="628"/>
      <c r="DH109" s="641"/>
      <c r="DI109" s="641"/>
      <c r="DJ109" s="641"/>
      <c r="DK109" s="93"/>
      <c r="DL109" s="429"/>
      <c r="DM109" s="430"/>
      <c r="DN109" s="430"/>
      <c r="DO109" s="430"/>
      <c r="DP109" s="93"/>
      <c r="DQ109" s="439"/>
      <c r="DR109" s="441"/>
      <c r="DS109" s="441"/>
      <c r="DT109" s="441"/>
      <c r="DU109" s="93"/>
      <c r="DV109" s="442"/>
      <c r="DW109" s="443"/>
      <c r="DX109" s="363"/>
      <c r="DY109" s="345"/>
      <c r="DZ109" s="87"/>
      <c r="EA109" s="10"/>
    </row>
    <row r="110" ht="17.25" customHeight="1">
      <c r="A110" s="10"/>
      <c r="B110" s="87"/>
      <c r="C110" s="234"/>
      <c r="D110" s="235"/>
      <c r="E110" s="93"/>
      <c r="F110" s="268"/>
      <c r="G110" s="268"/>
      <c r="H110" s="268"/>
      <c r="I110" s="268"/>
      <c r="J110" s="268"/>
      <c r="K110" s="268"/>
      <c r="L110" s="450"/>
      <c r="M110" s="268"/>
      <c r="N110" s="268"/>
      <c r="O110" s="268"/>
      <c r="P110" s="268"/>
      <c r="Q110" s="450"/>
      <c r="R110" s="268"/>
      <c r="S110" s="268"/>
      <c r="T110" s="268"/>
      <c r="U110" s="268"/>
      <c r="V110" s="450"/>
      <c r="W110" s="268"/>
      <c r="X110" s="268"/>
      <c r="Y110" s="268"/>
      <c r="Z110" s="268"/>
      <c r="AA110" s="450"/>
      <c r="AB110" s="268"/>
      <c r="AC110" s="268"/>
      <c r="AD110" s="268"/>
      <c r="AE110" s="268"/>
      <c r="AF110" s="450"/>
      <c r="AG110" s="268"/>
      <c r="AH110" s="268"/>
      <c r="AI110" s="268"/>
      <c r="AJ110" s="268"/>
      <c r="AK110" s="450"/>
      <c r="AL110" s="268"/>
      <c r="AM110" s="268"/>
      <c r="AN110" s="268"/>
      <c r="AO110" s="268"/>
      <c r="AP110" s="397"/>
      <c r="AQ110" s="509"/>
      <c r="AR110" s="397"/>
      <c r="AS110" s="93"/>
      <c r="AT110" s="359"/>
      <c r="AU110" s="518"/>
      <c r="AV110" s="524"/>
      <c r="AW110" s="518"/>
      <c r="AX110" s="93"/>
      <c r="AY110" s="364"/>
      <c r="AZ110" s="480"/>
      <c r="BA110" s="525"/>
      <c r="BB110" s="480"/>
      <c r="BC110" s="93"/>
      <c r="BD110" s="368"/>
      <c r="BE110" s="477"/>
      <c r="BF110" s="560"/>
      <c r="BG110" s="477"/>
      <c r="BH110" s="93"/>
      <c r="BI110" s="402"/>
      <c r="BJ110" s="478"/>
      <c r="BK110" s="609"/>
      <c r="BL110" s="478"/>
      <c r="BM110" s="93"/>
      <c r="BN110" s="372"/>
      <c r="BO110" s="455"/>
      <c r="BP110" s="557"/>
      <c r="BQ110" s="455"/>
      <c r="BR110" s="93"/>
      <c r="BS110" s="380"/>
      <c r="BT110" s="492"/>
      <c r="BU110" s="566"/>
      <c r="BV110" s="492"/>
      <c r="BW110" s="93"/>
      <c r="BX110" s="385"/>
      <c r="BY110" s="490"/>
      <c r="BZ110" s="605"/>
      <c r="CA110" s="490"/>
      <c r="CB110" s="93"/>
      <c r="CC110" s="387"/>
      <c r="CD110" s="404"/>
      <c r="CE110" s="363"/>
      <c r="CF110" s="404"/>
      <c r="CG110" s="93"/>
      <c r="CH110" s="387"/>
      <c r="CI110" s="404"/>
      <c r="CJ110" s="363"/>
      <c r="CK110" s="520"/>
      <c r="CL110" s="93"/>
      <c r="CM110" s="390" t="str">
        <f>IFERROR(__xludf.DUMMYFUNCTION("""COMPUTED_VALUE"""),"")</f>
        <v/>
      </c>
      <c r="CN110" s="489" t="str">
        <f>IFERROR(__xludf.DUMMYFUNCTION("""COMPUTED_VALUE"""),"Hattrem")</f>
        <v>Hattrem</v>
      </c>
      <c r="CO110" s="532" t="s">
        <v>158</v>
      </c>
      <c r="CP110" s="523"/>
      <c r="CQ110" s="93"/>
      <c r="CR110" s="413"/>
      <c r="CS110" s="414"/>
      <c r="CT110" s="632"/>
      <c r="CU110" s="414"/>
      <c r="CV110" s="93"/>
      <c r="CW110" s="415"/>
      <c r="CX110" s="468"/>
      <c r="CY110" s="633"/>
      <c r="CZ110" s="468"/>
      <c r="DA110" s="93"/>
      <c r="DB110" s="423"/>
      <c r="DC110" s="424"/>
      <c r="DD110" s="634"/>
      <c r="DE110" s="424"/>
      <c r="DF110" s="93"/>
      <c r="DG110" s="628"/>
      <c r="DH110" s="641"/>
      <c r="DI110" s="641"/>
      <c r="DJ110" s="641"/>
      <c r="DK110" s="93"/>
      <c r="DL110" s="429"/>
      <c r="DM110" s="430"/>
      <c r="DN110" s="430"/>
      <c r="DO110" s="430"/>
      <c r="DP110" s="93"/>
      <c r="DQ110" s="439"/>
      <c r="DR110" s="441"/>
      <c r="DS110" s="441"/>
      <c r="DT110" s="441"/>
      <c r="DU110" s="93"/>
      <c r="DV110" s="442"/>
      <c r="DW110" s="443"/>
      <c r="DX110" s="363"/>
      <c r="DY110" s="345"/>
      <c r="DZ110" s="87"/>
      <c r="EA110" s="10"/>
    </row>
    <row r="111" ht="17.25" customHeight="1">
      <c r="A111" s="10"/>
      <c r="B111" s="87"/>
      <c r="C111" s="234"/>
      <c r="D111" s="235"/>
      <c r="E111" s="93"/>
      <c r="F111" s="268"/>
      <c r="G111" s="268"/>
      <c r="H111" s="268"/>
      <c r="I111" s="268"/>
      <c r="J111" s="268"/>
      <c r="K111" s="268"/>
      <c r="L111" s="450"/>
      <c r="M111" s="268"/>
      <c r="N111" s="268"/>
      <c r="O111" s="268"/>
      <c r="P111" s="268"/>
      <c r="Q111" s="450"/>
      <c r="R111" s="268"/>
      <c r="S111" s="268"/>
      <c r="T111" s="268"/>
      <c r="U111" s="268"/>
      <c r="V111" s="450"/>
      <c r="W111" s="268"/>
      <c r="X111" s="268"/>
      <c r="Y111" s="268"/>
      <c r="Z111" s="268"/>
      <c r="AA111" s="450"/>
      <c r="AB111" s="268"/>
      <c r="AC111" s="268"/>
      <c r="AD111" s="268"/>
      <c r="AE111" s="268"/>
      <c r="AF111" s="450"/>
      <c r="AG111" s="268"/>
      <c r="AH111" s="268"/>
      <c r="AI111" s="268"/>
      <c r="AJ111" s="268"/>
      <c r="AK111" s="450"/>
      <c r="AL111" s="268"/>
      <c r="AM111" s="268"/>
      <c r="AN111" s="268"/>
      <c r="AO111" s="268"/>
      <c r="AP111" s="397"/>
      <c r="AQ111" s="509"/>
      <c r="AR111" s="397"/>
      <c r="AS111" s="93"/>
      <c r="AT111" s="359"/>
      <c r="AU111" s="518"/>
      <c r="AV111" s="524"/>
      <c r="AW111" s="518"/>
      <c r="AX111" s="93"/>
      <c r="AY111" s="364"/>
      <c r="AZ111" s="480"/>
      <c r="BA111" s="525"/>
      <c r="BB111" s="480"/>
      <c r="BC111" s="93"/>
      <c r="BD111" s="368"/>
      <c r="BE111" s="477"/>
      <c r="BF111" s="560"/>
      <c r="BG111" s="477"/>
      <c r="BH111" s="93"/>
      <c r="BI111" s="402"/>
      <c r="BJ111" s="478"/>
      <c r="BK111" s="609"/>
      <c r="BL111" s="478"/>
      <c r="BM111" s="93"/>
      <c r="BN111" s="372"/>
      <c r="BO111" s="455"/>
      <c r="BP111" s="557"/>
      <c r="BQ111" s="455"/>
      <c r="BR111" s="93"/>
      <c r="BS111" s="380"/>
      <c r="BT111" s="492"/>
      <c r="BU111" s="566"/>
      <c r="BV111" s="492"/>
      <c r="BW111" s="93"/>
      <c r="BX111" s="385"/>
      <c r="BY111" s="490"/>
      <c r="BZ111" s="605"/>
      <c r="CA111" s="490"/>
      <c r="CB111" s="93"/>
      <c r="CC111" s="387"/>
      <c r="CD111" s="404"/>
      <c r="CE111" s="363"/>
      <c r="CF111" s="404"/>
      <c r="CG111" s="93"/>
      <c r="CH111" s="387"/>
      <c r="CI111" s="404"/>
      <c r="CJ111" s="363"/>
      <c r="CK111" s="520"/>
      <c r="CL111" s="93"/>
      <c r="CM111" s="390" t="str">
        <f>IFERROR(__xludf.DUMMYFUNCTION("""COMPUTED_VALUE"""),"")</f>
        <v/>
      </c>
      <c r="CN111" s="489" t="str">
        <f>IFERROR(__xludf.DUMMYFUNCTION("""COMPUTED_VALUE"""),"Haunter")</f>
        <v>Haunter</v>
      </c>
      <c r="CO111" s="532" t="s">
        <v>158</v>
      </c>
      <c r="CP111" s="523"/>
      <c r="CQ111" s="93"/>
      <c r="CR111" s="413"/>
      <c r="CS111" s="414"/>
      <c r="CT111" s="632"/>
      <c r="CU111" s="414"/>
      <c r="CV111" s="93"/>
      <c r="CW111" s="415"/>
      <c r="CX111" s="468"/>
      <c r="CY111" s="633"/>
      <c r="CZ111" s="468"/>
      <c r="DA111" s="93"/>
      <c r="DB111" s="423"/>
      <c r="DC111" s="424"/>
      <c r="DD111" s="634"/>
      <c r="DE111" s="424"/>
      <c r="DF111" s="93"/>
      <c r="DG111" s="628"/>
      <c r="DH111" s="641"/>
      <c r="DI111" s="641"/>
      <c r="DJ111" s="641"/>
      <c r="DK111" s="93"/>
      <c r="DL111" s="429"/>
      <c r="DM111" s="430"/>
      <c r="DN111" s="430"/>
      <c r="DO111" s="430"/>
      <c r="DP111" s="93"/>
      <c r="DQ111" s="439"/>
      <c r="DR111" s="441"/>
      <c r="DS111" s="441"/>
      <c r="DT111" s="441"/>
      <c r="DU111" s="93"/>
      <c r="DV111" s="442"/>
      <c r="DW111" s="443"/>
      <c r="DX111" s="363"/>
      <c r="DY111" s="345"/>
      <c r="DZ111" s="87"/>
      <c r="EA111" s="10"/>
    </row>
    <row r="112" ht="17.25" customHeight="1">
      <c r="A112" s="10"/>
      <c r="B112" s="87"/>
      <c r="C112" s="234"/>
      <c r="D112" s="235"/>
      <c r="E112" s="93"/>
      <c r="F112" s="268"/>
      <c r="G112" s="268"/>
      <c r="H112" s="268"/>
      <c r="I112" s="268"/>
      <c r="J112" s="268"/>
      <c r="K112" s="268"/>
      <c r="L112" s="450"/>
      <c r="M112" s="268"/>
      <c r="N112" s="268"/>
      <c r="O112" s="268"/>
      <c r="P112" s="268"/>
      <c r="Q112" s="450"/>
      <c r="R112" s="268"/>
      <c r="S112" s="268"/>
      <c r="T112" s="268"/>
      <c r="U112" s="268"/>
      <c r="V112" s="450"/>
      <c r="W112" s="268"/>
      <c r="X112" s="268"/>
      <c r="Y112" s="268"/>
      <c r="Z112" s="268"/>
      <c r="AA112" s="450"/>
      <c r="AB112" s="268"/>
      <c r="AC112" s="268"/>
      <c r="AD112" s="268"/>
      <c r="AE112" s="268"/>
      <c r="AF112" s="450"/>
      <c r="AG112" s="268"/>
      <c r="AH112" s="268"/>
      <c r="AI112" s="268"/>
      <c r="AJ112" s="268"/>
      <c r="AK112" s="450"/>
      <c r="AL112" s="268"/>
      <c r="AM112" s="268"/>
      <c r="AN112" s="268"/>
      <c r="AO112" s="268"/>
      <c r="AP112" s="397"/>
      <c r="AQ112" s="509"/>
      <c r="AR112" s="397"/>
      <c r="AS112" s="93"/>
      <c r="AT112" s="359"/>
      <c r="AU112" s="518"/>
      <c r="AV112" s="524"/>
      <c r="AW112" s="518"/>
      <c r="AX112" s="93"/>
      <c r="AY112" s="364"/>
      <c r="AZ112" s="480"/>
      <c r="BA112" s="525"/>
      <c r="BB112" s="480"/>
      <c r="BC112" s="93"/>
      <c r="BD112" s="368"/>
      <c r="BE112" s="477"/>
      <c r="BF112" s="560"/>
      <c r="BG112" s="477"/>
      <c r="BH112" s="93"/>
      <c r="BI112" s="402"/>
      <c r="BJ112" s="478"/>
      <c r="BK112" s="609"/>
      <c r="BL112" s="478"/>
      <c r="BM112" s="93"/>
      <c r="BN112" s="372"/>
      <c r="BO112" s="455"/>
      <c r="BP112" s="557"/>
      <c r="BQ112" s="455"/>
      <c r="BR112" s="93"/>
      <c r="BS112" s="380"/>
      <c r="BT112" s="492"/>
      <c r="BU112" s="566"/>
      <c r="BV112" s="492"/>
      <c r="BW112" s="93"/>
      <c r="BX112" s="385"/>
      <c r="BY112" s="490"/>
      <c r="BZ112" s="605"/>
      <c r="CA112" s="490"/>
      <c r="CB112" s="93"/>
      <c r="CC112" s="387"/>
      <c r="CD112" s="404"/>
      <c r="CE112" s="363"/>
      <c r="CF112" s="404"/>
      <c r="CG112" s="93"/>
      <c r="CH112" s="387"/>
      <c r="CI112" s="404"/>
      <c r="CJ112" s="363"/>
      <c r="CK112" s="520"/>
      <c r="CL112" s="93"/>
      <c r="CM112" s="390" t="str">
        <f>IFERROR(__xludf.DUMMYFUNCTION("""COMPUTED_VALUE"""),"")</f>
        <v/>
      </c>
      <c r="CN112" s="489" t="str">
        <f>IFERROR(__xludf.DUMMYFUNCTION("""COMPUTED_VALUE"""),"Hawlucha")</f>
        <v>Hawlucha</v>
      </c>
      <c r="CO112" s="532" t="s">
        <v>158</v>
      </c>
      <c r="CP112" s="523"/>
      <c r="CQ112" s="93"/>
      <c r="CR112" s="413"/>
      <c r="CS112" s="414"/>
      <c r="CT112" s="632"/>
      <c r="CU112" s="414"/>
      <c r="CV112" s="93"/>
      <c r="CW112" s="415"/>
      <c r="CX112" s="468"/>
      <c r="CY112" s="633"/>
      <c r="CZ112" s="468"/>
      <c r="DA112" s="93"/>
      <c r="DB112" s="423"/>
      <c r="DC112" s="424"/>
      <c r="DD112" s="634"/>
      <c r="DE112" s="424"/>
      <c r="DF112" s="93"/>
      <c r="DG112" s="628"/>
      <c r="DH112" s="641"/>
      <c r="DI112" s="641"/>
      <c r="DJ112" s="641"/>
      <c r="DK112" s="93"/>
      <c r="DL112" s="429"/>
      <c r="DM112" s="430"/>
      <c r="DN112" s="430"/>
      <c r="DO112" s="430"/>
      <c r="DP112" s="93"/>
      <c r="DQ112" s="439"/>
      <c r="DR112" s="441"/>
      <c r="DS112" s="441"/>
      <c r="DT112" s="441"/>
      <c r="DU112" s="93"/>
      <c r="DV112" s="442"/>
      <c r="DW112" s="443"/>
      <c r="DX112" s="363"/>
      <c r="DY112" s="345"/>
      <c r="DZ112" s="87"/>
      <c r="EA112" s="10"/>
    </row>
    <row r="113" ht="17.25" customHeight="1">
      <c r="A113" s="10"/>
      <c r="B113" s="87"/>
      <c r="C113" s="234"/>
      <c r="D113" s="235"/>
      <c r="E113" s="93"/>
      <c r="F113" s="268"/>
      <c r="G113" s="268"/>
      <c r="H113" s="268"/>
      <c r="I113" s="268"/>
      <c r="J113" s="268"/>
      <c r="K113" s="268"/>
      <c r="L113" s="450"/>
      <c r="M113" s="268"/>
      <c r="N113" s="268"/>
      <c r="O113" s="268"/>
      <c r="P113" s="268"/>
      <c r="Q113" s="450"/>
      <c r="R113" s="268"/>
      <c r="S113" s="268"/>
      <c r="T113" s="268"/>
      <c r="U113" s="268"/>
      <c r="V113" s="450"/>
      <c r="W113" s="268"/>
      <c r="X113" s="268"/>
      <c r="Y113" s="268"/>
      <c r="Z113" s="268"/>
      <c r="AA113" s="450"/>
      <c r="AB113" s="268"/>
      <c r="AC113" s="268"/>
      <c r="AD113" s="268"/>
      <c r="AE113" s="268"/>
      <c r="AF113" s="450"/>
      <c r="AG113" s="268"/>
      <c r="AH113" s="268"/>
      <c r="AI113" s="268"/>
      <c r="AJ113" s="268"/>
      <c r="AK113" s="450"/>
      <c r="AL113" s="268"/>
      <c r="AM113" s="268"/>
      <c r="AN113" s="268"/>
      <c r="AO113" s="268"/>
      <c r="AP113" s="397"/>
      <c r="AQ113" s="509"/>
      <c r="AR113" s="397"/>
      <c r="AS113" s="93"/>
      <c r="AT113" s="359"/>
      <c r="AU113" s="518"/>
      <c r="AV113" s="524"/>
      <c r="AW113" s="518"/>
      <c r="AX113" s="93"/>
      <c r="AY113" s="364"/>
      <c r="AZ113" s="480"/>
      <c r="BA113" s="525"/>
      <c r="BB113" s="480"/>
      <c r="BC113" s="93"/>
      <c r="BD113" s="368"/>
      <c r="BE113" s="477"/>
      <c r="BF113" s="560"/>
      <c r="BG113" s="477"/>
      <c r="BH113" s="93"/>
      <c r="BI113" s="402"/>
      <c r="BJ113" s="478"/>
      <c r="BK113" s="609"/>
      <c r="BL113" s="478"/>
      <c r="BM113" s="93"/>
      <c r="BN113" s="372"/>
      <c r="BO113" s="455"/>
      <c r="BP113" s="557"/>
      <c r="BQ113" s="455"/>
      <c r="BR113" s="93"/>
      <c r="BS113" s="380"/>
      <c r="BT113" s="492"/>
      <c r="BU113" s="566"/>
      <c r="BV113" s="492"/>
      <c r="BW113" s="93"/>
      <c r="BX113" s="385"/>
      <c r="BY113" s="490"/>
      <c r="BZ113" s="605"/>
      <c r="CA113" s="490"/>
      <c r="CB113" s="93"/>
      <c r="CC113" s="387"/>
      <c r="CD113" s="404"/>
      <c r="CE113" s="363"/>
      <c r="CF113" s="404"/>
      <c r="CG113" s="93"/>
      <c r="CH113" s="387"/>
      <c r="CI113" s="404"/>
      <c r="CJ113" s="363"/>
      <c r="CK113" s="520"/>
      <c r="CL113" s="93"/>
      <c r="CM113" s="390" t="str">
        <f>IFERROR(__xludf.DUMMYFUNCTION("""COMPUTED_VALUE"""),"")</f>
        <v/>
      </c>
      <c r="CN113" s="489" t="str">
        <f>IFERROR(__xludf.DUMMYFUNCTION("""COMPUTED_VALUE"""),"Haxorus")</f>
        <v>Haxorus</v>
      </c>
      <c r="CO113" s="532" t="s">
        <v>158</v>
      </c>
      <c r="CP113" s="523"/>
      <c r="CQ113" s="93"/>
      <c r="CR113" s="413"/>
      <c r="CS113" s="414"/>
      <c r="CT113" s="632"/>
      <c r="CU113" s="414"/>
      <c r="CV113" s="93"/>
      <c r="CW113" s="415"/>
      <c r="CX113" s="468"/>
      <c r="CY113" s="633"/>
      <c r="CZ113" s="468"/>
      <c r="DA113" s="93"/>
      <c r="DB113" s="423"/>
      <c r="DC113" s="424"/>
      <c r="DD113" s="634"/>
      <c r="DE113" s="424"/>
      <c r="DF113" s="93"/>
      <c r="DG113" s="628"/>
      <c r="DH113" s="641"/>
      <c r="DI113" s="641"/>
      <c r="DJ113" s="641"/>
      <c r="DK113" s="93"/>
      <c r="DL113" s="429"/>
      <c r="DM113" s="430"/>
      <c r="DN113" s="430"/>
      <c r="DO113" s="430"/>
      <c r="DP113" s="93"/>
      <c r="DQ113" s="439"/>
      <c r="DR113" s="441"/>
      <c r="DS113" s="441"/>
      <c r="DT113" s="441"/>
      <c r="DU113" s="93"/>
      <c r="DV113" s="442"/>
      <c r="DW113" s="443"/>
      <c r="DX113" s="363"/>
      <c r="DY113" s="345"/>
      <c r="DZ113" s="87"/>
      <c r="EA113" s="10"/>
    </row>
    <row r="114" ht="17.25" customHeight="1">
      <c r="A114" s="10"/>
      <c r="B114" s="87"/>
      <c r="C114" s="234"/>
      <c r="D114" s="235"/>
      <c r="E114" s="93"/>
      <c r="F114" s="268"/>
      <c r="G114" s="268"/>
      <c r="H114" s="268"/>
      <c r="I114" s="268"/>
      <c r="J114" s="268"/>
      <c r="K114" s="268"/>
      <c r="L114" s="450"/>
      <c r="M114" s="268"/>
      <c r="N114" s="268"/>
      <c r="O114" s="268"/>
      <c r="P114" s="268"/>
      <c r="Q114" s="450"/>
      <c r="R114" s="268"/>
      <c r="S114" s="268"/>
      <c r="T114" s="268"/>
      <c r="U114" s="268"/>
      <c r="V114" s="450"/>
      <c r="W114" s="268"/>
      <c r="X114" s="268"/>
      <c r="Y114" s="268"/>
      <c r="Z114" s="268"/>
      <c r="AA114" s="450"/>
      <c r="AB114" s="268"/>
      <c r="AC114" s="268"/>
      <c r="AD114" s="268"/>
      <c r="AE114" s="268"/>
      <c r="AF114" s="450"/>
      <c r="AG114" s="268"/>
      <c r="AH114" s="268"/>
      <c r="AI114" s="268"/>
      <c r="AJ114" s="268"/>
      <c r="AK114" s="450"/>
      <c r="AL114" s="268"/>
      <c r="AM114" s="268"/>
      <c r="AN114" s="268"/>
      <c r="AO114" s="268"/>
      <c r="AP114" s="397"/>
      <c r="AQ114" s="509"/>
      <c r="AR114" s="397"/>
      <c r="AS114" s="93"/>
      <c r="AT114" s="359"/>
      <c r="AU114" s="518"/>
      <c r="AV114" s="524"/>
      <c r="AW114" s="518"/>
      <c r="AX114" s="93"/>
      <c r="AY114" s="364"/>
      <c r="AZ114" s="480"/>
      <c r="BA114" s="525"/>
      <c r="BB114" s="480"/>
      <c r="BC114" s="93"/>
      <c r="BD114" s="368"/>
      <c r="BE114" s="477"/>
      <c r="BF114" s="560"/>
      <c r="BG114" s="477"/>
      <c r="BH114" s="93"/>
      <c r="BI114" s="402"/>
      <c r="BJ114" s="478"/>
      <c r="BK114" s="609"/>
      <c r="BL114" s="478"/>
      <c r="BM114" s="93"/>
      <c r="BN114" s="372"/>
      <c r="BO114" s="455"/>
      <c r="BP114" s="557"/>
      <c r="BQ114" s="455"/>
      <c r="BR114" s="93"/>
      <c r="BS114" s="380"/>
      <c r="BT114" s="492"/>
      <c r="BU114" s="566"/>
      <c r="BV114" s="492"/>
      <c r="BW114" s="93"/>
      <c r="BX114" s="385"/>
      <c r="BY114" s="490"/>
      <c r="BZ114" s="605"/>
      <c r="CA114" s="490"/>
      <c r="CB114" s="93"/>
      <c r="CC114" s="387"/>
      <c r="CD114" s="404"/>
      <c r="CE114" s="363"/>
      <c r="CF114" s="404"/>
      <c r="CG114" s="93"/>
      <c r="CH114" s="387"/>
      <c r="CI114" s="404"/>
      <c r="CJ114" s="363"/>
      <c r="CK114" s="520"/>
      <c r="CL114" s="93"/>
      <c r="CM114" s="390" t="str">
        <f>IFERROR(__xludf.DUMMYFUNCTION("""COMPUTED_VALUE"""),"")</f>
        <v/>
      </c>
      <c r="CN114" s="489" t="str">
        <f>IFERROR(__xludf.DUMMYFUNCTION("""COMPUTED_VALUE"""),"Hippopotas")</f>
        <v>Hippopotas</v>
      </c>
      <c r="CO114" s="532" t="s">
        <v>158</v>
      </c>
      <c r="CP114" s="523"/>
      <c r="CQ114" s="93"/>
      <c r="CR114" s="413"/>
      <c r="CS114" s="414"/>
      <c r="CT114" s="632"/>
      <c r="CU114" s="414"/>
      <c r="CV114" s="93"/>
      <c r="CW114" s="415"/>
      <c r="CX114" s="468"/>
      <c r="CY114" s="633"/>
      <c r="CZ114" s="468"/>
      <c r="DA114" s="93"/>
      <c r="DB114" s="423"/>
      <c r="DC114" s="424"/>
      <c r="DD114" s="634"/>
      <c r="DE114" s="424"/>
      <c r="DF114" s="93"/>
      <c r="DG114" s="628"/>
      <c r="DH114" s="641"/>
      <c r="DI114" s="641"/>
      <c r="DJ114" s="641"/>
      <c r="DK114" s="93"/>
      <c r="DL114" s="429"/>
      <c r="DM114" s="430"/>
      <c r="DN114" s="430"/>
      <c r="DO114" s="430"/>
      <c r="DP114" s="93"/>
      <c r="DQ114" s="439"/>
      <c r="DR114" s="441"/>
      <c r="DS114" s="441"/>
      <c r="DT114" s="441"/>
      <c r="DU114" s="93"/>
      <c r="DV114" s="442"/>
      <c r="DW114" s="443"/>
      <c r="DX114" s="363"/>
      <c r="DY114" s="345"/>
      <c r="DZ114" s="87"/>
      <c r="EA114" s="10"/>
    </row>
    <row r="115" ht="17.25" customHeight="1">
      <c r="A115" s="10"/>
      <c r="B115" s="87"/>
      <c r="C115" s="234"/>
      <c r="D115" s="235"/>
      <c r="E115" s="93"/>
      <c r="F115" s="268"/>
      <c r="G115" s="268"/>
      <c r="H115" s="268"/>
      <c r="I115" s="268"/>
      <c r="J115" s="268"/>
      <c r="K115" s="268"/>
      <c r="L115" s="450"/>
      <c r="M115" s="268"/>
      <c r="N115" s="268"/>
      <c r="O115" s="268"/>
      <c r="P115" s="268"/>
      <c r="Q115" s="450"/>
      <c r="R115" s="268"/>
      <c r="S115" s="268"/>
      <c r="T115" s="268"/>
      <c r="U115" s="268"/>
      <c r="V115" s="450"/>
      <c r="W115" s="268"/>
      <c r="X115" s="268"/>
      <c r="Y115" s="268"/>
      <c r="Z115" s="268"/>
      <c r="AA115" s="450"/>
      <c r="AB115" s="268"/>
      <c r="AC115" s="268"/>
      <c r="AD115" s="268"/>
      <c r="AE115" s="268"/>
      <c r="AF115" s="450"/>
      <c r="AG115" s="268"/>
      <c r="AH115" s="268"/>
      <c r="AI115" s="268"/>
      <c r="AJ115" s="268"/>
      <c r="AK115" s="450"/>
      <c r="AL115" s="268"/>
      <c r="AM115" s="268"/>
      <c r="AN115" s="268"/>
      <c r="AO115" s="268"/>
      <c r="AP115" s="397"/>
      <c r="AQ115" s="509"/>
      <c r="AR115" s="397"/>
      <c r="AS115" s="93"/>
      <c r="AT115" s="359"/>
      <c r="AU115" s="518"/>
      <c r="AV115" s="524"/>
      <c r="AW115" s="518"/>
      <c r="AX115" s="93"/>
      <c r="AY115" s="364"/>
      <c r="AZ115" s="480"/>
      <c r="BA115" s="525"/>
      <c r="BB115" s="480"/>
      <c r="BC115" s="93"/>
      <c r="BD115" s="368"/>
      <c r="BE115" s="477"/>
      <c r="BF115" s="560"/>
      <c r="BG115" s="477"/>
      <c r="BH115" s="93"/>
      <c r="BI115" s="402"/>
      <c r="BJ115" s="478"/>
      <c r="BK115" s="609"/>
      <c r="BL115" s="478"/>
      <c r="BM115" s="93"/>
      <c r="BN115" s="372"/>
      <c r="BO115" s="455"/>
      <c r="BP115" s="557"/>
      <c r="BQ115" s="455"/>
      <c r="BR115" s="93"/>
      <c r="BS115" s="380"/>
      <c r="BT115" s="492"/>
      <c r="BU115" s="566"/>
      <c r="BV115" s="492"/>
      <c r="BW115" s="93"/>
      <c r="BX115" s="385"/>
      <c r="BY115" s="490"/>
      <c r="BZ115" s="605"/>
      <c r="CA115" s="490"/>
      <c r="CB115" s="93"/>
      <c r="CC115" s="387"/>
      <c r="CD115" s="404"/>
      <c r="CE115" s="363"/>
      <c r="CF115" s="404"/>
      <c r="CG115" s="93"/>
      <c r="CH115" s="387"/>
      <c r="CI115" s="404"/>
      <c r="CJ115" s="363"/>
      <c r="CK115" s="520"/>
      <c r="CL115" s="93"/>
      <c r="CM115" s="390" t="str">
        <f>IFERROR(__xludf.DUMMYFUNCTION("""COMPUTED_VALUE"""),"")</f>
        <v/>
      </c>
      <c r="CN115" s="489" t="str">
        <f>IFERROR(__xludf.DUMMYFUNCTION("""COMPUTED_VALUE"""),"Hippowdon")</f>
        <v>Hippowdon</v>
      </c>
      <c r="CO115" s="532" t="s">
        <v>158</v>
      </c>
      <c r="CP115" s="523"/>
      <c r="CQ115" s="93"/>
      <c r="CR115" s="413"/>
      <c r="CS115" s="414"/>
      <c r="CT115" s="632"/>
      <c r="CU115" s="414"/>
      <c r="CV115" s="93"/>
      <c r="CW115" s="415"/>
      <c r="CX115" s="468"/>
      <c r="CY115" s="633"/>
      <c r="CZ115" s="468"/>
      <c r="DA115" s="93"/>
      <c r="DB115" s="423"/>
      <c r="DC115" s="424"/>
      <c r="DD115" s="634"/>
      <c r="DE115" s="424"/>
      <c r="DF115" s="93"/>
      <c r="DG115" s="628"/>
      <c r="DH115" s="641"/>
      <c r="DI115" s="641"/>
      <c r="DJ115" s="641"/>
      <c r="DK115" s="93"/>
      <c r="DL115" s="429"/>
      <c r="DM115" s="430"/>
      <c r="DN115" s="430"/>
      <c r="DO115" s="430"/>
      <c r="DP115" s="93"/>
      <c r="DQ115" s="439"/>
      <c r="DR115" s="441"/>
      <c r="DS115" s="441"/>
      <c r="DT115" s="441"/>
      <c r="DU115" s="93"/>
      <c r="DV115" s="442"/>
      <c r="DW115" s="443"/>
      <c r="DX115" s="363"/>
      <c r="DY115" s="345"/>
      <c r="DZ115" s="87"/>
      <c r="EA115" s="10"/>
    </row>
    <row r="116" ht="17.25" customHeight="1">
      <c r="A116" s="10"/>
      <c r="B116" s="87"/>
      <c r="C116" s="234"/>
      <c r="D116" s="235"/>
      <c r="E116" s="93"/>
      <c r="F116" s="268"/>
      <c r="G116" s="268"/>
      <c r="H116" s="268"/>
      <c r="I116" s="268"/>
      <c r="J116" s="268"/>
      <c r="K116" s="268"/>
      <c r="L116" s="450"/>
      <c r="M116" s="268"/>
      <c r="N116" s="268"/>
      <c r="O116" s="268"/>
      <c r="P116" s="268"/>
      <c r="Q116" s="450"/>
      <c r="R116" s="268"/>
      <c r="S116" s="268"/>
      <c r="T116" s="268"/>
      <c r="U116" s="268"/>
      <c r="V116" s="450"/>
      <c r="W116" s="268"/>
      <c r="X116" s="268"/>
      <c r="Y116" s="268"/>
      <c r="Z116" s="268"/>
      <c r="AA116" s="450"/>
      <c r="AB116" s="268"/>
      <c r="AC116" s="268"/>
      <c r="AD116" s="268"/>
      <c r="AE116" s="268"/>
      <c r="AF116" s="450"/>
      <c r="AG116" s="268"/>
      <c r="AH116" s="268"/>
      <c r="AI116" s="268"/>
      <c r="AJ116" s="268"/>
      <c r="AK116" s="450"/>
      <c r="AL116" s="268"/>
      <c r="AM116" s="268"/>
      <c r="AN116" s="268"/>
      <c r="AO116" s="268"/>
      <c r="AP116" s="397"/>
      <c r="AQ116" s="509"/>
      <c r="AR116" s="397"/>
      <c r="AS116" s="93"/>
      <c r="AT116" s="359"/>
      <c r="AU116" s="518"/>
      <c r="AV116" s="524"/>
      <c r="AW116" s="518"/>
      <c r="AX116" s="93"/>
      <c r="AY116" s="364"/>
      <c r="AZ116" s="480"/>
      <c r="BA116" s="525"/>
      <c r="BB116" s="480"/>
      <c r="BC116" s="93"/>
      <c r="BD116" s="368"/>
      <c r="BE116" s="477"/>
      <c r="BF116" s="560"/>
      <c r="BG116" s="477"/>
      <c r="BH116" s="93"/>
      <c r="BI116" s="402"/>
      <c r="BJ116" s="478"/>
      <c r="BK116" s="609"/>
      <c r="BL116" s="478"/>
      <c r="BM116" s="93"/>
      <c r="BN116" s="372"/>
      <c r="BO116" s="455"/>
      <c r="BP116" s="557"/>
      <c r="BQ116" s="455"/>
      <c r="BR116" s="93"/>
      <c r="BS116" s="380"/>
      <c r="BT116" s="492"/>
      <c r="BU116" s="566"/>
      <c r="BV116" s="492"/>
      <c r="BW116" s="93"/>
      <c r="BX116" s="385"/>
      <c r="BY116" s="490"/>
      <c r="BZ116" s="605"/>
      <c r="CA116" s="490"/>
      <c r="CB116" s="93"/>
      <c r="CC116" s="387"/>
      <c r="CD116" s="404"/>
      <c r="CE116" s="363"/>
      <c r="CF116" s="404"/>
      <c r="CG116" s="93"/>
      <c r="CH116" s="387"/>
      <c r="CI116" s="404"/>
      <c r="CJ116" s="363"/>
      <c r="CK116" s="520"/>
      <c r="CL116" s="93"/>
      <c r="CM116" s="390" t="str">
        <f>IFERROR(__xludf.DUMMYFUNCTION("""COMPUTED_VALUE"""),"")</f>
        <v/>
      </c>
      <c r="CN116" s="489" t="str">
        <f>IFERROR(__xludf.DUMMYFUNCTION("""COMPUTED_VALUE"""),"Honchkrow")</f>
        <v>Honchkrow</v>
      </c>
      <c r="CO116" s="532" t="s">
        <v>158</v>
      </c>
      <c r="CP116" s="523"/>
      <c r="CQ116" s="93"/>
      <c r="CR116" s="413"/>
      <c r="CS116" s="414"/>
      <c r="CT116" s="632"/>
      <c r="CU116" s="414"/>
      <c r="CV116" s="93"/>
      <c r="CW116" s="415"/>
      <c r="CX116" s="468"/>
      <c r="CY116" s="633"/>
      <c r="CZ116" s="468"/>
      <c r="DA116" s="93"/>
      <c r="DB116" s="423"/>
      <c r="DC116" s="424"/>
      <c r="DD116" s="634"/>
      <c r="DE116" s="424"/>
      <c r="DF116" s="93"/>
      <c r="DG116" s="628"/>
      <c r="DH116" s="641"/>
      <c r="DI116" s="641"/>
      <c r="DJ116" s="641"/>
      <c r="DK116" s="93"/>
      <c r="DL116" s="429"/>
      <c r="DM116" s="430"/>
      <c r="DN116" s="430"/>
      <c r="DO116" s="430"/>
      <c r="DP116" s="93"/>
      <c r="DQ116" s="439"/>
      <c r="DR116" s="441"/>
      <c r="DS116" s="441"/>
      <c r="DT116" s="441"/>
      <c r="DU116" s="93"/>
      <c r="DV116" s="442"/>
      <c r="DW116" s="443"/>
      <c r="DX116" s="363"/>
      <c r="DY116" s="345"/>
      <c r="DZ116" s="87"/>
      <c r="EA116" s="10"/>
    </row>
    <row r="117" ht="17.25" customHeight="1">
      <c r="A117" s="10"/>
      <c r="B117" s="87"/>
      <c r="C117" s="234"/>
      <c r="D117" s="235"/>
      <c r="E117" s="93"/>
      <c r="F117" s="268"/>
      <c r="G117" s="268"/>
      <c r="H117" s="268"/>
      <c r="I117" s="268"/>
      <c r="J117" s="268"/>
      <c r="K117" s="268"/>
      <c r="L117" s="450"/>
      <c r="M117" s="268"/>
      <c r="N117" s="268"/>
      <c r="O117" s="268"/>
      <c r="P117" s="268"/>
      <c r="Q117" s="450"/>
      <c r="R117" s="268"/>
      <c r="S117" s="268"/>
      <c r="T117" s="268"/>
      <c r="U117" s="268"/>
      <c r="V117" s="450"/>
      <c r="W117" s="268"/>
      <c r="X117" s="268"/>
      <c r="Y117" s="268"/>
      <c r="Z117" s="268"/>
      <c r="AA117" s="450"/>
      <c r="AB117" s="268"/>
      <c r="AC117" s="268"/>
      <c r="AD117" s="268"/>
      <c r="AE117" s="268"/>
      <c r="AF117" s="450"/>
      <c r="AG117" s="268"/>
      <c r="AH117" s="268"/>
      <c r="AI117" s="268"/>
      <c r="AJ117" s="268"/>
      <c r="AK117" s="450"/>
      <c r="AL117" s="268"/>
      <c r="AM117" s="268"/>
      <c r="AN117" s="268"/>
      <c r="AO117" s="268"/>
      <c r="AP117" s="397"/>
      <c r="AQ117" s="509"/>
      <c r="AR117" s="397"/>
      <c r="AS117" s="93"/>
      <c r="AT117" s="359"/>
      <c r="AU117" s="518"/>
      <c r="AV117" s="524"/>
      <c r="AW117" s="518"/>
      <c r="AX117" s="93"/>
      <c r="AY117" s="364"/>
      <c r="AZ117" s="480"/>
      <c r="BA117" s="525"/>
      <c r="BB117" s="480"/>
      <c r="BC117" s="93"/>
      <c r="BD117" s="368"/>
      <c r="BE117" s="477"/>
      <c r="BF117" s="560"/>
      <c r="BG117" s="477"/>
      <c r="BH117" s="93"/>
      <c r="BI117" s="402"/>
      <c r="BJ117" s="478"/>
      <c r="BK117" s="609"/>
      <c r="BL117" s="478"/>
      <c r="BM117" s="93"/>
      <c r="BN117" s="372"/>
      <c r="BO117" s="455"/>
      <c r="BP117" s="557"/>
      <c r="BQ117" s="455"/>
      <c r="BR117" s="93"/>
      <c r="BS117" s="380"/>
      <c r="BT117" s="492"/>
      <c r="BU117" s="566"/>
      <c r="BV117" s="492"/>
      <c r="BW117" s="93"/>
      <c r="BX117" s="385"/>
      <c r="BY117" s="490"/>
      <c r="BZ117" s="605"/>
      <c r="CA117" s="490"/>
      <c r="CB117" s="93"/>
      <c r="CC117" s="387"/>
      <c r="CD117" s="404"/>
      <c r="CE117" s="363"/>
      <c r="CF117" s="404"/>
      <c r="CG117" s="93"/>
      <c r="CH117" s="387"/>
      <c r="CI117" s="404"/>
      <c r="CJ117" s="363"/>
      <c r="CK117" s="520"/>
      <c r="CL117" s="93"/>
      <c r="CM117" s="390" t="str">
        <f>IFERROR(__xludf.DUMMYFUNCTION("""COMPUTED_VALUE"""),"")</f>
        <v/>
      </c>
      <c r="CN117" s="489" t="str">
        <f>IFERROR(__xludf.DUMMYFUNCTION("""COMPUTED_VALUE"""),"Hoppip")</f>
        <v>Hoppip</v>
      </c>
      <c r="CO117" s="532" t="s">
        <v>158</v>
      </c>
      <c r="CP117" s="523"/>
      <c r="CQ117" s="93"/>
      <c r="CR117" s="413"/>
      <c r="CS117" s="414"/>
      <c r="CT117" s="632"/>
      <c r="CU117" s="414"/>
      <c r="CV117" s="93"/>
      <c r="CW117" s="415"/>
      <c r="CX117" s="468"/>
      <c r="CY117" s="633"/>
      <c r="CZ117" s="468"/>
      <c r="DA117" s="93"/>
      <c r="DB117" s="423"/>
      <c r="DC117" s="424"/>
      <c r="DD117" s="634"/>
      <c r="DE117" s="424"/>
      <c r="DF117" s="93"/>
      <c r="DG117" s="628"/>
      <c r="DH117" s="641"/>
      <c r="DI117" s="641"/>
      <c r="DJ117" s="641"/>
      <c r="DK117" s="93"/>
      <c r="DL117" s="429"/>
      <c r="DM117" s="430"/>
      <c r="DN117" s="430"/>
      <c r="DO117" s="430"/>
      <c r="DP117" s="93"/>
      <c r="DQ117" s="439"/>
      <c r="DR117" s="441"/>
      <c r="DS117" s="441"/>
      <c r="DT117" s="441"/>
      <c r="DU117" s="93"/>
      <c r="DV117" s="442"/>
      <c r="DW117" s="443"/>
      <c r="DX117" s="363"/>
      <c r="DY117" s="345"/>
      <c r="DZ117" s="87"/>
      <c r="EA117" s="10"/>
    </row>
    <row r="118" ht="17.25" customHeight="1">
      <c r="A118" s="10"/>
      <c r="B118" s="87"/>
      <c r="C118" s="234"/>
      <c r="D118" s="235"/>
      <c r="E118" s="93"/>
      <c r="F118" s="268"/>
      <c r="G118" s="268"/>
      <c r="H118" s="268"/>
      <c r="I118" s="268"/>
      <c r="J118" s="268"/>
      <c r="K118" s="268"/>
      <c r="L118" s="450"/>
      <c r="M118" s="268"/>
      <c r="N118" s="268"/>
      <c r="O118" s="268"/>
      <c r="P118" s="268"/>
      <c r="Q118" s="450"/>
      <c r="R118" s="268"/>
      <c r="S118" s="268"/>
      <c r="T118" s="268"/>
      <c r="U118" s="268"/>
      <c r="V118" s="450"/>
      <c r="W118" s="268"/>
      <c r="X118" s="268"/>
      <c r="Y118" s="268"/>
      <c r="Z118" s="268"/>
      <c r="AA118" s="450"/>
      <c r="AB118" s="268"/>
      <c r="AC118" s="268"/>
      <c r="AD118" s="268"/>
      <c r="AE118" s="268"/>
      <c r="AF118" s="450"/>
      <c r="AG118" s="268"/>
      <c r="AH118" s="268"/>
      <c r="AI118" s="268"/>
      <c r="AJ118" s="268"/>
      <c r="AK118" s="450"/>
      <c r="AL118" s="268"/>
      <c r="AM118" s="268"/>
      <c r="AN118" s="268"/>
      <c r="AO118" s="268"/>
      <c r="AP118" s="397"/>
      <c r="AQ118" s="509"/>
      <c r="AR118" s="397"/>
      <c r="AS118" s="93"/>
      <c r="AT118" s="359"/>
      <c r="AU118" s="518"/>
      <c r="AV118" s="524"/>
      <c r="AW118" s="518"/>
      <c r="AX118" s="93"/>
      <c r="AY118" s="364"/>
      <c r="AZ118" s="480"/>
      <c r="BA118" s="525"/>
      <c r="BB118" s="480"/>
      <c r="BC118" s="93"/>
      <c r="BD118" s="368"/>
      <c r="BE118" s="477"/>
      <c r="BF118" s="560"/>
      <c r="BG118" s="477"/>
      <c r="BH118" s="93"/>
      <c r="BI118" s="402"/>
      <c r="BJ118" s="478"/>
      <c r="BK118" s="609"/>
      <c r="BL118" s="478"/>
      <c r="BM118" s="93"/>
      <c r="BN118" s="372"/>
      <c r="BO118" s="455"/>
      <c r="BP118" s="557"/>
      <c r="BQ118" s="455"/>
      <c r="BR118" s="93"/>
      <c r="BS118" s="380"/>
      <c r="BT118" s="492"/>
      <c r="BU118" s="566"/>
      <c r="BV118" s="492"/>
      <c r="BW118" s="93"/>
      <c r="BX118" s="385"/>
      <c r="BY118" s="490"/>
      <c r="BZ118" s="605"/>
      <c r="CA118" s="490"/>
      <c r="CB118" s="93"/>
      <c r="CC118" s="387"/>
      <c r="CD118" s="404"/>
      <c r="CE118" s="363"/>
      <c r="CF118" s="404"/>
      <c r="CG118" s="93"/>
      <c r="CH118" s="387"/>
      <c r="CI118" s="404"/>
      <c r="CJ118" s="363"/>
      <c r="CK118" s="520"/>
      <c r="CL118" s="93"/>
      <c r="CM118" s="390" t="str">
        <f>IFERROR(__xludf.DUMMYFUNCTION("""COMPUTED_VALUE"""),"")</f>
        <v/>
      </c>
      <c r="CN118" s="489" t="str">
        <f>IFERROR(__xludf.DUMMYFUNCTION("""COMPUTED_VALUE"""),"Houndoom")</f>
        <v>Houndoom</v>
      </c>
      <c r="CO118" s="532" t="s">
        <v>158</v>
      </c>
      <c r="CP118" s="523"/>
      <c r="CQ118" s="93"/>
      <c r="CR118" s="413"/>
      <c r="CS118" s="414"/>
      <c r="CT118" s="632"/>
      <c r="CU118" s="414"/>
      <c r="CV118" s="93"/>
      <c r="CW118" s="415"/>
      <c r="CX118" s="468"/>
      <c r="CY118" s="633"/>
      <c r="CZ118" s="468"/>
      <c r="DA118" s="93"/>
      <c r="DB118" s="423"/>
      <c r="DC118" s="424"/>
      <c r="DD118" s="634"/>
      <c r="DE118" s="424"/>
      <c r="DF118" s="93"/>
      <c r="DG118" s="628"/>
      <c r="DH118" s="641"/>
      <c r="DI118" s="641"/>
      <c r="DJ118" s="641"/>
      <c r="DK118" s="93"/>
      <c r="DL118" s="429"/>
      <c r="DM118" s="430"/>
      <c r="DN118" s="430"/>
      <c r="DO118" s="430"/>
      <c r="DP118" s="93"/>
      <c r="DQ118" s="439"/>
      <c r="DR118" s="441"/>
      <c r="DS118" s="441"/>
      <c r="DT118" s="441"/>
      <c r="DU118" s="93"/>
      <c r="DV118" s="442"/>
      <c r="DW118" s="443"/>
      <c r="DX118" s="363"/>
      <c r="DY118" s="345"/>
      <c r="DZ118" s="87"/>
      <c r="EA118" s="10"/>
    </row>
    <row r="119" ht="17.25" customHeight="1">
      <c r="A119" s="10"/>
      <c r="B119" s="87"/>
      <c r="C119" s="234"/>
      <c r="D119" s="235"/>
      <c r="E119" s="93"/>
      <c r="F119" s="268"/>
      <c r="G119" s="268"/>
      <c r="H119" s="268"/>
      <c r="I119" s="268"/>
      <c r="J119" s="268"/>
      <c r="K119" s="268"/>
      <c r="L119" s="450"/>
      <c r="M119" s="268"/>
      <c r="N119" s="268"/>
      <c r="O119" s="268"/>
      <c r="P119" s="268"/>
      <c r="Q119" s="450"/>
      <c r="R119" s="268"/>
      <c r="S119" s="268"/>
      <c r="T119" s="268"/>
      <c r="U119" s="268"/>
      <c r="V119" s="450"/>
      <c r="W119" s="268"/>
      <c r="X119" s="268"/>
      <c r="Y119" s="268"/>
      <c r="Z119" s="268"/>
      <c r="AA119" s="450"/>
      <c r="AB119" s="268"/>
      <c r="AC119" s="268"/>
      <c r="AD119" s="268"/>
      <c r="AE119" s="268"/>
      <c r="AF119" s="450"/>
      <c r="AG119" s="268"/>
      <c r="AH119" s="268"/>
      <c r="AI119" s="268"/>
      <c r="AJ119" s="268"/>
      <c r="AK119" s="450"/>
      <c r="AL119" s="268"/>
      <c r="AM119" s="268"/>
      <c r="AN119" s="268"/>
      <c r="AO119" s="268"/>
      <c r="AP119" s="397"/>
      <c r="AQ119" s="509"/>
      <c r="AR119" s="397"/>
      <c r="AS119" s="93"/>
      <c r="AT119" s="359"/>
      <c r="AU119" s="518"/>
      <c r="AV119" s="524"/>
      <c r="AW119" s="518"/>
      <c r="AX119" s="93"/>
      <c r="AY119" s="364"/>
      <c r="AZ119" s="480"/>
      <c r="BA119" s="525"/>
      <c r="BB119" s="480"/>
      <c r="BC119" s="93"/>
      <c r="BD119" s="368"/>
      <c r="BE119" s="477"/>
      <c r="BF119" s="560"/>
      <c r="BG119" s="477"/>
      <c r="BH119" s="93"/>
      <c r="BI119" s="402"/>
      <c r="BJ119" s="478"/>
      <c r="BK119" s="609"/>
      <c r="BL119" s="478"/>
      <c r="BM119" s="93"/>
      <c r="BN119" s="372"/>
      <c r="BO119" s="455"/>
      <c r="BP119" s="557"/>
      <c r="BQ119" s="455"/>
      <c r="BR119" s="93"/>
      <c r="BS119" s="380"/>
      <c r="BT119" s="492"/>
      <c r="BU119" s="566"/>
      <c r="BV119" s="492"/>
      <c r="BW119" s="93"/>
      <c r="BX119" s="385"/>
      <c r="BY119" s="490"/>
      <c r="BZ119" s="605"/>
      <c r="CA119" s="490"/>
      <c r="CB119" s="93"/>
      <c r="CC119" s="387"/>
      <c r="CD119" s="404"/>
      <c r="CE119" s="363"/>
      <c r="CF119" s="404"/>
      <c r="CG119" s="93"/>
      <c r="CH119" s="387"/>
      <c r="CI119" s="404"/>
      <c r="CJ119" s="363"/>
      <c r="CK119" s="520"/>
      <c r="CL119" s="93"/>
      <c r="CM119" s="390" t="str">
        <f>IFERROR(__xludf.DUMMYFUNCTION("""COMPUTED_VALUE"""),"")</f>
        <v/>
      </c>
      <c r="CN119" s="489" t="str">
        <f>IFERROR(__xludf.DUMMYFUNCTION("""COMPUTED_VALUE"""),"Houndour")</f>
        <v>Houndour</v>
      </c>
      <c r="CO119" s="532" t="s">
        <v>158</v>
      </c>
      <c r="CP119" s="523"/>
      <c r="CQ119" s="93"/>
      <c r="CR119" s="413"/>
      <c r="CS119" s="414"/>
      <c r="CT119" s="632"/>
      <c r="CU119" s="414"/>
      <c r="CV119" s="93"/>
      <c r="CW119" s="415"/>
      <c r="CX119" s="468"/>
      <c r="CY119" s="633"/>
      <c r="CZ119" s="468"/>
      <c r="DA119" s="93"/>
      <c r="DB119" s="423"/>
      <c r="DC119" s="424"/>
      <c r="DD119" s="634"/>
      <c r="DE119" s="424"/>
      <c r="DF119" s="93"/>
      <c r="DG119" s="628"/>
      <c r="DH119" s="641"/>
      <c r="DI119" s="641"/>
      <c r="DJ119" s="641"/>
      <c r="DK119" s="93"/>
      <c r="DL119" s="429"/>
      <c r="DM119" s="430"/>
      <c r="DN119" s="430"/>
      <c r="DO119" s="430"/>
      <c r="DP119" s="93"/>
      <c r="DQ119" s="439"/>
      <c r="DR119" s="441"/>
      <c r="DS119" s="441"/>
      <c r="DT119" s="441"/>
      <c r="DU119" s="93"/>
      <c r="DV119" s="442"/>
      <c r="DW119" s="443"/>
      <c r="DX119" s="363"/>
      <c r="DY119" s="345"/>
      <c r="DZ119" s="87"/>
      <c r="EA119" s="10"/>
    </row>
    <row r="120" ht="17.25" customHeight="1">
      <c r="A120" s="10"/>
      <c r="B120" s="87"/>
      <c r="C120" s="234"/>
      <c r="D120" s="235"/>
      <c r="E120" s="93"/>
      <c r="F120" s="268"/>
      <c r="G120" s="268"/>
      <c r="H120" s="268"/>
      <c r="I120" s="268"/>
      <c r="J120" s="268"/>
      <c r="K120" s="268"/>
      <c r="L120" s="450"/>
      <c r="M120" s="268"/>
      <c r="N120" s="268"/>
      <c r="O120" s="268"/>
      <c r="P120" s="268"/>
      <c r="Q120" s="450"/>
      <c r="R120" s="268"/>
      <c r="S120" s="268"/>
      <c r="T120" s="268"/>
      <c r="U120" s="268"/>
      <c r="V120" s="450"/>
      <c r="W120" s="268"/>
      <c r="X120" s="268"/>
      <c r="Y120" s="268"/>
      <c r="Z120" s="268"/>
      <c r="AA120" s="450"/>
      <c r="AB120" s="268"/>
      <c r="AC120" s="268"/>
      <c r="AD120" s="268"/>
      <c r="AE120" s="268"/>
      <c r="AF120" s="450"/>
      <c r="AG120" s="268"/>
      <c r="AH120" s="268"/>
      <c r="AI120" s="268"/>
      <c r="AJ120" s="268"/>
      <c r="AK120" s="450"/>
      <c r="AL120" s="268"/>
      <c r="AM120" s="268"/>
      <c r="AN120" s="268"/>
      <c r="AO120" s="268"/>
      <c r="AP120" s="397"/>
      <c r="AQ120" s="509"/>
      <c r="AR120" s="397"/>
      <c r="AS120" s="93"/>
      <c r="AT120" s="359"/>
      <c r="AU120" s="518"/>
      <c r="AV120" s="524"/>
      <c r="AW120" s="518"/>
      <c r="AX120" s="93"/>
      <c r="AY120" s="364"/>
      <c r="AZ120" s="480"/>
      <c r="BA120" s="525"/>
      <c r="BB120" s="480"/>
      <c r="BC120" s="93"/>
      <c r="BD120" s="368"/>
      <c r="BE120" s="477"/>
      <c r="BF120" s="560"/>
      <c r="BG120" s="477"/>
      <c r="BH120" s="93"/>
      <c r="BI120" s="402"/>
      <c r="BJ120" s="478"/>
      <c r="BK120" s="609"/>
      <c r="BL120" s="478"/>
      <c r="BM120" s="93"/>
      <c r="BN120" s="372"/>
      <c r="BO120" s="455"/>
      <c r="BP120" s="557"/>
      <c r="BQ120" s="455"/>
      <c r="BR120" s="93"/>
      <c r="BS120" s="380"/>
      <c r="BT120" s="492"/>
      <c r="BU120" s="566"/>
      <c r="BV120" s="492"/>
      <c r="BW120" s="93"/>
      <c r="BX120" s="385"/>
      <c r="BY120" s="490"/>
      <c r="BZ120" s="605"/>
      <c r="CA120" s="490"/>
      <c r="CB120" s="93"/>
      <c r="CC120" s="387"/>
      <c r="CD120" s="404"/>
      <c r="CE120" s="363"/>
      <c r="CF120" s="404"/>
      <c r="CG120" s="93"/>
      <c r="CH120" s="387"/>
      <c r="CI120" s="404"/>
      <c r="CJ120" s="363"/>
      <c r="CK120" s="520"/>
      <c r="CL120" s="93"/>
      <c r="CM120" s="390" t="str">
        <f>IFERROR(__xludf.DUMMYFUNCTION("""COMPUTED_VALUE"""),"")</f>
        <v/>
      </c>
      <c r="CN120" s="489" t="str">
        <f>IFERROR(__xludf.DUMMYFUNCTION("""COMPUTED_VALUE"""),"Hypno")</f>
        <v>Hypno</v>
      </c>
      <c r="CO120" s="532" t="s">
        <v>158</v>
      </c>
      <c r="CP120" s="523"/>
      <c r="CQ120" s="93"/>
      <c r="CR120" s="413"/>
      <c r="CS120" s="414"/>
      <c r="CT120" s="632"/>
      <c r="CU120" s="414"/>
      <c r="CV120" s="93"/>
      <c r="CW120" s="415"/>
      <c r="CX120" s="468"/>
      <c r="CY120" s="633"/>
      <c r="CZ120" s="468"/>
      <c r="DA120" s="93"/>
      <c r="DB120" s="423"/>
      <c r="DC120" s="424"/>
      <c r="DD120" s="634"/>
      <c r="DE120" s="424"/>
      <c r="DF120" s="93"/>
      <c r="DG120" s="628"/>
      <c r="DH120" s="641"/>
      <c r="DI120" s="641"/>
      <c r="DJ120" s="641"/>
      <c r="DK120" s="93"/>
      <c r="DL120" s="429"/>
      <c r="DM120" s="430"/>
      <c r="DN120" s="430"/>
      <c r="DO120" s="430"/>
      <c r="DP120" s="93"/>
      <c r="DQ120" s="439"/>
      <c r="DR120" s="441"/>
      <c r="DS120" s="441"/>
      <c r="DT120" s="441"/>
      <c r="DU120" s="93"/>
      <c r="DV120" s="442"/>
      <c r="DW120" s="443"/>
      <c r="DX120" s="363"/>
      <c r="DY120" s="345"/>
      <c r="DZ120" s="87"/>
      <c r="EA120" s="10"/>
    </row>
    <row r="121" ht="17.25" customHeight="1">
      <c r="A121" s="10"/>
      <c r="B121" s="87"/>
      <c r="C121" s="234"/>
      <c r="D121" s="235"/>
      <c r="E121" s="93"/>
      <c r="F121" s="268"/>
      <c r="G121" s="268"/>
      <c r="H121" s="268"/>
      <c r="I121" s="268"/>
      <c r="J121" s="268"/>
      <c r="K121" s="268"/>
      <c r="L121" s="450"/>
      <c r="M121" s="268"/>
      <c r="N121" s="268"/>
      <c r="O121" s="268"/>
      <c r="P121" s="268"/>
      <c r="Q121" s="450"/>
      <c r="R121" s="268"/>
      <c r="S121" s="268"/>
      <c r="T121" s="268"/>
      <c r="U121" s="268"/>
      <c r="V121" s="450"/>
      <c r="W121" s="268"/>
      <c r="X121" s="268"/>
      <c r="Y121" s="268"/>
      <c r="Z121" s="268"/>
      <c r="AA121" s="450"/>
      <c r="AB121" s="268"/>
      <c r="AC121" s="268"/>
      <c r="AD121" s="268"/>
      <c r="AE121" s="268"/>
      <c r="AF121" s="450"/>
      <c r="AG121" s="268"/>
      <c r="AH121" s="268"/>
      <c r="AI121" s="268"/>
      <c r="AJ121" s="268"/>
      <c r="AK121" s="450"/>
      <c r="AL121" s="268"/>
      <c r="AM121" s="268"/>
      <c r="AN121" s="268"/>
      <c r="AO121" s="268"/>
      <c r="AP121" s="397"/>
      <c r="AQ121" s="509"/>
      <c r="AR121" s="397"/>
      <c r="AS121" s="93"/>
      <c r="AT121" s="359"/>
      <c r="AU121" s="518"/>
      <c r="AV121" s="524"/>
      <c r="AW121" s="518"/>
      <c r="AX121" s="93"/>
      <c r="AY121" s="364"/>
      <c r="AZ121" s="480"/>
      <c r="BA121" s="525"/>
      <c r="BB121" s="480"/>
      <c r="BC121" s="93"/>
      <c r="BD121" s="368"/>
      <c r="BE121" s="477"/>
      <c r="BF121" s="560"/>
      <c r="BG121" s="477"/>
      <c r="BH121" s="93"/>
      <c r="BI121" s="402"/>
      <c r="BJ121" s="478"/>
      <c r="BK121" s="609"/>
      <c r="BL121" s="478"/>
      <c r="BM121" s="93"/>
      <c r="BN121" s="372"/>
      <c r="BO121" s="455"/>
      <c r="BP121" s="557"/>
      <c r="BQ121" s="455"/>
      <c r="BR121" s="93"/>
      <c r="BS121" s="380"/>
      <c r="BT121" s="492"/>
      <c r="BU121" s="566"/>
      <c r="BV121" s="492"/>
      <c r="BW121" s="93"/>
      <c r="BX121" s="385"/>
      <c r="BY121" s="490"/>
      <c r="BZ121" s="605"/>
      <c r="CA121" s="490"/>
      <c r="CB121" s="93"/>
      <c r="CC121" s="387"/>
      <c r="CD121" s="404"/>
      <c r="CE121" s="363"/>
      <c r="CF121" s="404"/>
      <c r="CG121" s="93"/>
      <c r="CH121" s="387"/>
      <c r="CI121" s="404"/>
      <c r="CJ121" s="363"/>
      <c r="CK121" s="520"/>
      <c r="CL121" s="93"/>
      <c r="CM121" s="390" t="str">
        <f>IFERROR(__xludf.DUMMYFUNCTION("""COMPUTED_VALUE"""),"")</f>
        <v/>
      </c>
      <c r="CN121" s="489" t="str">
        <f>IFERROR(__xludf.DUMMYFUNCTION("""COMPUTED_VALUE"""),"Igglybuff")</f>
        <v>Igglybuff</v>
      </c>
      <c r="CO121" s="532" t="s">
        <v>158</v>
      </c>
      <c r="CP121" s="523"/>
      <c r="CQ121" s="93"/>
      <c r="CR121" s="413"/>
      <c r="CS121" s="414"/>
      <c r="CT121" s="632"/>
      <c r="CU121" s="414"/>
      <c r="CV121" s="93"/>
      <c r="CW121" s="415"/>
      <c r="CX121" s="468"/>
      <c r="CY121" s="633"/>
      <c r="CZ121" s="468"/>
      <c r="DA121" s="93"/>
      <c r="DB121" s="423"/>
      <c r="DC121" s="424"/>
      <c r="DD121" s="634"/>
      <c r="DE121" s="424"/>
      <c r="DF121" s="93"/>
      <c r="DG121" s="628"/>
      <c r="DH121" s="641"/>
      <c r="DI121" s="641"/>
      <c r="DJ121" s="641"/>
      <c r="DK121" s="93"/>
      <c r="DL121" s="429"/>
      <c r="DM121" s="430"/>
      <c r="DN121" s="430"/>
      <c r="DO121" s="430"/>
      <c r="DP121" s="93"/>
      <c r="DQ121" s="439"/>
      <c r="DR121" s="441"/>
      <c r="DS121" s="441"/>
      <c r="DT121" s="441"/>
      <c r="DU121" s="93"/>
      <c r="DV121" s="442"/>
      <c r="DW121" s="443"/>
      <c r="DX121" s="363"/>
      <c r="DY121" s="345"/>
      <c r="DZ121" s="87"/>
      <c r="EA121" s="10"/>
    </row>
    <row r="122" ht="17.25" customHeight="1">
      <c r="A122" s="10"/>
      <c r="B122" s="87"/>
      <c r="C122" s="234"/>
      <c r="D122" s="235"/>
      <c r="E122" s="93"/>
      <c r="F122" s="268"/>
      <c r="G122" s="268"/>
      <c r="H122" s="268"/>
      <c r="I122" s="268"/>
      <c r="J122" s="268"/>
      <c r="K122" s="268"/>
      <c r="L122" s="450"/>
      <c r="M122" s="268"/>
      <c r="N122" s="268"/>
      <c r="O122" s="268"/>
      <c r="P122" s="268"/>
      <c r="Q122" s="450"/>
      <c r="R122" s="268"/>
      <c r="S122" s="268"/>
      <c r="T122" s="268"/>
      <c r="U122" s="268"/>
      <c r="V122" s="450"/>
      <c r="W122" s="268"/>
      <c r="X122" s="268"/>
      <c r="Y122" s="268"/>
      <c r="Z122" s="268"/>
      <c r="AA122" s="450"/>
      <c r="AB122" s="268"/>
      <c r="AC122" s="268"/>
      <c r="AD122" s="268"/>
      <c r="AE122" s="268"/>
      <c r="AF122" s="450"/>
      <c r="AG122" s="268"/>
      <c r="AH122" s="268"/>
      <c r="AI122" s="268"/>
      <c r="AJ122" s="268"/>
      <c r="AK122" s="450"/>
      <c r="AL122" s="268"/>
      <c r="AM122" s="268"/>
      <c r="AN122" s="268"/>
      <c r="AO122" s="268"/>
      <c r="AP122" s="397"/>
      <c r="AQ122" s="509"/>
      <c r="AR122" s="397"/>
      <c r="AS122" s="93"/>
      <c r="AT122" s="359"/>
      <c r="AU122" s="518"/>
      <c r="AV122" s="524"/>
      <c r="AW122" s="518"/>
      <c r="AX122" s="93"/>
      <c r="AY122" s="364"/>
      <c r="AZ122" s="480"/>
      <c r="BA122" s="525"/>
      <c r="BB122" s="480"/>
      <c r="BC122" s="93"/>
      <c r="BD122" s="368"/>
      <c r="BE122" s="477"/>
      <c r="BF122" s="560"/>
      <c r="BG122" s="477"/>
      <c r="BH122" s="93"/>
      <c r="BI122" s="402"/>
      <c r="BJ122" s="478"/>
      <c r="BK122" s="609"/>
      <c r="BL122" s="478"/>
      <c r="BM122" s="93"/>
      <c r="BN122" s="372"/>
      <c r="BO122" s="455"/>
      <c r="BP122" s="557"/>
      <c r="BQ122" s="455"/>
      <c r="BR122" s="93"/>
      <c r="BS122" s="380"/>
      <c r="BT122" s="492"/>
      <c r="BU122" s="566"/>
      <c r="BV122" s="492"/>
      <c r="BW122" s="93"/>
      <c r="BX122" s="385"/>
      <c r="BY122" s="490"/>
      <c r="BZ122" s="605"/>
      <c r="CA122" s="490"/>
      <c r="CB122" s="93"/>
      <c r="CC122" s="387"/>
      <c r="CD122" s="404"/>
      <c r="CE122" s="363"/>
      <c r="CF122" s="404"/>
      <c r="CG122" s="93"/>
      <c r="CH122" s="387"/>
      <c r="CI122" s="404"/>
      <c r="CJ122" s="363"/>
      <c r="CK122" s="520"/>
      <c r="CL122" s="93"/>
      <c r="CM122" s="390" t="str">
        <f>IFERROR(__xludf.DUMMYFUNCTION("""COMPUTED_VALUE"""),"")</f>
        <v/>
      </c>
      <c r="CN122" s="489" t="str">
        <f>IFERROR(__xludf.DUMMYFUNCTION("""COMPUTED_VALUE"""),"Impidimp")</f>
        <v>Impidimp</v>
      </c>
      <c r="CO122" s="532" t="s">
        <v>158</v>
      </c>
      <c r="CP122" s="523"/>
      <c r="CQ122" s="93"/>
      <c r="CR122" s="413"/>
      <c r="CS122" s="414"/>
      <c r="CT122" s="632"/>
      <c r="CU122" s="414"/>
      <c r="CV122" s="93"/>
      <c r="CW122" s="415"/>
      <c r="CX122" s="468"/>
      <c r="CY122" s="633"/>
      <c r="CZ122" s="468"/>
      <c r="DA122" s="93"/>
      <c r="DB122" s="423"/>
      <c r="DC122" s="424"/>
      <c r="DD122" s="634"/>
      <c r="DE122" s="424"/>
      <c r="DF122" s="93"/>
      <c r="DG122" s="628"/>
      <c r="DH122" s="641"/>
      <c r="DI122" s="641"/>
      <c r="DJ122" s="641"/>
      <c r="DK122" s="93"/>
      <c r="DL122" s="429"/>
      <c r="DM122" s="430"/>
      <c r="DN122" s="430"/>
      <c r="DO122" s="430"/>
      <c r="DP122" s="93"/>
      <c r="DQ122" s="439"/>
      <c r="DR122" s="441"/>
      <c r="DS122" s="441"/>
      <c r="DT122" s="441"/>
      <c r="DU122" s="93"/>
      <c r="DV122" s="442"/>
      <c r="DW122" s="443"/>
      <c r="DX122" s="363"/>
      <c r="DY122" s="345"/>
      <c r="DZ122" s="87"/>
      <c r="EA122" s="10"/>
    </row>
    <row r="123" ht="17.25" customHeight="1">
      <c r="A123" s="10"/>
      <c r="B123" s="87"/>
      <c r="C123" s="234"/>
      <c r="D123" s="235"/>
      <c r="E123" s="93"/>
      <c r="F123" s="268"/>
      <c r="G123" s="268"/>
      <c r="H123" s="268"/>
      <c r="I123" s="268"/>
      <c r="J123" s="268"/>
      <c r="K123" s="268"/>
      <c r="L123" s="450"/>
      <c r="M123" s="268"/>
      <c r="N123" s="268"/>
      <c r="O123" s="268"/>
      <c r="P123" s="268"/>
      <c r="Q123" s="450"/>
      <c r="R123" s="268"/>
      <c r="S123" s="268"/>
      <c r="T123" s="268"/>
      <c r="U123" s="268"/>
      <c r="V123" s="450"/>
      <c r="W123" s="268"/>
      <c r="X123" s="268"/>
      <c r="Y123" s="268"/>
      <c r="Z123" s="268"/>
      <c r="AA123" s="450"/>
      <c r="AB123" s="268"/>
      <c r="AC123" s="268"/>
      <c r="AD123" s="268"/>
      <c r="AE123" s="268"/>
      <c r="AF123" s="450"/>
      <c r="AG123" s="268"/>
      <c r="AH123" s="268"/>
      <c r="AI123" s="268"/>
      <c r="AJ123" s="268"/>
      <c r="AK123" s="450"/>
      <c r="AL123" s="268"/>
      <c r="AM123" s="268"/>
      <c r="AN123" s="268"/>
      <c r="AO123" s="268"/>
      <c r="AP123" s="397"/>
      <c r="AQ123" s="509"/>
      <c r="AR123" s="397"/>
      <c r="AS123" s="93"/>
      <c r="AT123" s="359"/>
      <c r="AU123" s="518"/>
      <c r="AV123" s="524"/>
      <c r="AW123" s="518"/>
      <c r="AX123" s="93"/>
      <c r="AY123" s="364"/>
      <c r="AZ123" s="480"/>
      <c r="BA123" s="525"/>
      <c r="BB123" s="480"/>
      <c r="BC123" s="93"/>
      <c r="BD123" s="368"/>
      <c r="BE123" s="477"/>
      <c r="BF123" s="560"/>
      <c r="BG123" s="477"/>
      <c r="BH123" s="93"/>
      <c r="BI123" s="402"/>
      <c r="BJ123" s="478"/>
      <c r="BK123" s="609"/>
      <c r="BL123" s="478"/>
      <c r="BM123" s="93"/>
      <c r="BN123" s="372"/>
      <c r="BO123" s="455"/>
      <c r="BP123" s="557"/>
      <c r="BQ123" s="455"/>
      <c r="BR123" s="93"/>
      <c r="BS123" s="380"/>
      <c r="BT123" s="492"/>
      <c r="BU123" s="566"/>
      <c r="BV123" s="492"/>
      <c r="BW123" s="93"/>
      <c r="BX123" s="385"/>
      <c r="BY123" s="490"/>
      <c r="BZ123" s="605"/>
      <c r="CA123" s="490"/>
      <c r="CB123" s="93"/>
      <c r="CC123" s="387"/>
      <c r="CD123" s="404"/>
      <c r="CE123" s="363"/>
      <c r="CF123" s="404"/>
      <c r="CG123" s="93"/>
      <c r="CH123" s="387"/>
      <c r="CI123" s="404"/>
      <c r="CJ123" s="363"/>
      <c r="CK123" s="520"/>
      <c r="CL123" s="93"/>
      <c r="CM123" s="390" t="str">
        <f>IFERROR(__xludf.DUMMYFUNCTION("""COMPUTED_VALUE"""),"")</f>
        <v/>
      </c>
      <c r="CN123" s="489" t="str">
        <f>IFERROR(__xludf.DUMMYFUNCTION("""COMPUTED_VALUE"""),"Jigglypuff")</f>
        <v>Jigglypuff</v>
      </c>
      <c r="CO123" s="532" t="s">
        <v>158</v>
      </c>
      <c r="CP123" s="523"/>
      <c r="CQ123" s="93"/>
      <c r="CR123" s="413"/>
      <c r="CS123" s="414"/>
      <c r="CT123" s="632"/>
      <c r="CU123" s="414"/>
      <c r="CV123" s="93"/>
      <c r="CW123" s="415"/>
      <c r="CX123" s="468"/>
      <c r="CY123" s="633"/>
      <c r="CZ123" s="468"/>
      <c r="DA123" s="93"/>
      <c r="DB123" s="423"/>
      <c r="DC123" s="424"/>
      <c r="DD123" s="634"/>
      <c r="DE123" s="424"/>
      <c r="DF123" s="93"/>
      <c r="DG123" s="628"/>
      <c r="DH123" s="641"/>
      <c r="DI123" s="641"/>
      <c r="DJ123" s="641"/>
      <c r="DK123" s="93"/>
      <c r="DL123" s="429"/>
      <c r="DM123" s="430"/>
      <c r="DN123" s="430"/>
      <c r="DO123" s="430"/>
      <c r="DP123" s="93"/>
      <c r="DQ123" s="439"/>
      <c r="DR123" s="441"/>
      <c r="DS123" s="441"/>
      <c r="DT123" s="441"/>
      <c r="DU123" s="93"/>
      <c r="DV123" s="442"/>
      <c r="DW123" s="443"/>
      <c r="DX123" s="363"/>
      <c r="DY123" s="345"/>
      <c r="DZ123" s="87"/>
      <c r="EA123" s="10"/>
    </row>
    <row r="124" ht="17.25" customHeight="1">
      <c r="A124" s="10"/>
      <c r="B124" s="87"/>
      <c r="C124" s="234"/>
      <c r="D124" s="235"/>
      <c r="E124" s="93"/>
      <c r="F124" s="268"/>
      <c r="G124" s="268"/>
      <c r="H124" s="268"/>
      <c r="I124" s="268"/>
      <c r="J124" s="268"/>
      <c r="K124" s="268"/>
      <c r="L124" s="450"/>
      <c r="M124" s="268"/>
      <c r="N124" s="268"/>
      <c r="O124" s="268"/>
      <c r="P124" s="268"/>
      <c r="Q124" s="450"/>
      <c r="R124" s="268"/>
      <c r="S124" s="268"/>
      <c r="T124" s="268"/>
      <c r="U124" s="268"/>
      <c r="V124" s="450"/>
      <c r="W124" s="268"/>
      <c r="X124" s="268"/>
      <c r="Y124" s="268"/>
      <c r="Z124" s="268"/>
      <c r="AA124" s="450"/>
      <c r="AB124" s="268"/>
      <c r="AC124" s="268"/>
      <c r="AD124" s="268"/>
      <c r="AE124" s="268"/>
      <c r="AF124" s="450"/>
      <c r="AG124" s="268"/>
      <c r="AH124" s="268"/>
      <c r="AI124" s="268"/>
      <c r="AJ124" s="268"/>
      <c r="AK124" s="450"/>
      <c r="AL124" s="268"/>
      <c r="AM124" s="268"/>
      <c r="AN124" s="268"/>
      <c r="AO124" s="268"/>
      <c r="AP124" s="397"/>
      <c r="AQ124" s="509"/>
      <c r="AR124" s="397"/>
      <c r="AS124" s="93"/>
      <c r="AT124" s="359"/>
      <c r="AU124" s="518"/>
      <c r="AV124" s="524"/>
      <c r="AW124" s="518"/>
      <c r="AX124" s="93"/>
      <c r="AY124" s="364"/>
      <c r="AZ124" s="480"/>
      <c r="BA124" s="525"/>
      <c r="BB124" s="480"/>
      <c r="BC124" s="93"/>
      <c r="BD124" s="368"/>
      <c r="BE124" s="477"/>
      <c r="BF124" s="560"/>
      <c r="BG124" s="477"/>
      <c r="BH124" s="93"/>
      <c r="BI124" s="402"/>
      <c r="BJ124" s="478"/>
      <c r="BK124" s="609"/>
      <c r="BL124" s="478"/>
      <c r="BM124" s="93"/>
      <c r="BN124" s="372"/>
      <c r="BO124" s="455"/>
      <c r="BP124" s="557"/>
      <c r="BQ124" s="455"/>
      <c r="BR124" s="93"/>
      <c r="BS124" s="380"/>
      <c r="BT124" s="492"/>
      <c r="BU124" s="566"/>
      <c r="BV124" s="492"/>
      <c r="BW124" s="93"/>
      <c r="BX124" s="385"/>
      <c r="BY124" s="490"/>
      <c r="BZ124" s="605"/>
      <c r="CA124" s="490"/>
      <c r="CB124" s="93"/>
      <c r="CC124" s="387"/>
      <c r="CD124" s="404"/>
      <c r="CE124" s="363"/>
      <c r="CF124" s="404"/>
      <c r="CG124" s="93"/>
      <c r="CH124" s="387"/>
      <c r="CI124" s="404"/>
      <c r="CJ124" s="363"/>
      <c r="CK124" s="520"/>
      <c r="CL124" s="93"/>
      <c r="CM124" s="390" t="str">
        <f>IFERROR(__xludf.DUMMYFUNCTION("""COMPUTED_VALUE"""),"")</f>
        <v/>
      </c>
      <c r="CN124" s="489" t="str">
        <f>IFERROR(__xludf.DUMMYFUNCTION("""COMPUTED_VALUE"""),"Jolteon")</f>
        <v>Jolteon</v>
      </c>
      <c r="CO124" s="532" t="s">
        <v>159</v>
      </c>
      <c r="CP124" s="523"/>
      <c r="CQ124" s="93"/>
      <c r="CR124" s="413"/>
      <c r="CS124" s="414"/>
      <c r="CT124" s="632"/>
      <c r="CU124" s="414"/>
      <c r="CV124" s="93"/>
      <c r="CW124" s="415"/>
      <c r="CX124" s="468"/>
      <c r="CY124" s="633"/>
      <c r="CZ124" s="468"/>
      <c r="DA124" s="93"/>
      <c r="DB124" s="423"/>
      <c r="DC124" s="424"/>
      <c r="DD124" s="634"/>
      <c r="DE124" s="424"/>
      <c r="DF124" s="93"/>
      <c r="DG124" s="628"/>
      <c r="DH124" s="641"/>
      <c r="DI124" s="641"/>
      <c r="DJ124" s="641"/>
      <c r="DK124" s="93"/>
      <c r="DL124" s="429"/>
      <c r="DM124" s="430"/>
      <c r="DN124" s="430"/>
      <c r="DO124" s="430"/>
      <c r="DP124" s="93"/>
      <c r="DQ124" s="439"/>
      <c r="DR124" s="441"/>
      <c r="DS124" s="441"/>
      <c r="DT124" s="441"/>
      <c r="DU124" s="93"/>
      <c r="DV124" s="442"/>
      <c r="DW124" s="443"/>
      <c r="DX124" s="363"/>
      <c r="DY124" s="345"/>
      <c r="DZ124" s="87"/>
      <c r="EA124" s="10"/>
    </row>
    <row r="125" ht="17.25" customHeight="1">
      <c r="A125" s="10"/>
      <c r="B125" s="87"/>
      <c r="C125" s="234"/>
      <c r="D125" s="235"/>
      <c r="E125" s="93"/>
      <c r="F125" s="268"/>
      <c r="G125" s="268"/>
      <c r="H125" s="268"/>
      <c r="I125" s="268"/>
      <c r="J125" s="268"/>
      <c r="K125" s="268"/>
      <c r="L125" s="450"/>
      <c r="M125" s="268"/>
      <c r="N125" s="268"/>
      <c r="O125" s="268"/>
      <c r="P125" s="268"/>
      <c r="Q125" s="450"/>
      <c r="R125" s="268"/>
      <c r="S125" s="268"/>
      <c r="T125" s="268"/>
      <c r="U125" s="268"/>
      <c r="V125" s="450"/>
      <c r="W125" s="268"/>
      <c r="X125" s="268"/>
      <c r="Y125" s="268"/>
      <c r="Z125" s="268"/>
      <c r="AA125" s="450"/>
      <c r="AB125" s="268"/>
      <c r="AC125" s="268"/>
      <c r="AD125" s="268"/>
      <c r="AE125" s="268"/>
      <c r="AF125" s="450"/>
      <c r="AG125" s="268"/>
      <c r="AH125" s="268"/>
      <c r="AI125" s="268"/>
      <c r="AJ125" s="268"/>
      <c r="AK125" s="450"/>
      <c r="AL125" s="268"/>
      <c r="AM125" s="268"/>
      <c r="AN125" s="268"/>
      <c r="AO125" s="268"/>
      <c r="AP125" s="397"/>
      <c r="AQ125" s="509"/>
      <c r="AR125" s="397"/>
      <c r="AS125" s="93"/>
      <c r="AT125" s="359"/>
      <c r="AU125" s="518"/>
      <c r="AV125" s="524"/>
      <c r="AW125" s="518"/>
      <c r="AX125" s="93"/>
      <c r="AY125" s="364"/>
      <c r="AZ125" s="480"/>
      <c r="BA125" s="525"/>
      <c r="BB125" s="480"/>
      <c r="BC125" s="93"/>
      <c r="BD125" s="368"/>
      <c r="BE125" s="477"/>
      <c r="BF125" s="560"/>
      <c r="BG125" s="477"/>
      <c r="BH125" s="93"/>
      <c r="BI125" s="402"/>
      <c r="BJ125" s="478"/>
      <c r="BK125" s="609"/>
      <c r="BL125" s="478"/>
      <c r="BM125" s="93"/>
      <c r="BN125" s="372"/>
      <c r="BO125" s="455"/>
      <c r="BP125" s="557"/>
      <c r="BQ125" s="455"/>
      <c r="BR125" s="93"/>
      <c r="BS125" s="380"/>
      <c r="BT125" s="492"/>
      <c r="BU125" s="566"/>
      <c r="BV125" s="492"/>
      <c r="BW125" s="93"/>
      <c r="BX125" s="385"/>
      <c r="BY125" s="490"/>
      <c r="BZ125" s="605"/>
      <c r="CA125" s="490"/>
      <c r="CB125" s="93"/>
      <c r="CC125" s="387"/>
      <c r="CD125" s="404"/>
      <c r="CE125" s="363"/>
      <c r="CF125" s="404"/>
      <c r="CG125" s="93"/>
      <c r="CH125" s="387"/>
      <c r="CI125" s="404"/>
      <c r="CJ125" s="363"/>
      <c r="CK125" s="520"/>
      <c r="CL125" s="93"/>
      <c r="CM125" s="390" t="str">
        <f>IFERROR(__xludf.DUMMYFUNCTION("""COMPUTED_VALUE"""),"")</f>
        <v/>
      </c>
      <c r="CN125" s="489" t="str">
        <f>IFERROR(__xludf.DUMMYFUNCTION("""COMPUTED_VALUE"""),"Kirlia")</f>
        <v>Kirlia</v>
      </c>
      <c r="CO125" s="532" t="s">
        <v>158</v>
      </c>
      <c r="CP125" s="523"/>
      <c r="CQ125" s="93"/>
      <c r="CR125" s="413"/>
      <c r="CS125" s="414"/>
      <c r="CT125" s="632"/>
      <c r="CU125" s="414"/>
      <c r="CV125" s="93"/>
      <c r="CW125" s="415"/>
      <c r="CX125" s="468"/>
      <c r="CY125" s="633"/>
      <c r="CZ125" s="468"/>
      <c r="DA125" s="93"/>
      <c r="DB125" s="423"/>
      <c r="DC125" s="424"/>
      <c r="DD125" s="634"/>
      <c r="DE125" s="424"/>
      <c r="DF125" s="93"/>
      <c r="DG125" s="628"/>
      <c r="DH125" s="641"/>
      <c r="DI125" s="641"/>
      <c r="DJ125" s="641"/>
      <c r="DK125" s="93"/>
      <c r="DL125" s="429"/>
      <c r="DM125" s="430"/>
      <c r="DN125" s="430"/>
      <c r="DO125" s="430"/>
      <c r="DP125" s="93"/>
      <c r="DQ125" s="439"/>
      <c r="DR125" s="441"/>
      <c r="DS125" s="441"/>
      <c r="DT125" s="441"/>
      <c r="DU125" s="93"/>
      <c r="DV125" s="442"/>
      <c r="DW125" s="443"/>
      <c r="DX125" s="363"/>
      <c r="DY125" s="345"/>
      <c r="DZ125" s="87"/>
      <c r="EA125" s="10"/>
    </row>
    <row r="126" ht="17.25" customHeight="1">
      <c r="A126" s="10"/>
      <c r="B126" s="87"/>
      <c r="C126" s="234"/>
      <c r="D126" s="235"/>
      <c r="E126" s="93"/>
      <c r="F126" s="268"/>
      <c r="G126" s="268"/>
      <c r="H126" s="268"/>
      <c r="I126" s="268"/>
      <c r="J126" s="268"/>
      <c r="K126" s="268"/>
      <c r="L126" s="450"/>
      <c r="M126" s="268"/>
      <c r="N126" s="268"/>
      <c r="O126" s="268"/>
      <c r="P126" s="268"/>
      <c r="Q126" s="450"/>
      <c r="R126" s="268"/>
      <c r="S126" s="268"/>
      <c r="T126" s="268"/>
      <c r="U126" s="268"/>
      <c r="V126" s="450"/>
      <c r="W126" s="268"/>
      <c r="X126" s="268"/>
      <c r="Y126" s="268"/>
      <c r="Z126" s="268"/>
      <c r="AA126" s="450"/>
      <c r="AB126" s="268"/>
      <c r="AC126" s="268"/>
      <c r="AD126" s="268"/>
      <c r="AE126" s="268"/>
      <c r="AF126" s="450"/>
      <c r="AG126" s="268"/>
      <c r="AH126" s="268"/>
      <c r="AI126" s="268"/>
      <c r="AJ126" s="268"/>
      <c r="AK126" s="450"/>
      <c r="AL126" s="268"/>
      <c r="AM126" s="268"/>
      <c r="AN126" s="268"/>
      <c r="AO126" s="268"/>
      <c r="AP126" s="397"/>
      <c r="AQ126" s="509"/>
      <c r="AR126" s="397"/>
      <c r="AS126" s="93"/>
      <c r="AT126" s="359"/>
      <c r="AU126" s="518"/>
      <c r="AV126" s="524"/>
      <c r="AW126" s="518"/>
      <c r="AX126" s="93"/>
      <c r="AY126" s="364"/>
      <c r="AZ126" s="480"/>
      <c r="BA126" s="525"/>
      <c r="BB126" s="480"/>
      <c r="BC126" s="93"/>
      <c r="BD126" s="368"/>
      <c r="BE126" s="477"/>
      <c r="BF126" s="560"/>
      <c r="BG126" s="477"/>
      <c r="BH126" s="93"/>
      <c r="BI126" s="402"/>
      <c r="BJ126" s="478"/>
      <c r="BK126" s="609"/>
      <c r="BL126" s="478"/>
      <c r="BM126" s="93"/>
      <c r="BN126" s="372"/>
      <c r="BO126" s="455"/>
      <c r="BP126" s="557"/>
      <c r="BQ126" s="455"/>
      <c r="BR126" s="93"/>
      <c r="BS126" s="380"/>
      <c r="BT126" s="492"/>
      <c r="BU126" s="566"/>
      <c r="BV126" s="492"/>
      <c r="BW126" s="93"/>
      <c r="BX126" s="385"/>
      <c r="BY126" s="490"/>
      <c r="BZ126" s="605"/>
      <c r="CA126" s="490"/>
      <c r="CB126" s="93"/>
      <c r="CC126" s="387"/>
      <c r="CD126" s="404"/>
      <c r="CE126" s="363"/>
      <c r="CF126" s="404"/>
      <c r="CG126" s="93"/>
      <c r="CH126" s="387"/>
      <c r="CI126" s="404"/>
      <c r="CJ126" s="363"/>
      <c r="CK126" s="520"/>
      <c r="CL126" s="93"/>
      <c r="CM126" s="390" t="str">
        <f>IFERROR(__xludf.DUMMYFUNCTION("""COMPUTED_VALUE"""),"")</f>
        <v/>
      </c>
      <c r="CN126" s="489" t="str">
        <f>IFERROR(__xludf.DUMMYFUNCTION("""COMPUTED_VALUE"""),"Klawf")</f>
        <v>Klawf</v>
      </c>
      <c r="CO126" s="532" t="s">
        <v>158</v>
      </c>
      <c r="CP126" s="523"/>
      <c r="CQ126" s="93"/>
      <c r="CR126" s="413"/>
      <c r="CS126" s="414"/>
      <c r="CT126" s="632"/>
      <c r="CU126" s="414"/>
      <c r="CV126" s="93"/>
      <c r="CW126" s="415"/>
      <c r="CX126" s="468"/>
      <c r="CY126" s="633"/>
      <c r="CZ126" s="468"/>
      <c r="DA126" s="93"/>
      <c r="DB126" s="423"/>
      <c r="DC126" s="424"/>
      <c r="DD126" s="634"/>
      <c r="DE126" s="424"/>
      <c r="DF126" s="93"/>
      <c r="DG126" s="628"/>
      <c r="DH126" s="641"/>
      <c r="DI126" s="641"/>
      <c r="DJ126" s="641"/>
      <c r="DK126" s="93"/>
      <c r="DL126" s="429"/>
      <c r="DM126" s="430"/>
      <c r="DN126" s="430"/>
      <c r="DO126" s="430"/>
      <c r="DP126" s="93"/>
      <c r="DQ126" s="439"/>
      <c r="DR126" s="441"/>
      <c r="DS126" s="441"/>
      <c r="DT126" s="441"/>
      <c r="DU126" s="93"/>
      <c r="DV126" s="442"/>
      <c r="DW126" s="443"/>
      <c r="DX126" s="363"/>
      <c r="DY126" s="345"/>
      <c r="DZ126" s="87"/>
      <c r="EA126" s="10"/>
    </row>
    <row r="127" ht="17.25" customHeight="1">
      <c r="A127" s="10"/>
      <c r="B127" s="87"/>
      <c r="C127" s="234"/>
      <c r="D127" s="235"/>
      <c r="E127" s="93"/>
      <c r="F127" s="268"/>
      <c r="G127" s="268"/>
      <c r="H127" s="268"/>
      <c r="I127" s="268"/>
      <c r="J127" s="268"/>
      <c r="K127" s="268"/>
      <c r="L127" s="450"/>
      <c r="M127" s="268"/>
      <c r="N127" s="268"/>
      <c r="O127" s="268"/>
      <c r="P127" s="268"/>
      <c r="Q127" s="450"/>
      <c r="R127" s="268"/>
      <c r="S127" s="268"/>
      <c r="T127" s="268"/>
      <c r="U127" s="268"/>
      <c r="V127" s="450"/>
      <c r="W127" s="268"/>
      <c r="X127" s="268"/>
      <c r="Y127" s="268"/>
      <c r="Z127" s="268"/>
      <c r="AA127" s="450"/>
      <c r="AB127" s="268"/>
      <c r="AC127" s="268"/>
      <c r="AD127" s="268"/>
      <c r="AE127" s="268"/>
      <c r="AF127" s="450"/>
      <c r="AG127" s="268"/>
      <c r="AH127" s="268"/>
      <c r="AI127" s="268"/>
      <c r="AJ127" s="268"/>
      <c r="AK127" s="450"/>
      <c r="AL127" s="268"/>
      <c r="AM127" s="268"/>
      <c r="AN127" s="268"/>
      <c r="AO127" s="268"/>
      <c r="AP127" s="397"/>
      <c r="AQ127" s="509"/>
      <c r="AR127" s="397"/>
      <c r="AS127" s="93"/>
      <c r="AT127" s="359"/>
      <c r="AU127" s="518"/>
      <c r="AV127" s="524"/>
      <c r="AW127" s="518"/>
      <c r="AX127" s="93"/>
      <c r="AY127" s="364"/>
      <c r="AZ127" s="480"/>
      <c r="BA127" s="525"/>
      <c r="BB127" s="480"/>
      <c r="BC127" s="93"/>
      <c r="BD127" s="368"/>
      <c r="BE127" s="477"/>
      <c r="BF127" s="560"/>
      <c r="BG127" s="477"/>
      <c r="BH127" s="93"/>
      <c r="BI127" s="402"/>
      <c r="BJ127" s="478"/>
      <c r="BK127" s="609"/>
      <c r="BL127" s="478"/>
      <c r="BM127" s="93"/>
      <c r="BN127" s="372"/>
      <c r="BO127" s="455"/>
      <c r="BP127" s="557"/>
      <c r="BQ127" s="455"/>
      <c r="BR127" s="93"/>
      <c r="BS127" s="380"/>
      <c r="BT127" s="492"/>
      <c r="BU127" s="566"/>
      <c r="BV127" s="492"/>
      <c r="BW127" s="93"/>
      <c r="BX127" s="385"/>
      <c r="BY127" s="490"/>
      <c r="BZ127" s="605"/>
      <c r="CA127" s="490"/>
      <c r="CB127" s="93"/>
      <c r="CC127" s="387"/>
      <c r="CD127" s="404"/>
      <c r="CE127" s="363"/>
      <c r="CF127" s="404"/>
      <c r="CG127" s="93"/>
      <c r="CH127" s="387"/>
      <c r="CI127" s="404"/>
      <c r="CJ127" s="363"/>
      <c r="CK127" s="520"/>
      <c r="CL127" s="93"/>
      <c r="CM127" s="390" t="str">
        <f>IFERROR(__xludf.DUMMYFUNCTION("""COMPUTED_VALUE"""),"")</f>
        <v/>
      </c>
      <c r="CN127" s="489" t="str">
        <f>IFERROR(__xludf.DUMMYFUNCTION("""COMPUTED_VALUE"""),"Klefki")</f>
        <v>Klefki</v>
      </c>
      <c r="CO127" s="532" t="s">
        <v>158</v>
      </c>
      <c r="CP127" s="523"/>
      <c r="CQ127" s="93"/>
      <c r="CR127" s="413"/>
      <c r="CS127" s="414"/>
      <c r="CT127" s="632"/>
      <c r="CU127" s="414"/>
      <c r="CV127" s="93"/>
      <c r="CW127" s="415"/>
      <c r="CX127" s="468"/>
      <c r="CY127" s="633"/>
      <c r="CZ127" s="468"/>
      <c r="DA127" s="93"/>
      <c r="DB127" s="423"/>
      <c r="DC127" s="424"/>
      <c r="DD127" s="634"/>
      <c r="DE127" s="424"/>
      <c r="DF127" s="93"/>
      <c r="DG127" s="628"/>
      <c r="DH127" s="641"/>
      <c r="DI127" s="641"/>
      <c r="DJ127" s="641"/>
      <c r="DK127" s="93"/>
      <c r="DL127" s="429"/>
      <c r="DM127" s="430"/>
      <c r="DN127" s="430"/>
      <c r="DO127" s="430"/>
      <c r="DP127" s="93"/>
      <c r="DQ127" s="439"/>
      <c r="DR127" s="441"/>
      <c r="DS127" s="441"/>
      <c r="DT127" s="441"/>
      <c r="DU127" s="93"/>
      <c r="DV127" s="442"/>
      <c r="DW127" s="443"/>
      <c r="DX127" s="363"/>
      <c r="DY127" s="345"/>
      <c r="DZ127" s="87"/>
      <c r="EA127" s="10"/>
    </row>
    <row r="128" ht="17.25" customHeight="1">
      <c r="A128" s="10"/>
      <c r="B128" s="87"/>
      <c r="C128" s="234"/>
      <c r="D128" s="235"/>
      <c r="E128" s="93"/>
      <c r="F128" s="268"/>
      <c r="G128" s="268"/>
      <c r="H128" s="268"/>
      <c r="I128" s="268"/>
      <c r="J128" s="268"/>
      <c r="K128" s="268"/>
      <c r="L128" s="450"/>
      <c r="M128" s="268"/>
      <c r="N128" s="268"/>
      <c r="O128" s="268"/>
      <c r="P128" s="268"/>
      <c r="Q128" s="450"/>
      <c r="R128" s="268"/>
      <c r="S128" s="268"/>
      <c r="T128" s="268"/>
      <c r="U128" s="268"/>
      <c r="V128" s="450"/>
      <c r="W128" s="268"/>
      <c r="X128" s="268"/>
      <c r="Y128" s="268"/>
      <c r="Z128" s="268"/>
      <c r="AA128" s="450"/>
      <c r="AB128" s="268"/>
      <c r="AC128" s="268"/>
      <c r="AD128" s="268"/>
      <c r="AE128" s="268"/>
      <c r="AF128" s="450"/>
      <c r="AG128" s="268"/>
      <c r="AH128" s="268"/>
      <c r="AI128" s="268"/>
      <c r="AJ128" s="268"/>
      <c r="AK128" s="450"/>
      <c r="AL128" s="268"/>
      <c r="AM128" s="268"/>
      <c r="AN128" s="268"/>
      <c r="AO128" s="268"/>
      <c r="AP128" s="397"/>
      <c r="AQ128" s="509"/>
      <c r="AR128" s="397"/>
      <c r="AS128" s="93"/>
      <c r="AT128" s="359"/>
      <c r="AU128" s="518"/>
      <c r="AV128" s="524"/>
      <c r="AW128" s="518"/>
      <c r="AX128" s="93"/>
      <c r="AY128" s="364"/>
      <c r="AZ128" s="480"/>
      <c r="BA128" s="525"/>
      <c r="BB128" s="480"/>
      <c r="BC128" s="93"/>
      <c r="BD128" s="368"/>
      <c r="BE128" s="477"/>
      <c r="BF128" s="560"/>
      <c r="BG128" s="477"/>
      <c r="BH128" s="93"/>
      <c r="BI128" s="402"/>
      <c r="BJ128" s="478"/>
      <c r="BK128" s="609"/>
      <c r="BL128" s="478"/>
      <c r="BM128" s="93"/>
      <c r="BN128" s="372"/>
      <c r="BO128" s="455"/>
      <c r="BP128" s="557"/>
      <c r="BQ128" s="455"/>
      <c r="BR128" s="93"/>
      <c r="BS128" s="380"/>
      <c r="BT128" s="492"/>
      <c r="BU128" s="566"/>
      <c r="BV128" s="492"/>
      <c r="BW128" s="93"/>
      <c r="BX128" s="385"/>
      <c r="BY128" s="490"/>
      <c r="BZ128" s="605"/>
      <c r="CA128" s="490"/>
      <c r="CB128" s="93"/>
      <c r="CC128" s="387"/>
      <c r="CD128" s="404"/>
      <c r="CE128" s="363"/>
      <c r="CF128" s="404"/>
      <c r="CG128" s="93"/>
      <c r="CH128" s="387"/>
      <c r="CI128" s="404"/>
      <c r="CJ128" s="363"/>
      <c r="CK128" s="520"/>
      <c r="CL128" s="93"/>
      <c r="CM128" s="390" t="str">
        <f>IFERROR(__xludf.DUMMYFUNCTION("""COMPUTED_VALUE"""),"")</f>
        <v/>
      </c>
      <c r="CN128" s="489" t="str">
        <f>IFERROR(__xludf.DUMMYFUNCTION("""COMPUTED_VALUE"""),"Komala")</f>
        <v>Komala</v>
      </c>
      <c r="CO128" s="532" t="s">
        <v>158</v>
      </c>
      <c r="CP128" s="523"/>
      <c r="CQ128" s="93"/>
      <c r="CR128" s="413"/>
      <c r="CS128" s="414"/>
      <c r="CT128" s="632"/>
      <c r="CU128" s="414"/>
      <c r="CV128" s="93"/>
      <c r="CW128" s="415"/>
      <c r="CX128" s="468"/>
      <c r="CY128" s="633"/>
      <c r="CZ128" s="468"/>
      <c r="DA128" s="93"/>
      <c r="DB128" s="423"/>
      <c r="DC128" s="424"/>
      <c r="DD128" s="634"/>
      <c r="DE128" s="424"/>
      <c r="DF128" s="93"/>
      <c r="DG128" s="628"/>
      <c r="DH128" s="641"/>
      <c r="DI128" s="641"/>
      <c r="DJ128" s="641"/>
      <c r="DK128" s="93"/>
      <c r="DL128" s="429"/>
      <c r="DM128" s="430"/>
      <c r="DN128" s="430"/>
      <c r="DO128" s="430"/>
      <c r="DP128" s="93"/>
      <c r="DQ128" s="439"/>
      <c r="DR128" s="441"/>
      <c r="DS128" s="441"/>
      <c r="DT128" s="441"/>
      <c r="DU128" s="93"/>
      <c r="DV128" s="442"/>
      <c r="DW128" s="443"/>
      <c r="DX128" s="363"/>
      <c r="DY128" s="345"/>
      <c r="DZ128" s="87"/>
      <c r="EA128" s="10"/>
    </row>
    <row r="129" ht="17.25" customHeight="1">
      <c r="A129" s="10"/>
      <c r="B129" s="87"/>
      <c r="C129" s="234"/>
      <c r="D129" s="235"/>
      <c r="E129" s="93"/>
      <c r="F129" s="268"/>
      <c r="G129" s="268"/>
      <c r="H129" s="268"/>
      <c r="I129" s="268"/>
      <c r="J129" s="268"/>
      <c r="K129" s="268"/>
      <c r="L129" s="450"/>
      <c r="M129" s="268"/>
      <c r="N129" s="268"/>
      <c r="O129" s="268"/>
      <c r="P129" s="268"/>
      <c r="Q129" s="450"/>
      <c r="R129" s="268"/>
      <c r="S129" s="268"/>
      <c r="T129" s="268"/>
      <c r="U129" s="268"/>
      <c r="V129" s="450"/>
      <c r="W129" s="268"/>
      <c r="X129" s="268"/>
      <c r="Y129" s="268"/>
      <c r="Z129" s="268"/>
      <c r="AA129" s="450"/>
      <c r="AB129" s="268"/>
      <c r="AC129" s="268"/>
      <c r="AD129" s="268"/>
      <c r="AE129" s="268"/>
      <c r="AF129" s="450"/>
      <c r="AG129" s="268"/>
      <c r="AH129" s="268"/>
      <c r="AI129" s="268"/>
      <c r="AJ129" s="268"/>
      <c r="AK129" s="450"/>
      <c r="AL129" s="268"/>
      <c r="AM129" s="268"/>
      <c r="AN129" s="268"/>
      <c r="AO129" s="268"/>
      <c r="AP129" s="397"/>
      <c r="AQ129" s="509"/>
      <c r="AR129" s="397"/>
      <c r="AS129" s="93"/>
      <c r="AT129" s="359"/>
      <c r="AU129" s="518"/>
      <c r="AV129" s="524"/>
      <c r="AW129" s="518"/>
      <c r="AX129" s="93"/>
      <c r="AY129" s="364"/>
      <c r="AZ129" s="480"/>
      <c r="BA129" s="525"/>
      <c r="BB129" s="480"/>
      <c r="BC129" s="93"/>
      <c r="BD129" s="368"/>
      <c r="BE129" s="477"/>
      <c r="BF129" s="560"/>
      <c r="BG129" s="477"/>
      <c r="BH129" s="93"/>
      <c r="BI129" s="402"/>
      <c r="BJ129" s="478"/>
      <c r="BK129" s="609"/>
      <c r="BL129" s="478"/>
      <c r="BM129" s="93"/>
      <c r="BN129" s="372"/>
      <c r="BO129" s="455"/>
      <c r="BP129" s="557"/>
      <c r="BQ129" s="455"/>
      <c r="BR129" s="93"/>
      <c r="BS129" s="380"/>
      <c r="BT129" s="492"/>
      <c r="BU129" s="566"/>
      <c r="BV129" s="492"/>
      <c r="BW129" s="93"/>
      <c r="BX129" s="385"/>
      <c r="BY129" s="490"/>
      <c r="BZ129" s="605"/>
      <c r="CA129" s="490"/>
      <c r="CB129" s="93"/>
      <c r="CC129" s="387"/>
      <c r="CD129" s="404"/>
      <c r="CE129" s="363"/>
      <c r="CF129" s="404"/>
      <c r="CG129" s="93"/>
      <c r="CH129" s="387"/>
      <c r="CI129" s="404"/>
      <c r="CJ129" s="363"/>
      <c r="CK129" s="520"/>
      <c r="CL129" s="93"/>
      <c r="CM129" s="390" t="str">
        <f>IFERROR(__xludf.DUMMYFUNCTION("""COMPUTED_VALUE"""),"")</f>
        <v/>
      </c>
      <c r="CN129" s="489" t="str">
        <f>IFERROR(__xludf.DUMMYFUNCTION("""COMPUTED_VALUE"""),"Kricketune")</f>
        <v>Kricketune</v>
      </c>
      <c r="CO129" s="532" t="s">
        <v>158</v>
      </c>
      <c r="CP129" s="523"/>
      <c r="CQ129" s="93"/>
      <c r="CR129" s="413"/>
      <c r="CS129" s="414"/>
      <c r="CT129" s="632"/>
      <c r="CU129" s="414"/>
      <c r="CV129" s="93"/>
      <c r="CW129" s="415"/>
      <c r="CX129" s="468"/>
      <c r="CY129" s="633"/>
      <c r="CZ129" s="468"/>
      <c r="DA129" s="93"/>
      <c r="DB129" s="423"/>
      <c r="DC129" s="424"/>
      <c r="DD129" s="634"/>
      <c r="DE129" s="424"/>
      <c r="DF129" s="93"/>
      <c r="DG129" s="628"/>
      <c r="DH129" s="641"/>
      <c r="DI129" s="641"/>
      <c r="DJ129" s="641"/>
      <c r="DK129" s="93"/>
      <c r="DL129" s="429"/>
      <c r="DM129" s="430"/>
      <c r="DN129" s="430"/>
      <c r="DO129" s="430"/>
      <c r="DP129" s="93"/>
      <c r="DQ129" s="439"/>
      <c r="DR129" s="441"/>
      <c r="DS129" s="441"/>
      <c r="DT129" s="441"/>
      <c r="DU129" s="93"/>
      <c r="DV129" s="442"/>
      <c r="DW129" s="443"/>
      <c r="DX129" s="363"/>
      <c r="DY129" s="345"/>
      <c r="DZ129" s="87"/>
      <c r="EA129" s="10"/>
    </row>
    <row r="130" ht="17.25" customHeight="1">
      <c r="A130" s="10"/>
      <c r="B130" s="87"/>
      <c r="C130" s="234"/>
      <c r="D130" s="235"/>
      <c r="E130" s="93"/>
      <c r="F130" s="268"/>
      <c r="G130" s="268"/>
      <c r="H130" s="268"/>
      <c r="I130" s="268"/>
      <c r="J130" s="268"/>
      <c r="K130" s="268"/>
      <c r="L130" s="450"/>
      <c r="M130" s="268"/>
      <c r="N130" s="268"/>
      <c r="O130" s="268"/>
      <c r="P130" s="268"/>
      <c r="Q130" s="450"/>
      <c r="R130" s="268"/>
      <c r="S130" s="268"/>
      <c r="T130" s="268"/>
      <c r="U130" s="268"/>
      <c r="V130" s="450"/>
      <c r="W130" s="268"/>
      <c r="X130" s="268"/>
      <c r="Y130" s="268"/>
      <c r="Z130" s="268"/>
      <c r="AA130" s="450"/>
      <c r="AB130" s="268"/>
      <c r="AC130" s="268"/>
      <c r="AD130" s="268"/>
      <c r="AE130" s="268"/>
      <c r="AF130" s="450"/>
      <c r="AG130" s="268"/>
      <c r="AH130" s="268"/>
      <c r="AI130" s="268"/>
      <c r="AJ130" s="268"/>
      <c r="AK130" s="450"/>
      <c r="AL130" s="268"/>
      <c r="AM130" s="268"/>
      <c r="AN130" s="268"/>
      <c r="AO130" s="268"/>
      <c r="AP130" s="397"/>
      <c r="AQ130" s="509"/>
      <c r="AR130" s="397"/>
      <c r="AS130" s="93"/>
      <c r="AT130" s="359"/>
      <c r="AU130" s="518"/>
      <c r="AV130" s="524"/>
      <c r="AW130" s="518"/>
      <c r="AX130" s="93"/>
      <c r="AY130" s="364"/>
      <c r="AZ130" s="480"/>
      <c r="BA130" s="525"/>
      <c r="BB130" s="480"/>
      <c r="BC130" s="93"/>
      <c r="BD130" s="368"/>
      <c r="BE130" s="477"/>
      <c r="BF130" s="560"/>
      <c r="BG130" s="477"/>
      <c r="BH130" s="93"/>
      <c r="BI130" s="402"/>
      <c r="BJ130" s="478"/>
      <c r="BK130" s="609"/>
      <c r="BL130" s="478"/>
      <c r="BM130" s="93"/>
      <c r="BN130" s="372"/>
      <c r="BO130" s="455"/>
      <c r="BP130" s="557"/>
      <c r="BQ130" s="455"/>
      <c r="BR130" s="93"/>
      <c r="BS130" s="380"/>
      <c r="BT130" s="492"/>
      <c r="BU130" s="566"/>
      <c r="BV130" s="492"/>
      <c r="BW130" s="93"/>
      <c r="BX130" s="385"/>
      <c r="BY130" s="490"/>
      <c r="BZ130" s="605"/>
      <c r="CA130" s="490"/>
      <c r="CB130" s="93"/>
      <c r="CC130" s="387"/>
      <c r="CD130" s="404"/>
      <c r="CE130" s="363"/>
      <c r="CF130" s="404"/>
      <c r="CG130" s="93"/>
      <c r="CH130" s="387"/>
      <c r="CI130" s="404"/>
      <c r="CJ130" s="363"/>
      <c r="CK130" s="520"/>
      <c r="CL130" s="93"/>
      <c r="CM130" s="390" t="str">
        <f>IFERROR(__xludf.DUMMYFUNCTION("""COMPUTED_VALUE"""),"")</f>
        <v/>
      </c>
      <c r="CN130" s="489" t="str">
        <f>IFERROR(__xludf.DUMMYFUNCTION("""COMPUTED_VALUE"""),"Krokorok")</f>
        <v>Krokorok</v>
      </c>
      <c r="CO130" s="532" t="s">
        <v>158</v>
      </c>
      <c r="CP130" s="523"/>
      <c r="CQ130" s="93"/>
      <c r="CR130" s="413"/>
      <c r="CS130" s="414"/>
      <c r="CT130" s="632"/>
      <c r="CU130" s="414"/>
      <c r="CV130" s="93"/>
      <c r="CW130" s="415"/>
      <c r="CX130" s="468"/>
      <c r="CY130" s="633"/>
      <c r="CZ130" s="468"/>
      <c r="DA130" s="93"/>
      <c r="DB130" s="423"/>
      <c r="DC130" s="424"/>
      <c r="DD130" s="634"/>
      <c r="DE130" s="424"/>
      <c r="DF130" s="93"/>
      <c r="DG130" s="628"/>
      <c r="DH130" s="641"/>
      <c r="DI130" s="641"/>
      <c r="DJ130" s="641"/>
      <c r="DK130" s="93"/>
      <c r="DL130" s="429"/>
      <c r="DM130" s="430"/>
      <c r="DN130" s="430"/>
      <c r="DO130" s="430"/>
      <c r="DP130" s="93"/>
      <c r="DQ130" s="439"/>
      <c r="DR130" s="441"/>
      <c r="DS130" s="441"/>
      <c r="DT130" s="441"/>
      <c r="DU130" s="93"/>
      <c r="DV130" s="442"/>
      <c r="DW130" s="443"/>
      <c r="DX130" s="363"/>
      <c r="DY130" s="345"/>
      <c r="DZ130" s="87"/>
      <c r="EA130" s="10"/>
    </row>
    <row r="131" ht="17.25" customHeight="1">
      <c r="A131" s="10"/>
      <c r="B131" s="87"/>
      <c r="C131" s="234"/>
      <c r="D131" s="235"/>
      <c r="E131" s="93"/>
      <c r="F131" s="268"/>
      <c r="G131" s="268"/>
      <c r="H131" s="268"/>
      <c r="I131" s="268"/>
      <c r="J131" s="268"/>
      <c r="K131" s="268"/>
      <c r="L131" s="450"/>
      <c r="M131" s="268"/>
      <c r="N131" s="268"/>
      <c r="O131" s="268"/>
      <c r="P131" s="268"/>
      <c r="Q131" s="450"/>
      <c r="R131" s="268"/>
      <c r="S131" s="268"/>
      <c r="T131" s="268"/>
      <c r="U131" s="268"/>
      <c r="V131" s="450"/>
      <c r="W131" s="268"/>
      <c r="X131" s="268"/>
      <c r="Y131" s="268"/>
      <c r="Z131" s="268"/>
      <c r="AA131" s="450"/>
      <c r="AB131" s="268"/>
      <c r="AC131" s="268"/>
      <c r="AD131" s="268"/>
      <c r="AE131" s="268"/>
      <c r="AF131" s="450"/>
      <c r="AG131" s="268"/>
      <c r="AH131" s="268"/>
      <c r="AI131" s="268"/>
      <c r="AJ131" s="268"/>
      <c r="AK131" s="450"/>
      <c r="AL131" s="268"/>
      <c r="AM131" s="268"/>
      <c r="AN131" s="268"/>
      <c r="AO131" s="268"/>
      <c r="AP131" s="397"/>
      <c r="AQ131" s="509"/>
      <c r="AR131" s="397"/>
      <c r="AS131" s="93"/>
      <c r="AT131" s="359"/>
      <c r="AU131" s="518"/>
      <c r="AV131" s="524"/>
      <c r="AW131" s="518"/>
      <c r="AX131" s="93"/>
      <c r="AY131" s="364"/>
      <c r="AZ131" s="480"/>
      <c r="BA131" s="525"/>
      <c r="BB131" s="480"/>
      <c r="BC131" s="93"/>
      <c r="BD131" s="368"/>
      <c r="BE131" s="477"/>
      <c r="BF131" s="560"/>
      <c r="BG131" s="477"/>
      <c r="BH131" s="93"/>
      <c r="BI131" s="402"/>
      <c r="BJ131" s="478"/>
      <c r="BK131" s="609"/>
      <c r="BL131" s="478"/>
      <c r="BM131" s="93"/>
      <c r="BN131" s="372"/>
      <c r="BO131" s="455"/>
      <c r="BP131" s="557"/>
      <c r="BQ131" s="455"/>
      <c r="BR131" s="93"/>
      <c r="BS131" s="380"/>
      <c r="BT131" s="492"/>
      <c r="BU131" s="566"/>
      <c r="BV131" s="492"/>
      <c r="BW131" s="93"/>
      <c r="BX131" s="385"/>
      <c r="BY131" s="490"/>
      <c r="BZ131" s="605"/>
      <c r="CA131" s="490"/>
      <c r="CB131" s="93"/>
      <c r="CC131" s="387"/>
      <c r="CD131" s="404"/>
      <c r="CE131" s="363"/>
      <c r="CF131" s="404"/>
      <c r="CG131" s="93"/>
      <c r="CH131" s="387"/>
      <c r="CI131" s="404"/>
      <c r="CJ131" s="363"/>
      <c r="CK131" s="520"/>
      <c r="CL131" s="93"/>
      <c r="CM131" s="390" t="str">
        <f>IFERROR(__xludf.DUMMYFUNCTION("""COMPUTED_VALUE"""),"")</f>
        <v/>
      </c>
      <c r="CN131" s="489" t="str">
        <f>IFERROR(__xludf.DUMMYFUNCTION("""COMPUTED_VALUE"""),"Krookodile")</f>
        <v>Krookodile</v>
      </c>
      <c r="CO131" s="532" t="s">
        <v>158</v>
      </c>
      <c r="CP131" s="523"/>
      <c r="CQ131" s="93"/>
      <c r="CR131" s="413"/>
      <c r="CS131" s="414"/>
      <c r="CT131" s="632"/>
      <c r="CU131" s="414"/>
      <c r="CV131" s="93"/>
      <c r="CW131" s="415"/>
      <c r="CX131" s="468"/>
      <c r="CY131" s="633"/>
      <c r="CZ131" s="468"/>
      <c r="DA131" s="93"/>
      <c r="DB131" s="423"/>
      <c r="DC131" s="424"/>
      <c r="DD131" s="634"/>
      <c r="DE131" s="424"/>
      <c r="DF131" s="93"/>
      <c r="DG131" s="628"/>
      <c r="DH131" s="641"/>
      <c r="DI131" s="641"/>
      <c r="DJ131" s="641"/>
      <c r="DK131" s="93"/>
      <c r="DL131" s="429"/>
      <c r="DM131" s="430"/>
      <c r="DN131" s="430"/>
      <c r="DO131" s="430"/>
      <c r="DP131" s="93"/>
      <c r="DQ131" s="439"/>
      <c r="DR131" s="441"/>
      <c r="DS131" s="441"/>
      <c r="DT131" s="441"/>
      <c r="DU131" s="93"/>
      <c r="DV131" s="442"/>
      <c r="DW131" s="443"/>
      <c r="DX131" s="363"/>
      <c r="DY131" s="345"/>
      <c r="DZ131" s="87"/>
      <c r="EA131" s="10"/>
    </row>
    <row r="132" ht="17.25" customHeight="1">
      <c r="A132" s="10"/>
      <c r="B132" s="87"/>
      <c r="C132" s="234"/>
      <c r="D132" s="235"/>
      <c r="E132" s="93"/>
      <c r="F132" s="268"/>
      <c r="G132" s="268"/>
      <c r="H132" s="268"/>
      <c r="I132" s="268"/>
      <c r="J132" s="268"/>
      <c r="K132" s="268"/>
      <c r="L132" s="450"/>
      <c r="M132" s="268"/>
      <c r="N132" s="268"/>
      <c r="O132" s="268"/>
      <c r="P132" s="268"/>
      <c r="Q132" s="450"/>
      <c r="R132" s="268"/>
      <c r="S132" s="268"/>
      <c r="T132" s="268"/>
      <c r="U132" s="268"/>
      <c r="V132" s="450"/>
      <c r="W132" s="268"/>
      <c r="X132" s="268"/>
      <c r="Y132" s="268"/>
      <c r="Z132" s="268"/>
      <c r="AA132" s="450"/>
      <c r="AB132" s="268"/>
      <c r="AC132" s="268"/>
      <c r="AD132" s="268"/>
      <c r="AE132" s="268"/>
      <c r="AF132" s="450"/>
      <c r="AG132" s="268"/>
      <c r="AH132" s="268"/>
      <c r="AI132" s="268"/>
      <c r="AJ132" s="268"/>
      <c r="AK132" s="450"/>
      <c r="AL132" s="268"/>
      <c r="AM132" s="268"/>
      <c r="AN132" s="268"/>
      <c r="AO132" s="268"/>
      <c r="AP132" s="397"/>
      <c r="AQ132" s="509"/>
      <c r="AR132" s="397"/>
      <c r="AS132" s="93"/>
      <c r="AT132" s="359"/>
      <c r="AU132" s="518"/>
      <c r="AV132" s="524"/>
      <c r="AW132" s="518"/>
      <c r="AX132" s="93"/>
      <c r="AY132" s="364"/>
      <c r="AZ132" s="480"/>
      <c r="BA132" s="525"/>
      <c r="BB132" s="480"/>
      <c r="BC132" s="93"/>
      <c r="BD132" s="368"/>
      <c r="BE132" s="477"/>
      <c r="BF132" s="560"/>
      <c r="BG132" s="477"/>
      <c r="BH132" s="93"/>
      <c r="BI132" s="402"/>
      <c r="BJ132" s="478"/>
      <c r="BK132" s="609"/>
      <c r="BL132" s="478"/>
      <c r="BM132" s="93"/>
      <c r="BN132" s="372"/>
      <c r="BO132" s="455"/>
      <c r="BP132" s="557"/>
      <c r="BQ132" s="455"/>
      <c r="BR132" s="93"/>
      <c r="BS132" s="380"/>
      <c r="BT132" s="492"/>
      <c r="BU132" s="566"/>
      <c r="BV132" s="492"/>
      <c r="BW132" s="93"/>
      <c r="BX132" s="385"/>
      <c r="BY132" s="490"/>
      <c r="BZ132" s="605"/>
      <c r="CA132" s="490"/>
      <c r="CB132" s="93"/>
      <c r="CC132" s="387"/>
      <c r="CD132" s="404"/>
      <c r="CE132" s="363"/>
      <c r="CF132" s="404"/>
      <c r="CG132" s="93"/>
      <c r="CH132" s="387"/>
      <c r="CI132" s="404"/>
      <c r="CJ132" s="363"/>
      <c r="CK132" s="520"/>
      <c r="CL132" s="93"/>
      <c r="CM132" s="390" t="str">
        <f>IFERROR(__xludf.DUMMYFUNCTION("""COMPUTED_VALUE"""),"")</f>
        <v/>
      </c>
      <c r="CN132" s="489" t="str">
        <f>IFERROR(__xludf.DUMMYFUNCTION("""COMPUTED_VALUE"""),"Larvesta")</f>
        <v>Larvesta</v>
      </c>
      <c r="CO132" s="532" t="s">
        <v>158</v>
      </c>
      <c r="CP132" s="523"/>
      <c r="CQ132" s="93"/>
      <c r="CR132" s="413"/>
      <c r="CS132" s="414"/>
      <c r="CT132" s="632"/>
      <c r="CU132" s="414"/>
      <c r="CV132" s="93"/>
      <c r="CW132" s="415"/>
      <c r="CX132" s="468"/>
      <c r="CY132" s="633"/>
      <c r="CZ132" s="468"/>
      <c r="DA132" s="93"/>
      <c r="DB132" s="423"/>
      <c r="DC132" s="424"/>
      <c r="DD132" s="634"/>
      <c r="DE132" s="424"/>
      <c r="DF132" s="93"/>
      <c r="DG132" s="628"/>
      <c r="DH132" s="641"/>
      <c r="DI132" s="641"/>
      <c r="DJ132" s="641"/>
      <c r="DK132" s="93"/>
      <c r="DL132" s="429"/>
      <c r="DM132" s="430"/>
      <c r="DN132" s="430"/>
      <c r="DO132" s="430"/>
      <c r="DP132" s="93"/>
      <c r="DQ132" s="439"/>
      <c r="DR132" s="441"/>
      <c r="DS132" s="441"/>
      <c r="DT132" s="441"/>
      <c r="DU132" s="93"/>
      <c r="DV132" s="442"/>
      <c r="DW132" s="443"/>
      <c r="DX132" s="363"/>
      <c r="DY132" s="345"/>
      <c r="DZ132" s="87"/>
      <c r="EA132" s="10"/>
    </row>
    <row r="133" ht="17.25" customHeight="1">
      <c r="A133" s="10"/>
      <c r="B133" s="87"/>
      <c r="C133" s="234"/>
      <c r="D133" s="235"/>
      <c r="E133" s="93"/>
      <c r="F133" s="268"/>
      <c r="G133" s="268"/>
      <c r="H133" s="268"/>
      <c r="I133" s="268"/>
      <c r="J133" s="268"/>
      <c r="K133" s="268"/>
      <c r="L133" s="450"/>
      <c r="M133" s="268"/>
      <c r="N133" s="268"/>
      <c r="O133" s="268"/>
      <c r="P133" s="268"/>
      <c r="Q133" s="450"/>
      <c r="R133" s="268"/>
      <c r="S133" s="268"/>
      <c r="T133" s="268"/>
      <c r="U133" s="268"/>
      <c r="V133" s="450"/>
      <c r="W133" s="268"/>
      <c r="X133" s="268"/>
      <c r="Y133" s="268"/>
      <c r="Z133" s="268"/>
      <c r="AA133" s="450"/>
      <c r="AB133" s="268"/>
      <c r="AC133" s="268"/>
      <c r="AD133" s="268"/>
      <c r="AE133" s="268"/>
      <c r="AF133" s="450"/>
      <c r="AG133" s="268"/>
      <c r="AH133" s="268"/>
      <c r="AI133" s="268"/>
      <c r="AJ133" s="268"/>
      <c r="AK133" s="450"/>
      <c r="AL133" s="268"/>
      <c r="AM133" s="268"/>
      <c r="AN133" s="268"/>
      <c r="AO133" s="268"/>
      <c r="AP133" s="397"/>
      <c r="AQ133" s="509"/>
      <c r="AR133" s="397"/>
      <c r="AS133" s="93"/>
      <c r="AT133" s="359"/>
      <c r="AU133" s="518"/>
      <c r="AV133" s="524"/>
      <c r="AW133" s="518"/>
      <c r="AX133" s="93"/>
      <c r="AY133" s="364"/>
      <c r="AZ133" s="480"/>
      <c r="BA133" s="525"/>
      <c r="BB133" s="480"/>
      <c r="BC133" s="93"/>
      <c r="BD133" s="368"/>
      <c r="BE133" s="477"/>
      <c r="BF133" s="560"/>
      <c r="BG133" s="477"/>
      <c r="BH133" s="93"/>
      <c r="BI133" s="402"/>
      <c r="BJ133" s="478"/>
      <c r="BK133" s="609"/>
      <c r="BL133" s="478"/>
      <c r="BM133" s="93"/>
      <c r="BN133" s="372"/>
      <c r="BO133" s="455"/>
      <c r="BP133" s="557"/>
      <c r="BQ133" s="455"/>
      <c r="BR133" s="93"/>
      <c r="BS133" s="380"/>
      <c r="BT133" s="492"/>
      <c r="BU133" s="566"/>
      <c r="BV133" s="492"/>
      <c r="BW133" s="93"/>
      <c r="BX133" s="385"/>
      <c r="BY133" s="490"/>
      <c r="BZ133" s="605"/>
      <c r="CA133" s="490"/>
      <c r="CB133" s="93"/>
      <c r="CC133" s="387"/>
      <c r="CD133" s="404"/>
      <c r="CE133" s="363"/>
      <c r="CF133" s="404"/>
      <c r="CG133" s="93"/>
      <c r="CH133" s="387"/>
      <c r="CI133" s="404"/>
      <c r="CJ133" s="363"/>
      <c r="CK133" s="520"/>
      <c r="CL133" s="93"/>
      <c r="CM133" s="390" t="str">
        <f>IFERROR(__xludf.DUMMYFUNCTION("""COMPUTED_VALUE"""),"")</f>
        <v/>
      </c>
      <c r="CN133" s="489" t="str">
        <f>IFERROR(__xludf.DUMMYFUNCTION("""COMPUTED_VALUE"""),"Larvitar")</f>
        <v>Larvitar</v>
      </c>
      <c r="CO133" s="532" t="s">
        <v>158</v>
      </c>
      <c r="CP133" s="523"/>
      <c r="CQ133" s="93"/>
      <c r="CR133" s="413"/>
      <c r="CS133" s="414"/>
      <c r="CT133" s="632"/>
      <c r="CU133" s="414"/>
      <c r="CV133" s="93"/>
      <c r="CW133" s="415"/>
      <c r="CX133" s="468"/>
      <c r="CY133" s="633"/>
      <c r="CZ133" s="468"/>
      <c r="DA133" s="93"/>
      <c r="DB133" s="423"/>
      <c r="DC133" s="424"/>
      <c r="DD133" s="634"/>
      <c r="DE133" s="424"/>
      <c r="DF133" s="93"/>
      <c r="DG133" s="628"/>
      <c r="DH133" s="641"/>
      <c r="DI133" s="641"/>
      <c r="DJ133" s="641"/>
      <c r="DK133" s="93"/>
      <c r="DL133" s="429"/>
      <c r="DM133" s="430"/>
      <c r="DN133" s="430"/>
      <c r="DO133" s="430"/>
      <c r="DP133" s="93"/>
      <c r="DQ133" s="439"/>
      <c r="DR133" s="441"/>
      <c r="DS133" s="441"/>
      <c r="DT133" s="441"/>
      <c r="DU133" s="93"/>
      <c r="DV133" s="442"/>
      <c r="DW133" s="443"/>
      <c r="DX133" s="363"/>
      <c r="DY133" s="345"/>
      <c r="DZ133" s="87"/>
      <c r="EA133" s="10"/>
    </row>
    <row r="134" ht="17.25" customHeight="1">
      <c r="A134" s="10"/>
      <c r="B134" s="87"/>
      <c r="C134" s="234"/>
      <c r="D134" s="235"/>
      <c r="E134" s="93"/>
      <c r="F134" s="268"/>
      <c r="G134" s="268"/>
      <c r="H134" s="268"/>
      <c r="I134" s="268"/>
      <c r="J134" s="268"/>
      <c r="K134" s="268"/>
      <c r="L134" s="450"/>
      <c r="M134" s="268"/>
      <c r="N134" s="268"/>
      <c r="O134" s="268"/>
      <c r="P134" s="268"/>
      <c r="Q134" s="450"/>
      <c r="R134" s="268"/>
      <c r="S134" s="268"/>
      <c r="T134" s="268"/>
      <c r="U134" s="268"/>
      <c r="V134" s="450"/>
      <c r="W134" s="268"/>
      <c r="X134" s="268"/>
      <c r="Y134" s="268"/>
      <c r="Z134" s="268"/>
      <c r="AA134" s="450"/>
      <c r="AB134" s="268"/>
      <c r="AC134" s="268"/>
      <c r="AD134" s="268"/>
      <c r="AE134" s="268"/>
      <c r="AF134" s="450"/>
      <c r="AG134" s="268"/>
      <c r="AH134" s="268"/>
      <c r="AI134" s="268"/>
      <c r="AJ134" s="268"/>
      <c r="AK134" s="450"/>
      <c r="AL134" s="268"/>
      <c r="AM134" s="268"/>
      <c r="AN134" s="268"/>
      <c r="AO134" s="268"/>
      <c r="AP134" s="397"/>
      <c r="AQ134" s="509"/>
      <c r="AR134" s="397"/>
      <c r="AS134" s="93"/>
      <c r="AT134" s="359"/>
      <c r="AU134" s="518"/>
      <c r="AV134" s="524"/>
      <c r="AW134" s="518"/>
      <c r="AX134" s="93"/>
      <c r="AY134" s="364"/>
      <c r="AZ134" s="480"/>
      <c r="BA134" s="525"/>
      <c r="BB134" s="480"/>
      <c r="BC134" s="93"/>
      <c r="BD134" s="368"/>
      <c r="BE134" s="477"/>
      <c r="BF134" s="560"/>
      <c r="BG134" s="477"/>
      <c r="BH134" s="93"/>
      <c r="BI134" s="402"/>
      <c r="BJ134" s="478"/>
      <c r="BK134" s="609"/>
      <c r="BL134" s="478"/>
      <c r="BM134" s="93"/>
      <c r="BN134" s="372"/>
      <c r="BO134" s="455"/>
      <c r="BP134" s="557"/>
      <c r="BQ134" s="455"/>
      <c r="BR134" s="93"/>
      <c r="BS134" s="380"/>
      <c r="BT134" s="492"/>
      <c r="BU134" s="566"/>
      <c r="BV134" s="492"/>
      <c r="BW134" s="93"/>
      <c r="BX134" s="385"/>
      <c r="BY134" s="490"/>
      <c r="BZ134" s="605"/>
      <c r="CA134" s="490"/>
      <c r="CB134" s="93"/>
      <c r="CC134" s="387"/>
      <c r="CD134" s="404"/>
      <c r="CE134" s="363"/>
      <c r="CF134" s="404"/>
      <c r="CG134" s="93"/>
      <c r="CH134" s="387"/>
      <c r="CI134" s="404"/>
      <c r="CJ134" s="363"/>
      <c r="CK134" s="520"/>
      <c r="CL134" s="93"/>
      <c r="CM134" s="390" t="str">
        <f>IFERROR(__xludf.DUMMYFUNCTION("""COMPUTED_VALUE"""),"")</f>
        <v/>
      </c>
      <c r="CN134" s="489" t="str">
        <f>IFERROR(__xludf.DUMMYFUNCTION("""COMPUTED_VALUE"""),"Leafeon")</f>
        <v>Leafeon</v>
      </c>
      <c r="CO134" s="532" t="s">
        <v>158</v>
      </c>
      <c r="CP134" s="523"/>
      <c r="CQ134" s="93"/>
      <c r="CR134" s="413"/>
      <c r="CS134" s="414"/>
      <c r="CT134" s="632"/>
      <c r="CU134" s="414"/>
      <c r="CV134" s="93"/>
      <c r="CW134" s="415"/>
      <c r="CX134" s="468"/>
      <c r="CY134" s="633"/>
      <c r="CZ134" s="468"/>
      <c r="DA134" s="93"/>
      <c r="DB134" s="423"/>
      <c r="DC134" s="424"/>
      <c r="DD134" s="634"/>
      <c r="DE134" s="424"/>
      <c r="DF134" s="93"/>
      <c r="DG134" s="628"/>
      <c r="DH134" s="641"/>
      <c r="DI134" s="641"/>
      <c r="DJ134" s="641"/>
      <c r="DK134" s="93"/>
      <c r="DL134" s="429"/>
      <c r="DM134" s="430"/>
      <c r="DN134" s="430"/>
      <c r="DO134" s="430"/>
      <c r="DP134" s="93"/>
      <c r="DQ134" s="439"/>
      <c r="DR134" s="441"/>
      <c r="DS134" s="441"/>
      <c r="DT134" s="441"/>
      <c r="DU134" s="93"/>
      <c r="DV134" s="442"/>
      <c r="DW134" s="443"/>
      <c r="DX134" s="363"/>
      <c r="DY134" s="345"/>
      <c r="DZ134" s="87"/>
      <c r="EA134" s="10"/>
    </row>
    <row r="135" ht="17.25" customHeight="1">
      <c r="A135" s="10"/>
      <c r="B135" s="87"/>
      <c r="C135" s="234"/>
      <c r="D135" s="235"/>
      <c r="E135" s="93"/>
      <c r="F135" s="268"/>
      <c r="G135" s="268"/>
      <c r="H135" s="268"/>
      <c r="I135" s="268"/>
      <c r="J135" s="268"/>
      <c r="K135" s="268"/>
      <c r="L135" s="450"/>
      <c r="M135" s="268"/>
      <c r="N135" s="268"/>
      <c r="O135" s="268"/>
      <c r="P135" s="268"/>
      <c r="Q135" s="450"/>
      <c r="R135" s="268"/>
      <c r="S135" s="268"/>
      <c r="T135" s="268"/>
      <c r="U135" s="268"/>
      <c r="V135" s="450"/>
      <c r="W135" s="268"/>
      <c r="X135" s="268"/>
      <c r="Y135" s="268"/>
      <c r="Z135" s="268"/>
      <c r="AA135" s="450"/>
      <c r="AB135" s="268"/>
      <c r="AC135" s="268"/>
      <c r="AD135" s="268"/>
      <c r="AE135" s="268"/>
      <c r="AF135" s="450"/>
      <c r="AG135" s="268"/>
      <c r="AH135" s="268"/>
      <c r="AI135" s="268"/>
      <c r="AJ135" s="268"/>
      <c r="AK135" s="450"/>
      <c r="AL135" s="268"/>
      <c r="AM135" s="268"/>
      <c r="AN135" s="268"/>
      <c r="AO135" s="268"/>
      <c r="AP135" s="397"/>
      <c r="AQ135" s="509"/>
      <c r="AR135" s="397"/>
      <c r="AS135" s="93"/>
      <c r="AT135" s="359"/>
      <c r="AU135" s="518"/>
      <c r="AV135" s="524"/>
      <c r="AW135" s="518"/>
      <c r="AX135" s="93"/>
      <c r="AY135" s="364"/>
      <c r="AZ135" s="480"/>
      <c r="BA135" s="525"/>
      <c r="BB135" s="480"/>
      <c r="BC135" s="93"/>
      <c r="BD135" s="368"/>
      <c r="BE135" s="477"/>
      <c r="BF135" s="560"/>
      <c r="BG135" s="477"/>
      <c r="BH135" s="93"/>
      <c r="BI135" s="402"/>
      <c r="BJ135" s="478"/>
      <c r="BK135" s="609"/>
      <c r="BL135" s="478"/>
      <c r="BM135" s="93"/>
      <c r="BN135" s="372"/>
      <c r="BO135" s="455"/>
      <c r="BP135" s="557"/>
      <c r="BQ135" s="455"/>
      <c r="BR135" s="93"/>
      <c r="BS135" s="380"/>
      <c r="BT135" s="492"/>
      <c r="BU135" s="566"/>
      <c r="BV135" s="492"/>
      <c r="BW135" s="93"/>
      <c r="BX135" s="385"/>
      <c r="BY135" s="490"/>
      <c r="BZ135" s="605"/>
      <c r="CA135" s="490"/>
      <c r="CB135" s="93"/>
      <c r="CC135" s="387"/>
      <c r="CD135" s="404"/>
      <c r="CE135" s="363"/>
      <c r="CF135" s="404"/>
      <c r="CG135" s="93"/>
      <c r="CH135" s="387"/>
      <c r="CI135" s="404"/>
      <c r="CJ135" s="363"/>
      <c r="CK135" s="520"/>
      <c r="CL135" s="93"/>
      <c r="CM135" s="390" t="str">
        <f>IFERROR(__xludf.DUMMYFUNCTION("""COMPUTED_VALUE"""),"")</f>
        <v/>
      </c>
      <c r="CN135" s="489" t="str">
        <f>IFERROR(__xludf.DUMMYFUNCTION("""COMPUTED_VALUE"""),"Lechonk")</f>
        <v>Lechonk</v>
      </c>
      <c r="CO135" s="532" t="s">
        <v>158</v>
      </c>
      <c r="CP135" s="523"/>
      <c r="CQ135" s="93"/>
      <c r="CR135" s="413"/>
      <c r="CS135" s="414"/>
      <c r="CT135" s="632"/>
      <c r="CU135" s="414"/>
      <c r="CV135" s="93"/>
      <c r="CW135" s="415"/>
      <c r="CX135" s="468"/>
      <c r="CY135" s="633"/>
      <c r="CZ135" s="468"/>
      <c r="DA135" s="93"/>
      <c r="DB135" s="423"/>
      <c r="DC135" s="424"/>
      <c r="DD135" s="634"/>
      <c r="DE135" s="424"/>
      <c r="DF135" s="93"/>
      <c r="DG135" s="628"/>
      <c r="DH135" s="641"/>
      <c r="DI135" s="641"/>
      <c r="DJ135" s="641"/>
      <c r="DK135" s="93"/>
      <c r="DL135" s="429"/>
      <c r="DM135" s="430"/>
      <c r="DN135" s="430"/>
      <c r="DO135" s="430"/>
      <c r="DP135" s="93"/>
      <c r="DQ135" s="439"/>
      <c r="DR135" s="441"/>
      <c r="DS135" s="441"/>
      <c r="DT135" s="441"/>
      <c r="DU135" s="93"/>
      <c r="DV135" s="442"/>
      <c r="DW135" s="443"/>
      <c r="DX135" s="363"/>
      <c r="DY135" s="345"/>
      <c r="DZ135" s="87"/>
      <c r="EA135" s="10"/>
    </row>
    <row r="136" ht="17.25" customHeight="1">
      <c r="A136" s="10"/>
      <c r="B136" s="87"/>
      <c r="C136" s="234"/>
      <c r="D136" s="235"/>
      <c r="E136" s="93"/>
      <c r="F136" s="268"/>
      <c r="G136" s="268"/>
      <c r="H136" s="268"/>
      <c r="I136" s="268"/>
      <c r="J136" s="268"/>
      <c r="K136" s="268"/>
      <c r="L136" s="450"/>
      <c r="M136" s="268"/>
      <c r="N136" s="268"/>
      <c r="O136" s="268"/>
      <c r="P136" s="268"/>
      <c r="Q136" s="450"/>
      <c r="R136" s="268"/>
      <c r="S136" s="268"/>
      <c r="T136" s="268"/>
      <c r="U136" s="268"/>
      <c r="V136" s="450"/>
      <c r="W136" s="268"/>
      <c r="X136" s="268"/>
      <c r="Y136" s="268"/>
      <c r="Z136" s="268"/>
      <c r="AA136" s="450"/>
      <c r="AB136" s="268"/>
      <c r="AC136" s="268"/>
      <c r="AD136" s="268"/>
      <c r="AE136" s="268"/>
      <c r="AF136" s="450"/>
      <c r="AG136" s="268"/>
      <c r="AH136" s="268"/>
      <c r="AI136" s="268"/>
      <c r="AJ136" s="268"/>
      <c r="AK136" s="450"/>
      <c r="AL136" s="268"/>
      <c r="AM136" s="268"/>
      <c r="AN136" s="268"/>
      <c r="AO136" s="268"/>
      <c r="AP136" s="397"/>
      <c r="AQ136" s="509"/>
      <c r="AR136" s="397"/>
      <c r="AS136" s="93"/>
      <c r="AT136" s="359"/>
      <c r="AU136" s="518"/>
      <c r="AV136" s="524"/>
      <c r="AW136" s="518"/>
      <c r="AX136" s="93"/>
      <c r="AY136" s="364"/>
      <c r="AZ136" s="480"/>
      <c r="BA136" s="525"/>
      <c r="BB136" s="480"/>
      <c r="BC136" s="93"/>
      <c r="BD136" s="368"/>
      <c r="BE136" s="477"/>
      <c r="BF136" s="560"/>
      <c r="BG136" s="477"/>
      <c r="BH136" s="93"/>
      <c r="BI136" s="402"/>
      <c r="BJ136" s="478"/>
      <c r="BK136" s="609"/>
      <c r="BL136" s="478"/>
      <c r="BM136" s="93"/>
      <c r="BN136" s="372"/>
      <c r="BO136" s="455"/>
      <c r="BP136" s="557"/>
      <c r="BQ136" s="455"/>
      <c r="BR136" s="93"/>
      <c r="BS136" s="380"/>
      <c r="BT136" s="492"/>
      <c r="BU136" s="566"/>
      <c r="BV136" s="492"/>
      <c r="BW136" s="93"/>
      <c r="BX136" s="385"/>
      <c r="BY136" s="490"/>
      <c r="BZ136" s="605"/>
      <c r="CA136" s="490"/>
      <c r="CB136" s="93"/>
      <c r="CC136" s="387"/>
      <c r="CD136" s="404"/>
      <c r="CE136" s="363"/>
      <c r="CF136" s="404"/>
      <c r="CG136" s="93"/>
      <c r="CH136" s="387"/>
      <c r="CI136" s="404"/>
      <c r="CJ136" s="363"/>
      <c r="CK136" s="520"/>
      <c r="CL136" s="93"/>
      <c r="CM136" s="390" t="str">
        <f>IFERROR(__xludf.DUMMYFUNCTION("""COMPUTED_VALUE"""),"")</f>
        <v/>
      </c>
      <c r="CN136" s="489" t="str">
        <f>IFERROR(__xludf.DUMMYFUNCTION("""COMPUTED_VALUE"""),"Litleo")</f>
        <v>Litleo</v>
      </c>
      <c r="CO136" s="532" t="s">
        <v>158</v>
      </c>
      <c r="CP136" s="523"/>
      <c r="CQ136" s="93"/>
      <c r="CR136" s="413"/>
      <c r="CS136" s="414"/>
      <c r="CT136" s="632"/>
      <c r="CU136" s="414"/>
      <c r="CV136" s="93"/>
      <c r="CW136" s="415"/>
      <c r="CX136" s="468"/>
      <c r="CY136" s="633"/>
      <c r="CZ136" s="468"/>
      <c r="DA136" s="93"/>
      <c r="DB136" s="423"/>
      <c r="DC136" s="424"/>
      <c r="DD136" s="634"/>
      <c r="DE136" s="424"/>
      <c r="DF136" s="93"/>
      <c r="DG136" s="628"/>
      <c r="DH136" s="641"/>
      <c r="DI136" s="641"/>
      <c r="DJ136" s="641"/>
      <c r="DK136" s="93"/>
      <c r="DL136" s="429"/>
      <c r="DM136" s="430"/>
      <c r="DN136" s="430"/>
      <c r="DO136" s="430"/>
      <c r="DP136" s="93"/>
      <c r="DQ136" s="439"/>
      <c r="DR136" s="441"/>
      <c r="DS136" s="441"/>
      <c r="DT136" s="441"/>
      <c r="DU136" s="93"/>
      <c r="DV136" s="442"/>
      <c r="DW136" s="443"/>
      <c r="DX136" s="363"/>
      <c r="DY136" s="345"/>
      <c r="DZ136" s="87"/>
      <c r="EA136" s="10"/>
    </row>
    <row r="137" ht="17.25" customHeight="1">
      <c r="A137" s="10"/>
      <c r="B137" s="87"/>
      <c r="C137" s="234"/>
      <c r="D137" s="235"/>
      <c r="E137" s="93"/>
      <c r="F137" s="268"/>
      <c r="G137" s="268"/>
      <c r="H137" s="268"/>
      <c r="I137" s="268"/>
      <c r="J137" s="268"/>
      <c r="K137" s="268"/>
      <c r="L137" s="450"/>
      <c r="M137" s="268"/>
      <c r="N137" s="268"/>
      <c r="O137" s="268"/>
      <c r="P137" s="268"/>
      <c r="Q137" s="450"/>
      <c r="R137" s="268"/>
      <c r="S137" s="268"/>
      <c r="T137" s="268"/>
      <c r="U137" s="268"/>
      <c r="V137" s="450"/>
      <c r="W137" s="268"/>
      <c r="X137" s="268"/>
      <c r="Y137" s="268"/>
      <c r="Z137" s="268"/>
      <c r="AA137" s="450"/>
      <c r="AB137" s="268"/>
      <c r="AC137" s="268"/>
      <c r="AD137" s="268"/>
      <c r="AE137" s="268"/>
      <c r="AF137" s="450"/>
      <c r="AG137" s="268"/>
      <c r="AH137" s="268"/>
      <c r="AI137" s="268"/>
      <c r="AJ137" s="268"/>
      <c r="AK137" s="450"/>
      <c r="AL137" s="268"/>
      <c r="AM137" s="268"/>
      <c r="AN137" s="268"/>
      <c r="AO137" s="268"/>
      <c r="AP137" s="397"/>
      <c r="AQ137" s="509"/>
      <c r="AR137" s="397"/>
      <c r="AS137" s="93"/>
      <c r="AT137" s="359"/>
      <c r="AU137" s="518"/>
      <c r="AV137" s="524"/>
      <c r="AW137" s="518"/>
      <c r="AX137" s="93"/>
      <c r="AY137" s="364"/>
      <c r="AZ137" s="480"/>
      <c r="BA137" s="525"/>
      <c r="BB137" s="480"/>
      <c r="BC137" s="93"/>
      <c r="BD137" s="368"/>
      <c r="BE137" s="477"/>
      <c r="BF137" s="560"/>
      <c r="BG137" s="477"/>
      <c r="BH137" s="93"/>
      <c r="BI137" s="402"/>
      <c r="BJ137" s="478"/>
      <c r="BK137" s="609"/>
      <c r="BL137" s="478"/>
      <c r="BM137" s="93"/>
      <c r="BN137" s="372"/>
      <c r="BO137" s="455"/>
      <c r="BP137" s="557"/>
      <c r="BQ137" s="455"/>
      <c r="BR137" s="93"/>
      <c r="BS137" s="380"/>
      <c r="BT137" s="492"/>
      <c r="BU137" s="566"/>
      <c r="BV137" s="492"/>
      <c r="BW137" s="93"/>
      <c r="BX137" s="385"/>
      <c r="BY137" s="490"/>
      <c r="BZ137" s="605"/>
      <c r="CA137" s="490"/>
      <c r="CB137" s="93"/>
      <c r="CC137" s="387"/>
      <c r="CD137" s="404"/>
      <c r="CE137" s="535"/>
      <c r="CF137" s="404"/>
      <c r="CG137" s="93"/>
      <c r="CH137" s="387"/>
      <c r="CI137" s="404"/>
      <c r="CJ137" s="535"/>
      <c r="CK137" s="520"/>
      <c r="CL137" s="93"/>
      <c r="CM137" s="390" t="str">
        <f>IFERROR(__xludf.DUMMYFUNCTION("""COMPUTED_VALUE"""),"")</f>
        <v/>
      </c>
      <c r="CN137" s="489" t="str">
        <f>IFERROR(__xludf.DUMMYFUNCTION("""COMPUTED_VALUE"""),"Lokix")</f>
        <v>Lokix</v>
      </c>
      <c r="CO137" s="532" t="s">
        <v>158</v>
      </c>
      <c r="CP137" s="523"/>
      <c r="CQ137" s="93"/>
      <c r="CR137" s="413"/>
      <c r="CS137" s="414"/>
      <c r="CT137" s="632"/>
      <c r="CU137" s="414"/>
      <c r="CV137" s="93"/>
      <c r="CW137" s="415"/>
      <c r="CX137" s="468"/>
      <c r="CY137" s="633"/>
      <c r="CZ137" s="468"/>
      <c r="DA137" s="93"/>
      <c r="DB137" s="423"/>
      <c r="DC137" s="424"/>
      <c r="DD137" s="634"/>
      <c r="DE137" s="424"/>
      <c r="DF137" s="93"/>
      <c r="DG137" s="628"/>
      <c r="DH137" s="641"/>
      <c r="DI137" s="641"/>
      <c r="DJ137" s="641"/>
      <c r="DK137" s="93"/>
      <c r="DL137" s="429"/>
      <c r="DM137" s="430"/>
      <c r="DN137" s="430"/>
      <c r="DO137" s="430"/>
      <c r="DP137" s="93"/>
      <c r="DQ137" s="439"/>
      <c r="DR137" s="441"/>
      <c r="DS137" s="441"/>
      <c r="DT137" s="441"/>
      <c r="DU137" s="93"/>
      <c r="DV137" s="442"/>
      <c r="DW137" s="443"/>
      <c r="DX137" s="363"/>
      <c r="DY137" s="345"/>
      <c r="DZ137" s="87"/>
      <c r="EA137" s="10"/>
    </row>
    <row r="138" ht="17.25" customHeight="1">
      <c r="A138" s="10"/>
      <c r="B138" s="87"/>
      <c r="C138" s="234"/>
      <c r="D138" s="235"/>
      <c r="E138" s="93"/>
      <c r="F138" s="268"/>
      <c r="G138" s="268"/>
      <c r="H138" s="268"/>
      <c r="I138" s="268"/>
      <c r="J138" s="268"/>
      <c r="K138" s="268"/>
      <c r="L138" s="450"/>
      <c r="M138" s="268"/>
      <c r="N138" s="268"/>
      <c r="O138" s="268"/>
      <c r="P138" s="268"/>
      <c r="Q138" s="450"/>
      <c r="R138" s="268"/>
      <c r="S138" s="268"/>
      <c r="T138" s="268"/>
      <c r="U138" s="268"/>
      <c r="V138" s="450"/>
      <c r="W138" s="268"/>
      <c r="X138" s="268"/>
      <c r="Y138" s="268"/>
      <c r="Z138" s="268"/>
      <c r="AA138" s="450"/>
      <c r="AB138" s="268"/>
      <c r="AC138" s="268"/>
      <c r="AD138" s="268"/>
      <c r="AE138" s="268"/>
      <c r="AF138" s="450"/>
      <c r="AG138" s="268"/>
      <c r="AH138" s="268"/>
      <c r="AI138" s="268"/>
      <c r="AJ138" s="268"/>
      <c r="AK138" s="450"/>
      <c r="AL138" s="268"/>
      <c r="AM138" s="268"/>
      <c r="AN138" s="268"/>
      <c r="AO138" s="268"/>
      <c r="AP138" s="397"/>
      <c r="AQ138" s="509"/>
      <c r="AR138" s="397"/>
      <c r="AS138" s="93"/>
      <c r="AT138" s="359"/>
      <c r="AU138" s="518"/>
      <c r="AV138" s="524"/>
      <c r="AW138" s="518"/>
      <c r="AX138" s="93"/>
      <c r="AY138" s="364"/>
      <c r="AZ138" s="480"/>
      <c r="BA138" s="525"/>
      <c r="BB138" s="480"/>
      <c r="BC138" s="93"/>
      <c r="BD138" s="368"/>
      <c r="BE138" s="477"/>
      <c r="BF138" s="560"/>
      <c r="BG138" s="477"/>
      <c r="BH138" s="93"/>
      <c r="BI138" s="402"/>
      <c r="BJ138" s="478"/>
      <c r="BK138" s="609"/>
      <c r="BL138" s="478"/>
      <c r="BM138" s="93"/>
      <c r="BN138" s="372"/>
      <c r="BO138" s="455"/>
      <c r="BP138" s="557"/>
      <c r="BQ138" s="455"/>
      <c r="BR138" s="93"/>
      <c r="BS138" s="380"/>
      <c r="BT138" s="492"/>
      <c r="BU138" s="566"/>
      <c r="BV138" s="492"/>
      <c r="BW138" s="93"/>
      <c r="BX138" s="385"/>
      <c r="BY138" s="490"/>
      <c r="BZ138" s="605"/>
      <c r="CA138" s="490"/>
      <c r="CB138" s="93"/>
      <c r="CC138" s="387"/>
      <c r="CD138" s="404"/>
      <c r="CE138" s="535"/>
      <c r="CF138" s="404"/>
      <c r="CG138" s="93"/>
      <c r="CH138" s="387"/>
      <c r="CI138" s="404"/>
      <c r="CJ138" s="535"/>
      <c r="CK138" s="520"/>
      <c r="CL138" s="93"/>
      <c r="CM138" s="390" t="str">
        <f>IFERROR(__xludf.DUMMYFUNCTION("""COMPUTED_VALUE"""),"")</f>
        <v/>
      </c>
      <c r="CN138" s="489" t="str">
        <f>IFERROR(__xludf.DUMMYFUNCTION("""COMPUTED_VALUE"""),"Lucario")</f>
        <v>Lucario</v>
      </c>
      <c r="CO138" s="532" t="s">
        <v>158</v>
      </c>
      <c r="CP138" s="523"/>
      <c r="CQ138" s="93"/>
      <c r="CR138" s="413"/>
      <c r="CS138" s="414"/>
      <c r="CT138" s="632"/>
      <c r="CU138" s="414"/>
      <c r="CV138" s="93"/>
      <c r="CW138" s="415"/>
      <c r="CX138" s="468"/>
      <c r="CY138" s="633"/>
      <c r="CZ138" s="468"/>
      <c r="DA138" s="93"/>
      <c r="DB138" s="423"/>
      <c r="DC138" s="424"/>
      <c r="DD138" s="634"/>
      <c r="DE138" s="424"/>
      <c r="DF138" s="93"/>
      <c r="DG138" s="628"/>
      <c r="DH138" s="641"/>
      <c r="DI138" s="641"/>
      <c r="DJ138" s="641"/>
      <c r="DK138" s="93"/>
      <c r="DL138" s="429"/>
      <c r="DM138" s="430"/>
      <c r="DN138" s="430"/>
      <c r="DO138" s="430"/>
      <c r="DP138" s="93"/>
      <c r="DQ138" s="439"/>
      <c r="DR138" s="441"/>
      <c r="DS138" s="441"/>
      <c r="DT138" s="441"/>
      <c r="DU138" s="93"/>
      <c r="DV138" s="442"/>
      <c r="DW138" s="443"/>
      <c r="DX138" s="363"/>
      <c r="DY138" s="345"/>
      <c r="DZ138" s="87"/>
      <c r="EA138" s="10"/>
    </row>
    <row r="139" ht="17.25" customHeight="1">
      <c r="A139" s="10"/>
      <c r="B139" s="87"/>
      <c r="C139" s="234"/>
      <c r="D139" s="235"/>
      <c r="E139" s="93"/>
      <c r="F139" s="268"/>
      <c r="G139" s="268"/>
      <c r="H139" s="268"/>
      <c r="I139" s="268"/>
      <c r="J139" s="268"/>
      <c r="K139" s="268"/>
      <c r="L139" s="450"/>
      <c r="M139" s="268"/>
      <c r="N139" s="268"/>
      <c r="O139" s="268"/>
      <c r="P139" s="268"/>
      <c r="Q139" s="450"/>
      <c r="R139" s="268"/>
      <c r="S139" s="268"/>
      <c r="T139" s="268"/>
      <c r="U139" s="268"/>
      <c r="V139" s="450"/>
      <c r="W139" s="268"/>
      <c r="X139" s="268"/>
      <c r="Y139" s="268"/>
      <c r="Z139" s="268"/>
      <c r="AA139" s="450"/>
      <c r="AB139" s="268"/>
      <c r="AC139" s="268"/>
      <c r="AD139" s="268"/>
      <c r="AE139" s="268"/>
      <c r="AF139" s="450"/>
      <c r="AG139" s="268"/>
      <c r="AH139" s="268"/>
      <c r="AI139" s="268"/>
      <c r="AJ139" s="268"/>
      <c r="AK139" s="450"/>
      <c r="AL139" s="268"/>
      <c r="AM139" s="268"/>
      <c r="AN139" s="268"/>
      <c r="AO139" s="268"/>
      <c r="AP139" s="397"/>
      <c r="AQ139" s="509"/>
      <c r="AR139" s="397"/>
      <c r="AS139" s="93"/>
      <c r="AT139" s="359"/>
      <c r="AU139" s="518"/>
      <c r="AV139" s="524"/>
      <c r="AW139" s="518"/>
      <c r="AX139" s="93"/>
      <c r="AY139" s="364"/>
      <c r="AZ139" s="480"/>
      <c r="BA139" s="525"/>
      <c r="BB139" s="480"/>
      <c r="BC139" s="93"/>
      <c r="BD139" s="368"/>
      <c r="BE139" s="477"/>
      <c r="BF139" s="560"/>
      <c r="BG139" s="477"/>
      <c r="BH139" s="93"/>
      <c r="BI139" s="402"/>
      <c r="BJ139" s="478"/>
      <c r="BK139" s="609"/>
      <c r="BL139" s="478"/>
      <c r="BM139" s="93"/>
      <c r="BN139" s="372"/>
      <c r="BO139" s="455"/>
      <c r="BP139" s="557"/>
      <c r="BQ139" s="455"/>
      <c r="BR139" s="93"/>
      <c r="BS139" s="380"/>
      <c r="BT139" s="492"/>
      <c r="BU139" s="566"/>
      <c r="BV139" s="492"/>
      <c r="BW139" s="93"/>
      <c r="BX139" s="385"/>
      <c r="BY139" s="490"/>
      <c r="BZ139" s="605"/>
      <c r="CA139" s="490"/>
      <c r="CB139" s="93"/>
      <c r="CC139" s="387"/>
      <c r="CD139" s="404"/>
      <c r="CE139" s="535"/>
      <c r="CF139" s="404"/>
      <c r="CG139" s="93"/>
      <c r="CH139" s="387"/>
      <c r="CI139" s="404"/>
      <c r="CJ139" s="535"/>
      <c r="CK139" s="520"/>
      <c r="CL139" s="93"/>
      <c r="CM139" s="390" t="str">
        <f>IFERROR(__xludf.DUMMYFUNCTION("""COMPUTED_VALUE"""),"")</f>
        <v/>
      </c>
      <c r="CN139" s="489" t="str">
        <f>IFERROR(__xludf.DUMMYFUNCTION("""COMPUTED_VALUE"""),"Lumineon")</f>
        <v>Lumineon</v>
      </c>
      <c r="CO139" s="532" t="s">
        <v>158</v>
      </c>
      <c r="CP139" s="523"/>
      <c r="CQ139" s="93"/>
      <c r="CR139" s="413"/>
      <c r="CS139" s="414"/>
      <c r="CT139" s="632"/>
      <c r="CU139" s="414"/>
      <c r="CV139" s="93"/>
      <c r="CW139" s="415"/>
      <c r="CX139" s="468"/>
      <c r="CY139" s="633"/>
      <c r="CZ139" s="468"/>
      <c r="DA139" s="93"/>
      <c r="DB139" s="423"/>
      <c r="DC139" s="424"/>
      <c r="DD139" s="634"/>
      <c r="DE139" s="424"/>
      <c r="DF139" s="93"/>
      <c r="DG139" s="628"/>
      <c r="DH139" s="641"/>
      <c r="DI139" s="641"/>
      <c r="DJ139" s="641"/>
      <c r="DK139" s="93"/>
      <c r="DL139" s="429"/>
      <c r="DM139" s="430"/>
      <c r="DN139" s="430"/>
      <c r="DO139" s="430"/>
      <c r="DP139" s="93"/>
      <c r="DQ139" s="439"/>
      <c r="DR139" s="441"/>
      <c r="DS139" s="441"/>
      <c r="DT139" s="441"/>
      <c r="DU139" s="93"/>
      <c r="DV139" s="442"/>
      <c r="DW139" s="443"/>
      <c r="DX139" s="363"/>
      <c r="DY139" s="345"/>
      <c r="DZ139" s="87"/>
      <c r="EA139" s="10"/>
    </row>
    <row r="140" ht="17.25" customHeight="1">
      <c r="A140" s="10"/>
      <c r="B140" s="87"/>
      <c r="C140" s="234"/>
      <c r="D140" s="235"/>
      <c r="E140" s="93"/>
      <c r="F140" s="268"/>
      <c r="G140" s="268"/>
      <c r="H140" s="268"/>
      <c r="I140" s="268"/>
      <c r="J140" s="268"/>
      <c r="K140" s="268"/>
      <c r="L140" s="450"/>
      <c r="M140" s="268"/>
      <c r="N140" s="268"/>
      <c r="O140" s="268"/>
      <c r="P140" s="268"/>
      <c r="Q140" s="450"/>
      <c r="R140" s="268"/>
      <c r="S140" s="268"/>
      <c r="T140" s="268"/>
      <c r="U140" s="268"/>
      <c r="V140" s="450"/>
      <c r="W140" s="268"/>
      <c r="X140" s="268"/>
      <c r="Y140" s="268"/>
      <c r="Z140" s="268"/>
      <c r="AA140" s="450"/>
      <c r="AB140" s="268"/>
      <c r="AC140" s="268"/>
      <c r="AD140" s="268"/>
      <c r="AE140" s="268"/>
      <c r="AF140" s="450"/>
      <c r="AG140" s="268"/>
      <c r="AH140" s="268"/>
      <c r="AI140" s="268"/>
      <c r="AJ140" s="268"/>
      <c r="AK140" s="450"/>
      <c r="AL140" s="268"/>
      <c r="AM140" s="268"/>
      <c r="AN140" s="268"/>
      <c r="AO140" s="268"/>
      <c r="AP140" s="397"/>
      <c r="AQ140" s="509"/>
      <c r="AR140" s="397"/>
      <c r="AS140" s="93"/>
      <c r="AT140" s="359"/>
      <c r="AU140" s="518"/>
      <c r="AV140" s="524"/>
      <c r="AW140" s="518"/>
      <c r="AX140" s="93"/>
      <c r="AY140" s="364"/>
      <c r="AZ140" s="480"/>
      <c r="BA140" s="525"/>
      <c r="BB140" s="480"/>
      <c r="BC140" s="93"/>
      <c r="BD140" s="368"/>
      <c r="BE140" s="477"/>
      <c r="BF140" s="560"/>
      <c r="BG140" s="477"/>
      <c r="BH140" s="93"/>
      <c r="BI140" s="402"/>
      <c r="BJ140" s="478"/>
      <c r="BK140" s="609"/>
      <c r="BL140" s="478"/>
      <c r="BM140" s="93"/>
      <c r="BN140" s="372"/>
      <c r="BO140" s="455"/>
      <c r="BP140" s="557"/>
      <c r="BQ140" s="455"/>
      <c r="BR140" s="93"/>
      <c r="BS140" s="380"/>
      <c r="BT140" s="492"/>
      <c r="BU140" s="566"/>
      <c r="BV140" s="492"/>
      <c r="BW140" s="93"/>
      <c r="BX140" s="385"/>
      <c r="BY140" s="490"/>
      <c r="BZ140" s="605"/>
      <c r="CA140" s="490"/>
      <c r="CB140" s="93"/>
      <c r="CC140" s="387"/>
      <c r="CD140" s="404"/>
      <c r="CE140" s="535"/>
      <c r="CF140" s="404"/>
      <c r="CG140" s="93"/>
      <c r="CH140" s="387"/>
      <c r="CI140" s="404"/>
      <c r="CJ140" s="535"/>
      <c r="CK140" s="520"/>
      <c r="CL140" s="93"/>
      <c r="CM140" s="390" t="str">
        <f>IFERROR(__xludf.DUMMYFUNCTION("""COMPUTED_VALUE"""),"")</f>
        <v/>
      </c>
      <c r="CN140" s="489" t="str">
        <f>IFERROR(__xludf.DUMMYFUNCTION("""COMPUTED_VALUE"""),"Lurantis")</f>
        <v>Lurantis</v>
      </c>
      <c r="CO140" s="532" t="s">
        <v>158</v>
      </c>
      <c r="CP140" s="523"/>
      <c r="CQ140" s="93"/>
      <c r="CR140" s="413"/>
      <c r="CS140" s="414"/>
      <c r="CT140" s="632"/>
      <c r="CU140" s="414"/>
      <c r="CV140" s="93"/>
      <c r="CW140" s="415"/>
      <c r="CX140" s="468"/>
      <c r="CY140" s="633"/>
      <c r="CZ140" s="468"/>
      <c r="DA140" s="93"/>
      <c r="DB140" s="423"/>
      <c r="DC140" s="424"/>
      <c r="DD140" s="634"/>
      <c r="DE140" s="424"/>
      <c r="DF140" s="93"/>
      <c r="DG140" s="628"/>
      <c r="DH140" s="641"/>
      <c r="DI140" s="641"/>
      <c r="DJ140" s="641"/>
      <c r="DK140" s="93"/>
      <c r="DL140" s="429"/>
      <c r="DM140" s="430"/>
      <c r="DN140" s="430"/>
      <c r="DO140" s="430"/>
      <c r="DP140" s="93"/>
      <c r="DQ140" s="439"/>
      <c r="DR140" s="441"/>
      <c r="DS140" s="441"/>
      <c r="DT140" s="441"/>
      <c r="DU140" s="93"/>
      <c r="DV140" s="442"/>
      <c r="DW140" s="443"/>
      <c r="DX140" s="363"/>
      <c r="DY140" s="345"/>
      <c r="DZ140" s="87"/>
      <c r="EA140" s="10"/>
    </row>
    <row r="141" ht="17.25" customHeight="1">
      <c r="A141" s="10"/>
      <c r="B141" s="87"/>
      <c r="C141" s="234"/>
      <c r="D141" s="235"/>
      <c r="E141" s="93"/>
      <c r="F141" s="268"/>
      <c r="G141" s="268"/>
      <c r="H141" s="268"/>
      <c r="I141" s="268"/>
      <c r="J141" s="268"/>
      <c r="K141" s="268"/>
      <c r="L141" s="450"/>
      <c r="M141" s="268"/>
      <c r="N141" s="268"/>
      <c r="O141" s="268"/>
      <c r="P141" s="268"/>
      <c r="Q141" s="450"/>
      <c r="R141" s="268"/>
      <c r="S141" s="268"/>
      <c r="T141" s="268"/>
      <c r="U141" s="268"/>
      <c r="V141" s="450"/>
      <c r="W141" s="268"/>
      <c r="X141" s="268"/>
      <c r="Y141" s="268"/>
      <c r="Z141" s="268"/>
      <c r="AA141" s="450"/>
      <c r="AB141" s="268"/>
      <c r="AC141" s="268"/>
      <c r="AD141" s="268"/>
      <c r="AE141" s="268"/>
      <c r="AF141" s="450"/>
      <c r="AG141" s="268"/>
      <c r="AH141" s="268"/>
      <c r="AI141" s="268"/>
      <c r="AJ141" s="268"/>
      <c r="AK141" s="450"/>
      <c r="AL141" s="268"/>
      <c r="AM141" s="268"/>
      <c r="AN141" s="268"/>
      <c r="AO141" s="268"/>
      <c r="AP141" s="397"/>
      <c r="AQ141" s="509"/>
      <c r="AR141" s="397"/>
      <c r="AS141" s="93"/>
      <c r="AT141" s="359"/>
      <c r="AU141" s="518"/>
      <c r="AV141" s="524"/>
      <c r="AW141" s="518"/>
      <c r="AX141" s="93"/>
      <c r="AY141" s="364"/>
      <c r="AZ141" s="480"/>
      <c r="BA141" s="525"/>
      <c r="BB141" s="480"/>
      <c r="BC141" s="93"/>
      <c r="BD141" s="368"/>
      <c r="BE141" s="477"/>
      <c r="BF141" s="560"/>
      <c r="BG141" s="477"/>
      <c r="BH141" s="93"/>
      <c r="BI141" s="402"/>
      <c r="BJ141" s="478"/>
      <c r="BK141" s="609"/>
      <c r="BL141" s="478"/>
      <c r="BM141" s="93"/>
      <c r="BN141" s="372"/>
      <c r="BO141" s="455"/>
      <c r="BP141" s="557"/>
      <c r="BQ141" s="455"/>
      <c r="BR141" s="93"/>
      <c r="BS141" s="380"/>
      <c r="BT141" s="492"/>
      <c r="BU141" s="566"/>
      <c r="BV141" s="492"/>
      <c r="BW141" s="93"/>
      <c r="BX141" s="385"/>
      <c r="BY141" s="490"/>
      <c r="BZ141" s="605"/>
      <c r="CA141" s="490"/>
      <c r="CB141" s="93"/>
      <c r="CC141" s="387"/>
      <c r="CD141" s="404"/>
      <c r="CE141" s="535"/>
      <c r="CF141" s="404"/>
      <c r="CG141" s="93"/>
      <c r="CH141" s="387"/>
      <c r="CI141" s="404"/>
      <c r="CJ141" s="535"/>
      <c r="CK141" s="520"/>
      <c r="CL141" s="93"/>
      <c r="CM141" s="390" t="str">
        <f>IFERROR(__xludf.DUMMYFUNCTION("""COMPUTED_VALUE"""),"")</f>
        <v/>
      </c>
      <c r="CN141" s="489" t="str">
        <f>IFERROR(__xludf.DUMMYFUNCTION("""COMPUTED_VALUE"""),"Luvdisc")</f>
        <v>Luvdisc</v>
      </c>
      <c r="CO141" s="532" t="s">
        <v>158</v>
      </c>
      <c r="CP141" s="523"/>
      <c r="CQ141" s="93"/>
      <c r="CR141" s="413"/>
      <c r="CS141" s="414"/>
      <c r="CT141" s="632"/>
      <c r="CU141" s="414"/>
      <c r="CV141" s="93"/>
      <c r="CW141" s="415"/>
      <c r="CX141" s="468"/>
      <c r="CY141" s="633"/>
      <c r="CZ141" s="468"/>
      <c r="DA141" s="93"/>
      <c r="DB141" s="423"/>
      <c r="DC141" s="424"/>
      <c r="DD141" s="634"/>
      <c r="DE141" s="424"/>
      <c r="DF141" s="93"/>
      <c r="DG141" s="628"/>
      <c r="DH141" s="641"/>
      <c r="DI141" s="641"/>
      <c r="DJ141" s="641"/>
      <c r="DK141" s="93"/>
      <c r="DL141" s="429"/>
      <c r="DM141" s="430"/>
      <c r="DN141" s="430"/>
      <c r="DO141" s="430"/>
      <c r="DP141" s="93"/>
      <c r="DQ141" s="439"/>
      <c r="DR141" s="441"/>
      <c r="DS141" s="441"/>
      <c r="DT141" s="441"/>
      <c r="DU141" s="93"/>
      <c r="DV141" s="442"/>
      <c r="DW141" s="443"/>
      <c r="DX141" s="363"/>
      <c r="DY141" s="345"/>
      <c r="DZ141" s="87"/>
      <c r="EA141" s="10"/>
    </row>
    <row r="142" ht="17.25" customHeight="1">
      <c r="A142" s="10"/>
      <c r="B142" s="87"/>
      <c r="C142" s="234"/>
      <c r="D142" s="235"/>
      <c r="E142" s="93"/>
      <c r="F142" s="268"/>
      <c r="G142" s="268"/>
      <c r="H142" s="268"/>
      <c r="I142" s="268"/>
      <c r="J142" s="268"/>
      <c r="K142" s="268"/>
      <c r="L142" s="450"/>
      <c r="M142" s="268"/>
      <c r="N142" s="268"/>
      <c r="O142" s="268"/>
      <c r="P142" s="268"/>
      <c r="Q142" s="450"/>
      <c r="R142" s="268"/>
      <c r="S142" s="268"/>
      <c r="T142" s="268"/>
      <c r="U142" s="268"/>
      <c r="V142" s="450"/>
      <c r="W142" s="268"/>
      <c r="X142" s="268"/>
      <c r="Y142" s="268"/>
      <c r="Z142" s="268"/>
      <c r="AA142" s="450"/>
      <c r="AB142" s="268"/>
      <c r="AC142" s="268"/>
      <c r="AD142" s="268"/>
      <c r="AE142" s="268"/>
      <c r="AF142" s="450"/>
      <c r="AG142" s="268"/>
      <c r="AH142" s="268"/>
      <c r="AI142" s="268"/>
      <c r="AJ142" s="268"/>
      <c r="AK142" s="450"/>
      <c r="AL142" s="268"/>
      <c r="AM142" s="268"/>
      <c r="AN142" s="268"/>
      <c r="AO142" s="268"/>
      <c r="AP142" s="397"/>
      <c r="AQ142" s="509"/>
      <c r="AR142" s="397"/>
      <c r="AS142" s="93"/>
      <c r="AT142" s="359"/>
      <c r="AU142" s="518"/>
      <c r="AV142" s="524"/>
      <c r="AW142" s="518"/>
      <c r="AX142" s="93"/>
      <c r="AY142" s="364"/>
      <c r="AZ142" s="480"/>
      <c r="BA142" s="525"/>
      <c r="BB142" s="480"/>
      <c r="BC142" s="93"/>
      <c r="BD142" s="368"/>
      <c r="BE142" s="477"/>
      <c r="BF142" s="560"/>
      <c r="BG142" s="477"/>
      <c r="BH142" s="93"/>
      <c r="BI142" s="402"/>
      <c r="BJ142" s="478"/>
      <c r="BK142" s="609"/>
      <c r="BL142" s="478"/>
      <c r="BM142" s="93"/>
      <c r="BN142" s="372"/>
      <c r="BO142" s="455"/>
      <c r="BP142" s="557"/>
      <c r="BQ142" s="455"/>
      <c r="BR142" s="93"/>
      <c r="BS142" s="380"/>
      <c r="BT142" s="492"/>
      <c r="BU142" s="566"/>
      <c r="BV142" s="492"/>
      <c r="BW142" s="93"/>
      <c r="BX142" s="385"/>
      <c r="BY142" s="490"/>
      <c r="BZ142" s="605"/>
      <c r="CA142" s="490"/>
      <c r="CB142" s="93"/>
      <c r="CC142" s="387"/>
      <c r="CD142" s="404"/>
      <c r="CE142" s="535"/>
      <c r="CF142" s="404"/>
      <c r="CG142" s="93"/>
      <c r="CH142" s="387"/>
      <c r="CI142" s="404"/>
      <c r="CJ142" s="535"/>
      <c r="CK142" s="520"/>
      <c r="CL142" s="93"/>
      <c r="CM142" s="390" t="str">
        <f>IFERROR(__xludf.DUMMYFUNCTION("""COMPUTED_VALUE"""),"")</f>
        <v/>
      </c>
      <c r="CN142" s="489" t="str">
        <f>IFERROR(__xludf.DUMMYFUNCTION("""COMPUTED_VALUE"""),"Luxio")</f>
        <v>Luxio</v>
      </c>
      <c r="CO142" s="532" t="s">
        <v>158</v>
      </c>
      <c r="CP142" s="523"/>
      <c r="CQ142" s="93"/>
      <c r="CR142" s="413"/>
      <c r="CS142" s="414"/>
      <c r="CT142" s="632"/>
      <c r="CU142" s="414"/>
      <c r="CV142" s="93"/>
      <c r="CW142" s="415"/>
      <c r="CX142" s="468"/>
      <c r="CY142" s="633"/>
      <c r="CZ142" s="468"/>
      <c r="DA142" s="93"/>
      <c r="DB142" s="423"/>
      <c r="DC142" s="424"/>
      <c r="DD142" s="634"/>
      <c r="DE142" s="424"/>
      <c r="DF142" s="93"/>
      <c r="DG142" s="628"/>
      <c r="DH142" s="641"/>
      <c r="DI142" s="641"/>
      <c r="DJ142" s="641"/>
      <c r="DK142" s="93"/>
      <c r="DL142" s="429"/>
      <c r="DM142" s="430"/>
      <c r="DN142" s="430"/>
      <c r="DO142" s="430"/>
      <c r="DP142" s="93"/>
      <c r="DQ142" s="439"/>
      <c r="DR142" s="441"/>
      <c r="DS142" s="441"/>
      <c r="DT142" s="441"/>
      <c r="DU142" s="93"/>
      <c r="DV142" s="442"/>
      <c r="DW142" s="443"/>
      <c r="DX142" s="363"/>
      <c r="DY142" s="345"/>
      <c r="DZ142" s="87"/>
      <c r="EA142" s="10"/>
    </row>
    <row r="143" ht="17.25" customHeight="1">
      <c r="A143" s="10"/>
      <c r="B143" s="87"/>
      <c r="C143" s="234"/>
      <c r="D143" s="235"/>
      <c r="E143" s="93"/>
      <c r="F143" s="268"/>
      <c r="G143" s="268"/>
      <c r="H143" s="268"/>
      <c r="I143" s="268"/>
      <c r="J143" s="268"/>
      <c r="K143" s="268"/>
      <c r="L143" s="450"/>
      <c r="M143" s="268"/>
      <c r="N143" s="268"/>
      <c r="O143" s="268"/>
      <c r="P143" s="268"/>
      <c r="Q143" s="450"/>
      <c r="R143" s="268"/>
      <c r="S143" s="268"/>
      <c r="T143" s="268"/>
      <c r="U143" s="268"/>
      <c r="V143" s="450"/>
      <c r="W143" s="268"/>
      <c r="X143" s="268"/>
      <c r="Y143" s="268"/>
      <c r="Z143" s="268"/>
      <c r="AA143" s="450"/>
      <c r="AB143" s="268"/>
      <c r="AC143" s="268"/>
      <c r="AD143" s="268"/>
      <c r="AE143" s="268"/>
      <c r="AF143" s="450"/>
      <c r="AG143" s="268"/>
      <c r="AH143" s="268"/>
      <c r="AI143" s="268"/>
      <c r="AJ143" s="268"/>
      <c r="AK143" s="450"/>
      <c r="AL143" s="268"/>
      <c r="AM143" s="268"/>
      <c r="AN143" s="268"/>
      <c r="AO143" s="268"/>
      <c r="AP143" s="397"/>
      <c r="AQ143" s="509"/>
      <c r="AR143" s="397"/>
      <c r="AS143" s="93"/>
      <c r="AT143" s="359"/>
      <c r="AU143" s="518"/>
      <c r="AV143" s="524"/>
      <c r="AW143" s="518"/>
      <c r="AX143" s="93"/>
      <c r="AY143" s="364"/>
      <c r="AZ143" s="480"/>
      <c r="BA143" s="525"/>
      <c r="BB143" s="480"/>
      <c r="BC143" s="93"/>
      <c r="BD143" s="368"/>
      <c r="BE143" s="477"/>
      <c r="BF143" s="560"/>
      <c r="BG143" s="477"/>
      <c r="BH143" s="93"/>
      <c r="BI143" s="402"/>
      <c r="BJ143" s="478"/>
      <c r="BK143" s="609"/>
      <c r="BL143" s="478"/>
      <c r="BM143" s="93"/>
      <c r="BN143" s="372"/>
      <c r="BO143" s="455"/>
      <c r="BP143" s="557"/>
      <c r="BQ143" s="455"/>
      <c r="BR143" s="93"/>
      <c r="BS143" s="380"/>
      <c r="BT143" s="492"/>
      <c r="BU143" s="566"/>
      <c r="BV143" s="492"/>
      <c r="BW143" s="93"/>
      <c r="BX143" s="385"/>
      <c r="BY143" s="490"/>
      <c r="BZ143" s="605"/>
      <c r="CA143" s="490"/>
      <c r="CB143" s="93"/>
      <c r="CC143" s="387"/>
      <c r="CD143" s="404"/>
      <c r="CE143" s="535"/>
      <c r="CF143" s="404"/>
      <c r="CG143" s="93"/>
      <c r="CH143" s="387"/>
      <c r="CI143" s="404"/>
      <c r="CJ143" s="535"/>
      <c r="CK143" s="520"/>
      <c r="CL143" s="93"/>
      <c r="CM143" s="390" t="str">
        <f>IFERROR(__xludf.DUMMYFUNCTION("""COMPUTED_VALUE"""),"")</f>
        <v/>
      </c>
      <c r="CN143" s="489" t="str">
        <f>IFERROR(__xludf.DUMMYFUNCTION("""COMPUTED_VALUE"""),"Luxray")</f>
        <v>Luxray</v>
      </c>
      <c r="CO143" s="532" t="s">
        <v>158</v>
      </c>
      <c r="CP143" s="523"/>
      <c r="CQ143" s="93"/>
      <c r="CR143" s="413"/>
      <c r="CS143" s="414"/>
      <c r="CT143" s="632"/>
      <c r="CU143" s="414"/>
      <c r="CV143" s="93"/>
      <c r="CW143" s="415"/>
      <c r="CX143" s="468"/>
      <c r="CY143" s="633"/>
      <c r="CZ143" s="468"/>
      <c r="DA143" s="93"/>
      <c r="DB143" s="423"/>
      <c r="DC143" s="424"/>
      <c r="DD143" s="634"/>
      <c r="DE143" s="424"/>
      <c r="DF143" s="93"/>
      <c r="DG143" s="628"/>
      <c r="DH143" s="641"/>
      <c r="DI143" s="641"/>
      <c r="DJ143" s="641"/>
      <c r="DK143" s="93"/>
      <c r="DL143" s="429"/>
      <c r="DM143" s="430"/>
      <c r="DN143" s="430"/>
      <c r="DO143" s="430"/>
      <c r="DP143" s="93"/>
      <c r="DQ143" s="439"/>
      <c r="DR143" s="441"/>
      <c r="DS143" s="441"/>
      <c r="DT143" s="441"/>
      <c r="DU143" s="93"/>
      <c r="DV143" s="442"/>
      <c r="DW143" s="443"/>
      <c r="DX143" s="363"/>
      <c r="DY143" s="345"/>
      <c r="DZ143" s="87"/>
      <c r="EA143" s="10"/>
    </row>
    <row r="144" ht="17.25" customHeight="1">
      <c r="A144" s="10"/>
      <c r="B144" s="87"/>
      <c r="C144" s="234"/>
      <c r="D144" s="235"/>
      <c r="E144" s="93"/>
      <c r="F144" s="268"/>
      <c r="G144" s="268"/>
      <c r="H144" s="268"/>
      <c r="I144" s="268"/>
      <c r="J144" s="268"/>
      <c r="K144" s="268"/>
      <c r="L144" s="450"/>
      <c r="M144" s="268"/>
      <c r="N144" s="268"/>
      <c r="O144" s="268"/>
      <c r="P144" s="268"/>
      <c r="Q144" s="450"/>
      <c r="R144" s="268"/>
      <c r="S144" s="268"/>
      <c r="T144" s="268"/>
      <c r="U144" s="268"/>
      <c r="V144" s="450"/>
      <c r="W144" s="268"/>
      <c r="X144" s="268"/>
      <c r="Y144" s="268"/>
      <c r="Z144" s="268"/>
      <c r="AA144" s="450"/>
      <c r="AB144" s="268"/>
      <c r="AC144" s="268"/>
      <c r="AD144" s="268"/>
      <c r="AE144" s="268"/>
      <c r="AF144" s="450"/>
      <c r="AG144" s="268"/>
      <c r="AH144" s="268"/>
      <c r="AI144" s="268"/>
      <c r="AJ144" s="268"/>
      <c r="AK144" s="450"/>
      <c r="AL144" s="268"/>
      <c r="AM144" s="268"/>
      <c r="AN144" s="268"/>
      <c r="AO144" s="268"/>
      <c r="AP144" s="397"/>
      <c r="AQ144" s="509"/>
      <c r="AR144" s="397"/>
      <c r="AS144" s="93"/>
      <c r="AT144" s="359"/>
      <c r="AU144" s="518"/>
      <c r="AV144" s="524"/>
      <c r="AW144" s="518"/>
      <c r="AX144" s="93"/>
      <c r="AY144" s="364"/>
      <c r="AZ144" s="480"/>
      <c r="BA144" s="525"/>
      <c r="BB144" s="480"/>
      <c r="BC144" s="93"/>
      <c r="BD144" s="368"/>
      <c r="BE144" s="477"/>
      <c r="BF144" s="560"/>
      <c r="BG144" s="477"/>
      <c r="BH144" s="93"/>
      <c r="BI144" s="402"/>
      <c r="BJ144" s="478"/>
      <c r="BK144" s="609"/>
      <c r="BL144" s="478"/>
      <c r="BM144" s="93"/>
      <c r="BN144" s="372"/>
      <c r="BO144" s="455"/>
      <c r="BP144" s="557"/>
      <c r="BQ144" s="455"/>
      <c r="BR144" s="93"/>
      <c r="BS144" s="380"/>
      <c r="BT144" s="492"/>
      <c r="BU144" s="566"/>
      <c r="BV144" s="492"/>
      <c r="BW144" s="93"/>
      <c r="BX144" s="385"/>
      <c r="BY144" s="490"/>
      <c r="BZ144" s="605"/>
      <c r="CA144" s="490"/>
      <c r="CB144" s="93"/>
      <c r="CC144" s="387"/>
      <c r="CD144" s="404"/>
      <c r="CE144" s="535"/>
      <c r="CF144" s="404"/>
      <c r="CG144" s="93"/>
      <c r="CH144" s="387"/>
      <c r="CI144" s="404"/>
      <c r="CJ144" s="535"/>
      <c r="CK144" s="520"/>
      <c r="CL144" s="93"/>
      <c r="CM144" s="390" t="str">
        <f>IFERROR(__xludf.DUMMYFUNCTION("""COMPUTED_VALUE"""),"")</f>
        <v/>
      </c>
      <c r="CN144" s="489" t="str">
        <f>IFERROR(__xludf.DUMMYFUNCTION("""COMPUTED_VALUE"""),"Lycanroc-Midday")</f>
        <v>Lycanroc-Midday</v>
      </c>
      <c r="CO144" s="532" t="s">
        <v>159</v>
      </c>
      <c r="CP144" s="523"/>
      <c r="CQ144" s="93"/>
      <c r="CR144" s="413"/>
      <c r="CS144" s="414"/>
      <c r="CT144" s="632"/>
      <c r="CU144" s="414"/>
      <c r="CV144" s="93"/>
      <c r="CW144" s="415"/>
      <c r="CX144" s="468"/>
      <c r="CY144" s="633"/>
      <c r="CZ144" s="468"/>
      <c r="DA144" s="93"/>
      <c r="DB144" s="423"/>
      <c r="DC144" s="424"/>
      <c r="DD144" s="634"/>
      <c r="DE144" s="424"/>
      <c r="DF144" s="93"/>
      <c r="DG144" s="628"/>
      <c r="DH144" s="641"/>
      <c r="DI144" s="641"/>
      <c r="DJ144" s="641"/>
      <c r="DK144" s="93"/>
      <c r="DL144" s="429"/>
      <c r="DM144" s="430"/>
      <c r="DN144" s="430"/>
      <c r="DO144" s="430"/>
      <c r="DP144" s="93"/>
      <c r="DQ144" s="439"/>
      <c r="DR144" s="441"/>
      <c r="DS144" s="441"/>
      <c r="DT144" s="441"/>
      <c r="DU144" s="93"/>
      <c r="DV144" s="442"/>
      <c r="DW144" s="443"/>
      <c r="DX144" s="363"/>
      <c r="DY144" s="345"/>
      <c r="DZ144" s="87"/>
      <c r="EA144" s="10"/>
    </row>
    <row r="145" ht="17.25" customHeight="1">
      <c r="A145" s="10"/>
      <c r="B145" s="87"/>
      <c r="C145" s="234"/>
      <c r="D145" s="235"/>
      <c r="E145" s="93"/>
      <c r="F145" s="268"/>
      <c r="G145" s="268"/>
      <c r="H145" s="268"/>
      <c r="I145" s="268"/>
      <c r="J145" s="268"/>
      <c r="K145" s="268"/>
      <c r="L145" s="450"/>
      <c r="M145" s="268"/>
      <c r="N145" s="268"/>
      <c r="O145" s="268"/>
      <c r="P145" s="268"/>
      <c r="Q145" s="450"/>
      <c r="R145" s="268"/>
      <c r="S145" s="268"/>
      <c r="T145" s="268"/>
      <c r="U145" s="268"/>
      <c r="V145" s="450"/>
      <c r="W145" s="268"/>
      <c r="X145" s="268"/>
      <c r="Y145" s="268"/>
      <c r="Z145" s="268"/>
      <c r="AA145" s="450"/>
      <c r="AB145" s="268"/>
      <c r="AC145" s="268"/>
      <c r="AD145" s="268"/>
      <c r="AE145" s="268"/>
      <c r="AF145" s="450"/>
      <c r="AG145" s="268"/>
      <c r="AH145" s="268"/>
      <c r="AI145" s="268"/>
      <c r="AJ145" s="268"/>
      <c r="AK145" s="450"/>
      <c r="AL145" s="268"/>
      <c r="AM145" s="268"/>
      <c r="AN145" s="268"/>
      <c r="AO145" s="268"/>
      <c r="AP145" s="397"/>
      <c r="AQ145" s="509"/>
      <c r="AR145" s="397"/>
      <c r="AS145" s="93"/>
      <c r="AT145" s="359"/>
      <c r="AU145" s="518"/>
      <c r="AV145" s="524"/>
      <c r="AW145" s="518"/>
      <c r="AX145" s="93"/>
      <c r="AY145" s="364"/>
      <c r="AZ145" s="480"/>
      <c r="BA145" s="525"/>
      <c r="BB145" s="480"/>
      <c r="BC145" s="93"/>
      <c r="BD145" s="368"/>
      <c r="BE145" s="477"/>
      <c r="BF145" s="560"/>
      <c r="BG145" s="477"/>
      <c r="BH145" s="93"/>
      <c r="BI145" s="402"/>
      <c r="BJ145" s="478"/>
      <c r="BK145" s="609"/>
      <c r="BL145" s="478"/>
      <c r="BM145" s="93"/>
      <c r="BN145" s="372"/>
      <c r="BO145" s="455"/>
      <c r="BP145" s="557"/>
      <c r="BQ145" s="455"/>
      <c r="BR145" s="93"/>
      <c r="BS145" s="380"/>
      <c r="BT145" s="492"/>
      <c r="BU145" s="566"/>
      <c r="BV145" s="492"/>
      <c r="BW145" s="93"/>
      <c r="BX145" s="385"/>
      <c r="BY145" s="490"/>
      <c r="BZ145" s="605"/>
      <c r="CA145" s="490"/>
      <c r="CB145" s="93"/>
      <c r="CC145" s="387"/>
      <c r="CD145" s="404"/>
      <c r="CE145" s="535"/>
      <c r="CF145" s="404"/>
      <c r="CG145" s="93"/>
      <c r="CH145" s="387"/>
      <c r="CI145" s="404"/>
      <c r="CJ145" s="535"/>
      <c r="CK145" s="520"/>
      <c r="CL145" s="93"/>
      <c r="CM145" s="390" t="str">
        <f>IFERROR(__xludf.DUMMYFUNCTION("""COMPUTED_VALUE"""),"")</f>
        <v/>
      </c>
      <c r="CN145" s="489" t="str">
        <f>IFERROR(__xludf.DUMMYFUNCTION("""COMPUTED_VALUE"""),"Lycanroc-Midnight")</f>
        <v>Lycanroc-Midnight</v>
      </c>
      <c r="CO145" s="532" t="s">
        <v>158</v>
      </c>
      <c r="CP145" s="523"/>
      <c r="CQ145" s="93"/>
      <c r="CR145" s="413"/>
      <c r="CS145" s="414"/>
      <c r="CT145" s="632"/>
      <c r="CU145" s="414"/>
      <c r="CV145" s="93"/>
      <c r="CW145" s="415"/>
      <c r="CX145" s="468"/>
      <c r="CY145" s="633"/>
      <c r="CZ145" s="468"/>
      <c r="DA145" s="93"/>
      <c r="DB145" s="423"/>
      <c r="DC145" s="424"/>
      <c r="DD145" s="634"/>
      <c r="DE145" s="424"/>
      <c r="DF145" s="93"/>
      <c r="DG145" s="628"/>
      <c r="DH145" s="641"/>
      <c r="DI145" s="641"/>
      <c r="DJ145" s="641"/>
      <c r="DK145" s="93"/>
      <c r="DL145" s="429"/>
      <c r="DM145" s="430"/>
      <c r="DN145" s="430"/>
      <c r="DO145" s="430"/>
      <c r="DP145" s="93"/>
      <c r="DQ145" s="439"/>
      <c r="DR145" s="441"/>
      <c r="DS145" s="441"/>
      <c r="DT145" s="441"/>
      <c r="DU145" s="93"/>
      <c r="DV145" s="442"/>
      <c r="DW145" s="443"/>
      <c r="DX145" s="363"/>
      <c r="DY145" s="345"/>
      <c r="DZ145" s="87"/>
      <c r="EA145" s="10"/>
    </row>
    <row r="146" ht="17.25" customHeight="1">
      <c r="A146" s="10"/>
      <c r="B146" s="87"/>
      <c r="C146" s="234"/>
      <c r="D146" s="235"/>
      <c r="E146" s="93"/>
      <c r="F146" s="268"/>
      <c r="G146" s="268"/>
      <c r="H146" s="268"/>
      <c r="I146" s="268"/>
      <c r="J146" s="268"/>
      <c r="K146" s="268"/>
      <c r="L146" s="450"/>
      <c r="M146" s="268"/>
      <c r="N146" s="268"/>
      <c r="O146" s="268"/>
      <c r="P146" s="268"/>
      <c r="Q146" s="450"/>
      <c r="R146" s="268"/>
      <c r="S146" s="268"/>
      <c r="T146" s="268"/>
      <c r="U146" s="268"/>
      <c r="V146" s="450"/>
      <c r="W146" s="268"/>
      <c r="X146" s="268"/>
      <c r="Y146" s="268"/>
      <c r="Z146" s="268"/>
      <c r="AA146" s="450"/>
      <c r="AB146" s="268"/>
      <c r="AC146" s="268"/>
      <c r="AD146" s="268"/>
      <c r="AE146" s="268"/>
      <c r="AF146" s="450"/>
      <c r="AG146" s="268"/>
      <c r="AH146" s="268"/>
      <c r="AI146" s="268"/>
      <c r="AJ146" s="268"/>
      <c r="AK146" s="450"/>
      <c r="AL146" s="268"/>
      <c r="AM146" s="268"/>
      <c r="AN146" s="268"/>
      <c r="AO146" s="268"/>
      <c r="AP146" s="397"/>
      <c r="AQ146" s="509"/>
      <c r="AR146" s="397"/>
      <c r="AS146" s="93"/>
      <c r="AT146" s="359"/>
      <c r="AU146" s="518"/>
      <c r="AV146" s="524"/>
      <c r="AW146" s="518"/>
      <c r="AX146" s="93"/>
      <c r="AY146" s="364"/>
      <c r="AZ146" s="480"/>
      <c r="BA146" s="525"/>
      <c r="BB146" s="480"/>
      <c r="BC146" s="93"/>
      <c r="BD146" s="368"/>
      <c r="BE146" s="477"/>
      <c r="BF146" s="560"/>
      <c r="BG146" s="477"/>
      <c r="BH146" s="93"/>
      <c r="BI146" s="402"/>
      <c r="BJ146" s="478"/>
      <c r="BK146" s="609"/>
      <c r="BL146" s="478"/>
      <c r="BM146" s="93"/>
      <c r="BN146" s="372"/>
      <c r="BO146" s="455"/>
      <c r="BP146" s="557"/>
      <c r="BQ146" s="455"/>
      <c r="BR146" s="93"/>
      <c r="BS146" s="380"/>
      <c r="BT146" s="492"/>
      <c r="BU146" s="566"/>
      <c r="BV146" s="492"/>
      <c r="BW146" s="93"/>
      <c r="BX146" s="385"/>
      <c r="BY146" s="490"/>
      <c r="BZ146" s="605"/>
      <c r="CA146" s="490"/>
      <c r="CB146" s="93"/>
      <c r="CC146" s="387"/>
      <c r="CD146" s="404"/>
      <c r="CE146" s="535"/>
      <c r="CF146" s="404"/>
      <c r="CG146" s="93"/>
      <c r="CH146" s="387"/>
      <c r="CI146" s="404"/>
      <c r="CJ146" s="535"/>
      <c r="CK146" s="520"/>
      <c r="CL146" s="93"/>
      <c r="CM146" s="390" t="str">
        <f>IFERROR(__xludf.DUMMYFUNCTION("""COMPUTED_VALUE"""),"")</f>
        <v/>
      </c>
      <c r="CN146" s="489" t="str">
        <f>IFERROR(__xludf.DUMMYFUNCTION("""COMPUTED_VALUE"""),"Mabosstiff")</f>
        <v>Mabosstiff</v>
      </c>
      <c r="CO146" s="532" t="s">
        <v>158</v>
      </c>
      <c r="CP146" s="523"/>
      <c r="CQ146" s="93"/>
      <c r="CR146" s="413"/>
      <c r="CS146" s="414"/>
      <c r="CT146" s="632"/>
      <c r="CU146" s="414"/>
      <c r="CV146" s="93"/>
      <c r="CW146" s="415"/>
      <c r="CX146" s="468"/>
      <c r="CY146" s="633"/>
      <c r="CZ146" s="468"/>
      <c r="DA146" s="93"/>
      <c r="DB146" s="423"/>
      <c r="DC146" s="424"/>
      <c r="DD146" s="634"/>
      <c r="DE146" s="424"/>
      <c r="DF146" s="93"/>
      <c r="DG146" s="628"/>
      <c r="DH146" s="641"/>
      <c r="DI146" s="641"/>
      <c r="DJ146" s="641"/>
      <c r="DK146" s="93"/>
      <c r="DL146" s="429"/>
      <c r="DM146" s="430"/>
      <c r="DN146" s="430"/>
      <c r="DO146" s="430"/>
      <c r="DP146" s="93"/>
      <c r="DQ146" s="439"/>
      <c r="DR146" s="441"/>
      <c r="DS146" s="441"/>
      <c r="DT146" s="441"/>
      <c r="DU146" s="93"/>
      <c r="DV146" s="442"/>
      <c r="DW146" s="443"/>
      <c r="DX146" s="363"/>
      <c r="DY146" s="345"/>
      <c r="DZ146" s="87"/>
      <c r="EA146" s="10"/>
    </row>
    <row r="147" ht="17.25" customHeight="1">
      <c r="A147" s="10"/>
      <c r="B147" s="87"/>
      <c r="C147" s="234"/>
      <c r="D147" s="235"/>
      <c r="E147" s="93"/>
      <c r="F147" s="268"/>
      <c r="G147" s="268"/>
      <c r="H147" s="268"/>
      <c r="I147" s="268"/>
      <c r="J147" s="268"/>
      <c r="K147" s="268"/>
      <c r="L147" s="450"/>
      <c r="M147" s="268"/>
      <c r="N147" s="268"/>
      <c r="O147" s="268"/>
      <c r="P147" s="268"/>
      <c r="Q147" s="450"/>
      <c r="R147" s="268"/>
      <c r="S147" s="268"/>
      <c r="T147" s="268"/>
      <c r="U147" s="268"/>
      <c r="V147" s="450"/>
      <c r="W147" s="268"/>
      <c r="X147" s="268"/>
      <c r="Y147" s="268"/>
      <c r="Z147" s="268"/>
      <c r="AA147" s="450"/>
      <c r="AB147" s="268"/>
      <c r="AC147" s="268"/>
      <c r="AD147" s="268"/>
      <c r="AE147" s="268"/>
      <c r="AF147" s="450"/>
      <c r="AG147" s="268"/>
      <c r="AH147" s="268"/>
      <c r="AI147" s="268"/>
      <c r="AJ147" s="268"/>
      <c r="AK147" s="450"/>
      <c r="AL147" s="268"/>
      <c r="AM147" s="268"/>
      <c r="AN147" s="268"/>
      <c r="AO147" s="268"/>
      <c r="AP147" s="397"/>
      <c r="AQ147" s="509"/>
      <c r="AR147" s="397"/>
      <c r="AS147" s="93"/>
      <c r="AT147" s="359"/>
      <c r="AU147" s="518"/>
      <c r="AV147" s="524"/>
      <c r="AW147" s="518"/>
      <c r="AX147" s="93"/>
      <c r="AY147" s="364"/>
      <c r="AZ147" s="480"/>
      <c r="BA147" s="525"/>
      <c r="BB147" s="480"/>
      <c r="BC147" s="93"/>
      <c r="BD147" s="368"/>
      <c r="BE147" s="477"/>
      <c r="BF147" s="560"/>
      <c r="BG147" s="477"/>
      <c r="BH147" s="93"/>
      <c r="BI147" s="402"/>
      <c r="BJ147" s="478"/>
      <c r="BK147" s="609"/>
      <c r="BL147" s="478"/>
      <c r="BM147" s="93"/>
      <c r="BN147" s="372"/>
      <c r="BO147" s="455"/>
      <c r="BP147" s="557"/>
      <c r="BQ147" s="455"/>
      <c r="BR147" s="93"/>
      <c r="BS147" s="380"/>
      <c r="BT147" s="492"/>
      <c r="BU147" s="566"/>
      <c r="BV147" s="492"/>
      <c r="BW147" s="93"/>
      <c r="BX147" s="385"/>
      <c r="BY147" s="490"/>
      <c r="BZ147" s="605"/>
      <c r="CA147" s="490"/>
      <c r="CB147" s="93"/>
      <c r="CC147" s="387"/>
      <c r="CD147" s="404"/>
      <c r="CE147" s="535"/>
      <c r="CF147" s="404"/>
      <c r="CG147" s="93"/>
      <c r="CH147" s="387"/>
      <c r="CI147" s="404"/>
      <c r="CJ147" s="535"/>
      <c r="CK147" s="520"/>
      <c r="CL147" s="93"/>
      <c r="CM147" s="390" t="str">
        <f>IFERROR(__xludf.DUMMYFUNCTION("""COMPUTED_VALUE"""),"")</f>
        <v/>
      </c>
      <c r="CN147" s="489" t="str">
        <f>IFERROR(__xludf.DUMMYFUNCTION("""COMPUTED_VALUE"""),"Magnemite")</f>
        <v>Magnemite</v>
      </c>
      <c r="CO147" s="532" t="s">
        <v>158</v>
      </c>
      <c r="CP147" s="523"/>
      <c r="CQ147" s="93"/>
      <c r="CR147" s="413"/>
      <c r="CS147" s="414"/>
      <c r="CT147" s="632"/>
      <c r="CU147" s="414"/>
      <c r="CV147" s="93"/>
      <c r="CW147" s="415"/>
      <c r="CX147" s="468"/>
      <c r="CY147" s="633"/>
      <c r="CZ147" s="468"/>
      <c r="DA147" s="93"/>
      <c r="DB147" s="423"/>
      <c r="DC147" s="424"/>
      <c r="DD147" s="634"/>
      <c r="DE147" s="424"/>
      <c r="DF147" s="93"/>
      <c r="DG147" s="628"/>
      <c r="DH147" s="641"/>
      <c r="DI147" s="641"/>
      <c r="DJ147" s="641"/>
      <c r="DK147" s="93"/>
      <c r="DL147" s="429"/>
      <c r="DM147" s="430"/>
      <c r="DN147" s="430"/>
      <c r="DO147" s="430"/>
      <c r="DP147" s="93"/>
      <c r="DQ147" s="439"/>
      <c r="DR147" s="441"/>
      <c r="DS147" s="441"/>
      <c r="DT147" s="441"/>
      <c r="DU147" s="93"/>
      <c r="DV147" s="442"/>
      <c r="DW147" s="443"/>
      <c r="DX147" s="363"/>
      <c r="DY147" s="345"/>
      <c r="DZ147" s="87"/>
      <c r="EA147" s="10"/>
    </row>
    <row r="148" ht="17.25" customHeight="1">
      <c r="A148" s="10"/>
      <c r="B148" s="87"/>
      <c r="C148" s="234"/>
      <c r="D148" s="235"/>
      <c r="E148" s="93"/>
      <c r="F148" s="268"/>
      <c r="G148" s="268"/>
      <c r="H148" s="268"/>
      <c r="I148" s="268"/>
      <c r="J148" s="268"/>
      <c r="K148" s="268"/>
      <c r="L148" s="450"/>
      <c r="M148" s="268"/>
      <c r="N148" s="268"/>
      <c r="O148" s="268"/>
      <c r="P148" s="268"/>
      <c r="Q148" s="450"/>
      <c r="R148" s="268"/>
      <c r="S148" s="268"/>
      <c r="T148" s="268"/>
      <c r="U148" s="268"/>
      <c r="V148" s="450"/>
      <c r="W148" s="268"/>
      <c r="X148" s="268"/>
      <c r="Y148" s="268"/>
      <c r="Z148" s="268"/>
      <c r="AA148" s="450"/>
      <c r="AB148" s="268"/>
      <c r="AC148" s="268"/>
      <c r="AD148" s="268"/>
      <c r="AE148" s="268"/>
      <c r="AF148" s="450"/>
      <c r="AG148" s="268"/>
      <c r="AH148" s="268"/>
      <c r="AI148" s="268"/>
      <c r="AJ148" s="268"/>
      <c r="AK148" s="450"/>
      <c r="AL148" s="268"/>
      <c r="AM148" s="268"/>
      <c r="AN148" s="268"/>
      <c r="AO148" s="268"/>
      <c r="AP148" s="397"/>
      <c r="AQ148" s="509"/>
      <c r="AR148" s="397"/>
      <c r="AS148" s="93"/>
      <c r="AT148" s="359"/>
      <c r="AU148" s="518"/>
      <c r="AV148" s="524"/>
      <c r="AW148" s="518"/>
      <c r="AX148" s="93"/>
      <c r="AY148" s="364"/>
      <c r="AZ148" s="480"/>
      <c r="BA148" s="525"/>
      <c r="BB148" s="480"/>
      <c r="BC148" s="93"/>
      <c r="BD148" s="368"/>
      <c r="BE148" s="477"/>
      <c r="BF148" s="560"/>
      <c r="BG148" s="477"/>
      <c r="BH148" s="93"/>
      <c r="BI148" s="402"/>
      <c r="BJ148" s="478"/>
      <c r="BK148" s="609"/>
      <c r="BL148" s="478"/>
      <c r="BM148" s="93"/>
      <c r="BN148" s="372"/>
      <c r="BO148" s="455"/>
      <c r="BP148" s="557"/>
      <c r="BQ148" s="455"/>
      <c r="BR148" s="93"/>
      <c r="BS148" s="380"/>
      <c r="BT148" s="492"/>
      <c r="BU148" s="566"/>
      <c r="BV148" s="492"/>
      <c r="BW148" s="93"/>
      <c r="BX148" s="385"/>
      <c r="BY148" s="490"/>
      <c r="BZ148" s="605"/>
      <c r="CA148" s="490"/>
      <c r="CB148" s="93"/>
      <c r="CC148" s="387"/>
      <c r="CD148" s="404"/>
      <c r="CE148" s="535"/>
      <c r="CF148" s="404"/>
      <c r="CG148" s="93"/>
      <c r="CH148" s="387"/>
      <c r="CI148" s="404"/>
      <c r="CJ148" s="535"/>
      <c r="CK148" s="520"/>
      <c r="CL148" s="93"/>
      <c r="CM148" s="390" t="str">
        <f>IFERROR(__xludf.DUMMYFUNCTION("""COMPUTED_VALUE"""),"")</f>
        <v/>
      </c>
      <c r="CN148" s="489" t="str">
        <f>IFERROR(__xludf.DUMMYFUNCTION("""COMPUTED_VALUE"""),"Magneton")</f>
        <v>Magneton</v>
      </c>
      <c r="CO148" s="532" t="s">
        <v>158</v>
      </c>
      <c r="CP148" s="523"/>
      <c r="CQ148" s="93"/>
      <c r="CR148" s="413"/>
      <c r="CS148" s="414"/>
      <c r="CT148" s="632"/>
      <c r="CU148" s="414"/>
      <c r="CV148" s="93"/>
      <c r="CW148" s="415"/>
      <c r="CX148" s="468"/>
      <c r="CY148" s="633"/>
      <c r="CZ148" s="468"/>
      <c r="DA148" s="93"/>
      <c r="DB148" s="423"/>
      <c r="DC148" s="424"/>
      <c r="DD148" s="634"/>
      <c r="DE148" s="424"/>
      <c r="DF148" s="93"/>
      <c r="DG148" s="628"/>
      <c r="DH148" s="641"/>
      <c r="DI148" s="641"/>
      <c r="DJ148" s="641"/>
      <c r="DK148" s="93"/>
      <c r="DL148" s="429"/>
      <c r="DM148" s="430"/>
      <c r="DN148" s="430"/>
      <c r="DO148" s="430"/>
      <c r="DP148" s="93"/>
      <c r="DQ148" s="439"/>
      <c r="DR148" s="441"/>
      <c r="DS148" s="441"/>
      <c r="DT148" s="441"/>
      <c r="DU148" s="93"/>
      <c r="DV148" s="442"/>
      <c r="DW148" s="443"/>
      <c r="DX148" s="363"/>
      <c r="DY148" s="345"/>
      <c r="DZ148" s="87"/>
      <c r="EA148" s="10"/>
    </row>
    <row r="149" ht="17.25" customHeight="1">
      <c r="A149" s="10"/>
      <c r="B149" s="87"/>
      <c r="C149" s="234"/>
      <c r="D149" s="235"/>
      <c r="E149" s="93"/>
      <c r="F149" s="268"/>
      <c r="G149" s="268"/>
      <c r="H149" s="268"/>
      <c r="I149" s="268"/>
      <c r="J149" s="268"/>
      <c r="K149" s="268"/>
      <c r="L149" s="450"/>
      <c r="M149" s="268"/>
      <c r="N149" s="268"/>
      <c r="O149" s="268"/>
      <c r="P149" s="268"/>
      <c r="Q149" s="450"/>
      <c r="R149" s="268"/>
      <c r="S149" s="268"/>
      <c r="T149" s="268"/>
      <c r="U149" s="268"/>
      <c r="V149" s="450"/>
      <c r="W149" s="268"/>
      <c r="X149" s="268"/>
      <c r="Y149" s="268"/>
      <c r="Z149" s="268"/>
      <c r="AA149" s="450"/>
      <c r="AB149" s="268"/>
      <c r="AC149" s="268"/>
      <c r="AD149" s="268"/>
      <c r="AE149" s="268"/>
      <c r="AF149" s="450"/>
      <c r="AG149" s="268"/>
      <c r="AH149" s="268"/>
      <c r="AI149" s="268"/>
      <c r="AJ149" s="268"/>
      <c r="AK149" s="450"/>
      <c r="AL149" s="268"/>
      <c r="AM149" s="268"/>
      <c r="AN149" s="268"/>
      <c r="AO149" s="268"/>
      <c r="AP149" s="397"/>
      <c r="AQ149" s="509"/>
      <c r="AR149" s="397"/>
      <c r="AS149" s="93"/>
      <c r="AT149" s="359"/>
      <c r="AU149" s="518"/>
      <c r="AV149" s="524"/>
      <c r="AW149" s="518"/>
      <c r="AX149" s="93"/>
      <c r="AY149" s="364"/>
      <c r="AZ149" s="480"/>
      <c r="BA149" s="525"/>
      <c r="BB149" s="480"/>
      <c r="BC149" s="93"/>
      <c r="BD149" s="368"/>
      <c r="BE149" s="477"/>
      <c r="BF149" s="560"/>
      <c r="BG149" s="477"/>
      <c r="BH149" s="93"/>
      <c r="BI149" s="402"/>
      <c r="BJ149" s="478"/>
      <c r="BK149" s="609"/>
      <c r="BL149" s="478"/>
      <c r="BM149" s="93"/>
      <c r="BN149" s="372"/>
      <c r="BO149" s="455"/>
      <c r="BP149" s="557"/>
      <c r="BQ149" s="455"/>
      <c r="BR149" s="93"/>
      <c r="BS149" s="380"/>
      <c r="BT149" s="492"/>
      <c r="BU149" s="566"/>
      <c r="BV149" s="492"/>
      <c r="BW149" s="93"/>
      <c r="BX149" s="385"/>
      <c r="BY149" s="490"/>
      <c r="BZ149" s="605"/>
      <c r="CA149" s="490"/>
      <c r="CB149" s="93"/>
      <c r="CC149" s="387"/>
      <c r="CD149" s="404"/>
      <c r="CE149" s="535"/>
      <c r="CF149" s="404"/>
      <c r="CG149" s="93"/>
      <c r="CH149" s="387"/>
      <c r="CI149" s="404"/>
      <c r="CJ149" s="535"/>
      <c r="CK149" s="520"/>
      <c r="CL149" s="93"/>
      <c r="CM149" s="390" t="str">
        <f>IFERROR(__xludf.DUMMYFUNCTION("""COMPUTED_VALUE"""),"")</f>
        <v/>
      </c>
      <c r="CN149" s="489" t="str">
        <f>IFERROR(__xludf.DUMMYFUNCTION("""COMPUTED_VALUE"""),"Makuhita")</f>
        <v>Makuhita</v>
      </c>
      <c r="CO149" s="532" t="s">
        <v>158</v>
      </c>
      <c r="CP149" s="523"/>
      <c r="CQ149" s="93"/>
      <c r="CR149" s="413"/>
      <c r="CS149" s="414"/>
      <c r="CT149" s="632"/>
      <c r="CU149" s="414"/>
      <c r="CV149" s="93"/>
      <c r="CW149" s="415"/>
      <c r="CX149" s="468"/>
      <c r="CY149" s="633"/>
      <c r="CZ149" s="468"/>
      <c r="DA149" s="93"/>
      <c r="DB149" s="423"/>
      <c r="DC149" s="424"/>
      <c r="DD149" s="634"/>
      <c r="DE149" s="424"/>
      <c r="DF149" s="93"/>
      <c r="DG149" s="628"/>
      <c r="DH149" s="641"/>
      <c r="DI149" s="641"/>
      <c r="DJ149" s="641"/>
      <c r="DK149" s="93"/>
      <c r="DL149" s="429"/>
      <c r="DM149" s="430"/>
      <c r="DN149" s="430"/>
      <c r="DO149" s="430"/>
      <c r="DP149" s="93"/>
      <c r="DQ149" s="439"/>
      <c r="DR149" s="441"/>
      <c r="DS149" s="441"/>
      <c r="DT149" s="441"/>
      <c r="DU149" s="93"/>
      <c r="DV149" s="442"/>
      <c r="DW149" s="443"/>
      <c r="DX149" s="363"/>
      <c r="DY149" s="345"/>
      <c r="DZ149" s="87"/>
      <c r="EA149" s="10"/>
    </row>
    <row r="150" ht="17.25" customHeight="1">
      <c r="A150" s="10"/>
      <c r="B150" s="87"/>
      <c r="C150" s="234"/>
      <c r="D150" s="235"/>
      <c r="E150" s="93"/>
      <c r="F150" s="268"/>
      <c r="G150" s="268"/>
      <c r="H150" s="268"/>
      <c r="I150" s="268"/>
      <c r="J150" s="268"/>
      <c r="K150" s="268"/>
      <c r="L150" s="450"/>
      <c r="M150" s="268"/>
      <c r="N150" s="268"/>
      <c r="O150" s="268"/>
      <c r="P150" s="268"/>
      <c r="Q150" s="450"/>
      <c r="R150" s="268"/>
      <c r="S150" s="268"/>
      <c r="T150" s="268"/>
      <c r="U150" s="268"/>
      <c r="V150" s="450"/>
      <c r="W150" s="268"/>
      <c r="X150" s="268"/>
      <c r="Y150" s="268"/>
      <c r="Z150" s="268"/>
      <c r="AA150" s="450"/>
      <c r="AB150" s="268"/>
      <c r="AC150" s="268"/>
      <c r="AD150" s="268"/>
      <c r="AE150" s="268"/>
      <c r="AF150" s="450"/>
      <c r="AG150" s="268"/>
      <c r="AH150" s="268"/>
      <c r="AI150" s="268"/>
      <c r="AJ150" s="268"/>
      <c r="AK150" s="450"/>
      <c r="AL150" s="268"/>
      <c r="AM150" s="268"/>
      <c r="AN150" s="268"/>
      <c r="AO150" s="268"/>
      <c r="AP150" s="397"/>
      <c r="AQ150" s="509"/>
      <c r="AR150" s="397"/>
      <c r="AS150" s="93"/>
      <c r="AT150" s="359"/>
      <c r="AU150" s="518"/>
      <c r="AV150" s="524"/>
      <c r="AW150" s="518"/>
      <c r="AX150" s="93"/>
      <c r="AY150" s="364"/>
      <c r="AZ150" s="480"/>
      <c r="BA150" s="525"/>
      <c r="BB150" s="480"/>
      <c r="BC150" s="93"/>
      <c r="BD150" s="368"/>
      <c r="BE150" s="477"/>
      <c r="BF150" s="560"/>
      <c r="BG150" s="477"/>
      <c r="BH150" s="93"/>
      <c r="BI150" s="402"/>
      <c r="BJ150" s="478"/>
      <c r="BK150" s="609"/>
      <c r="BL150" s="478"/>
      <c r="BM150" s="93"/>
      <c r="BN150" s="372"/>
      <c r="BO150" s="455"/>
      <c r="BP150" s="557"/>
      <c r="BQ150" s="455"/>
      <c r="BR150" s="93"/>
      <c r="BS150" s="380"/>
      <c r="BT150" s="492"/>
      <c r="BU150" s="566"/>
      <c r="BV150" s="492"/>
      <c r="BW150" s="93"/>
      <c r="BX150" s="385"/>
      <c r="BY150" s="490"/>
      <c r="BZ150" s="605"/>
      <c r="CA150" s="490"/>
      <c r="CB150" s="93"/>
      <c r="CC150" s="387"/>
      <c r="CD150" s="404"/>
      <c r="CE150" s="535"/>
      <c r="CF150" s="404"/>
      <c r="CG150" s="93"/>
      <c r="CH150" s="387"/>
      <c r="CI150" s="404"/>
      <c r="CJ150" s="535"/>
      <c r="CK150" s="520"/>
      <c r="CL150" s="93"/>
      <c r="CM150" s="390" t="str">
        <f>IFERROR(__xludf.DUMMYFUNCTION("""COMPUTED_VALUE"""),"")</f>
        <v/>
      </c>
      <c r="CN150" s="489" t="str">
        <f>IFERROR(__xludf.DUMMYFUNCTION("""COMPUTED_VALUE"""),"Mankey")</f>
        <v>Mankey</v>
      </c>
      <c r="CO150" s="532" t="s">
        <v>158</v>
      </c>
      <c r="CP150" s="523"/>
      <c r="CQ150" s="93"/>
      <c r="CR150" s="413"/>
      <c r="CS150" s="414"/>
      <c r="CT150" s="632"/>
      <c r="CU150" s="414"/>
      <c r="CV150" s="93"/>
      <c r="CW150" s="415"/>
      <c r="CX150" s="468"/>
      <c r="CY150" s="633"/>
      <c r="CZ150" s="468"/>
      <c r="DA150" s="93"/>
      <c r="DB150" s="423"/>
      <c r="DC150" s="424"/>
      <c r="DD150" s="634"/>
      <c r="DE150" s="424"/>
      <c r="DF150" s="93"/>
      <c r="DG150" s="628"/>
      <c r="DH150" s="641"/>
      <c r="DI150" s="641"/>
      <c r="DJ150" s="641"/>
      <c r="DK150" s="93"/>
      <c r="DL150" s="429"/>
      <c r="DM150" s="430"/>
      <c r="DN150" s="430"/>
      <c r="DO150" s="430"/>
      <c r="DP150" s="93"/>
      <c r="DQ150" s="439"/>
      <c r="DR150" s="441"/>
      <c r="DS150" s="441"/>
      <c r="DT150" s="441"/>
      <c r="DU150" s="93"/>
      <c r="DV150" s="442"/>
      <c r="DW150" s="443"/>
      <c r="DX150" s="363"/>
      <c r="DY150" s="345"/>
      <c r="DZ150" s="87"/>
      <c r="EA150" s="10"/>
    </row>
    <row r="151" ht="17.25" customHeight="1">
      <c r="A151" s="10"/>
      <c r="B151" s="87"/>
      <c r="C151" s="234"/>
      <c r="D151" s="235"/>
      <c r="E151" s="93"/>
      <c r="F151" s="268"/>
      <c r="G151" s="268"/>
      <c r="H151" s="268"/>
      <c r="I151" s="268"/>
      <c r="J151" s="268"/>
      <c r="K151" s="268"/>
      <c r="L151" s="450"/>
      <c r="M151" s="268"/>
      <c r="N151" s="268"/>
      <c r="O151" s="268"/>
      <c r="P151" s="268"/>
      <c r="Q151" s="450"/>
      <c r="R151" s="268"/>
      <c r="S151" s="268"/>
      <c r="T151" s="268"/>
      <c r="U151" s="268"/>
      <c r="V151" s="450"/>
      <c r="W151" s="268"/>
      <c r="X151" s="268"/>
      <c r="Y151" s="268"/>
      <c r="Z151" s="268"/>
      <c r="AA151" s="450"/>
      <c r="AB151" s="268"/>
      <c r="AC151" s="268"/>
      <c r="AD151" s="268"/>
      <c r="AE151" s="268"/>
      <c r="AF151" s="450"/>
      <c r="AG151" s="268"/>
      <c r="AH151" s="268"/>
      <c r="AI151" s="268"/>
      <c r="AJ151" s="268"/>
      <c r="AK151" s="450"/>
      <c r="AL151" s="268"/>
      <c r="AM151" s="268"/>
      <c r="AN151" s="268"/>
      <c r="AO151" s="268"/>
      <c r="AP151" s="397"/>
      <c r="AQ151" s="509"/>
      <c r="AR151" s="397"/>
      <c r="AS151" s="93"/>
      <c r="AT151" s="359"/>
      <c r="AU151" s="518"/>
      <c r="AV151" s="524"/>
      <c r="AW151" s="518"/>
      <c r="AX151" s="93"/>
      <c r="AY151" s="364"/>
      <c r="AZ151" s="480"/>
      <c r="BA151" s="525"/>
      <c r="BB151" s="480"/>
      <c r="BC151" s="93"/>
      <c r="BD151" s="368"/>
      <c r="BE151" s="477"/>
      <c r="BF151" s="560"/>
      <c r="BG151" s="477"/>
      <c r="BH151" s="93"/>
      <c r="BI151" s="402"/>
      <c r="BJ151" s="478"/>
      <c r="BK151" s="609"/>
      <c r="BL151" s="478"/>
      <c r="BM151" s="93"/>
      <c r="BN151" s="372"/>
      <c r="BO151" s="455"/>
      <c r="BP151" s="557"/>
      <c r="BQ151" s="455"/>
      <c r="BR151" s="93"/>
      <c r="BS151" s="380"/>
      <c r="BT151" s="492"/>
      <c r="BU151" s="566"/>
      <c r="BV151" s="492"/>
      <c r="BW151" s="93"/>
      <c r="BX151" s="385"/>
      <c r="BY151" s="490"/>
      <c r="BZ151" s="605"/>
      <c r="CA151" s="490"/>
      <c r="CB151" s="93"/>
      <c r="CC151" s="387"/>
      <c r="CD151" s="404"/>
      <c r="CE151" s="535"/>
      <c r="CF151" s="404"/>
      <c r="CG151" s="93"/>
      <c r="CH151" s="387"/>
      <c r="CI151" s="404"/>
      <c r="CJ151" s="535"/>
      <c r="CK151" s="520"/>
      <c r="CL151" s="93"/>
      <c r="CM151" s="390" t="str">
        <f>IFERROR(__xludf.DUMMYFUNCTION("""COMPUTED_VALUE"""),"")</f>
        <v/>
      </c>
      <c r="CN151" s="489" t="str">
        <f>IFERROR(__xludf.DUMMYFUNCTION("""COMPUTED_VALUE"""),"Mareanie")</f>
        <v>Mareanie</v>
      </c>
      <c r="CO151" s="532" t="s">
        <v>158</v>
      </c>
      <c r="CP151" s="523"/>
      <c r="CQ151" s="93"/>
      <c r="CR151" s="413"/>
      <c r="CS151" s="414"/>
      <c r="CT151" s="632"/>
      <c r="CU151" s="414"/>
      <c r="CV151" s="93"/>
      <c r="CW151" s="415"/>
      <c r="CX151" s="468"/>
      <c r="CY151" s="633"/>
      <c r="CZ151" s="468"/>
      <c r="DA151" s="93"/>
      <c r="DB151" s="423"/>
      <c r="DC151" s="424"/>
      <c r="DD151" s="634"/>
      <c r="DE151" s="424"/>
      <c r="DF151" s="93"/>
      <c r="DG151" s="628"/>
      <c r="DH151" s="641"/>
      <c r="DI151" s="641"/>
      <c r="DJ151" s="641"/>
      <c r="DK151" s="93"/>
      <c r="DL151" s="429"/>
      <c r="DM151" s="430"/>
      <c r="DN151" s="430"/>
      <c r="DO151" s="430"/>
      <c r="DP151" s="93"/>
      <c r="DQ151" s="439"/>
      <c r="DR151" s="441"/>
      <c r="DS151" s="441"/>
      <c r="DT151" s="441"/>
      <c r="DU151" s="93"/>
      <c r="DV151" s="442"/>
      <c r="DW151" s="443"/>
      <c r="DX151" s="363"/>
      <c r="DY151" s="345"/>
      <c r="DZ151" s="87"/>
      <c r="EA151" s="10"/>
    </row>
    <row r="152" ht="17.25" customHeight="1">
      <c r="A152" s="10"/>
      <c r="B152" s="87"/>
      <c r="C152" s="234"/>
      <c r="D152" s="235"/>
      <c r="E152" s="93"/>
      <c r="F152" s="268"/>
      <c r="G152" s="268"/>
      <c r="H152" s="268"/>
      <c r="I152" s="268"/>
      <c r="J152" s="268"/>
      <c r="K152" s="268"/>
      <c r="L152" s="450"/>
      <c r="M152" s="268"/>
      <c r="N152" s="268"/>
      <c r="O152" s="268"/>
      <c r="P152" s="268"/>
      <c r="Q152" s="450"/>
      <c r="R152" s="268"/>
      <c r="S152" s="268"/>
      <c r="T152" s="268"/>
      <c r="U152" s="268"/>
      <c r="V152" s="450"/>
      <c r="W152" s="268"/>
      <c r="X152" s="268"/>
      <c r="Y152" s="268"/>
      <c r="Z152" s="268"/>
      <c r="AA152" s="450"/>
      <c r="AB152" s="268"/>
      <c r="AC152" s="268"/>
      <c r="AD152" s="268"/>
      <c r="AE152" s="268"/>
      <c r="AF152" s="450"/>
      <c r="AG152" s="268"/>
      <c r="AH152" s="268"/>
      <c r="AI152" s="268"/>
      <c r="AJ152" s="268"/>
      <c r="AK152" s="450"/>
      <c r="AL152" s="268"/>
      <c r="AM152" s="268"/>
      <c r="AN152" s="268"/>
      <c r="AO152" s="268"/>
      <c r="AP152" s="397"/>
      <c r="AQ152" s="509"/>
      <c r="AR152" s="397"/>
      <c r="AS152" s="93"/>
      <c r="AT152" s="359"/>
      <c r="AU152" s="518"/>
      <c r="AV152" s="524"/>
      <c r="AW152" s="518"/>
      <c r="AX152" s="93"/>
      <c r="AY152" s="364"/>
      <c r="AZ152" s="480"/>
      <c r="BA152" s="525"/>
      <c r="BB152" s="480"/>
      <c r="BC152" s="93"/>
      <c r="BD152" s="368"/>
      <c r="BE152" s="477"/>
      <c r="BF152" s="560"/>
      <c r="BG152" s="477"/>
      <c r="BH152" s="93"/>
      <c r="BI152" s="402"/>
      <c r="BJ152" s="478"/>
      <c r="BK152" s="609"/>
      <c r="BL152" s="478"/>
      <c r="BM152" s="93"/>
      <c r="BN152" s="372"/>
      <c r="BO152" s="455"/>
      <c r="BP152" s="557"/>
      <c r="BQ152" s="455"/>
      <c r="BR152" s="93"/>
      <c r="BS152" s="380"/>
      <c r="BT152" s="492"/>
      <c r="BU152" s="566"/>
      <c r="BV152" s="492"/>
      <c r="BW152" s="93"/>
      <c r="BX152" s="385"/>
      <c r="BY152" s="490"/>
      <c r="BZ152" s="605"/>
      <c r="CA152" s="490"/>
      <c r="CB152" s="93"/>
      <c r="CC152" s="387"/>
      <c r="CD152" s="404"/>
      <c r="CE152" s="535"/>
      <c r="CF152" s="404"/>
      <c r="CG152" s="93"/>
      <c r="CH152" s="387"/>
      <c r="CI152" s="404"/>
      <c r="CJ152" s="535"/>
      <c r="CK152" s="520"/>
      <c r="CL152" s="93"/>
      <c r="CM152" s="390" t="str">
        <f>IFERROR(__xludf.DUMMYFUNCTION("""COMPUTED_VALUE"""),"")</f>
        <v/>
      </c>
      <c r="CN152" s="489" t="str">
        <f>IFERROR(__xludf.DUMMYFUNCTION("""COMPUTED_VALUE"""),"Mareep")</f>
        <v>Mareep</v>
      </c>
      <c r="CO152" s="532" t="s">
        <v>158</v>
      </c>
      <c r="CP152" s="523"/>
      <c r="CQ152" s="93"/>
      <c r="CR152" s="413"/>
      <c r="CS152" s="414"/>
      <c r="CT152" s="632"/>
      <c r="CU152" s="414"/>
      <c r="CV152" s="93"/>
      <c r="CW152" s="415"/>
      <c r="CX152" s="468"/>
      <c r="CY152" s="633"/>
      <c r="CZ152" s="468"/>
      <c r="DA152" s="93"/>
      <c r="DB152" s="423"/>
      <c r="DC152" s="424"/>
      <c r="DD152" s="634"/>
      <c r="DE152" s="424"/>
      <c r="DF152" s="93"/>
      <c r="DG152" s="628"/>
      <c r="DH152" s="641"/>
      <c r="DI152" s="641"/>
      <c r="DJ152" s="641"/>
      <c r="DK152" s="93"/>
      <c r="DL152" s="429"/>
      <c r="DM152" s="430"/>
      <c r="DN152" s="430"/>
      <c r="DO152" s="430"/>
      <c r="DP152" s="93"/>
      <c r="DQ152" s="439"/>
      <c r="DR152" s="441"/>
      <c r="DS152" s="441"/>
      <c r="DT152" s="441"/>
      <c r="DU152" s="93"/>
      <c r="DV152" s="442"/>
      <c r="DW152" s="443"/>
      <c r="DX152" s="363"/>
      <c r="DY152" s="345"/>
      <c r="DZ152" s="87"/>
      <c r="EA152" s="10"/>
    </row>
    <row r="153" ht="17.25" customHeight="1">
      <c r="A153" s="10"/>
      <c r="B153" s="87"/>
      <c r="C153" s="234"/>
      <c r="D153" s="235"/>
      <c r="E153" s="93"/>
      <c r="F153" s="268"/>
      <c r="G153" s="268"/>
      <c r="H153" s="268"/>
      <c r="I153" s="268"/>
      <c r="J153" s="268"/>
      <c r="K153" s="268"/>
      <c r="L153" s="450"/>
      <c r="M153" s="268"/>
      <c r="N153" s="268"/>
      <c r="O153" s="268"/>
      <c r="P153" s="268"/>
      <c r="Q153" s="450"/>
      <c r="R153" s="268"/>
      <c r="S153" s="268"/>
      <c r="T153" s="268"/>
      <c r="U153" s="268"/>
      <c r="V153" s="450"/>
      <c r="W153" s="268"/>
      <c r="X153" s="268"/>
      <c r="Y153" s="268"/>
      <c r="Z153" s="268"/>
      <c r="AA153" s="450"/>
      <c r="AB153" s="268"/>
      <c r="AC153" s="268"/>
      <c r="AD153" s="268"/>
      <c r="AE153" s="268"/>
      <c r="AF153" s="450"/>
      <c r="AG153" s="268"/>
      <c r="AH153" s="268"/>
      <c r="AI153" s="268"/>
      <c r="AJ153" s="268"/>
      <c r="AK153" s="450"/>
      <c r="AL153" s="268"/>
      <c r="AM153" s="268"/>
      <c r="AN153" s="268"/>
      <c r="AO153" s="268"/>
      <c r="AP153" s="397"/>
      <c r="AQ153" s="509"/>
      <c r="AR153" s="397"/>
      <c r="AS153" s="93"/>
      <c r="AT153" s="359"/>
      <c r="AU153" s="518"/>
      <c r="AV153" s="524"/>
      <c r="AW153" s="518"/>
      <c r="AX153" s="93"/>
      <c r="AY153" s="364"/>
      <c r="AZ153" s="480"/>
      <c r="BA153" s="525"/>
      <c r="BB153" s="480"/>
      <c r="BC153" s="93"/>
      <c r="BD153" s="368"/>
      <c r="BE153" s="477"/>
      <c r="BF153" s="560"/>
      <c r="BG153" s="477"/>
      <c r="BH153" s="93"/>
      <c r="BI153" s="402"/>
      <c r="BJ153" s="478"/>
      <c r="BK153" s="609"/>
      <c r="BL153" s="478"/>
      <c r="BM153" s="93"/>
      <c r="BN153" s="372"/>
      <c r="BO153" s="455"/>
      <c r="BP153" s="557"/>
      <c r="BQ153" s="455"/>
      <c r="BR153" s="93"/>
      <c r="BS153" s="380"/>
      <c r="BT153" s="492"/>
      <c r="BU153" s="566"/>
      <c r="BV153" s="492"/>
      <c r="BW153" s="93"/>
      <c r="BX153" s="385"/>
      <c r="BY153" s="490"/>
      <c r="BZ153" s="605"/>
      <c r="CA153" s="490"/>
      <c r="CB153" s="93"/>
      <c r="CC153" s="387"/>
      <c r="CD153" s="404"/>
      <c r="CE153" s="535"/>
      <c r="CF153" s="404"/>
      <c r="CG153" s="93"/>
      <c r="CH153" s="387"/>
      <c r="CI153" s="404"/>
      <c r="CJ153" s="535"/>
      <c r="CK153" s="520"/>
      <c r="CL153" s="93"/>
      <c r="CM153" s="390" t="str">
        <f>IFERROR(__xludf.DUMMYFUNCTION("""COMPUTED_VALUE"""),"")</f>
        <v/>
      </c>
      <c r="CN153" s="489" t="str">
        <f>IFERROR(__xludf.DUMMYFUNCTION("""COMPUTED_VALUE"""),"Marill")</f>
        <v>Marill</v>
      </c>
      <c r="CO153" s="532" t="s">
        <v>158</v>
      </c>
      <c r="CP153" s="523"/>
      <c r="CQ153" s="93"/>
      <c r="CR153" s="413"/>
      <c r="CS153" s="414"/>
      <c r="CT153" s="632"/>
      <c r="CU153" s="414"/>
      <c r="CV153" s="93"/>
      <c r="CW153" s="415"/>
      <c r="CX153" s="468"/>
      <c r="CY153" s="633"/>
      <c r="CZ153" s="468"/>
      <c r="DA153" s="93"/>
      <c r="DB153" s="423"/>
      <c r="DC153" s="424"/>
      <c r="DD153" s="634"/>
      <c r="DE153" s="424"/>
      <c r="DF153" s="93"/>
      <c r="DG153" s="628"/>
      <c r="DH153" s="641"/>
      <c r="DI153" s="641"/>
      <c r="DJ153" s="641"/>
      <c r="DK153" s="93"/>
      <c r="DL153" s="429"/>
      <c r="DM153" s="430"/>
      <c r="DN153" s="430"/>
      <c r="DO153" s="430"/>
      <c r="DP153" s="93"/>
      <c r="DQ153" s="439"/>
      <c r="DR153" s="441"/>
      <c r="DS153" s="441"/>
      <c r="DT153" s="441"/>
      <c r="DU153" s="93"/>
      <c r="DV153" s="442"/>
      <c r="DW153" s="443"/>
      <c r="DX153" s="363"/>
      <c r="DY153" s="345"/>
      <c r="DZ153" s="87"/>
      <c r="EA153" s="10"/>
    </row>
    <row r="154" ht="17.25" customHeight="1">
      <c r="A154" s="10"/>
      <c r="B154" s="87"/>
      <c r="C154" s="234"/>
      <c r="D154" s="235"/>
      <c r="E154" s="93"/>
      <c r="F154" s="268"/>
      <c r="G154" s="268"/>
      <c r="H154" s="268"/>
      <c r="I154" s="268"/>
      <c r="J154" s="268"/>
      <c r="K154" s="268"/>
      <c r="L154" s="450"/>
      <c r="M154" s="268"/>
      <c r="N154" s="268"/>
      <c r="O154" s="268"/>
      <c r="P154" s="268"/>
      <c r="Q154" s="450"/>
      <c r="R154" s="268"/>
      <c r="S154" s="268"/>
      <c r="T154" s="268"/>
      <c r="U154" s="268"/>
      <c r="V154" s="450"/>
      <c r="W154" s="268"/>
      <c r="X154" s="268"/>
      <c r="Y154" s="268"/>
      <c r="Z154" s="268"/>
      <c r="AA154" s="450"/>
      <c r="AB154" s="268"/>
      <c r="AC154" s="268"/>
      <c r="AD154" s="268"/>
      <c r="AE154" s="268"/>
      <c r="AF154" s="450"/>
      <c r="AG154" s="268"/>
      <c r="AH154" s="268"/>
      <c r="AI154" s="268"/>
      <c r="AJ154" s="268"/>
      <c r="AK154" s="450"/>
      <c r="AL154" s="268"/>
      <c r="AM154" s="268"/>
      <c r="AN154" s="268"/>
      <c r="AO154" s="268"/>
      <c r="AP154" s="397"/>
      <c r="AQ154" s="509"/>
      <c r="AR154" s="397"/>
      <c r="AS154" s="93"/>
      <c r="AT154" s="359"/>
      <c r="AU154" s="518"/>
      <c r="AV154" s="524"/>
      <c r="AW154" s="518"/>
      <c r="AX154" s="93"/>
      <c r="AY154" s="364"/>
      <c r="AZ154" s="480"/>
      <c r="BA154" s="525"/>
      <c r="BB154" s="480"/>
      <c r="BC154" s="93"/>
      <c r="BD154" s="368"/>
      <c r="BE154" s="477"/>
      <c r="BF154" s="560"/>
      <c r="BG154" s="477"/>
      <c r="BH154" s="93"/>
      <c r="BI154" s="402"/>
      <c r="BJ154" s="478"/>
      <c r="BK154" s="609"/>
      <c r="BL154" s="478"/>
      <c r="BM154" s="93"/>
      <c r="BN154" s="372"/>
      <c r="BO154" s="455"/>
      <c r="BP154" s="557"/>
      <c r="BQ154" s="455"/>
      <c r="BR154" s="93"/>
      <c r="BS154" s="380"/>
      <c r="BT154" s="492"/>
      <c r="BU154" s="566"/>
      <c r="BV154" s="492"/>
      <c r="BW154" s="93"/>
      <c r="BX154" s="385"/>
      <c r="BY154" s="490"/>
      <c r="BZ154" s="605"/>
      <c r="CA154" s="490"/>
      <c r="CB154" s="93"/>
      <c r="CC154" s="387"/>
      <c r="CD154" s="404"/>
      <c r="CE154" s="535"/>
      <c r="CF154" s="404"/>
      <c r="CG154" s="93"/>
      <c r="CH154" s="387"/>
      <c r="CI154" s="404"/>
      <c r="CJ154" s="535"/>
      <c r="CK154" s="520"/>
      <c r="CL154" s="93"/>
      <c r="CM154" s="390" t="str">
        <f>IFERROR(__xludf.DUMMYFUNCTION("""COMPUTED_VALUE"""),"")</f>
        <v/>
      </c>
      <c r="CN154" s="823" t="str">
        <f>IFERROR(__xludf.DUMMYFUNCTION("""COMPUTED_VALUE"""),"Maschiff")</f>
        <v>Maschiff</v>
      </c>
      <c r="CO154" s="532" t="s">
        <v>158</v>
      </c>
      <c r="CP154" s="523"/>
      <c r="CQ154" s="93"/>
      <c r="CR154" s="413"/>
      <c r="CS154" s="414"/>
      <c r="CT154" s="632"/>
      <c r="CU154" s="414"/>
      <c r="CV154" s="93"/>
      <c r="CW154" s="415"/>
      <c r="CX154" s="468"/>
      <c r="CY154" s="633"/>
      <c r="CZ154" s="468"/>
      <c r="DA154" s="93"/>
      <c r="DB154" s="423"/>
      <c r="DC154" s="424"/>
      <c r="DD154" s="634"/>
      <c r="DE154" s="424"/>
      <c r="DF154" s="93"/>
      <c r="DG154" s="628"/>
      <c r="DH154" s="641"/>
      <c r="DI154" s="641"/>
      <c r="DJ154" s="641"/>
      <c r="DK154" s="93"/>
      <c r="DL154" s="429"/>
      <c r="DM154" s="430"/>
      <c r="DN154" s="430"/>
      <c r="DO154" s="430"/>
      <c r="DP154" s="93"/>
      <c r="DQ154" s="439"/>
      <c r="DR154" s="441"/>
      <c r="DS154" s="441"/>
      <c r="DT154" s="441"/>
      <c r="DU154" s="93"/>
      <c r="DV154" s="442"/>
      <c r="DW154" s="443"/>
      <c r="DX154" s="363"/>
      <c r="DY154" s="345"/>
      <c r="DZ154" s="87"/>
      <c r="EA154" s="10"/>
    </row>
    <row r="155" ht="17.25" customHeight="1">
      <c r="A155" s="10"/>
      <c r="B155" s="87"/>
      <c r="C155" s="234"/>
      <c r="D155" s="235"/>
      <c r="E155" s="93"/>
      <c r="F155" s="268"/>
      <c r="G155" s="268"/>
      <c r="H155" s="268"/>
      <c r="I155" s="268"/>
      <c r="J155" s="268"/>
      <c r="K155" s="268"/>
      <c r="L155" s="450"/>
      <c r="M155" s="268"/>
      <c r="N155" s="268"/>
      <c r="O155" s="268"/>
      <c r="P155" s="268"/>
      <c r="Q155" s="450"/>
      <c r="R155" s="268"/>
      <c r="S155" s="268"/>
      <c r="T155" s="268"/>
      <c r="U155" s="268"/>
      <c r="V155" s="450"/>
      <c r="W155" s="268"/>
      <c r="X155" s="268"/>
      <c r="Y155" s="268"/>
      <c r="Z155" s="268"/>
      <c r="AA155" s="450"/>
      <c r="AB155" s="268"/>
      <c r="AC155" s="268"/>
      <c r="AD155" s="268"/>
      <c r="AE155" s="268"/>
      <c r="AF155" s="450"/>
      <c r="AG155" s="268"/>
      <c r="AH155" s="268"/>
      <c r="AI155" s="268"/>
      <c r="AJ155" s="268"/>
      <c r="AK155" s="450"/>
      <c r="AL155" s="268"/>
      <c r="AM155" s="268"/>
      <c r="AN155" s="268"/>
      <c r="AO155" s="268"/>
      <c r="AP155" s="397"/>
      <c r="AQ155" s="509"/>
      <c r="AR155" s="397"/>
      <c r="AS155" s="93"/>
      <c r="AT155" s="359"/>
      <c r="AU155" s="518"/>
      <c r="AV155" s="524"/>
      <c r="AW155" s="518"/>
      <c r="AX155" s="93"/>
      <c r="AY155" s="364"/>
      <c r="AZ155" s="480"/>
      <c r="BA155" s="525"/>
      <c r="BB155" s="480"/>
      <c r="BC155" s="93"/>
      <c r="BD155" s="368"/>
      <c r="BE155" s="477"/>
      <c r="BF155" s="560"/>
      <c r="BG155" s="477"/>
      <c r="BH155" s="93"/>
      <c r="BI155" s="402"/>
      <c r="BJ155" s="478"/>
      <c r="BK155" s="609"/>
      <c r="BL155" s="478"/>
      <c r="BM155" s="93"/>
      <c r="BN155" s="372"/>
      <c r="BO155" s="455"/>
      <c r="BP155" s="557"/>
      <c r="BQ155" s="455"/>
      <c r="BR155" s="93"/>
      <c r="BS155" s="380"/>
      <c r="BT155" s="492"/>
      <c r="BU155" s="566"/>
      <c r="BV155" s="492"/>
      <c r="BW155" s="93"/>
      <c r="BX155" s="385"/>
      <c r="BY155" s="490"/>
      <c r="BZ155" s="605"/>
      <c r="CA155" s="490"/>
      <c r="CB155" s="93"/>
      <c r="CC155" s="387"/>
      <c r="CD155" s="404"/>
      <c r="CE155" s="535"/>
      <c r="CF155" s="404"/>
      <c r="CG155" s="93"/>
      <c r="CH155" s="387"/>
      <c r="CI155" s="404"/>
      <c r="CJ155" s="535"/>
      <c r="CK155" s="520"/>
      <c r="CL155" s="93"/>
      <c r="CM155" s="390" t="str">
        <f>IFERROR(__xludf.DUMMYFUNCTION("""COMPUTED_VALUE"""),"")</f>
        <v/>
      </c>
      <c r="CN155" s="823" t="str">
        <f>IFERROR(__xludf.DUMMYFUNCTION("""COMPUTED_VALUE"""),"Masquerain")</f>
        <v>Masquerain</v>
      </c>
      <c r="CO155" s="532" t="s">
        <v>158</v>
      </c>
      <c r="CP155" s="523"/>
      <c r="CQ155" s="93"/>
      <c r="CR155" s="413"/>
      <c r="CS155" s="414"/>
      <c r="CT155" s="632"/>
      <c r="CU155" s="414"/>
      <c r="CV155" s="93"/>
      <c r="CW155" s="415"/>
      <c r="CX155" s="468"/>
      <c r="CY155" s="633"/>
      <c r="CZ155" s="468"/>
      <c r="DA155" s="93"/>
      <c r="DB155" s="423"/>
      <c r="DC155" s="424"/>
      <c r="DD155" s="634"/>
      <c r="DE155" s="424"/>
      <c r="DF155" s="93"/>
      <c r="DG155" s="628"/>
      <c r="DH155" s="641"/>
      <c r="DI155" s="641"/>
      <c r="DJ155" s="641"/>
      <c r="DK155" s="93"/>
      <c r="DL155" s="429"/>
      <c r="DM155" s="430"/>
      <c r="DN155" s="430"/>
      <c r="DO155" s="430"/>
      <c r="DP155" s="93"/>
      <c r="DQ155" s="439"/>
      <c r="DR155" s="441"/>
      <c r="DS155" s="441"/>
      <c r="DT155" s="441"/>
      <c r="DU155" s="93"/>
      <c r="DV155" s="442"/>
      <c r="DW155" s="443"/>
      <c r="DX155" s="363"/>
      <c r="DY155" s="345"/>
      <c r="DZ155" s="87"/>
      <c r="EA155" s="10"/>
    </row>
    <row r="156" ht="17.25" customHeight="1">
      <c r="A156" s="10"/>
      <c r="B156" s="87"/>
      <c r="C156" s="234"/>
      <c r="D156" s="235"/>
      <c r="E156" s="93"/>
      <c r="F156" s="268"/>
      <c r="G156" s="268"/>
      <c r="H156" s="268"/>
      <c r="I156" s="268"/>
      <c r="J156" s="268"/>
      <c r="K156" s="268"/>
      <c r="L156" s="450"/>
      <c r="M156" s="268"/>
      <c r="N156" s="268"/>
      <c r="O156" s="268"/>
      <c r="P156" s="268"/>
      <c r="Q156" s="450"/>
      <c r="R156" s="268"/>
      <c r="S156" s="268"/>
      <c r="T156" s="268"/>
      <c r="U156" s="268"/>
      <c r="V156" s="450"/>
      <c r="W156" s="268"/>
      <c r="X156" s="268"/>
      <c r="Y156" s="268"/>
      <c r="Z156" s="268"/>
      <c r="AA156" s="450"/>
      <c r="AB156" s="268"/>
      <c r="AC156" s="268"/>
      <c r="AD156" s="268"/>
      <c r="AE156" s="268"/>
      <c r="AF156" s="450"/>
      <c r="AG156" s="268"/>
      <c r="AH156" s="268"/>
      <c r="AI156" s="268"/>
      <c r="AJ156" s="268"/>
      <c r="AK156" s="450"/>
      <c r="AL156" s="268"/>
      <c r="AM156" s="268"/>
      <c r="AN156" s="268"/>
      <c r="AO156" s="268"/>
      <c r="AP156" s="397"/>
      <c r="AQ156" s="509"/>
      <c r="AR156" s="397"/>
      <c r="AS156" s="93"/>
      <c r="AT156" s="359"/>
      <c r="AU156" s="518"/>
      <c r="AV156" s="524"/>
      <c r="AW156" s="518"/>
      <c r="AX156" s="93"/>
      <c r="AY156" s="364"/>
      <c r="AZ156" s="480"/>
      <c r="BA156" s="525"/>
      <c r="BB156" s="480"/>
      <c r="BC156" s="93"/>
      <c r="BD156" s="368"/>
      <c r="BE156" s="477"/>
      <c r="BF156" s="560"/>
      <c r="BG156" s="477"/>
      <c r="BH156" s="93"/>
      <c r="BI156" s="402"/>
      <c r="BJ156" s="478"/>
      <c r="BK156" s="609"/>
      <c r="BL156" s="478"/>
      <c r="BM156" s="93"/>
      <c r="BN156" s="372"/>
      <c r="BO156" s="455"/>
      <c r="BP156" s="557"/>
      <c r="BQ156" s="455"/>
      <c r="BR156" s="93"/>
      <c r="BS156" s="380"/>
      <c r="BT156" s="492"/>
      <c r="BU156" s="566"/>
      <c r="BV156" s="492"/>
      <c r="BW156" s="93"/>
      <c r="BX156" s="385"/>
      <c r="BY156" s="490"/>
      <c r="BZ156" s="605"/>
      <c r="CA156" s="490"/>
      <c r="CB156" s="93"/>
      <c r="CC156" s="387"/>
      <c r="CD156" s="404"/>
      <c r="CE156" s="535"/>
      <c r="CF156" s="404"/>
      <c r="CG156" s="93"/>
      <c r="CH156" s="387"/>
      <c r="CI156" s="404"/>
      <c r="CJ156" s="535"/>
      <c r="CK156" s="520"/>
      <c r="CL156" s="93"/>
      <c r="CM156" s="390" t="str">
        <f>IFERROR(__xludf.DUMMYFUNCTION("""COMPUTED_VALUE"""),"")</f>
        <v/>
      </c>
      <c r="CN156" s="489" t="str">
        <f>IFERROR(__xludf.DUMMYFUNCTION("""COMPUTED_VALUE"""),"Medicham")</f>
        <v>Medicham</v>
      </c>
      <c r="CO156" s="532" t="s">
        <v>158</v>
      </c>
      <c r="CP156" s="523"/>
      <c r="CQ156" s="93"/>
      <c r="CR156" s="413"/>
      <c r="CS156" s="414"/>
      <c r="CT156" s="632"/>
      <c r="CU156" s="414"/>
      <c r="CV156" s="93"/>
      <c r="CW156" s="415"/>
      <c r="CX156" s="468"/>
      <c r="CY156" s="633"/>
      <c r="CZ156" s="468"/>
      <c r="DA156" s="93"/>
      <c r="DB156" s="423"/>
      <c r="DC156" s="424"/>
      <c r="DD156" s="634"/>
      <c r="DE156" s="424"/>
      <c r="DF156" s="93"/>
      <c r="DG156" s="628"/>
      <c r="DH156" s="641"/>
      <c r="DI156" s="641"/>
      <c r="DJ156" s="641"/>
      <c r="DK156" s="93"/>
      <c r="DL156" s="429"/>
      <c r="DM156" s="430"/>
      <c r="DN156" s="430"/>
      <c r="DO156" s="430"/>
      <c r="DP156" s="93"/>
      <c r="DQ156" s="439"/>
      <c r="DR156" s="441"/>
      <c r="DS156" s="441"/>
      <c r="DT156" s="441"/>
      <c r="DU156" s="93"/>
      <c r="DV156" s="442"/>
      <c r="DW156" s="443"/>
      <c r="DX156" s="363"/>
      <c r="DY156" s="345"/>
      <c r="DZ156" s="87"/>
      <c r="EA156" s="10"/>
    </row>
    <row r="157" ht="17.25" customHeight="1">
      <c r="A157" s="10"/>
      <c r="B157" s="87"/>
      <c r="C157" s="234"/>
      <c r="D157" s="235"/>
      <c r="E157" s="93"/>
      <c r="F157" s="268"/>
      <c r="G157" s="268"/>
      <c r="H157" s="268"/>
      <c r="I157" s="268"/>
      <c r="J157" s="268"/>
      <c r="K157" s="268"/>
      <c r="L157" s="450"/>
      <c r="M157" s="268"/>
      <c r="N157" s="268"/>
      <c r="O157" s="268"/>
      <c r="P157" s="268"/>
      <c r="Q157" s="450"/>
      <c r="R157" s="268"/>
      <c r="S157" s="268"/>
      <c r="T157" s="268"/>
      <c r="U157" s="268"/>
      <c r="V157" s="450"/>
      <c r="W157" s="268"/>
      <c r="X157" s="268"/>
      <c r="Y157" s="268"/>
      <c r="Z157" s="268"/>
      <c r="AA157" s="450"/>
      <c r="AB157" s="268"/>
      <c r="AC157" s="268"/>
      <c r="AD157" s="268"/>
      <c r="AE157" s="268"/>
      <c r="AF157" s="450"/>
      <c r="AG157" s="268"/>
      <c r="AH157" s="268"/>
      <c r="AI157" s="268"/>
      <c r="AJ157" s="268"/>
      <c r="AK157" s="450"/>
      <c r="AL157" s="268"/>
      <c r="AM157" s="268"/>
      <c r="AN157" s="268"/>
      <c r="AO157" s="268"/>
      <c r="AP157" s="397"/>
      <c r="AQ157" s="509"/>
      <c r="AR157" s="397"/>
      <c r="AS157" s="93"/>
      <c r="AT157" s="359"/>
      <c r="AU157" s="518"/>
      <c r="AV157" s="524"/>
      <c r="AW157" s="518"/>
      <c r="AX157" s="93"/>
      <c r="AY157" s="364"/>
      <c r="AZ157" s="480"/>
      <c r="BA157" s="525"/>
      <c r="BB157" s="480"/>
      <c r="BC157" s="93"/>
      <c r="BD157" s="368"/>
      <c r="BE157" s="477"/>
      <c r="BF157" s="560"/>
      <c r="BG157" s="477"/>
      <c r="BH157" s="93"/>
      <c r="BI157" s="402"/>
      <c r="BJ157" s="478"/>
      <c r="BK157" s="609"/>
      <c r="BL157" s="478"/>
      <c r="BM157" s="93"/>
      <c r="BN157" s="372"/>
      <c r="BO157" s="455"/>
      <c r="BP157" s="557"/>
      <c r="BQ157" s="455"/>
      <c r="BR157" s="93"/>
      <c r="BS157" s="380"/>
      <c r="BT157" s="492"/>
      <c r="BU157" s="566"/>
      <c r="BV157" s="492"/>
      <c r="BW157" s="93"/>
      <c r="BX157" s="385"/>
      <c r="BY157" s="490"/>
      <c r="BZ157" s="605"/>
      <c r="CA157" s="490"/>
      <c r="CB157" s="93"/>
      <c r="CC157" s="387"/>
      <c r="CD157" s="404"/>
      <c r="CE157" s="535"/>
      <c r="CF157" s="404"/>
      <c r="CG157" s="93"/>
      <c r="CH157" s="387"/>
      <c r="CI157" s="404"/>
      <c r="CJ157" s="535"/>
      <c r="CK157" s="520"/>
      <c r="CL157" s="93"/>
      <c r="CM157" s="390" t="str">
        <f>IFERROR(__xludf.DUMMYFUNCTION("""COMPUTED_VALUE"""),"")</f>
        <v/>
      </c>
      <c r="CN157" s="489" t="str">
        <f>IFERROR(__xludf.DUMMYFUNCTION("""COMPUTED_VALUE"""),"Meditite")</f>
        <v>Meditite</v>
      </c>
      <c r="CO157" s="532" t="s">
        <v>158</v>
      </c>
      <c r="CP157" s="523"/>
      <c r="CQ157" s="93"/>
      <c r="CR157" s="413"/>
      <c r="CS157" s="414"/>
      <c r="CT157" s="632"/>
      <c r="CU157" s="414"/>
      <c r="CV157" s="93"/>
      <c r="CW157" s="415"/>
      <c r="CX157" s="468"/>
      <c r="CY157" s="633"/>
      <c r="CZ157" s="468"/>
      <c r="DA157" s="93"/>
      <c r="DB157" s="423"/>
      <c r="DC157" s="424"/>
      <c r="DD157" s="634"/>
      <c r="DE157" s="424"/>
      <c r="DF157" s="93"/>
      <c r="DG157" s="628"/>
      <c r="DH157" s="641"/>
      <c r="DI157" s="641"/>
      <c r="DJ157" s="641"/>
      <c r="DK157" s="93"/>
      <c r="DL157" s="429"/>
      <c r="DM157" s="430"/>
      <c r="DN157" s="430"/>
      <c r="DO157" s="430"/>
      <c r="DP157" s="93"/>
      <c r="DQ157" s="439"/>
      <c r="DR157" s="441"/>
      <c r="DS157" s="441"/>
      <c r="DT157" s="441"/>
      <c r="DU157" s="93"/>
      <c r="DV157" s="442"/>
      <c r="DW157" s="443"/>
      <c r="DX157" s="363"/>
      <c r="DY157" s="345"/>
      <c r="DZ157" s="87"/>
      <c r="EA157" s="10"/>
    </row>
    <row r="158" ht="17.25" customHeight="1">
      <c r="A158" s="10"/>
      <c r="B158" s="87"/>
      <c r="C158" s="234"/>
      <c r="D158" s="235"/>
      <c r="E158" s="93"/>
      <c r="F158" s="268"/>
      <c r="G158" s="268"/>
      <c r="H158" s="268"/>
      <c r="I158" s="268"/>
      <c r="J158" s="268"/>
      <c r="K158" s="268"/>
      <c r="L158" s="450"/>
      <c r="M158" s="268"/>
      <c r="N158" s="268"/>
      <c r="O158" s="268"/>
      <c r="P158" s="268"/>
      <c r="Q158" s="450"/>
      <c r="R158" s="268"/>
      <c r="S158" s="268"/>
      <c r="T158" s="268"/>
      <c r="U158" s="268"/>
      <c r="V158" s="450"/>
      <c r="W158" s="268"/>
      <c r="X158" s="268"/>
      <c r="Y158" s="268"/>
      <c r="Z158" s="268"/>
      <c r="AA158" s="450"/>
      <c r="AB158" s="268"/>
      <c r="AC158" s="268"/>
      <c r="AD158" s="268"/>
      <c r="AE158" s="268"/>
      <c r="AF158" s="450"/>
      <c r="AG158" s="268"/>
      <c r="AH158" s="268"/>
      <c r="AI158" s="268"/>
      <c r="AJ158" s="268"/>
      <c r="AK158" s="450"/>
      <c r="AL158" s="268"/>
      <c r="AM158" s="268"/>
      <c r="AN158" s="268"/>
      <c r="AO158" s="268"/>
      <c r="AP158" s="397"/>
      <c r="AQ158" s="509"/>
      <c r="AR158" s="397"/>
      <c r="AS158" s="93"/>
      <c r="AT158" s="359"/>
      <c r="AU158" s="518"/>
      <c r="AV158" s="524"/>
      <c r="AW158" s="518"/>
      <c r="AX158" s="93"/>
      <c r="AY158" s="364"/>
      <c r="AZ158" s="480"/>
      <c r="BA158" s="525"/>
      <c r="BB158" s="480"/>
      <c r="BC158" s="93"/>
      <c r="BD158" s="368"/>
      <c r="BE158" s="477"/>
      <c r="BF158" s="560"/>
      <c r="BG158" s="477"/>
      <c r="BH158" s="93"/>
      <c r="BI158" s="402"/>
      <c r="BJ158" s="478"/>
      <c r="BK158" s="609"/>
      <c r="BL158" s="478"/>
      <c r="BM158" s="93"/>
      <c r="BN158" s="372"/>
      <c r="BO158" s="455"/>
      <c r="BP158" s="557"/>
      <c r="BQ158" s="455"/>
      <c r="BR158" s="93"/>
      <c r="BS158" s="380"/>
      <c r="BT158" s="492"/>
      <c r="BU158" s="566"/>
      <c r="BV158" s="492"/>
      <c r="BW158" s="93"/>
      <c r="BX158" s="385"/>
      <c r="BY158" s="490"/>
      <c r="BZ158" s="605"/>
      <c r="CA158" s="490"/>
      <c r="CB158" s="93"/>
      <c r="CC158" s="387"/>
      <c r="CD158" s="404"/>
      <c r="CE158" s="535"/>
      <c r="CF158" s="404"/>
      <c r="CG158" s="93"/>
      <c r="CH158" s="387"/>
      <c r="CI158" s="404"/>
      <c r="CJ158" s="535"/>
      <c r="CK158" s="520"/>
      <c r="CL158" s="93"/>
      <c r="CM158" s="390" t="str">
        <f>IFERROR(__xludf.DUMMYFUNCTION("""COMPUTED_VALUE"""),"")</f>
        <v/>
      </c>
      <c r="CN158" s="489" t="str">
        <f>IFERROR(__xludf.DUMMYFUNCTION("""COMPUTED_VALUE"""),"Meowth")</f>
        <v>Meowth</v>
      </c>
      <c r="CO158" s="532" t="s">
        <v>158</v>
      </c>
      <c r="CP158" s="523"/>
      <c r="CQ158" s="93"/>
      <c r="CR158" s="413"/>
      <c r="CS158" s="414"/>
      <c r="CT158" s="632"/>
      <c r="CU158" s="414"/>
      <c r="CV158" s="93"/>
      <c r="CW158" s="415"/>
      <c r="CX158" s="468"/>
      <c r="CY158" s="633"/>
      <c r="CZ158" s="468"/>
      <c r="DA158" s="93"/>
      <c r="DB158" s="423"/>
      <c r="DC158" s="424"/>
      <c r="DD158" s="634"/>
      <c r="DE158" s="424"/>
      <c r="DF158" s="93"/>
      <c r="DG158" s="628"/>
      <c r="DH158" s="641"/>
      <c r="DI158" s="641"/>
      <c r="DJ158" s="641"/>
      <c r="DK158" s="93"/>
      <c r="DL158" s="429"/>
      <c r="DM158" s="430"/>
      <c r="DN158" s="430"/>
      <c r="DO158" s="430"/>
      <c r="DP158" s="93"/>
      <c r="DQ158" s="439"/>
      <c r="DR158" s="441"/>
      <c r="DS158" s="441"/>
      <c r="DT158" s="441"/>
      <c r="DU158" s="93"/>
      <c r="DV158" s="442"/>
      <c r="DW158" s="443"/>
      <c r="DX158" s="363"/>
      <c r="DY158" s="345"/>
      <c r="DZ158" s="87"/>
      <c r="EA158" s="10"/>
    </row>
    <row r="159" ht="17.25" customHeight="1">
      <c r="A159" s="10"/>
      <c r="B159" s="87"/>
      <c r="C159" s="234"/>
      <c r="D159" s="235"/>
      <c r="E159" s="93"/>
      <c r="F159" s="268"/>
      <c r="G159" s="268"/>
      <c r="H159" s="268"/>
      <c r="I159" s="268"/>
      <c r="J159" s="268"/>
      <c r="K159" s="268"/>
      <c r="L159" s="450"/>
      <c r="M159" s="268"/>
      <c r="N159" s="268"/>
      <c r="O159" s="268"/>
      <c r="P159" s="268"/>
      <c r="Q159" s="450"/>
      <c r="R159" s="268"/>
      <c r="S159" s="268"/>
      <c r="T159" s="268"/>
      <c r="U159" s="268"/>
      <c r="V159" s="450"/>
      <c r="W159" s="268"/>
      <c r="X159" s="268"/>
      <c r="Y159" s="268"/>
      <c r="Z159" s="268"/>
      <c r="AA159" s="450"/>
      <c r="AB159" s="268"/>
      <c r="AC159" s="268"/>
      <c r="AD159" s="268"/>
      <c r="AE159" s="268"/>
      <c r="AF159" s="450"/>
      <c r="AG159" s="268"/>
      <c r="AH159" s="268"/>
      <c r="AI159" s="268"/>
      <c r="AJ159" s="268"/>
      <c r="AK159" s="450"/>
      <c r="AL159" s="268"/>
      <c r="AM159" s="268"/>
      <c r="AN159" s="268"/>
      <c r="AO159" s="268"/>
      <c r="AP159" s="397"/>
      <c r="AQ159" s="509"/>
      <c r="AR159" s="397"/>
      <c r="AS159" s="93"/>
      <c r="AT159" s="359"/>
      <c r="AU159" s="518"/>
      <c r="AV159" s="524"/>
      <c r="AW159" s="518"/>
      <c r="AX159" s="93"/>
      <c r="AY159" s="364"/>
      <c r="AZ159" s="480"/>
      <c r="BA159" s="525"/>
      <c r="BB159" s="480"/>
      <c r="BC159" s="93"/>
      <c r="BD159" s="368"/>
      <c r="BE159" s="477"/>
      <c r="BF159" s="560"/>
      <c r="BG159" s="477"/>
      <c r="BH159" s="93"/>
      <c r="BI159" s="402"/>
      <c r="BJ159" s="478"/>
      <c r="BK159" s="609"/>
      <c r="BL159" s="478"/>
      <c r="BM159" s="93"/>
      <c r="BN159" s="372"/>
      <c r="BO159" s="455"/>
      <c r="BP159" s="557"/>
      <c r="BQ159" s="455"/>
      <c r="BR159" s="93"/>
      <c r="BS159" s="380"/>
      <c r="BT159" s="492"/>
      <c r="BU159" s="566"/>
      <c r="BV159" s="492"/>
      <c r="BW159" s="93"/>
      <c r="BX159" s="385"/>
      <c r="BY159" s="490"/>
      <c r="BZ159" s="605"/>
      <c r="CA159" s="490"/>
      <c r="CB159" s="93"/>
      <c r="CC159" s="387"/>
      <c r="CD159" s="404"/>
      <c r="CE159" s="535"/>
      <c r="CF159" s="404"/>
      <c r="CG159" s="93"/>
      <c r="CH159" s="387"/>
      <c r="CI159" s="404"/>
      <c r="CJ159" s="535"/>
      <c r="CK159" s="520"/>
      <c r="CL159" s="93"/>
      <c r="CM159" s="390" t="str">
        <f>IFERROR(__xludf.DUMMYFUNCTION("""COMPUTED_VALUE"""),"")</f>
        <v/>
      </c>
      <c r="CN159" s="489" t="str">
        <f>IFERROR(__xludf.DUMMYFUNCTION("""COMPUTED_VALUE"""),"Misdreavus")</f>
        <v>Misdreavus</v>
      </c>
      <c r="CO159" s="532" t="s">
        <v>158</v>
      </c>
      <c r="CP159" s="523"/>
      <c r="CQ159" s="93"/>
      <c r="CR159" s="413"/>
      <c r="CS159" s="414"/>
      <c r="CT159" s="632"/>
      <c r="CU159" s="414"/>
      <c r="CV159" s="93"/>
      <c r="CW159" s="415"/>
      <c r="CX159" s="468"/>
      <c r="CY159" s="633"/>
      <c r="CZ159" s="468"/>
      <c r="DA159" s="93"/>
      <c r="DB159" s="423"/>
      <c r="DC159" s="424"/>
      <c r="DD159" s="634"/>
      <c r="DE159" s="424"/>
      <c r="DF159" s="93"/>
      <c r="DG159" s="628"/>
      <c r="DH159" s="641"/>
      <c r="DI159" s="641"/>
      <c r="DJ159" s="641"/>
      <c r="DK159" s="93"/>
      <c r="DL159" s="429"/>
      <c r="DM159" s="430"/>
      <c r="DN159" s="430"/>
      <c r="DO159" s="430"/>
      <c r="DP159" s="93"/>
      <c r="DQ159" s="439"/>
      <c r="DR159" s="441"/>
      <c r="DS159" s="441"/>
      <c r="DT159" s="441"/>
      <c r="DU159" s="93"/>
      <c r="DV159" s="442"/>
      <c r="DW159" s="443"/>
      <c r="DX159" s="363"/>
      <c r="DY159" s="345"/>
      <c r="DZ159" s="87"/>
      <c r="EA159" s="10"/>
    </row>
    <row r="160" ht="17.25" customHeight="1">
      <c r="A160" s="10"/>
      <c r="B160" s="87"/>
      <c r="C160" s="234"/>
      <c r="D160" s="235"/>
      <c r="E160" s="93"/>
      <c r="F160" s="268"/>
      <c r="G160" s="268"/>
      <c r="H160" s="268"/>
      <c r="I160" s="268"/>
      <c r="J160" s="268"/>
      <c r="K160" s="268"/>
      <c r="L160" s="450"/>
      <c r="M160" s="268"/>
      <c r="N160" s="268"/>
      <c r="O160" s="268"/>
      <c r="P160" s="268"/>
      <c r="Q160" s="450"/>
      <c r="R160" s="268"/>
      <c r="S160" s="268"/>
      <c r="T160" s="268"/>
      <c r="U160" s="268"/>
      <c r="V160" s="450"/>
      <c r="W160" s="268"/>
      <c r="X160" s="268"/>
      <c r="Y160" s="268"/>
      <c r="Z160" s="268"/>
      <c r="AA160" s="450"/>
      <c r="AB160" s="268"/>
      <c r="AC160" s="268"/>
      <c r="AD160" s="268"/>
      <c r="AE160" s="268"/>
      <c r="AF160" s="450"/>
      <c r="AG160" s="268"/>
      <c r="AH160" s="268"/>
      <c r="AI160" s="268"/>
      <c r="AJ160" s="268"/>
      <c r="AK160" s="450"/>
      <c r="AL160" s="268"/>
      <c r="AM160" s="268"/>
      <c r="AN160" s="268"/>
      <c r="AO160" s="268"/>
      <c r="AP160" s="397"/>
      <c r="AQ160" s="509"/>
      <c r="AR160" s="397"/>
      <c r="AS160" s="93"/>
      <c r="AT160" s="359"/>
      <c r="AU160" s="518"/>
      <c r="AV160" s="524"/>
      <c r="AW160" s="518"/>
      <c r="AX160" s="93"/>
      <c r="AY160" s="364"/>
      <c r="AZ160" s="480"/>
      <c r="BA160" s="525"/>
      <c r="BB160" s="480"/>
      <c r="BC160" s="93"/>
      <c r="BD160" s="368"/>
      <c r="BE160" s="477"/>
      <c r="BF160" s="560"/>
      <c r="BG160" s="477"/>
      <c r="BH160" s="93"/>
      <c r="BI160" s="402"/>
      <c r="BJ160" s="478"/>
      <c r="BK160" s="609"/>
      <c r="BL160" s="478"/>
      <c r="BM160" s="93"/>
      <c r="BN160" s="372"/>
      <c r="BO160" s="455"/>
      <c r="BP160" s="557"/>
      <c r="BQ160" s="455"/>
      <c r="BR160" s="93"/>
      <c r="BS160" s="380"/>
      <c r="BT160" s="492"/>
      <c r="BU160" s="566"/>
      <c r="BV160" s="492"/>
      <c r="BW160" s="93"/>
      <c r="BX160" s="385"/>
      <c r="BY160" s="490"/>
      <c r="BZ160" s="605"/>
      <c r="CA160" s="490"/>
      <c r="CB160" s="93"/>
      <c r="CC160" s="387"/>
      <c r="CD160" s="404"/>
      <c r="CE160" s="535"/>
      <c r="CF160" s="404"/>
      <c r="CG160" s="93"/>
      <c r="CH160" s="387"/>
      <c r="CI160" s="404"/>
      <c r="CJ160" s="535"/>
      <c r="CK160" s="520"/>
      <c r="CL160" s="93"/>
      <c r="CM160" s="390" t="str">
        <f>IFERROR(__xludf.DUMMYFUNCTION("""COMPUTED_VALUE"""),"")</f>
        <v/>
      </c>
      <c r="CN160" s="489" t="str">
        <f>IFERROR(__xludf.DUMMYFUNCTION("""COMPUTED_VALUE"""),"Morgrem")</f>
        <v>Morgrem</v>
      </c>
      <c r="CO160" s="532" t="s">
        <v>158</v>
      </c>
      <c r="CP160" s="523"/>
      <c r="CQ160" s="93"/>
      <c r="CR160" s="413"/>
      <c r="CS160" s="414"/>
      <c r="CT160" s="632"/>
      <c r="CU160" s="414"/>
      <c r="CV160" s="93"/>
      <c r="CW160" s="415"/>
      <c r="CX160" s="468"/>
      <c r="CY160" s="633"/>
      <c r="CZ160" s="468"/>
      <c r="DA160" s="93"/>
      <c r="DB160" s="423"/>
      <c r="DC160" s="424"/>
      <c r="DD160" s="634"/>
      <c r="DE160" s="424"/>
      <c r="DF160" s="93"/>
      <c r="DG160" s="628"/>
      <c r="DH160" s="641"/>
      <c r="DI160" s="641"/>
      <c r="DJ160" s="641"/>
      <c r="DK160" s="93"/>
      <c r="DL160" s="429"/>
      <c r="DM160" s="430"/>
      <c r="DN160" s="430"/>
      <c r="DO160" s="430"/>
      <c r="DP160" s="93"/>
      <c r="DQ160" s="439"/>
      <c r="DR160" s="441"/>
      <c r="DS160" s="441"/>
      <c r="DT160" s="441"/>
      <c r="DU160" s="93"/>
      <c r="DV160" s="442"/>
      <c r="DW160" s="443"/>
      <c r="DX160" s="363"/>
      <c r="DY160" s="345"/>
      <c r="DZ160" s="87"/>
      <c r="EA160" s="10"/>
    </row>
    <row r="161" ht="17.25" customHeight="1">
      <c r="A161" s="10"/>
      <c r="B161" s="87"/>
      <c r="C161" s="234"/>
      <c r="D161" s="235"/>
      <c r="E161" s="93"/>
      <c r="F161" s="268"/>
      <c r="G161" s="268"/>
      <c r="H161" s="268"/>
      <c r="I161" s="268"/>
      <c r="J161" s="268"/>
      <c r="K161" s="268"/>
      <c r="L161" s="450"/>
      <c r="M161" s="268"/>
      <c r="N161" s="268"/>
      <c r="O161" s="268"/>
      <c r="P161" s="268"/>
      <c r="Q161" s="450"/>
      <c r="R161" s="268"/>
      <c r="S161" s="268"/>
      <c r="T161" s="268"/>
      <c r="U161" s="268"/>
      <c r="V161" s="450"/>
      <c r="W161" s="268"/>
      <c r="X161" s="268"/>
      <c r="Y161" s="268"/>
      <c r="Z161" s="268"/>
      <c r="AA161" s="450"/>
      <c r="AB161" s="268"/>
      <c r="AC161" s="268"/>
      <c r="AD161" s="268"/>
      <c r="AE161" s="268"/>
      <c r="AF161" s="450"/>
      <c r="AG161" s="268"/>
      <c r="AH161" s="268"/>
      <c r="AI161" s="268"/>
      <c r="AJ161" s="268"/>
      <c r="AK161" s="450"/>
      <c r="AL161" s="268"/>
      <c r="AM161" s="268"/>
      <c r="AN161" s="268"/>
      <c r="AO161" s="268"/>
      <c r="AP161" s="397"/>
      <c r="AQ161" s="509"/>
      <c r="AR161" s="397"/>
      <c r="AS161" s="93"/>
      <c r="AT161" s="359"/>
      <c r="AU161" s="518"/>
      <c r="AV161" s="524"/>
      <c r="AW161" s="518"/>
      <c r="AX161" s="93"/>
      <c r="AY161" s="364"/>
      <c r="AZ161" s="480"/>
      <c r="BA161" s="525"/>
      <c r="BB161" s="480"/>
      <c r="BC161" s="93"/>
      <c r="BD161" s="368"/>
      <c r="BE161" s="477"/>
      <c r="BF161" s="560"/>
      <c r="BG161" s="477"/>
      <c r="BH161" s="93"/>
      <c r="BI161" s="402"/>
      <c r="BJ161" s="478"/>
      <c r="BK161" s="609"/>
      <c r="BL161" s="478"/>
      <c r="BM161" s="93"/>
      <c r="BN161" s="372"/>
      <c r="BO161" s="455"/>
      <c r="BP161" s="557"/>
      <c r="BQ161" s="455"/>
      <c r="BR161" s="93"/>
      <c r="BS161" s="380"/>
      <c r="BT161" s="492"/>
      <c r="BU161" s="566"/>
      <c r="BV161" s="492"/>
      <c r="BW161" s="93"/>
      <c r="BX161" s="385"/>
      <c r="BY161" s="490"/>
      <c r="BZ161" s="605"/>
      <c r="CA161" s="490"/>
      <c r="CB161" s="93"/>
      <c r="CC161" s="387"/>
      <c r="CD161" s="404"/>
      <c r="CE161" s="535"/>
      <c r="CF161" s="404"/>
      <c r="CG161" s="93"/>
      <c r="CH161" s="387"/>
      <c r="CI161" s="404"/>
      <c r="CJ161" s="535"/>
      <c r="CK161" s="520"/>
      <c r="CL161" s="93"/>
      <c r="CM161" s="390" t="str">
        <f>IFERROR(__xludf.DUMMYFUNCTION("""COMPUTED_VALUE"""),"")</f>
        <v/>
      </c>
      <c r="CN161" s="489" t="str">
        <f>IFERROR(__xludf.DUMMYFUNCTION("""COMPUTED_VALUE"""),"Mudbray")</f>
        <v>Mudbray</v>
      </c>
      <c r="CO161" s="532" t="s">
        <v>158</v>
      </c>
      <c r="CP161" s="523"/>
      <c r="CQ161" s="93"/>
      <c r="CR161" s="413"/>
      <c r="CS161" s="414"/>
      <c r="CT161" s="632"/>
      <c r="CU161" s="414"/>
      <c r="CV161" s="93"/>
      <c r="CW161" s="415"/>
      <c r="CX161" s="468"/>
      <c r="CY161" s="633"/>
      <c r="CZ161" s="468"/>
      <c r="DA161" s="93"/>
      <c r="DB161" s="423"/>
      <c r="DC161" s="424"/>
      <c r="DD161" s="634"/>
      <c r="DE161" s="424"/>
      <c r="DF161" s="93"/>
      <c r="DG161" s="628"/>
      <c r="DH161" s="641"/>
      <c r="DI161" s="641"/>
      <c r="DJ161" s="641"/>
      <c r="DK161" s="93"/>
      <c r="DL161" s="429"/>
      <c r="DM161" s="430"/>
      <c r="DN161" s="430"/>
      <c r="DO161" s="430"/>
      <c r="DP161" s="93"/>
      <c r="DQ161" s="439"/>
      <c r="DR161" s="441"/>
      <c r="DS161" s="441"/>
      <c r="DT161" s="441"/>
      <c r="DU161" s="93"/>
      <c r="DV161" s="442"/>
      <c r="DW161" s="443"/>
      <c r="DX161" s="363"/>
      <c r="DY161" s="345"/>
      <c r="DZ161" s="87"/>
      <c r="EA161" s="10"/>
    </row>
    <row r="162" ht="17.25" customHeight="1">
      <c r="A162" s="10"/>
      <c r="B162" s="87"/>
      <c r="C162" s="234"/>
      <c r="D162" s="235"/>
      <c r="E162" s="93"/>
      <c r="F162" s="268"/>
      <c r="G162" s="268"/>
      <c r="H162" s="268"/>
      <c r="I162" s="268"/>
      <c r="J162" s="268"/>
      <c r="K162" s="268"/>
      <c r="L162" s="450"/>
      <c r="M162" s="268"/>
      <c r="N162" s="268"/>
      <c r="O162" s="268"/>
      <c r="P162" s="268"/>
      <c r="Q162" s="450"/>
      <c r="R162" s="268"/>
      <c r="S162" s="268"/>
      <c r="T162" s="268"/>
      <c r="U162" s="268"/>
      <c r="V162" s="450"/>
      <c r="W162" s="268"/>
      <c r="X162" s="268"/>
      <c r="Y162" s="268"/>
      <c r="Z162" s="268"/>
      <c r="AA162" s="450"/>
      <c r="AB162" s="268"/>
      <c r="AC162" s="268"/>
      <c r="AD162" s="268"/>
      <c r="AE162" s="268"/>
      <c r="AF162" s="450"/>
      <c r="AG162" s="268"/>
      <c r="AH162" s="268"/>
      <c r="AI162" s="268"/>
      <c r="AJ162" s="268"/>
      <c r="AK162" s="450"/>
      <c r="AL162" s="268"/>
      <c r="AM162" s="268"/>
      <c r="AN162" s="268"/>
      <c r="AO162" s="268"/>
      <c r="AP162" s="397"/>
      <c r="AQ162" s="509"/>
      <c r="AR162" s="397"/>
      <c r="AS162" s="93"/>
      <c r="AT162" s="359"/>
      <c r="AU162" s="518"/>
      <c r="AV162" s="524"/>
      <c r="AW162" s="518"/>
      <c r="AX162" s="93"/>
      <c r="AY162" s="364"/>
      <c r="AZ162" s="480"/>
      <c r="BA162" s="525"/>
      <c r="BB162" s="480"/>
      <c r="BC162" s="93"/>
      <c r="BD162" s="368"/>
      <c r="BE162" s="477"/>
      <c r="BF162" s="560"/>
      <c r="BG162" s="477"/>
      <c r="BH162" s="93"/>
      <c r="BI162" s="402"/>
      <c r="BJ162" s="478"/>
      <c r="BK162" s="609"/>
      <c r="BL162" s="478"/>
      <c r="BM162" s="93"/>
      <c r="BN162" s="372"/>
      <c r="BO162" s="455"/>
      <c r="BP162" s="557"/>
      <c r="BQ162" s="455"/>
      <c r="BR162" s="93"/>
      <c r="BS162" s="380"/>
      <c r="BT162" s="492"/>
      <c r="BU162" s="566"/>
      <c r="BV162" s="492"/>
      <c r="BW162" s="93"/>
      <c r="BX162" s="385"/>
      <c r="BY162" s="490"/>
      <c r="BZ162" s="605"/>
      <c r="CA162" s="490"/>
      <c r="CB162" s="93"/>
      <c r="CC162" s="387"/>
      <c r="CD162" s="404"/>
      <c r="CE162" s="535"/>
      <c r="CF162" s="404"/>
      <c r="CG162" s="93"/>
      <c r="CH162" s="387"/>
      <c r="CI162" s="404"/>
      <c r="CJ162" s="535"/>
      <c r="CK162" s="520"/>
      <c r="CL162" s="93"/>
      <c r="CM162" s="390" t="str">
        <f>IFERROR(__xludf.DUMMYFUNCTION("""COMPUTED_VALUE"""),"")</f>
        <v/>
      </c>
      <c r="CN162" s="489" t="str">
        <f>IFERROR(__xludf.DUMMYFUNCTION("""COMPUTED_VALUE"""),"Muk")</f>
        <v>Muk</v>
      </c>
      <c r="CO162" s="532" t="s">
        <v>158</v>
      </c>
      <c r="CP162" s="523"/>
      <c r="CQ162" s="93"/>
      <c r="CR162" s="413"/>
      <c r="CS162" s="414"/>
      <c r="CT162" s="632"/>
      <c r="CU162" s="414"/>
      <c r="CV162" s="93"/>
      <c r="CW162" s="415"/>
      <c r="CX162" s="468"/>
      <c r="CY162" s="633"/>
      <c r="CZ162" s="468"/>
      <c r="DA162" s="93"/>
      <c r="DB162" s="423"/>
      <c r="DC162" s="424"/>
      <c r="DD162" s="634"/>
      <c r="DE162" s="424"/>
      <c r="DF162" s="93"/>
      <c r="DG162" s="628"/>
      <c r="DH162" s="641"/>
      <c r="DI162" s="641"/>
      <c r="DJ162" s="641"/>
      <c r="DK162" s="93"/>
      <c r="DL162" s="429"/>
      <c r="DM162" s="430"/>
      <c r="DN162" s="430"/>
      <c r="DO162" s="430"/>
      <c r="DP162" s="93"/>
      <c r="DQ162" s="439"/>
      <c r="DR162" s="441"/>
      <c r="DS162" s="441"/>
      <c r="DT162" s="441"/>
      <c r="DU162" s="93"/>
      <c r="DV162" s="442"/>
      <c r="DW162" s="443"/>
      <c r="DX162" s="363"/>
      <c r="DY162" s="345"/>
      <c r="DZ162" s="87"/>
      <c r="EA162" s="10"/>
    </row>
    <row r="163" ht="17.25" customHeight="1">
      <c r="A163" s="10"/>
      <c r="B163" s="87"/>
      <c r="C163" s="234"/>
      <c r="D163" s="235"/>
      <c r="E163" s="93"/>
      <c r="F163" s="268"/>
      <c r="G163" s="268"/>
      <c r="H163" s="268"/>
      <c r="I163" s="268"/>
      <c r="J163" s="268"/>
      <c r="K163" s="268"/>
      <c r="L163" s="450"/>
      <c r="M163" s="268"/>
      <c r="N163" s="268"/>
      <c r="O163" s="268"/>
      <c r="P163" s="268"/>
      <c r="Q163" s="450"/>
      <c r="R163" s="268"/>
      <c r="S163" s="268"/>
      <c r="T163" s="268"/>
      <c r="U163" s="268"/>
      <c r="V163" s="450"/>
      <c r="W163" s="268"/>
      <c r="X163" s="268"/>
      <c r="Y163" s="268"/>
      <c r="Z163" s="268"/>
      <c r="AA163" s="450"/>
      <c r="AB163" s="268"/>
      <c r="AC163" s="268"/>
      <c r="AD163" s="268"/>
      <c r="AE163" s="268"/>
      <c r="AF163" s="450"/>
      <c r="AG163" s="268"/>
      <c r="AH163" s="268"/>
      <c r="AI163" s="268"/>
      <c r="AJ163" s="268"/>
      <c r="AK163" s="450"/>
      <c r="AL163" s="268"/>
      <c r="AM163" s="268"/>
      <c r="AN163" s="268"/>
      <c r="AO163" s="268"/>
      <c r="AP163" s="397"/>
      <c r="AQ163" s="509"/>
      <c r="AR163" s="397"/>
      <c r="AS163" s="93"/>
      <c r="AT163" s="359"/>
      <c r="AU163" s="518"/>
      <c r="AV163" s="524"/>
      <c r="AW163" s="518"/>
      <c r="AX163" s="93"/>
      <c r="AY163" s="364"/>
      <c r="AZ163" s="480"/>
      <c r="BA163" s="525"/>
      <c r="BB163" s="480"/>
      <c r="BC163" s="93"/>
      <c r="BD163" s="368"/>
      <c r="BE163" s="477"/>
      <c r="BF163" s="560"/>
      <c r="BG163" s="477"/>
      <c r="BH163" s="93"/>
      <c r="BI163" s="402"/>
      <c r="BJ163" s="478"/>
      <c r="BK163" s="609"/>
      <c r="BL163" s="478"/>
      <c r="BM163" s="93"/>
      <c r="BN163" s="372"/>
      <c r="BO163" s="455"/>
      <c r="BP163" s="557"/>
      <c r="BQ163" s="455"/>
      <c r="BR163" s="93"/>
      <c r="BS163" s="380"/>
      <c r="BT163" s="492"/>
      <c r="BU163" s="566"/>
      <c r="BV163" s="492"/>
      <c r="BW163" s="93"/>
      <c r="BX163" s="385"/>
      <c r="BY163" s="490"/>
      <c r="BZ163" s="605"/>
      <c r="CA163" s="490"/>
      <c r="CB163" s="93"/>
      <c r="CC163" s="387"/>
      <c r="CD163" s="404"/>
      <c r="CE163" s="535"/>
      <c r="CF163" s="404"/>
      <c r="CG163" s="93"/>
      <c r="CH163" s="387"/>
      <c r="CI163" s="404"/>
      <c r="CJ163" s="535"/>
      <c r="CK163" s="520"/>
      <c r="CL163" s="93"/>
      <c r="CM163" s="390" t="str">
        <f>IFERROR(__xludf.DUMMYFUNCTION("""COMPUTED_VALUE"""),"")</f>
        <v/>
      </c>
      <c r="CN163" s="489" t="str">
        <f>IFERROR(__xludf.DUMMYFUNCTION("""COMPUTED_VALUE"""),"Nacli")</f>
        <v>Nacli</v>
      </c>
      <c r="CO163" s="532" t="s">
        <v>158</v>
      </c>
      <c r="CP163" s="523"/>
      <c r="CQ163" s="93"/>
      <c r="CR163" s="413"/>
      <c r="CS163" s="414"/>
      <c r="CT163" s="632"/>
      <c r="CU163" s="414"/>
      <c r="CV163" s="93"/>
      <c r="CW163" s="415"/>
      <c r="CX163" s="468"/>
      <c r="CY163" s="633"/>
      <c r="CZ163" s="468"/>
      <c r="DA163" s="93"/>
      <c r="DB163" s="423"/>
      <c r="DC163" s="424"/>
      <c r="DD163" s="634"/>
      <c r="DE163" s="424"/>
      <c r="DF163" s="93"/>
      <c r="DG163" s="628"/>
      <c r="DH163" s="641"/>
      <c r="DI163" s="641"/>
      <c r="DJ163" s="641"/>
      <c r="DK163" s="93"/>
      <c r="DL163" s="429"/>
      <c r="DM163" s="430"/>
      <c r="DN163" s="430"/>
      <c r="DO163" s="430"/>
      <c r="DP163" s="93"/>
      <c r="DQ163" s="439"/>
      <c r="DR163" s="441"/>
      <c r="DS163" s="441"/>
      <c r="DT163" s="441"/>
      <c r="DU163" s="93"/>
      <c r="DV163" s="442"/>
      <c r="DW163" s="443"/>
      <c r="DX163" s="363"/>
      <c r="DY163" s="345"/>
      <c r="DZ163" s="87"/>
      <c r="EA163" s="10"/>
    </row>
    <row r="164" ht="17.25" customHeight="1">
      <c r="A164" s="10"/>
      <c r="B164" s="87"/>
      <c r="C164" s="234"/>
      <c r="D164" s="235"/>
      <c r="E164" s="93"/>
      <c r="F164" s="268"/>
      <c r="G164" s="268"/>
      <c r="H164" s="268"/>
      <c r="I164" s="268"/>
      <c r="J164" s="268"/>
      <c r="K164" s="268"/>
      <c r="L164" s="450"/>
      <c r="M164" s="268"/>
      <c r="N164" s="268"/>
      <c r="O164" s="268"/>
      <c r="P164" s="268"/>
      <c r="Q164" s="450"/>
      <c r="R164" s="268"/>
      <c r="S164" s="268"/>
      <c r="T164" s="268"/>
      <c r="U164" s="268"/>
      <c r="V164" s="450"/>
      <c r="W164" s="268"/>
      <c r="X164" s="268"/>
      <c r="Y164" s="268"/>
      <c r="Z164" s="268"/>
      <c r="AA164" s="450"/>
      <c r="AB164" s="268"/>
      <c r="AC164" s="268"/>
      <c r="AD164" s="268"/>
      <c r="AE164" s="268"/>
      <c r="AF164" s="450"/>
      <c r="AG164" s="268"/>
      <c r="AH164" s="268"/>
      <c r="AI164" s="268"/>
      <c r="AJ164" s="268"/>
      <c r="AK164" s="450"/>
      <c r="AL164" s="268"/>
      <c r="AM164" s="268"/>
      <c r="AN164" s="268"/>
      <c r="AO164" s="268"/>
      <c r="AP164" s="397"/>
      <c r="AQ164" s="509"/>
      <c r="AR164" s="397"/>
      <c r="AS164" s="93"/>
      <c r="AT164" s="359"/>
      <c r="AU164" s="518"/>
      <c r="AV164" s="524"/>
      <c r="AW164" s="518"/>
      <c r="AX164" s="93"/>
      <c r="AY164" s="364"/>
      <c r="AZ164" s="480"/>
      <c r="BA164" s="525"/>
      <c r="BB164" s="480"/>
      <c r="BC164" s="93"/>
      <c r="BD164" s="368"/>
      <c r="BE164" s="477"/>
      <c r="BF164" s="560"/>
      <c r="BG164" s="477"/>
      <c r="BH164" s="93"/>
      <c r="BI164" s="402"/>
      <c r="BJ164" s="478"/>
      <c r="BK164" s="609"/>
      <c r="BL164" s="478"/>
      <c r="BM164" s="93"/>
      <c r="BN164" s="372"/>
      <c r="BO164" s="455"/>
      <c r="BP164" s="557"/>
      <c r="BQ164" s="455"/>
      <c r="BR164" s="93"/>
      <c r="BS164" s="380"/>
      <c r="BT164" s="492"/>
      <c r="BU164" s="566"/>
      <c r="BV164" s="492"/>
      <c r="BW164" s="93"/>
      <c r="BX164" s="385"/>
      <c r="BY164" s="490"/>
      <c r="BZ164" s="605"/>
      <c r="CA164" s="490"/>
      <c r="CB164" s="93"/>
      <c r="CC164" s="387"/>
      <c r="CD164" s="404"/>
      <c r="CE164" s="535"/>
      <c r="CF164" s="404"/>
      <c r="CG164" s="93"/>
      <c r="CH164" s="387"/>
      <c r="CI164" s="404"/>
      <c r="CJ164" s="535"/>
      <c r="CK164" s="520"/>
      <c r="CL164" s="93"/>
      <c r="CM164" s="390" t="str">
        <f>IFERROR(__xludf.DUMMYFUNCTION("""COMPUTED_VALUE"""),"")</f>
        <v/>
      </c>
      <c r="CN164" s="489" t="str">
        <f>IFERROR(__xludf.DUMMYFUNCTION("""COMPUTED_VALUE"""),"Naclstack")</f>
        <v>Naclstack</v>
      </c>
      <c r="CO164" s="532" t="s">
        <v>158</v>
      </c>
      <c r="CP164" s="523"/>
      <c r="CQ164" s="93"/>
      <c r="CR164" s="413"/>
      <c r="CS164" s="414"/>
      <c r="CT164" s="632"/>
      <c r="CU164" s="414"/>
      <c r="CV164" s="93"/>
      <c r="CW164" s="415"/>
      <c r="CX164" s="468"/>
      <c r="CY164" s="633"/>
      <c r="CZ164" s="468"/>
      <c r="DA164" s="93"/>
      <c r="DB164" s="423"/>
      <c r="DC164" s="424"/>
      <c r="DD164" s="634"/>
      <c r="DE164" s="424"/>
      <c r="DF164" s="93"/>
      <c r="DG164" s="628"/>
      <c r="DH164" s="641"/>
      <c r="DI164" s="641"/>
      <c r="DJ164" s="641"/>
      <c r="DK164" s="93"/>
      <c r="DL164" s="429"/>
      <c r="DM164" s="430"/>
      <c r="DN164" s="430"/>
      <c r="DO164" s="430"/>
      <c r="DP164" s="93"/>
      <c r="DQ164" s="439"/>
      <c r="DR164" s="441"/>
      <c r="DS164" s="441"/>
      <c r="DT164" s="441"/>
      <c r="DU164" s="93"/>
      <c r="DV164" s="442"/>
      <c r="DW164" s="443"/>
      <c r="DX164" s="363"/>
      <c r="DY164" s="345"/>
      <c r="DZ164" s="87"/>
      <c r="EA164" s="10"/>
    </row>
    <row r="165" ht="17.25" customHeight="1">
      <c r="A165" s="10"/>
      <c r="B165" s="87"/>
      <c r="C165" s="234"/>
      <c r="D165" s="235"/>
      <c r="E165" s="93"/>
      <c r="F165" s="268"/>
      <c r="G165" s="268"/>
      <c r="H165" s="268"/>
      <c r="I165" s="268"/>
      <c r="J165" s="268"/>
      <c r="K165" s="268"/>
      <c r="L165" s="450"/>
      <c r="M165" s="268"/>
      <c r="N165" s="268"/>
      <c r="O165" s="268"/>
      <c r="P165" s="268"/>
      <c r="Q165" s="450"/>
      <c r="R165" s="268"/>
      <c r="S165" s="268"/>
      <c r="T165" s="268"/>
      <c r="U165" s="268"/>
      <c r="V165" s="450"/>
      <c r="W165" s="268"/>
      <c r="X165" s="268"/>
      <c r="Y165" s="268"/>
      <c r="Z165" s="268"/>
      <c r="AA165" s="450"/>
      <c r="AB165" s="268"/>
      <c r="AC165" s="268"/>
      <c r="AD165" s="268"/>
      <c r="AE165" s="268"/>
      <c r="AF165" s="450"/>
      <c r="AG165" s="268"/>
      <c r="AH165" s="268"/>
      <c r="AI165" s="268"/>
      <c r="AJ165" s="268"/>
      <c r="AK165" s="450"/>
      <c r="AL165" s="268"/>
      <c r="AM165" s="268"/>
      <c r="AN165" s="268"/>
      <c r="AO165" s="268"/>
      <c r="AP165" s="397"/>
      <c r="AQ165" s="509"/>
      <c r="AR165" s="397"/>
      <c r="AS165" s="93"/>
      <c r="AT165" s="359"/>
      <c r="AU165" s="518"/>
      <c r="AV165" s="524"/>
      <c r="AW165" s="518"/>
      <c r="AX165" s="93"/>
      <c r="AY165" s="364"/>
      <c r="AZ165" s="480"/>
      <c r="BA165" s="525"/>
      <c r="BB165" s="480"/>
      <c r="BC165" s="93"/>
      <c r="BD165" s="368"/>
      <c r="BE165" s="477"/>
      <c r="BF165" s="560"/>
      <c r="BG165" s="477"/>
      <c r="BH165" s="93"/>
      <c r="BI165" s="402"/>
      <c r="BJ165" s="478"/>
      <c r="BK165" s="609"/>
      <c r="BL165" s="478"/>
      <c r="BM165" s="93"/>
      <c r="BN165" s="372"/>
      <c r="BO165" s="455"/>
      <c r="BP165" s="557"/>
      <c r="BQ165" s="455"/>
      <c r="BR165" s="93"/>
      <c r="BS165" s="380"/>
      <c r="BT165" s="492"/>
      <c r="BU165" s="566"/>
      <c r="BV165" s="492"/>
      <c r="BW165" s="93"/>
      <c r="BX165" s="385"/>
      <c r="BY165" s="490"/>
      <c r="BZ165" s="605"/>
      <c r="CA165" s="490"/>
      <c r="CB165" s="93"/>
      <c r="CC165" s="387"/>
      <c r="CD165" s="404"/>
      <c r="CE165" s="535"/>
      <c r="CF165" s="404"/>
      <c r="CG165" s="93"/>
      <c r="CH165" s="387"/>
      <c r="CI165" s="404"/>
      <c r="CJ165" s="535"/>
      <c r="CK165" s="520"/>
      <c r="CL165" s="93"/>
      <c r="CM165" s="390" t="str">
        <f>IFERROR(__xludf.DUMMYFUNCTION("""COMPUTED_VALUE"""),"")</f>
        <v/>
      </c>
      <c r="CN165" s="489" t="str">
        <f>IFERROR(__xludf.DUMMYFUNCTION("""COMPUTED_VALUE"""),"Noibat")</f>
        <v>Noibat</v>
      </c>
      <c r="CO165" s="532" t="s">
        <v>158</v>
      </c>
      <c r="CP165" s="523"/>
      <c r="CQ165" s="93"/>
      <c r="CR165" s="413"/>
      <c r="CS165" s="414"/>
      <c r="CT165" s="632"/>
      <c r="CU165" s="414"/>
      <c r="CV165" s="93"/>
      <c r="CW165" s="415"/>
      <c r="CX165" s="468"/>
      <c r="CY165" s="633"/>
      <c r="CZ165" s="468"/>
      <c r="DA165" s="93"/>
      <c r="DB165" s="423"/>
      <c r="DC165" s="424"/>
      <c r="DD165" s="634"/>
      <c r="DE165" s="424"/>
      <c r="DF165" s="93"/>
      <c r="DG165" s="628"/>
      <c r="DH165" s="641"/>
      <c r="DI165" s="641"/>
      <c r="DJ165" s="641"/>
      <c r="DK165" s="93"/>
      <c r="DL165" s="429"/>
      <c r="DM165" s="430"/>
      <c r="DN165" s="430"/>
      <c r="DO165" s="430"/>
      <c r="DP165" s="93"/>
      <c r="DQ165" s="439"/>
      <c r="DR165" s="441"/>
      <c r="DS165" s="441"/>
      <c r="DT165" s="441"/>
      <c r="DU165" s="93"/>
      <c r="DV165" s="442"/>
      <c r="DW165" s="443"/>
      <c r="DX165" s="363"/>
      <c r="DY165" s="345"/>
      <c r="DZ165" s="87"/>
      <c r="EA165" s="10"/>
    </row>
    <row r="166" ht="17.25" customHeight="1">
      <c r="A166" s="10"/>
      <c r="B166" s="87"/>
      <c r="C166" s="234"/>
      <c r="D166" s="235"/>
      <c r="E166" s="93"/>
      <c r="F166" s="268"/>
      <c r="G166" s="268"/>
      <c r="H166" s="268"/>
      <c r="I166" s="268"/>
      <c r="J166" s="268"/>
      <c r="K166" s="268"/>
      <c r="L166" s="450"/>
      <c r="M166" s="268"/>
      <c r="N166" s="268"/>
      <c r="O166" s="268"/>
      <c r="P166" s="268"/>
      <c r="Q166" s="450"/>
      <c r="R166" s="268"/>
      <c r="S166" s="268"/>
      <c r="T166" s="268"/>
      <c r="U166" s="268"/>
      <c r="V166" s="450"/>
      <c r="W166" s="268"/>
      <c r="X166" s="268"/>
      <c r="Y166" s="268"/>
      <c r="Z166" s="268"/>
      <c r="AA166" s="450"/>
      <c r="AB166" s="268"/>
      <c r="AC166" s="268"/>
      <c r="AD166" s="268"/>
      <c r="AE166" s="268"/>
      <c r="AF166" s="450"/>
      <c r="AG166" s="268"/>
      <c r="AH166" s="268"/>
      <c r="AI166" s="268"/>
      <c r="AJ166" s="268"/>
      <c r="AK166" s="450"/>
      <c r="AL166" s="268"/>
      <c r="AM166" s="268"/>
      <c r="AN166" s="268"/>
      <c r="AO166" s="268"/>
      <c r="AP166" s="397"/>
      <c r="AQ166" s="509"/>
      <c r="AR166" s="397"/>
      <c r="AS166" s="93"/>
      <c r="AT166" s="359"/>
      <c r="AU166" s="518"/>
      <c r="AV166" s="524"/>
      <c r="AW166" s="518"/>
      <c r="AX166" s="93"/>
      <c r="AY166" s="364"/>
      <c r="AZ166" s="480"/>
      <c r="BA166" s="525"/>
      <c r="BB166" s="480"/>
      <c r="BC166" s="93"/>
      <c r="BD166" s="368"/>
      <c r="BE166" s="477"/>
      <c r="BF166" s="560"/>
      <c r="BG166" s="477"/>
      <c r="BH166" s="93"/>
      <c r="BI166" s="402"/>
      <c r="BJ166" s="478"/>
      <c r="BK166" s="609"/>
      <c r="BL166" s="478"/>
      <c r="BM166" s="93"/>
      <c r="BN166" s="372"/>
      <c r="BO166" s="455"/>
      <c r="BP166" s="557"/>
      <c r="BQ166" s="455"/>
      <c r="BR166" s="93"/>
      <c r="BS166" s="380"/>
      <c r="BT166" s="492"/>
      <c r="BU166" s="566"/>
      <c r="BV166" s="492"/>
      <c r="BW166" s="93"/>
      <c r="BX166" s="385"/>
      <c r="BY166" s="490"/>
      <c r="BZ166" s="605"/>
      <c r="CA166" s="490"/>
      <c r="CB166" s="93"/>
      <c r="CC166" s="387"/>
      <c r="CD166" s="404"/>
      <c r="CE166" s="535"/>
      <c r="CF166" s="404"/>
      <c r="CG166" s="93"/>
      <c r="CH166" s="387"/>
      <c r="CI166" s="404"/>
      <c r="CJ166" s="535"/>
      <c r="CK166" s="520"/>
      <c r="CL166" s="93"/>
      <c r="CM166" s="390" t="str">
        <f>IFERROR(__xludf.DUMMYFUNCTION("""COMPUTED_VALUE"""),"")</f>
        <v/>
      </c>
      <c r="CN166" s="489" t="str">
        <f>IFERROR(__xludf.DUMMYFUNCTION("""COMPUTED_VALUE"""),"Numel")</f>
        <v>Numel</v>
      </c>
      <c r="CO166" s="532" t="s">
        <v>158</v>
      </c>
      <c r="CP166" s="523"/>
      <c r="CQ166" s="93"/>
      <c r="CR166" s="413"/>
      <c r="CS166" s="414"/>
      <c r="CT166" s="632"/>
      <c r="CU166" s="414"/>
      <c r="CV166" s="93"/>
      <c r="CW166" s="415"/>
      <c r="CX166" s="468"/>
      <c r="CY166" s="633"/>
      <c r="CZ166" s="468"/>
      <c r="DA166" s="93"/>
      <c r="DB166" s="423"/>
      <c r="DC166" s="424"/>
      <c r="DD166" s="634"/>
      <c r="DE166" s="424"/>
      <c r="DF166" s="93"/>
      <c r="DG166" s="628"/>
      <c r="DH166" s="641"/>
      <c r="DI166" s="641"/>
      <c r="DJ166" s="641"/>
      <c r="DK166" s="93"/>
      <c r="DL166" s="429"/>
      <c r="DM166" s="430"/>
      <c r="DN166" s="430"/>
      <c r="DO166" s="430"/>
      <c r="DP166" s="93"/>
      <c r="DQ166" s="439"/>
      <c r="DR166" s="441"/>
      <c r="DS166" s="441"/>
      <c r="DT166" s="441"/>
      <c r="DU166" s="93"/>
      <c r="DV166" s="442"/>
      <c r="DW166" s="443"/>
      <c r="DX166" s="363"/>
      <c r="DY166" s="345"/>
      <c r="DZ166" s="87"/>
      <c r="EA166" s="10"/>
    </row>
    <row r="167" ht="17.25" customHeight="1">
      <c r="A167" s="10"/>
      <c r="B167" s="87"/>
      <c r="C167" s="234"/>
      <c r="D167" s="235"/>
      <c r="E167" s="93"/>
      <c r="F167" s="268"/>
      <c r="G167" s="268"/>
      <c r="H167" s="268"/>
      <c r="I167" s="268"/>
      <c r="J167" s="268"/>
      <c r="K167" s="268"/>
      <c r="L167" s="450"/>
      <c r="M167" s="268"/>
      <c r="N167" s="268"/>
      <c r="O167" s="268"/>
      <c r="P167" s="268"/>
      <c r="Q167" s="450"/>
      <c r="R167" s="268"/>
      <c r="S167" s="268"/>
      <c r="T167" s="268"/>
      <c r="U167" s="268"/>
      <c r="V167" s="450"/>
      <c r="W167" s="268"/>
      <c r="X167" s="268"/>
      <c r="Y167" s="268"/>
      <c r="Z167" s="268"/>
      <c r="AA167" s="450"/>
      <c r="AB167" s="268"/>
      <c r="AC167" s="268"/>
      <c r="AD167" s="268"/>
      <c r="AE167" s="268"/>
      <c r="AF167" s="450"/>
      <c r="AG167" s="268"/>
      <c r="AH167" s="268"/>
      <c r="AI167" s="268"/>
      <c r="AJ167" s="268"/>
      <c r="AK167" s="450"/>
      <c r="AL167" s="268"/>
      <c r="AM167" s="268"/>
      <c r="AN167" s="268"/>
      <c r="AO167" s="268"/>
      <c r="AP167" s="397"/>
      <c r="AQ167" s="509"/>
      <c r="AR167" s="397"/>
      <c r="AS167" s="93"/>
      <c r="AT167" s="359"/>
      <c r="AU167" s="518"/>
      <c r="AV167" s="524"/>
      <c r="AW167" s="518"/>
      <c r="AX167" s="93"/>
      <c r="AY167" s="364"/>
      <c r="AZ167" s="480"/>
      <c r="BA167" s="525"/>
      <c r="BB167" s="480"/>
      <c r="BC167" s="93"/>
      <c r="BD167" s="368"/>
      <c r="BE167" s="477"/>
      <c r="BF167" s="560"/>
      <c r="BG167" s="477"/>
      <c r="BH167" s="93"/>
      <c r="BI167" s="402"/>
      <c r="BJ167" s="478"/>
      <c r="BK167" s="609"/>
      <c r="BL167" s="478"/>
      <c r="BM167" s="93"/>
      <c r="BN167" s="372"/>
      <c r="BO167" s="455"/>
      <c r="BP167" s="557"/>
      <c r="BQ167" s="455"/>
      <c r="BR167" s="93"/>
      <c r="BS167" s="380"/>
      <c r="BT167" s="492"/>
      <c r="BU167" s="566"/>
      <c r="BV167" s="492"/>
      <c r="BW167" s="93"/>
      <c r="BX167" s="385"/>
      <c r="BY167" s="490"/>
      <c r="BZ167" s="605"/>
      <c r="CA167" s="490"/>
      <c r="CB167" s="93"/>
      <c r="CC167" s="387"/>
      <c r="CD167" s="404"/>
      <c r="CE167" s="535"/>
      <c r="CF167" s="404"/>
      <c r="CG167" s="93"/>
      <c r="CH167" s="387"/>
      <c r="CI167" s="404"/>
      <c r="CJ167" s="535"/>
      <c r="CK167" s="520"/>
      <c r="CL167" s="93"/>
      <c r="CM167" s="390" t="str">
        <f>IFERROR(__xludf.DUMMYFUNCTION("""COMPUTED_VALUE"""),"")</f>
        <v/>
      </c>
      <c r="CN167" s="489" t="str">
        <f>IFERROR(__xludf.DUMMYFUNCTION("""COMPUTED_VALUE"""),"Nymble")</f>
        <v>Nymble</v>
      </c>
      <c r="CO167" s="532" t="s">
        <v>158</v>
      </c>
      <c r="CP167" s="523"/>
      <c r="CQ167" s="93"/>
      <c r="CR167" s="413"/>
      <c r="CS167" s="414"/>
      <c r="CT167" s="632"/>
      <c r="CU167" s="414"/>
      <c r="CV167" s="93"/>
      <c r="CW167" s="415"/>
      <c r="CX167" s="468"/>
      <c r="CY167" s="633"/>
      <c r="CZ167" s="468"/>
      <c r="DA167" s="93"/>
      <c r="DB167" s="423"/>
      <c r="DC167" s="424"/>
      <c r="DD167" s="634"/>
      <c r="DE167" s="424"/>
      <c r="DF167" s="93"/>
      <c r="DG167" s="628"/>
      <c r="DH167" s="641"/>
      <c r="DI167" s="641"/>
      <c r="DJ167" s="641"/>
      <c r="DK167" s="93"/>
      <c r="DL167" s="429"/>
      <c r="DM167" s="430"/>
      <c r="DN167" s="430"/>
      <c r="DO167" s="430"/>
      <c r="DP167" s="93"/>
      <c r="DQ167" s="439"/>
      <c r="DR167" s="441"/>
      <c r="DS167" s="441"/>
      <c r="DT167" s="441"/>
      <c r="DU167" s="93"/>
      <c r="DV167" s="442"/>
      <c r="DW167" s="443"/>
      <c r="DX167" s="363"/>
      <c r="DY167" s="345"/>
      <c r="DZ167" s="87"/>
      <c r="EA167" s="10"/>
    </row>
    <row r="168" ht="17.25" customHeight="1">
      <c r="A168" s="10"/>
      <c r="B168" s="87"/>
      <c r="C168" s="234"/>
      <c r="D168" s="235"/>
      <c r="E168" s="93"/>
      <c r="F168" s="268"/>
      <c r="G168" s="268"/>
      <c r="H168" s="268"/>
      <c r="I168" s="268"/>
      <c r="J168" s="268"/>
      <c r="K168" s="268"/>
      <c r="L168" s="450"/>
      <c r="M168" s="268"/>
      <c r="N168" s="268"/>
      <c r="O168" s="268"/>
      <c r="P168" s="268"/>
      <c r="Q168" s="450"/>
      <c r="R168" s="268"/>
      <c r="S168" s="268"/>
      <c r="T168" s="268"/>
      <c r="U168" s="268"/>
      <c r="V168" s="450"/>
      <c r="W168" s="268"/>
      <c r="X168" s="268"/>
      <c r="Y168" s="268"/>
      <c r="Z168" s="268"/>
      <c r="AA168" s="450"/>
      <c r="AB168" s="268"/>
      <c r="AC168" s="268"/>
      <c r="AD168" s="268"/>
      <c r="AE168" s="268"/>
      <c r="AF168" s="450"/>
      <c r="AG168" s="268"/>
      <c r="AH168" s="268"/>
      <c r="AI168" s="268"/>
      <c r="AJ168" s="268"/>
      <c r="AK168" s="450"/>
      <c r="AL168" s="268"/>
      <c r="AM168" s="268"/>
      <c r="AN168" s="268"/>
      <c r="AO168" s="268"/>
      <c r="AP168" s="397"/>
      <c r="AQ168" s="509"/>
      <c r="AR168" s="397"/>
      <c r="AS168" s="93"/>
      <c r="AT168" s="359"/>
      <c r="AU168" s="518"/>
      <c r="AV168" s="524"/>
      <c r="AW168" s="518"/>
      <c r="AX168" s="93"/>
      <c r="AY168" s="364"/>
      <c r="AZ168" s="480"/>
      <c r="BA168" s="525"/>
      <c r="BB168" s="480"/>
      <c r="BC168" s="93"/>
      <c r="BD168" s="368"/>
      <c r="BE168" s="477"/>
      <c r="BF168" s="560"/>
      <c r="BG168" s="477"/>
      <c r="BH168" s="93"/>
      <c r="BI168" s="402"/>
      <c r="BJ168" s="478"/>
      <c r="BK168" s="609"/>
      <c r="BL168" s="478"/>
      <c r="BM168" s="93"/>
      <c r="BN168" s="372"/>
      <c r="BO168" s="455"/>
      <c r="BP168" s="557"/>
      <c r="BQ168" s="455"/>
      <c r="BR168" s="93"/>
      <c r="BS168" s="380"/>
      <c r="BT168" s="492"/>
      <c r="BU168" s="566"/>
      <c r="BV168" s="492"/>
      <c r="BW168" s="93"/>
      <c r="BX168" s="385"/>
      <c r="BY168" s="490"/>
      <c r="BZ168" s="605"/>
      <c r="CA168" s="490"/>
      <c r="CB168" s="93"/>
      <c r="CC168" s="387"/>
      <c r="CD168" s="404"/>
      <c r="CE168" s="535"/>
      <c r="CF168" s="404"/>
      <c r="CG168" s="93"/>
      <c r="CH168" s="387"/>
      <c r="CI168" s="404"/>
      <c r="CJ168" s="535"/>
      <c r="CK168" s="520"/>
      <c r="CL168" s="93"/>
      <c r="CM168" s="390" t="str">
        <f>IFERROR(__xludf.DUMMYFUNCTION("""COMPUTED_VALUE"""),"")</f>
        <v/>
      </c>
      <c r="CN168" s="489" t="str">
        <f>IFERROR(__xludf.DUMMYFUNCTION("""COMPUTED_VALUE"""),"Oinkologne")</f>
        <v>Oinkologne</v>
      </c>
      <c r="CO168" s="532" t="s">
        <v>158</v>
      </c>
      <c r="CP168" s="523"/>
      <c r="CQ168" s="93"/>
      <c r="CR168" s="413"/>
      <c r="CS168" s="414"/>
      <c r="CT168" s="632"/>
      <c r="CU168" s="414"/>
      <c r="CV168" s="93"/>
      <c r="CW168" s="415"/>
      <c r="CX168" s="468"/>
      <c r="CY168" s="633"/>
      <c r="CZ168" s="468"/>
      <c r="DA168" s="93"/>
      <c r="DB168" s="423"/>
      <c r="DC168" s="424"/>
      <c r="DD168" s="634"/>
      <c r="DE168" s="424"/>
      <c r="DF168" s="93"/>
      <c r="DG168" s="628"/>
      <c r="DH168" s="641"/>
      <c r="DI168" s="641"/>
      <c r="DJ168" s="641"/>
      <c r="DK168" s="93"/>
      <c r="DL168" s="429"/>
      <c r="DM168" s="430"/>
      <c r="DN168" s="430"/>
      <c r="DO168" s="430"/>
      <c r="DP168" s="93"/>
      <c r="DQ168" s="439"/>
      <c r="DR168" s="441"/>
      <c r="DS168" s="441"/>
      <c r="DT168" s="441"/>
      <c r="DU168" s="93"/>
      <c r="DV168" s="442"/>
      <c r="DW168" s="443"/>
      <c r="DX168" s="363"/>
      <c r="DY168" s="345"/>
      <c r="DZ168" s="87"/>
      <c r="EA168" s="10"/>
    </row>
    <row r="169" ht="17.25" customHeight="1">
      <c r="A169" s="10"/>
      <c r="B169" s="87"/>
      <c r="C169" s="234"/>
      <c r="D169" s="235"/>
      <c r="E169" s="93"/>
      <c r="F169" s="268"/>
      <c r="G169" s="268"/>
      <c r="H169" s="268"/>
      <c r="I169" s="268"/>
      <c r="J169" s="268"/>
      <c r="K169" s="268"/>
      <c r="L169" s="450"/>
      <c r="M169" s="268"/>
      <c r="N169" s="268"/>
      <c r="O169" s="268"/>
      <c r="P169" s="268"/>
      <c r="Q169" s="450"/>
      <c r="R169" s="268"/>
      <c r="S169" s="268"/>
      <c r="T169" s="268"/>
      <c r="U169" s="268"/>
      <c r="V169" s="450"/>
      <c r="W169" s="268"/>
      <c r="X169" s="268"/>
      <c r="Y169" s="268"/>
      <c r="Z169" s="268"/>
      <c r="AA169" s="450"/>
      <c r="AB169" s="268"/>
      <c r="AC169" s="268"/>
      <c r="AD169" s="268"/>
      <c r="AE169" s="268"/>
      <c r="AF169" s="450"/>
      <c r="AG169" s="268"/>
      <c r="AH169" s="268"/>
      <c r="AI169" s="268"/>
      <c r="AJ169" s="268"/>
      <c r="AK169" s="450"/>
      <c r="AL169" s="268"/>
      <c r="AM169" s="268"/>
      <c r="AN169" s="268"/>
      <c r="AO169" s="268"/>
      <c r="AP169" s="397"/>
      <c r="AQ169" s="509"/>
      <c r="AR169" s="397"/>
      <c r="AS169" s="93"/>
      <c r="AT169" s="359"/>
      <c r="AU169" s="518"/>
      <c r="AV169" s="524"/>
      <c r="AW169" s="518"/>
      <c r="AX169" s="93"/>
      <c r="AY169" s="364"/>
      <c r="AZ169" s="480"/>
      <c r="BA169" s="525"/>
      <c r="BB169" s="480"/>
      <c r="BC169" s="93"/>
      <c r="BD169" s="368"/>
      <c r="BE169" s="477"/>
      <c r="BF169" s="560"/>
      <c r="BG169" s="477"/>
      <c r="BH169" s="93"/>
      <c r="BI169" s="402"/>
      <c r="BJ169" s="478"/>
      <c r="BK169" s="609"/>
      <c r="BL169" s="478"/>
      <c r="BM169" s="93"/>
      <c r="BN169" s="372"/>
      <c r="BO169" s="455"/>
      <c r="BP169" s="557"/>
      <c r="BQ169" s="455"/>
      <c r="BR169" s="93"/>
      <c r="BS169" s="380"/>
      <c r="BT169" s="492"/>
      <c r="BU169" s="566"/>
      <c r="BV169" s="492"/>
      <c r="BW169" s="93"/>
      <c r="BX169" s="385"/>
      <c r="BY169" s="490"/>
      <c r="BZ169" s="605"/>
      <c r="CA169" s="490"/>
      <c r="CB169" s="93"/>
      <c r="CC169" s="387"/>
      <c r="CD169" s="404"/>
      <c r="CE169" s="535"/>
      <c r="CF169" s="404"/>
      <c r="CG169" s="93"/>
      <c r="CH169" s="387"/>
      <c r="CI169" s="404"/>
      <c r="CJ169" s="535"/>
      <c r="CK169" s="520"/>
      <c r="CL169" s="93"/>
      <c r="CM169" s="390" t="str">
        <f>IFERROR(__xludf.DUMMYFUNCTION("""COMPUTED_VALUE"""),"")</f>
        <v/>
      </c>
      <c r="CN169" s="489" t="str">
        <f>IFERROR(__xludf.DUMMYFUNCTION("""COMPUTED_VALUE"""),"Oricorio")</f>
        <v>Oricorio</v>
      </c>
      <c r="CO169" s="532" t="s">
        <v>158</v>
      </c>
      <c r="CP169" s="523"/>
      <c r="CQ169" s="93"/>
      <c r="CR169" s="413"/>
      <c r="CS169" s="414"/>
      <c r="CT169" s="632"/>
      <c r="CU169" s="414"/>
      <c r="CV169" s="93"/>
      <c r="CW169" s="415"/>
      <c r="CX169" s="468"/>
      <c r="CY169" s="633"/>
      <c r="CZ169" s="468"/>
      <c r="DA169" s="93"/>
      <c r="DB169" s="423"/>
      <c r="DC169" s="424"/>
      <c r="DD169" s="634"/>
      <c r="DE169" s="424"/>
      <c r="DF169" s="93"/>
      <c r="DG169" s="628"/>
      <c r="DH169" s="641"/>
      <c r="DI169" s="641"/>
      <c r="DJ169" s="641"/>
      <c r="DK169" s="93"/>
      <c r="DL169" s="429"/>
      <c r="DM169" s="430"/>
      <c r="DN169" s="430"/>
      <c r="DO169" s="430"/>
      <c r="DP169" s="93"/>
      <c r="DQ169" s="439"/>
      <c r="DR169" s="441"/>
      <c r="DS169" s="441"/>
      <c r="DT169" s="441"/>
      <c r="DU169" s="93"/>
      <c r="DV169" s="442"/>
      <c r="DW169" s="443"/>
      <c r="DX169" s="363"/>
      <c r="DY169" s="345"/>
      <c r="DZ169" s="87"/>
      <c r="EA169" s="10"/>
    </row>
    <row r="170" ht="17.25" customHeight="1">
      <c r="A170" s="10"/>
      <c r="B170" s="87"/>
      <c r="C170" s="234"/>
      <c r="D170" s="235"/>
      <c r="E170" s="93"/>
      <c r="F170" s="268"/>
      <c r="G170" s="268"/>
      <c r="H170" s="268"/>
      <c r="I170" s="268"/>
      <c r="J170" s="268"/>
      <c r="K170" s="268"/>
      <c r="L170" s="450"/>
      <c r="M170" s="268"/>
      <c r="N170" s="268"/>
      <c r="O170" s="268"/>
      <c r="P170" s="268"/>
      <c r="Q170" s="450"/>
      <c r="R170" s="268"/>
      <c r="S170" s="268"/>
      <c r="T170" s="268"/>
      <c r="U170" s="268"/>
      <c r="V170" s="450"/>
      <c r="W170" s="268"/>
      <c r="X170" s="268"/>
      <c r="Y170" s="268"/>
      <c r="Z170" s="268"/>
      <c r="AA170" s="450"/>
      <c r="AB170" s="268"/>
      <c r="AC170" s="268"/>
      <c r="AD170" s="268"/>
      <c r="AE170" s="268"/>
      <c r="AF170" s="450"/>
      <c r="AG170" s="268"/>
      <c r="AH170" s="268"/>
      <c r="AI170" s="268"/>
      <c r="AJ170" s="268"/>
      <c r="AK170" s="450"/>
      <c r="AL170" s="268"/>
      <c r="AM170" s="268"/>
      <c r="AN170" s="268"/>
      <c r="AO170" s="268"/>
      <c r="AP170" s="397"/>
      <c r="AQ170" s="509"/>
      <c r="AR170" s="397"/>
      <c r="AS170" s="93"/>
      <c r="AT170" s="359"/>
      <c r="AU170" s="518"/>
      <c r="AV170" s="524"/>
      <c r="AW170" s="518"/>
      <c r="AX170" s="93"/>
      <c r="AY170" s="364"/>
      <c r="AZ170" s="480"/>
      <c r="BA170" s="525"/>
      <c r="BB170" s="480"/>
      <c r="BC170" s="93"/>
      <c r="BD170" s="368"/>
      <c r="BE170" s="477"/>
      <c r="BF170" s="560"/>
      <c r="BG170" s="477"/>
      <c r="BH170" s="93"/>
      <c r="BI170" s="402"/>
      <c r="BJ170" s="478"/>
      <c r="BK170" s="609"/>
      <c r="BL170" s="478"/>
      <c r="BM170" s="93"/>
      <c r="BN170" s="372"/>
      <c r="BO170" s="455"/>
      <c r="BP170" s="557"/>
      <c r="BQ170" s="455"/>
      <c r="BR170" s="93"/>
      <c r="BS170" s="380"/>
      <c r="BT170" s="492"/>
      <c r="BU170" s="566"/>
      <c r="BV170" s="492"/>
      <c r="BW170" s="93"/>
      <c r="BX170" s="385"/>
      <c r="BY170" s="490"/>
      <c r="BZ170" s="605"/>
      <c r="CA170" s="490"/>
      <c r="CB170" s="93"/>
      <c r="CC170" s="387"/>
      <c r="CD170" s="404"/>
      <c r="CE170" s="535"/>
      <c r="CF170" s="404"/>
      <c r="CG170" s="93"/>
      <c r="CH170" s="387"/>
      <c r="CI170" s="404"/>
      <c r="CJ170" s="535"/>
      <c r="CK170" s="520"/>
      <c r="CL170" s="93"/>
      <c r="CM170" s="390" t="str">
        <f>IFERROR(__xludf.DUMMYFUNCTION("""COMPUTED_VALUE"""),"")</f>
        <v/>
      </c>
      <c r="CN170" s="489" t="str">
        <f>IFERROR(__xludf.DUMMYFUNCTION("""COMPUTED_VALUE"""),"Palossand")</f>
        <v>Palossand</v>
      </c>
      <c r="CO170" s="532" t="s">
        <v>158</v>
      </c>
      <c r="CP170" s="523"/>
      <c r="CQ170" s="93"/>
      <c r="CR170" s="413"/>
      <c r="CS170" s="414"/>
      <c r="CT170" s="632"/>
      <c r="CU170" s="414"/>
      <c r="CV170" s="93"/>
      <c r="CW170" s="415"/>
      <c r="CX170" s="468"/>
      <c r="CY170" s="633"/>
      <c r="CZ170" s="468"/>
      <c r="DA170" s="93"/>
      <c r="DB170" s="423"/>
      <c r="DC170" s="424"/>
      <c r="DD170" s="634"/>
      <c r="DE170" s="424"/>
      <c r="DF170" s="93"/>
      <c r="DG170" s="628"/>
      <c r="DH170" s="641"/>
      <c r="DI170" s="641"/>
      <c r="DJ170" s="641"/>
      <c r="DK170" s="93"/>
      <c r="DL170" s="429"/>
      <c r="DM170" s="430"/>
      <c r="DN170" s="430"/>
      <c r="DO170" s="430"/>
      <c r="DP170" s="93"/>
      <c r="DQ170" s="439"/>
      <c r="DR170" s="441"/>
      <c r="DS170" s="441"/>
      <c r="DT170" s="441"/>
      <c r="DU170" s="93"/>
      <c r="DV170" s="442"/>
      <c r="DW170" s="443"/>
      <c r="DX170" s="363"/>
      <c r="DY170" s="345"/>
      <c r="DZ170" s="87"/>
      <c r="EA170" s="10"/>
    </row>
    <row r="171" ht="17.25" customHeight="1">
      <c r="A171" s="10"/>
      <c r="B171" s="87"/>
      <c r="C171" s="234"/>
      <c r="D171" s="235"/>
      <c r="E171" s="93"/>
      <c r="F171" s="268"/>
      <c r="G171" s="268"/>
      <c r="H171" s="268"/>
      <c r="I171" s="268"/>
      <c r="J171" s="268"/>
      <c r="K171" s="268"/>
      <c r="L171" s="450"/>
      <c r="M171" s="268"/>
      <c r="N171" s="268"/>
      <c r="O171" s="268"/>
      <c r="P171" s="268"/>
      <c r="Q171" s="450"/>
      <c r="R171" s="268"/>
      <c r="S171" s="268"/>
      <c r="T171" s="268"/>
      <c r="U171" s="268"/>
      <c r="V171" s="450"/>
      <c r="W171" s="268"/>
      <c r="X171" s="268"/>
      <c r="Y171" s="268"/>
      <c r="Z171" s="268"/>
      <c r="AA171" s="450"/>
      <c r="AB171" s="268"/>
      <c r="AC171" s="268"/>
      <c r="AD171" s="268"/>
      <c r="AE171" s="268"/>
      <c r="AF171" s="450"/>
      <c r="AG171" s="268"/>
      <c r="AH171" s="268"/>
      <c r="AI171" s="268"/>
      <c r="AJ171" s="268"/>
      <c r="AK171" s="450"/>
      <c r="AL171" s="268"/>
      <c r="AM171" s="268"/>
      <c r="AN171" s="268"/>
      <c r="AO171" s="268"/>
      <c r="AP171" s="397"/>
      <c r="AQ171" s="509"/>
      <c r="AR171" s="397"/>
      <c r="AS171" s="93"/>
      <c r="AT171" s="359"/>
      <c r="AU171" s="518"/>
      <c r="AV171" s="524"/>
      <c r="AW171" s="518"/>
      <c r="AX171" s="93"/>
      <c r="AY171" s="364"/>
      <c r="AZ171" s="480"/>
      <c r="BA171" s="525"/>
      <c r="BB171" s="480"/>
      <c r="BC171" s="93"/>
      <c r="BD171" s="368"/>
      <c r="BE171" s="477"/>
      <c r="BF171" s="560"/>
      <c r="BG171" s="477"/>
      <c r="BH171" s="93"/>
      <c r="BI171" s="402"/>
      <c r="BJ171" s="478"/>
      <c r="BK171" s="609"/>
      <c r="BL171" s="478"/>
      <c r="BM171" s="93"/>
      <c r="BN171" s="372"/>
      <c r="BO171" s="455"/>
      <c r="BP171" s="557"/>
      <c r="BQ171" s="455"/>
      <c r="BR171" s="93"/>
      <c r="BS171" s="380"/>
      <c r="BT171" s="492"/>
      <c r="BU171" s="566"/>
      <c r="BV171" s="492"/>
      <c r="BW171" s="93"/>
      <c r="BX171" s="385"/>
      <c r="BY171" s="490"/>
      <c r="BZ171" s="605"/>
      <c r="CA171" s="490"/>
      <c r="CB171" s="93"/>
      <c r="CC171" s="387"/>
      <c r="CD171" s="404"/>
      <c r="CE171" s="535"/>
      <c r="CF171" s="404"/>
      <c r="CG171" s="93"/>
      <c r="CH171" s="387"/>
      <c r="CI171" s="404"/>
      <c r="CJ171" s="535"/>
      <c r="CK171" s="520"/>
      <c r="CL171" s="93"/>
      <c r="CM171" s="390" t="str">
        <f>IFERROR(__xludf.DUMMYFUNCTION("""COMPUTED_VALUE"""),"")</f>
        <v/>
      </c>
      <c r="CN171" s="489" t="str">
        <f>IFERROR(__xludf.DUMMYFUNCTION("""COMPUTED_VALUE"""),"Passimian")</f>
        <v>Passimian</v>
      </c>
      <c r="CO171" s="532" t="s">
        <v>158</v>
      </c>
      <c r="CP171" s="523"/>
      <c r="CQ171" s="93"/>
      <c r="CR171" s="413"/>
      <c r="CS171" s="414"/>
      <c r="CT171" s="632"/>
      <c r="CU171" s="414"/>
      <c r="CV171" s="93"/>
      <c r="CW171" s="415"/>
      <c r="CX171" s="468"/>
      <c r="CY171" s="633"/>
      <c r="CZ171" s="468"/>
      <c r="DA171" s="93"/>
      <c r="DB171" s="423"/>
      <c r="DC171" s="424"/>
      <c r="DD171" s="634"/>
      <c r="DE171" s="424"/>
      <c r="DF171" s="93"/>
      <c r="DG171" s="628"/>
      <c r="DH171" s="641"/>
      <c r="DI171" s="641"/>
      <c r="DJ171" s="641"/>
      <c r="DK171" s="93"/>
      <c r="DL171" s="429"/>
      <c r="DM171" s="430"/>
      <c r="DN171" s="430"/>
      <c r="DO171" s="430"/>
      <c r="DP171" s="93"/>
      <c r="DQ171" s="439"/>
      <c r="DR171" s="441"/>
      <c r="DS171" s="441"/>
      <c r="DT171" s="441"/>
      <c r="DU171" s="93"/>
      <c r="DV171" s="442"/>
      <c r="DW171" s="443"/>
      <c r="DX171" s="363"/>
      <c r="DY171" s="345"/>
      <c r="DZ171" s="87"/>
      <c r="EA171" s="10"/>
    </row>
    <row r="172" ht="17.25" customHeight="1">
      <c r="A172" s="10"/>
      <c r="B172" s="87"/>
      <c r="C172" s="234"/>
      <c r="D172" s="235"/>
      <c r="E172" s="93"/>
      <c r="F172" s="268"/>
      <c r="G172" s="268"/>
      <c r="H172" s="268"/>
      <c r="I172" s="268"/>
      <c r="J172" s="268"/>
      <c r="K172" s="268"/>
      <c r="L172" s="450"/>
      <c r="M172" s="268"/>
      <c r="N172" s="268"/>
      <c r="O172" s="268"/>
      <c r="P172" s="268"/>
      <c r="Q172" s="450"/>
      <c r="R172" s="268"/>
      <c r="S172" s="268"/>
      <c r="T172" s="268"/>
      <c r="U172" s="268"/>
      <c r="V172" s="450"/>
      <c r="W172" s="268"/>
      <c r="X172" s="268"/>
      <c r="Y172" s="268"/>
      <c r="Z172" s="268"/>
      <c r="AA172" s="450"/>
      <c r="AB172" s="268"/>
      <c r="AC172" s="268"/>
      <c r="AD172" s="268"/>
      <c r="AE172" s="268"/>
      <c r="AF172" s="450"/>
      <c r="AG172" s="268"/>
      <c r="AH172" s="268"/>
      <c r="AI172" s="268"/>
      <c r="AJ172" s="268"/>
      <c r="AK172" s="450"/>
      <c r="AL172" s="268"/>
      <c r="AM172" s="268"/>
      <c r="AN172" s="268"/>
      <c r="AO172" s="268"/>
      <c r="AP172" s="397"/>
      <c r="AQ172" s="509"/>
      <c r="AR172" s="397"/>
      <c r="AS172" s="93"/>
      <c r="AT172" s="359"/>
      <c r="AU172" s="518"/>
      <c r="AV172" s="524"/>
      <c r="AW172" s="518"/>
      <c r="AX172" s="93"/>
      <c r="AY172" s="364"/>
      <c r="AZ172" s="480"/>
      <c r="BA172" s="525"/>
      <c r="BB172" s="480"/>
      <c r="BC172" s="93"/>
      <c r="BD172" s="368"/>
      <c r="BE172" s="477"/>
      <c r="BF172" s="560"/>
      <c r="BG172" s="477"/>
      <c r="BH172" s="93"/>
      <c r="BI172" s="402"/>
      <c r="BJ172" s="478"/>
      <c r="BK172" s="609"/>
      <c r="BL172" s="478"/>
      <c r="BM172" s="93"/>
      <c r="BN172" s="372"/>
      <c r="BO172" s="455"/>
      <c r="BP172" s="557"/>
      <c r="BQ172" s="455"/>
      <c r="BR172" s="93"/>
      <c r="BS172" s="380"/>
      <c r="BT172" s="492"/>
      <c r="BU172" s="566"/>
      <c r="BV172" s="492"/>
      <c r="BW172" s="93"/>
      <c r="BX172" s="385"/>
      <c r="BY172" s="490"/>
      <c r="BZ172" s="605"/>
      <c r="CA172" s="490"/>
      <c r="CB172" s="93"/>
      <c r="CC172" s="387"/>
      <c r="CD172" s="404"/>
      <c r="CE172" s="535"/>
      <c r="CF172" s="404"/>
      <c r="CG172" s="93"/>
      <c r="CH172" s="387"/>
      <c r="CI172" s="404"/>
      <c r="CJ172" s="535"/>
      <c r="CK172" s="520"/>
      <c r="CL172" s="93"/>
      <c r="CM172" s="390" t="str">
        <f>IFERROR(__xludf.DUMMYFUNCTION("""COMPUTED_VALUE"""),"")</f>
        <v/>
      </c>
      <c r="CN172" s="489" t="str">
        <f>IFERROR(__xludf.DUMMYFUNCTION("""COMPUTED_VALUE"""),"Pawmi")</f>
        <v>Pawmi</v>
      </c>
      <c r="CO172" s="532" t="s">
        <v>158</v>
      </c>
      <c r="CP172" s="523"/>
      <c r="CQ172" s="93"/>
      <c r="CR172" s="413"/>
      <c r="CS172" s="414"/>
      <c r="CT172" s="632"/>
      <c r="CU172" s="414"/>
      <c r="CV172" s="93"/>
      <c r="CW172" s="415"/>
      <c r="CX172" s="468"/>
      <c r="CY172" s="633"/>
      <c r="CZ172" s="468"/>
      <c r="DA172" s="93"/>
      <c r="DB172" s="423"/>
      <c r="DC172" s="424"/>
      <c r="DD172" s="634"/>
      <c r="DE172" s="424"/>
      <c r="DF172" s="93"/>
      <c r="DG172" s="628"/>
      <c r="DH172" s="641"/>
      <c r="DI172" s="641"/>
      <c r="DJ172" s="641"/>
      <c r="DK172" s="93"/>
      <c r="DL172" s="429"/>
      <c r="DM172" s="430"/>
      <c r="DN172" s="430"/>
      <c r="DO172" s="430"/>
      <c r="DP172" s="93"/>
      <c r="DQ172" s="439"/>
      <c r="DR172" s="441"/>
      <c r="DS172" s="441"/>
      <c r="DT172" s="441"/>
      <c r="DU172" s="93"/>
      <c r="DV172" s="442"/>
      <c r="DW172" s="443"/>
      <c r="DX172" s="363"/>
      <c r="DY172" s="345"/>
      <c r="DZ172" s="87"/>
      <c r="EA172" s="10"/>
    </row>
    <row r="173" ht="17.25" customHeight="1">
      <c r="A173" s="10"/>
      <c r="B173" s="87"/>
      <c r="C173" s="234"/>
      <c r="D173" s="235"/>
      <c r="E173" s="93"/>
      <c r="F173" s="268"/>
      <c r="G173" s="268"/>
      <c r="H173" s="268"/>
      <c r="I173" s="268"/>
      <c r="J173" s="268"/>
      <c r="K173" s="268"/>
      <c r="L173" s="450"/>
      <c r="M173" s="268"/>
      <c r="N173" s="268"/>
      <c r="O173" s="268"/>
      <c r="P173" s="268"/>
      <c r="Q173" s="450"/>
      <c r="R173" s="268"/>
      <c r="S173" s="268"/>
      <c r="T173" s="268"/>
      <c r="U173" s="268"/>
      <c r="V173" s="450"/>
      <c r="W173" s="268"/>
      <c r="X173" s="268"/>
      <c r="Y173" s="268"/>
      <c r="Z173" s="268"/>
      <c r="AA173" s="450"/>
      <c r="AB173" s="268"/>
      <c r="AC173" s="268"/>
      <c r="AD173" s="268"/>
      <c r="AE173" s="268"/>
      <c r="AF173" s="450"/>
      <c r="AG173" s="268"/>
      <c r="AH173" s="268"/>
      <c r="AI173" s="268"/>
      <c r="AJ173" s="268"/>
      <c r="AK173" s="450"/>
      <c r="AL173" s="268"/>
      <c r="AM173" s="268"/>
      <c r="AN173" s="268"/>
      <c r="AO173" s="268"/>
      <c r="AP173" s="397"/>
      <c r="AQ173" s="509"/>
      <c r="AR173" s="397"/>
      <c r="AS173" s="93"/>
      <c r="AT173" s="359"/>
      <c r="AU173" s="518"/>
      <c r="AV173" s="524"/>
      <c r="AW173" s="518"/>
      <c r="AX173" s="93"/>
      <c r="AY173" s="364"/>
      <c r="AZ173" s="480"/>
      <c r="BA173" s="525"/>
      <c r="BB173" s="480"/>
      <c r="BC173" s="93"/>
      <c r="BD173" s="368"/>
      <c r="BE173" s="477"/>
      <c r="BF173" s="560"/>
      <c r="BG173" s="477"/>
      <c r="BH173" s="93"/>
      <c r="BI173" s="402"/>
      <c r="BJ173" s="478"/>
      <c r="BK173" s="609"/>
      <c r="BL173" s="478"/>
      <c r="BM173" s="93"/>
      <c r="BN173" s="372"/>
      <c r="BO173" s="455"/>
      <c r="BP173" s="557"/>
      <c r="BQ173" s="455"/>
      <c r="BR173" s="93"/>
      <c r="BS173" s="380"/>
      <c r="BT173" s="492"/>
      <c r="BU173" s="566"/>
      <c r="BV173" s="492"/>
      <c r="BW173" s="93"/>
      <c r="BX173" s="385"/>
      <c r="BY173" s="490"/>
      <c r="BZ173" s="605"/>
      <c r="CA173" s="490"/>
      <c r="CB173" s="93"/>
      <c r="CC173" s="387"/>
      <c r="CD173" s="404"/>
      <c r="CE173" s="535"/>
      <c r="CF173" s="404"/>
      <c r="CG173" s="93"/>
      <c r="CH173" s="387"/>
      <c r="CI173" s="404"/>
      <c r="CJ173" s="535"/>
      <c r="CK173" s="520"/>
      <c r="CL173" s="93"/>
      <c r="CM173" s="390" t="str">
        <f>IFERROR(__xludf.DUMMYFUNCTION("""COMPUTED_VALUE"""),"")</f>
        <v/>
      </c>
      <c r="CN173" s="489" t="str">
        <f>IFERROR(__xludf.DUMMYFUNCTION("""COMPUTED_VALUE"""),"Pawmo")</f>
        <v>Pawmo</v>
      </c>
      <c r="CO173" s="532" t="s">
        <v>158</v>
      </c>
      <c r="CP173" s="523"/>
      <c r="CQ173" s="93"/>
      <c r="CR173" s="413"/>
      <c r="CS173" s="414"/>
      <c r="CT173" s="632"/>
      <c r="CU173" s="414"/>
      <c r="CV173" s="93"/>
      <c r="CW173" s="415"/>
      <c r="CX173" s="468"/>
      <c r="CY173" s="633"/>
      <c r="CZ173" s="468"/>
      <c r="DA173" s="93"/>
      <c r="DB173" s="423"/>
      <c r="DC173" s="424"/>
      <c r="DD173" s="634"/>
      <c r="DE173" s="424"/>
      <c r="DF173" s="93"/>
      <c r="DG173" s="628"/>
      <c r="DH173" s="641"/>
      <c r="DI173" s="641"/>
      <c r="DJ173" s="641"/>
      <c r="DK173" s="93"/>
      <c r="DL173" s="429"/>
      <c r="DM173" s="430"/>
      <c r="DN173" s="430"/>
      <c r="DO173" s="430"/>
      <c r="DP173" s="93"/>
      <c r="DQ173" s="439"/>
      <c r="DR173" s="441"/>
      <c r="DS173" s="441"/>
      <c r="DT173" s="441"/>
      <c r="DU173" s="93"/>
      <c r="DV173" s="442"/>
      <c r="DW173" s="443"/>
      <c r="DX173" s="363"/>
      <c r="DY173" s="345"/>
      <c r="DZ173" s="87"/>
      <c r="EA173" s="10"/>
    </row>
    <row r="174" ht="17.25" customHeight="1">
      <c r="A174" s="10"/>
      <c r="B174" s="87"/>
      <c r="C174" s="234"/>
      <c r="D174" s="235"/>
      <c r="E174" s="93"/>
      <c r="F174" s="268"/>
      <c r="G174" s="268"/>
      <c r="H174" s="268"/>
      <c r="I174" s="268"/>
      <c r="J174" s="268"/>
      <c r="K174" s="268"/>
      <c r="L174" s="450"/>
      <c r="M174" s="268"/>
      <c r="N174" s="268"/>
      <c r="O174" s="268"/>
      <c r="P174" s="268"/>
      <c r="Q174" s="450"/>
      <c r="R174" s="268"/>
      <c r="S174" s="268"/>
      <c r="T174" s="268"/>
      <c r="U174" s="268"/>
      <c r="V174" s="450"/>
      <c r="W174" s="268"/>
      <c r="X174" s="268"/>
      <c r="Y174" s="268"/>
      <c r="Z174" s="268"/>
      <c r="AA174" s="450"/>
      <c r="AB174" s="268"/>
      <c r="AC174" s="268"/>
      <c r="AD174" s="268"/>
      <c r="AE174" s="268"/>
      <c r="AF174" s="450"/>
      <c r="AG174" s="268"/>
      <c r="AH174" s="268"/>
      <c r="AI174" s="268"/>
      <c r="AJ174" s="268"/>
      <c r="AK174" s="450"/>
      <c r="AL174" s="268"/>
      <c r="AM174" s="268"/>
      <c r="AN174" s="268"/>
      <c r="AO174" s="268"/>
      <c r="AP174" s="397"/>
      <c r="AQ174" s="509"/>
      <c r="AR174" s="397"/>
      <c r="AS174" s="93"/>
      <c r="AT174" s="359"/>
      <c r="AU174" s="518"/>
      <c r="AV174" s="524"/>
      <c r="AW174" s="518"/>
      <c r="AX174" s="93"/>
      <c r="AY174" s="364"/>
      <c r="AZ174" s="480"/>
      <c r="BA174" s="525"/>
      <c r="BB174" s="480"/>
      <c r="BC174" s="93"/>
      <c r="BD174" s="368"/>
      <c r="BE174" s="477"/>
      <c r="BF174" s="560"/>
      <c r="BG174" s="477"/>
      <c r="BH174" s="93"/>
      <c r="BI174" s="402"/>
      <c r="BJ174" s="478"/>
      <c r="BK174" s="609"/>
      <c r="BL174" s="478"/>
      <c r="BM174" s="93"/>
      <c r="BN174" s="372"/>
      <c r="BO174" s="455"/>
      <c r="BP174" s="557"/>
      <c r="BQ174" s="455"/>
      <c r="BR174" s="93"/>
      <c r="BS174" s="380"/>
      <c r="BT174" s="492"/>
      <c r="BU174" s="566"/>
      <c r="BV174" s="492"/>
      <c r="BW174" s="93"/>
      <c r="BX174" s="385"/>
      <c r="BY174" s="490"/>
      <c r="BZ174" s="605"/>
      <c r="CA174" s="490"/>
      <c r="CB174" s="93"/>
      <c r="CC174" s="387"/>
      <c r="CD174" s="404"/>
      <c r="CE174" s="535"/>
      <c r="CF174" s="404"/>
      <c r="CG174" s="93"/>
      <c r="CH174" s="387"/>
      <c r="CI174" s="404"/>
      <c r="CJ174" s="535"/>
      <c r="CK174" s="520"/>
      <c r="CL174" s="93"/>
      <c r="CM174" s="390" t="str">
        <f>IFERROR(__xludf.DUMMYFUNCTION("""COMPUTED_VALUE"""),"")</f>
        <v/>
      </c>
      <c r="CN174" s="489" t="str">
        <f>IFERROR(__xludf.DUMMYFUNCTION("""COMPUTED_VALUE"""),"Pawniard")</f>
        <v>Pawniard</v>
      </c>
      <c r="CO174" s="532" t="s">
        <v>158</v>
      </c>
      <c r="CP174" s="523"/>
      <c r="CQ174" s="93"/>
      <c r="CR174" s="413"/>
      <c r="CS174" s="414"/>
      <c r="CT174" s="632"/>
      <c r="CU174" s="414"/>
      <c r="CV174" s="93"/>
      <c r="CW174" s="415"/>
      <c r="CX174" s="468"/>
      <c r="CY174" s="633"/>
      <c r="CZ174" s="468"/>
      <c r="DA174" s="93"/>
      <c r="DB174" s="423"/>
      <c r="DC174" s="424"/>
      <c r="DD174" s="634"/>
      <c r="DE174" s="424"/>
      <c r="DF174" s="93"/>
      <c r="DG174" s="628"/>
      <c r="DH174" s="641"/>
      <c r="DI174" s="641"/>
      <c r="DJ174" s="641"/>
      <c r="DK174" s="93"/>
      <c r="DL174" s="429"/>
      <c r="DM174" s="430"/>
      <c r="DN174" s="430"/>
      <c r="DO174" s="430"/>
      <c r="DP174" s="93"/>
      <c r="DQ174" s="439"/>
      <c r="DR174" s="441"/>
      <c r="DS174" s="441"/>
      <c r="DT174" s="441"/>
      <c r="DU174" s="93"/>
      <c r="DV174" s="442"/>
      <c r="DW174" s="443"/>
      <c r="DX174" s="363"/>
      <c r="DY174" s="345"/>
      <c r="DZ174" s="87"/>
      <c r="EA174" s="10"/>
    </row>
    <row r="175" ht="17.25" customHeight="1">
      <c r="A175" s="10"/>
      <c r="B175" s="87"/>
      <c r="C175" s="234"/>
      <c r="D175" s="235"/>
      <c r="E175" s="93"/>
      <c r="F175" s="268"/>
      <c r="G175" s="268"/>
      <c r="H175" s="268"/>
      <c r="I175" s="268"/>
      <c r="J175" s="268"/>
      <c r="K175" s="268"/>
      <c r="L175" s="450"/>
      <c r="M175" s="268"/>
      <c r="N175" s="268"/>
      <c r="O175" s="268"/>
      <c r="P175" s="268"/>
      <c r="Q175" s="450"/>
      <c r="R175" s="268"/>
      <c r="S175" s="268"/>
      <c r="T175" s="268"/>
      <c r="U175" s="268"/>
      <c r="V175" s="450"/>
      <c r="W175" s="268"/>
      <c r="X175" s="268"/>
      <c r="Y175" s="268"/>
      <c r="Z175" s="268"/>
      <c r="AA175" s="450"/>
      <c r="AB175" s="268"/>
      <c r="AC175" s="268"/>
      <c r="AD175" s="268"/>
      <c r="AE175" s="268"/>
      <c r="AF175" s="450"/>
      <c r="AG175" s="268"/>
      <c r="AH175" s="268"/>
      <c r="AI175" s="268"/>
      <c r="AJ175" s="268"/>
      <c r="AK175" s="450"/>
      <c r="AL175" s="268"/>
      <c r="AM175" s="268"/>
      <c r="AN175" s="268"/>
      <c r="AO175" s="268"/>
      <c r="AP175" s="397"/>
      <c r="AQ175" s="509"/>
      <c r="AR175" s="397"/>
      <c r="AS175" s="93"/>
      <c r="AT175" s="359"/>
      <c r="AU175" s="518"/>
      <c r="AV175" s="524"/>
      <c r="AW175" s="518"/>
      <c r="AX175" s="93"/>
      <c r="AY175" s="364"/>
      <c r="AZ175" s="480"/>
      <c r="BA175" s="525"/>
      <c r="BB175" s="480"/>
      <c r="BC175" s="93"/>
      <c r="BD175" s="368"/>
      <c r="BE175" s="477"/>
      <c r="BF175" s="560"/>
      <c r="BG175" s="477"/>
      <c r="BH175" s="93"/>
      <c r="BI175" s="402"/>
      <c r="BJ175" s="478"/>
      <c r="BK175" s="609"/>
      <c r="BL175" s="478"/>
      <c r="BM175" s="93"/>
      <c r="BN175" s="372"/>
      <c r="BO175" s="455"/>
      <c r="BP175" s="557"/>
      <c r="BQ175" s="455"/>
      <c r="BR175" s="93"/>
      <c r="BS175" s="380"/>
      <c r="BT175" s="492"/>
      <c r="BU175" s="566"/>
      <c r="BV175" s="492"/>
      <c r="BW175" s="93"/>
      <c r="BX175" s="385"/>
      <c r="BY175" s="490"/>
      <c r="BZ175" s="605"/>
      <c r="CA175" s="490"/>
      <c r="CB175" s="93"/>
      <c r="CC175" s="387"/>
      <c r="CD175" s="404"/>
      <c r="CE175" s="535"/>
      <c r="CF175" s="404"/>
      <c r="CG175" s="93"/>
      <c r="CH175" s="387"/>
      <c r="CI175" s="404"/>
      <c r="CJ175" s="535"/>
      <c r="CK175" s="520"/>
      <c r="CL175" s="93"/>
      <c r="CM175" s="390" t="str">
        <f>IFERROR(__xludf.DUMMYFUNCTION("""COMPUTED_VALUE"""),"")</f>
        <v/>
      </c>
      <c r="CN175" s="489" t="str">
        <f>IFERROR(__xludf.DUMMYFUNCTION("""COMPUTED_VALUE"""),"Persian")</f>
        <v>Persian</v>
      </c>
      <c r="CO175" s="532" t="s">
        <v>158</v>
      </c>
      <c r="CP175" s="523"/>
      <c r="CQ175" s="93"/>
      <c r="CR175" s="413"/>
      <c r="CS175" s="414"/>
      <c r="CT175" s="632"/>
      <c r="CU175" s="414"/>
      <c r="CV175" s="93"/>
      <c r="CW175" s="415"/>
      <c r="CX175" s="468"/>
      <c r="CY175" s="633"/>
      <c r="CZ175" s="468"/>
      <c r="DA175" s="93"/>
      <c r="DB175" s="423"/>
      <c r="DC175" s="424"/>
      <c r="DD175" s="634"/>
      <c r="DE175" s="424"/>
      <c r="DF175" s="93"/>
      <c r="DG175" s="628"/>
      <c r="DH175" s="641"/>
      <c r="DI175" s="641"/>
      <c r="DJ175" s="641"/>
      <c r="DK175" s="93"/>
      <c r="DL175" s="429"/>
      <c r="DM175" s="430"/>
      <c r="DN175" s="430"/>
      <c r="DO175" s="430"/>
      <c r="DP175" s="93"/>
      <c r="DQ175" s="439"/>
      <c r="DR175" s="441"/>
      <c r="DS175" s="441"/>
      <c r="DT175" s="441"/>
      <c r="DU175" s="93"/>
      <c r="DV175" s="442"/>
      <c r="DW175" s="443"/>
      <c r="DX175" s="363"/>
      <c r="DY175" s="345"/>
      <c r="DZ175" s="87"/>
      <c r="EA175" s="10"/>
    </row>
    <row r="176" ht="17.25" customHeight="1">
      <c r="A176" s="10"/>
      <c r="B176" s="87"/>
      <c r="C176" s="234"/>
      <c r="D176" s="235"/>
      <c r="E176" s="93"/>
      <c r="F176" s="268"/>
      <c r="G176" s="268"/>
      <c r="H176" s="268"/>
      <c r="I176" s="268"/>
      <c r="J176" s="268"/>
      <c r="K176" s="268"/>
      <c r="L176" s="450"/>
      <c r="M176" s="268"/>
      <c r="N176" s="268"/>
      <c r="O176" s="268"/>
      <c r="P176" s="268"/>
      <c r="Q176" s="450"/>
      <c r="R176" s="268"/>
      <c r="S176" s="268"/>
      <c r="T176" s="268"/>
      <c r="U176" s="268"/>
      <c r="V176" s="450"/>
      <c r="W176" s="268"/>
      <c r="X176" s="268"/>
      <c r="Y176" s="268"/>
      <c r="Z176" s="268"/>
      <c r="AA176" s="450"/>
      <c r="AB176" s="268"/>
      <c r="AC176" s="268"/>
      <c r="AD176" s="268"/>
      <c r="AE176" s="268"/>
      <c r="AF176" s="450"/>
      <c r="AG176" s="268"/>
      <c r="AH176" s="268"/>
      <c r="AI176" s="268"/>
      <c r="AJ176" s="268"/>
      <c r="AK176" s="450"/>
      <c r="AL176" s="268"/>
      <c r="AM176" s="268"/>
      <c r="AN176" s="268"/>
      <c r="AO176" s="268"/>
      <c r="AP176" s="397"/>
      <c r="AQ176" s="509"/>
      <c r="AR176" s="397"/>
      <c r="AS176" s="93"/>
      <c r="AT176" s="359"/>
      <c r="AU176" s="518"/>
      <c r="AV176" s="524"/>
      <c r="AW176" s="518"/>
      <c r="AX176" s="93"/>
      <c r="AY176" s="364"/>
      <c r="AZ176" s="480"/>
      <c r="BA176" s="525"/>
      <c r="BB176" s="480"/>
      <c r="BC176" s="93"/>
      <c r="BD176" s="368"/>
      <c r="BE176" s="477"/>
      <c r="BF176" s="560"/>
      <c r="BG176" s="477"/>
      <c r="BH176" s="93"/>
      <c r="BI176" s="402"/>
      <c r="BJ176" s="478"/>
      <c r="BK176" s="609"/>
      <c r="BL176" s="478"/>
      <c r="BM176" s="93"/>
      <c r="BN176" s="372"/>
      <c r="BO176" s="455"/>
      <c r="BP176" s="557"/>
      <c r="BQ176" s="455"/>
      <c r="BR176" s="93"/>
      <c r="BS176" s="380"/>
      <c r="BT176" s="492"/>
      <c r="BU176" s="566"/>
      <c r="BV176" s="492"/>
      <c r="BW176" s="93"/>
      <c r="BX176" s="385"/>
      <c r="BY176" s="490"/>
      <c r="BZ176" s="605"/>
      <c r="CA176" s="490"/>
      <c r="CB176" s="93"/>
      <c r="CC176" s="387"/>
      <c r="CD176" s="404"/>
      <c r="CE176" s="535"/>
      <c r="CF176" s="404"/>
      <c r="CG176" s="93"/>
      <c r="CH176" s="387"/>
      <c r="CI176" s="404"/>
      <c r="CJ176" s="535"/>
      <c r="CK176" s="520"/>
      <c r="CL176" s="93"/>
      <c r="CM176" s="390" t="str">
        <f>IFERROR(__xludf.DUMMYFUNCTION("""COMPUTED_VALUE"""),"")</f>
        <v/>
      </c>
      <c r="CN176" s="489" t="str">
        <f>IFERROR(__xludf.DUMMYFUNCTION("""COMPUTED_VALUE"""),"Phanpy")</f>
        <v>Phanpy</v>
      </c>
      <c r="CO176" s="532" t="s">
        <v>158</v>
      </c>
      <c r="CP176" s="523"/>
      <c r="CQ176" s="93"/>
      <c r="CR176" s="413"/>
      <c r="CS176" s="414"/>
      <c r="CT176" s="632"/>
      <c r="CU176" s="414"/>
      <c r="CV176" s="93"/>
      <c r="CW176" s="415"/>
      <c r="CX176" s="468"/>
      <c r="CY176" s="633"/>
      <c r="CZ176" s="468"/>
      <c r="DA176" s="93"/>
      <c r="DB176" s="423"/>
      <c r="DC176" s="424"/>
      <c r="DD176" s="634"/>
      <c r="DE176" s="424"/>
      <c r="DF176" s="93"/>
      <c r="DG176" s="628"/>
      <c r="DH176" s="641"/>
      <c r="DI176" s="641"/>
      <c r="DJ176" s="641"/>
      <c r="DK176" s="93"/>
      <c r="DL176" s="429"/>
      <c r="DM176" s="430"/>
      <c r="DN176" s="430"/>
      <c r="DO176" s="430"/>
      <c r="DP176" s="93"/>
      <c r="DQ176" s="439"/>
      <c r="DR176" s="441"/>
      <c r="DS176" s="441"/>
      <c r="DT176" s="441"/>
      <c r="DU176" s="93"/>
      <c r="DV176" s="442"/>
      <c r="DW176" s="443"/>
      <c r="DX176" s="363"/>
      <c r="DY176" s="345"/>
      <c r="DZ176" s="87"/>
      <c r="EA176" s="10"/>
    </row>
    <row r="177" ht="17.25" customHeight="1">
      <c r="A177" s="10"/>
      <c r="B177" s="87"/>
      <c r="C177" s="234"/>
      <c r="D177" s="235"/>
      <c r="E177" s="93"/>
      <c r="F177" s="268"/>
      <c r="G177" s="268"/>
      <c r="H177" s="268"/>
      <c r="I177" s="268"/>
      <c r="J177" s="268"/>
      <c r="K177" s="268"/>
      <c r="L177" s="450"/>
      <c r="M177" s="268"/>
      <c r="N177" s="268"/>
      <c r="O177" s="268"/>
      <c r="P177" s="268"/>
      <c r="Q177" s="450"/>
      <c r="R177" s="268"/>
      <c r="S177" s="268"/>
      <c r="T177" s="268"/>
      <c r="U177" s="268"/>
      <c r="V177" s="450"/>
      <c r="W177" s="268"/>
      <c r="X177" s="268"/>
      <c r="Y177" s="268"/>
      <c r="Z177" s="268"/>
      <c r="AA177" s="450"/>
      <c r="AB177" s="268"/>
      <c r="AC177" s="268"/>
      <c r="AD177" s="268"/>
      <c r="AE177" s="268"/>
      <c r="AF177" s="450"/>
      <c r="AG177" s="268"/>
      <c r="AH177" s="268"/>
      <c r="AI177" s="268"/>
      <c r="AJ177" s="268"/>
      <c r="AK177" s="450"/>
      <c r="AL177" s="268"/>
      <c r="AM177" s="268"/>
      <c r="AN177" s="268"/>
      <c r="AO177" s="268"/>
      <c r="AP177" s="397"/>
      <c r="AQ177" s="509"/>
      <c r="AR177" s="397"/>
      <c r="AS177" s="93"/>
      <c r="AT177" s="359"/>
      <c r="AU177" s="518"/>
      <c r="AV177" s="524"/>
      <c r="AW177" s="518"/>
      <c r="AX177" s="93"/>
      <c r="AY177" s="364"/>
      <c r="AZ177" s="480"/>
      <c r="BA177" s="525"/>
      <c r="BB177" s="480"/>
      <c r="BC177" s="93"/>
      <c r="BD177" s="368"/>
      <c r="BE177" s="477"/>
      <c r="BF177" s="560"/>
      <c r="BG177" s="477"/>
      <c r="BH177" s="93"/>
      <c r="BI177" s="402"/>
      <c r="BJ177" s="478"/>
      <c r="BK177" s="609"/>
      <c r="BL177" s="478"/>
      <c r="BM177" s="93"/>
      <c r="BN177" s="372"/>
      <c r="BO177" s="455"/>
      <c r="BP177" s="557"/>
      <c r="BQ177" s="455"/>
      <c r="BR177" s="93"/>
      <c r="BS177" s="380"/>
      <c r="BT177" s="492"/>
      <c r="BU177" s="566"/>
      <c r="BV177" s="492"/>
      <c r="BW177" s="93"/>
      <c r="BX177" s="385"/>
      <c r="BY177" s="490"/>
      <c r="BZ177" s="605"/>
      <c r="CA177" s="490"/>
      <c r="CB177" s="93"/>
      <c r="CC177" s="387"/>
      <c r="CD177" s="404"/>
      <c r="CE177" s="535"/>
      <c r="CF177" s="404"/>
      <c r="CG177" s="93"/>
      <c r="CH177" s="387"/>
      <c r="CI177" s="404"/>
      <c r="CJ177" s="535"/>
      <c r="CK177" s="520"/>
      <c r="CL177" s="93"/>
      <c r="CM177" s="390" t="str">
        <f>IFERROR(__xludf.DUMMYFUNCTION("""COMPUTED_VALUE"""),"")</f>
        <v/>
      </c>
      <c r="CN177" s="489" t="str">
        <f>IFERROR(__xludf.DUMMYFUNCTION("""COMPUTED_VALUE"""),"Pichu")</f>
        <v>Pichu</v>
      </c>
      <c r="CO177" s="532" t="s">
        <v>158</v>
      </c>
      <c r="CP177" s="523"/>
      <c r="CQ177" s="93"/>
      <c r="CR177" s="413"/>
      <c r="CS177" s="414"/>
      <c r="CT177" s="632"/>
      <c r="CU177" s="414"/>
      <c r="CV177" s="93"/>
      <c r="CW177" s="415"/>
      <c r="CX177" s="468"/>
      <c r="CY177" s="633"/>
      <c r="CZ177" s="468"/>
      <c r="DA177" s="93"/>
      <c r="DB177" s="423"/>
      <c r="DC177" s="424"/>
      <c r="DD177" s="634"/>
      <c r="DE177" s="424"/>
      <c r="DF177" s="93"/>
      <c r="DG177" s="628"/>
      <c r="DH177" s="641"/>
      <c r="DI177" s="641"/>
      <c r="DJ177" s="641"/>
      <c r="DK177" s="93"/>
      <c r="DL177" s="429"/>
      <c r="DM177" s="430"/>
      <c r="DN177" s="430"/>
      <c r="DO177" s="430"/>
      <c r="DP177" s="93"/>
      <c r="DQ177" s="439"/>
      <c r="DR177" s="441"/>
      <c r="DS177" s="441"/>
      <c r="DT177" s="441"/>
      <c r="DU177" s="93"/>
      <c r="DV177" s="442"/>
      <c r="DW177" s="443"/>
      <c r="DX177" s="363"/>
      <c r="DY177" s="345"/>
      <c r="DZ177" s="87"/>
      <c r="EA177" s="10"/>
    </row>
    <row r="178" ht="17.25" customHeight="1">
      <c r="A178" s="10"/>
      <c r="B178" s="87"/>
      <c r="C178" s="234"/>
      <c r="D178" s="235"/>
      <c r="E178" s="93"/>
      <c r="F178" s="268"/>
      <c r="G178" s="268"/>
      <c r="H178" s="268"/>
      <c r="I178" s="268"/>
      <c r="J178" s="268"/>
      <c r="K178" s="268"/>
      <c r="L178" s="450"/>
      <c r="M178" s="268"/>
      <c r="N178" s="268"/>
      <c r="O178" s="268"/>
      <c r="P178" s="268"/>
      <c r="Q178" s="450"/>
      <c r="R178" s="268"/>
      <c r="S178" s="268"/>
      <c r="T178" s="268"/>
      <c r="U178" s="268"/>
      <c r="V178" s="450"/>
      <c r="W178" s="268"/>
      <c r="X178" s="268"/>
      <c r="Y178" s="268"/>
      <c r="Z178" s="268"/>
      <c r="AA178" s="450"/>
      <c r="AB178" s="268"/>
      <c r="AC178" s="268"/>
      <c r="AD178" s="268"/>
      <c r="AE178" s="268"/>
      <c r="AF178" s="450"/>
      <c r="AG178" s="268"/>
      <c r="AH178" s="268"/>
      <c r="AI178" s="268"/>
      <c r="AJ178" s="268"/>
      <c r="AK178" s="450"/>
      <c r="AL178" s="268"/>
      <c r="AM178" s="268"/>
      <c r="AN178" s="268"/>
      <c r="AO178" s="268"/>
      <c r="AP178" s="397"/>
      <c r="AQ178" s="509"/>
      <c r="AR178" s="397"/>
      <c r="AS178" s="93"/>
      <c r="AT178" s="359"/>
      <c r="AU178" s="518"/>
      <c r="AV178" s="524"/>
      <c r="AW178" s="518"/>
      <c r="AX178" s="93"/>
      <c r="AY178" s="364"/>
      <c r="AZ178" s="480"/>
      <c r="BA178" s="525"/>
      <c r="BB178" s="480"/>
      <c r="BC178" s="93"/>
      <c r="BD178" s="368"/>
      <c r="BE178" s="477"/>
      <c r="BF178" s="560"/>
      <c r="BG178" s="477"/>
      <c r="BH178" s="93"/>
      <c r="BI178" s="402"/>
      <c r="BJ178" s="478"/>
      <c r="BK178" s="609"/>
      <c r="BL178" s="478"/>
      <c r="BM178" s="93"/>
      <c r="BN178" s="372"/>
      <c r="BO178" s="455"/>
      <c r="BP178" s="557"/>
      <c r="BQ178" s="455"/>
      <c r="BR178" s="93"/>
      <c r="BS178" s="380"/>
      <c r="BT178" s="492"/>
      <c r="BU178" s="566"/>
      <c r="BV178" s="492"/>
      <c r="BW178" s="93"/>
      <c r="BX178" s="385"/>
      <c r="BY178" s="490"/>
      <c r="BZ178" s="605"/>
      <c r="CA178" s="490"/>
      <c r="CB178" s="93"/>
      <c r="CC178" s="387"/>
      <c r="CD178" s="404"/>
      <c r="CE178" s="535"/>
      <c r="CF178" s="404"/>
      <c r="CG178" s="93"/>
      <c r="CH178" s="387"/>
      <c r="CI178" s="404"/>
      <c r="CJ178" s="535"/>
      <c r="CK178" s="520"/>
      <c r="CL178" s="93"/>
      <c r="CM178" s="390" t="str">
        <f>IFERROR(__xludf.DUMMYFUNCTION("""COMPUTED_VALUE"""),"")</f>
        <v/>
      </c>
      <c r="CN178" s="489" t="str">
        <f>IFERROR(__xludf.DUMMYFUNCTION("""COMPUTED_VALUE"""),"Pikachu")</f>
        <v>Pikachu</v>
      </c>
      <c r="CO178" s="532" t="s">
        <v>158</v>
      </c>
      <c r="CP178" s="523"/>
      <c r="CQ178" s="93"/>
      <c r="CR178" s="413"/>
      <c r="CS178" s="414"/>
      <c r="CT178" s="632"/>
      <c r="CU178" s="414"/>
      <c r="CV178" s="93"/>
      <c r="CW178" s="415"/>
      <c r="CX178" s="468"/>
      <c r="CY178" s="633"/>
      <c r="CZ178" s="468"/>
      <c r="DA178" s="93"/>
      <c r="DB178" s="423"/>
      <c r="DC178" s="424"/>
      <c r="DD178" s="634"/>
      <c r="DE178" s="424"/>
      <c r="DF178" s="93"/>
      <c r="DG178" s="628"/>
      <c r="DH178" s="641"/>
      <c r="DI178" s="641"/>
      <c r="DJ178" s="641"/>
      <c r="DK178" s="93"/>
      <c r="DL178" s="429"/>
      <c r="DM178" s="430"/>
      <c r="DN178" s="430"/>
      <c r="DO178" s="430"/>
      <c r="DP178" s="93"/>
      <c r="DQ178" s="439"/>
      <c r="DR178" s="441"/>
      <c r="DS178" s="441"/>
      <c r="DT178" s="441"/>
      <c r="DU178" s="93"/>
      <c r="DV178" s="442"/>
      <c r="DW178" s="443"/>
      <c r="DX178" s="363"/>
      <c r="DY178" s="345"/>
      <c r="DZ178" s="87"/>
      <c r="EA178" s="10"/>
    </row>
    <row r="179" ht="17.25" customHeight="1">
      <c r="A179" s="10"/>
      <c r="B179" s="87"/>
      <c r="C179" s="234"/>
      <c r="D179" s="235"/>
      <c r="E179" s="93"/>
      <c r="F179" s="268"/>
      <c r="G179" s="268"/>
      <c r="H179" s="268"/>
      <c r="I179" s="268"/>
      <c r="J179" s="268"/>
      <c r="K179" s="268"/>
      <c r="L179" s="450"/>
      <c r="M179" s="268"/>
      <c r="N179" s="268"/>
      <c r="O179" s="268"/>
      <c r="P179" s="268"/>
      <c r="Q179" s="450"/>
      <c r="R179" s="268"/>
      <c r="S179" s="268"/>
      <c r="T179" s="268"/>
      <c r="U179" s="268"/>
      <c r="V179" s="450"/>
      <c r="W179" s="268"/>
      <c r="X179" s="268"/>
      <c r="Y179" s="268"/>
      <c r="Z179" s="268"/>
      <c r="AA179" s="450"/>
      <c r="AB179" s="268"/>
      <c r="AC179" s="268"/>
      <c r="AD179" s="268"/>
      <c r="AE179" s="268"/>
      <c r="AF179" s="450"/>
      <c r="AG179" s="268"/>
      <c r="AH179" s="268"/>
      <c r="AI179" s="268"/>
      <c r="AJ179" s="268"/>
      <c r="AK179" s="450"/>
      <c r="AL179" s="268"/>
      <c r="AM179" s="268"/>
      <c r="AN179" s="268"/>
      <c r="AO179" s="268"/>
      <c r="AP179" s="397"/>
      <c r="AQ179" s="509"/>
      <c r="AR179" s="397"/>
      <c r="AS179" s="93"/>
      <c r="AT179" s="359"/>
      <c r="AU179" s="518"/>
      <c r="AV179" s="524"/>
      <c r="AW179" s="518"/>
      <c r="AX179" s="93"/>
      <c r="AY179" s="364"/>
      <c r="AZ179" s="480"/>
      <c r="BA179" s="525"/>
      <c r="BB179" s="480"/>
      <c r="BC179" s="93"/>
      <c r="BD179" s="368"/>
      <c r="BE179" s="477"/>
      <c r="BF179" s="560"/>
      <c r="BG179" s="477"/>
      <c r="BH179" s="93"/>
      <c r="BI179" s="402"/>
      <c r="BJ179" s="478"/>
      <c r="BK179" s="609"/>
      <c r="BL179" s="478"/>
      <c r="BM179" s="93"/>
      <c r="BN179" s="372"/>
      <c r="BO179" s="455"/>
      <c r="BP179" s="557"/>
      <c r="BQ179" s="455"/>
      <c r="BR179" s="93"/>
      <c r="BS179" s="380"/>
      <c r="BT179" s="492"/>
      <c r="BU179" s="566"/>
      <c r="BV179" s="492"/>
      <c r="BW179" s="93"/>
      <c r="BX179" s="385"/>
      <c r="BY179" s="490"/>
      <c r="BZ179" s="605"/>
      <c r="CA179" s="490"/>
      <c r="CB179" s="93"/>
      <c r="CC179" s="387"/>
      <c r="CD179" s="404"/>
      <c r="CE179" s="535"/>
      <c r="CF179" s="404"/>
      <c r="CG179" s="93"/>
      <c r="CH179" s="387"/>
      <c r="CI179" s="404"/>
      <c r="CJ179" s="535"/>
      <c r="CK179" s="520"/>
      <c r="CL179" s="93"/>
      <c r="CM179" s="390" t="str">
        <f>IFERROR(__xludf.DUMMYFUNCTION("""COMPUTED_VALUE"""),"")</f>
        <v/>
      </c>
      <c r="CN179" s="489" t="str">
        <f>IFERROR(__xludf.DUMMYFUNCTION("""COMPUTED_VALUE"""),"Pincurchin")</f>
        <v>Pincurchin</v>
      </c>
      <c r="CO179" s="532" t="s">
        <v>158</v>
      </c>
      <c r="CP179" s="523"/>
      <c r="CQ179" s="93"/>
      <c r="CR179" s="413"/>
      <c r="CS179" s="414"/>
      <c r="CT179" s="632"/>
      <c r="CU179" s="414"/>
      <c r="CV179" s="93"/>
      <c r="CW179" s="415"/>
      <c r="CX179" s="468"/>
      <c r="CY179" s="633"/>
      <c r="CZ179" s="468"/>
      <c r="DA179" s="93"/>
      <c r="DB179" s="423"/>
      <c r="DC179" s="424"/>
      <c r="DD179" s="634"/>
      <c r="DE179" s="424"/>
      <c r="DF179" s="93"/>
      <c r="DG179" s="628"/>
      <c r="DH179" s="641"/>
      <c r="DI179" s="641"/>
      <c r="DJ179" s="641"/>
      <c r="DK179" s="93"/>
      <c r="DL179" s="429"/>
      <c r="DM179" s="430"/>
      <c r="DN179" s="430"/>
      <c r="DO179" s="430"/>
      <c r="DP179" s="93"/>
      <c r="DQ179" s="439"/>
      <c r="DR179" s="441"/>
      <c r="DS179" s="441"/>
      <c r="DT179" s="441"/>
      <c r="DU179" s="93"/>
      <c r="DV179" s="442"/>
      <c r="DW179" s="443"/>
      <c r="DX179" s="363"/>
      <c r="DY179" s="345"/>
      <c r="DZ179" s="87"/>
      <c r="EA179" s="10"/>
    </row>
    <row r="180" ht="17.25" customHeight="1">
      <c r="A180" s="10"/>
      <c r="B180" s="87"/>
      <c r="C180" s="234"/>
      <c r="D180" s="235"/>
      <c r="E180" s="93"/>
      <c r="F180" s="268"/>
      <c r="G180" s="268"/>
      <c r="H180" s="268"/>
      <c r="I180" s="268"/>
      <c r="J180" s="268"/>
      <c r="K180" s="268"/>
      <c r="L180" s="450"/>
      <c r="M180" s="268"/>
      <c r="N180" s="268"/>
      <c r="O180" s="268"/>
      <c r="P180" s="268"/>
      <c r="Q180" s="450"/>
      <c r="R180" s="268"/>
      <c r="S180" s="268"/>
      <c r="T180" s="268"/>
      <c r="U180" s="268"/>
      <c r="V180" s="450"/>
      <c r="W180" s="268"/>
      <c r="X180" s="268"/>
      <c r="Y180" s="268"/>
      <c r="Z180" s="268"/>
      <c r="AA180" s="450"/>
      <c r="AB180" s="268"/>
      <c r="AC180" s="268"/>
      <c r="AD180" s="268"/>
      <c r="AE180" s="268"/>
      <c r="AF180" s="450"/>
      <c r="AG180" s="268"/>
      <c r="AH180" s="268"/>
      <c r="AI180" s="268"/>
      <c r="AJ180" s="268"/>
      <c r="AK180" s="450"/>
      <c r="AL180" s="268"/>
      <c r="AM180" s="268"/>
      <c r="AN180" s="268"/>
      <c r="AO180" s="268"/>
      <c r="AP180" s="397"/>
      <c r="AQ180" s="509"/>
      <c r="AR180" s="397"/>
      <c r="AS180" s="93"/>
      <c r="AT180" s="359"/>
      <c r="AU180" s="518"/>
      <c r="AV180" s="524"/>
      <c r="AW180" s="518"/>
      <c r="AX180" s="93"/>
      <c r="AY180" s="364"/>
      <c r="AZ180" s="480"/>
      <c r="BA180" s="525"/>
      <c r="BB180" s="480"/>
      <c r="BC180" s="93"/>
      <c r="BD180" s="368"/>
      <c r="BE180" s="477"/>
      <c r="BF180" s="560"/>
      <c r="BG180" s="477"/>
      <c r="BH180" s="93"/>
      <c r="BI180" s="402"/>
      <c r="BJ180" s="478"/>
      <c r="BK180" s="609"/>
      <c r="BL180" s="478"/>
      <c r="BM180" s="93"/>
      <c r="BN180" s="372"/>
      <c r="BO180" s="455"/>
      <c r="BP180" s="557"/>
      <c r="BQ180" s="455"/>
      <c r="BR180" s="93"/>
      <c r="BS180" s="380"/>
      <c r="BT180" s="492"/>
      <c r="BU180" s="566"/>
      <c r="BV180" s="492"/>
      <c r="BW180" s="93"/>
      <c r="BX180" s="385"/>
      <c r="BY180" s="490"/>
      <c r="BZ180" s="605"/>
      <c r="CA180" s="490"/>
      <c r="CB180" s="93"/>
      <c r="CC180" s="387"/>
      <c r="CD180" s="404"/>
      <c r="CE180" s="535"/>
      <c r="CF180" s="404"/>
      <c r="CG180" s="93"/>
      <c r="CH180" s="387"/>
      <c r="CI180" s="404"/>
      <c r="CJ180" s="535"/>
      <c r="CK180" s="520"/>
      <c r="CL180" s="93"/>
      <c r="CM180" s="390" t="str">
        <f>IFERROR(__xludf.DUMMYFUNCTION("""COMPUTED_VALUE"""),"")</f>
        <v/>
      </c>
      <c r="CN180" s="489" t="str">
        <f>IFERROR(__xludf.DUMMYFUNCTION("""COMPUTED_VALUE"""),"Pineco")</f>
        <v>Pineco</v>
      </c>
      <c r="CO180" s="532" t="s">
        <v>158</v>
      </c>
      <c r="CP180" s="523"/>
      <c r="CQ180" s="93"/>
      <c r="CR180" s="413"/>
      <c r="CS180" s="414"/>
      <c r="CT180" s="632"/>
      <c r="CU180" s="414"/>
      <c r="CV180" s="93"/>
      <c r="CW180" s="415"/>
      <c r="CX180" s="468"/>
      <c r="CY180" s="633"/>
      <c r="CZ180" s="468"/>
      <c r="DA180" s="93"/>
      <c r="DB180" s="423"/>
      <c r="DC180" s="424"/>
      <c r="DD180" s="634"/>
      <c r="DE180" s="424"/>
      <c r="DF180" s="93"/>
      <c r="DG180" s="628"/>
      <c r="DH180" s="641"/>
      <c r="DI180" s="641"/>
      <c r="DJ180" s="641"/>
      <c r="DK180" s="93"/>
      <c r="DL180" s="429"/>
      <c r="DM180" s="430"/>
      <c r="DN180" s="430"/>
      <c r="DO180" s="430"/>
      <c r="DP180" s="93"/>
      <c r="DQ180" s="439"/>
      <c r="DR180" s="441"/>
      <c r="DS180" s="441"/>
      <c r="DT180" s="441"/>
      <c r="DU180" s="93"/>
      <c r="DV180" s="442"/>
      <c r="DW180" s="443"/>
      <c r="DX180" s="363"/>
      <c r="DY180" s="345"/>
      <c r="DZ180" s="87"/>
      <c r="EA180" s="10"/>
    </row>
    <row r="181" ht="17.25" customHeight="1">
      <c r="A181" s="10"/>
      <c r="B181" s="87"/>
      <c r="C181" s="234"/>
      <c r="D181" s="235"/>
      <c r="E181" s="93"/>
      <c r="F181" s="268"/>
      <c r="G181" s="268"/>
      <c r="H181" s="268"/>
      <c r="I181" s="268"/>
      <c r="J181" s="268"/>
      <c r="K181" s="268"/>
      <c r="L181" s="450"/>
      <c r="M181" s="268"/>
      <c r="N181" s="268"/>
      <c r="O181" s="268"/>
      <c r="P181" s="268"/>
      <c r="Q181" s="450"/>
      <c r="R181" s="268"/>
      <c r="S181" s="268"/>
      <c r="T181" s="268"/>
      <c r="U181" s="268"/>
      <c r="V181" s="450"/>
      <c r="W181" s="268"/>
      <c r="X181" s="268"/>
      <c r="Y181" s="268"/>
      <c r="Z181" s="268"/>
      <c r="AA181" s="450"/>
      <c r="AB181" s="268"/>
      <c r="AC181" s="268"/>
      <c r="AD181" s="268"/>
      <c r="AE181" s="268"/>
      <c r="AF181" s="450"/>
      <c r="AG181" s="268"/>
      <c r="AH181" s="268"/>
      <c r="AI181" s="268"/>
      <c r="AJ181" s="268"/>
      <c r="AK181" s="450"/>
      <c r="AL181" s="268"/>
      <c r="AM181" s="268"/>
      <c r="AN181" s="268"/>
      <c r="AO181" s="268"/>
      <c r="AP181" s="397"/>
      <c r="AQ181" s="509"/>
      <c r="AR181" s="397"/>
      <c r="AS181" s="93"/>
      <c r="AT181" s="359"/>
      <c r="AU181" s="518"/>
      <c r="AV181" s="524"/>
      <c r="AW181" s="518"/>
      <c r="AX181" s="93"/>
      <c r="AY181" s="364"/>
      <c r="AZ181" s="480"/>
      <c r="BA181" s="525"/>
      <c r="BB181" s="480"/>
      <c r="BC181" s="93"/>
      <c r="BD181" s="368"/>
      <c r="BE181" s="477"/>
      <c r="BF181" s="560"/>
      <c r="BG181" s="477"/>
      <c r="BH181" s="93"/>
      <c r="BI181" s="402"/>
      <c r="BJ181" s="478"/>
      <c r="BK181" s="609"/>
      <c r="BL181" s="478"/>
      <c r="BM181" s="93"/>
      <c r="BN181" s="372"/>
      <c r="BO181" s="455"/>
      <c r="BP181" s="557"/>
      <c r="BQ181" s="455"/>
      <c r="BR181" s="93"/>
      <c r="BS181" s="380"/>
      <c r="BT181" s="492"/>
      <c r="BU181" s="566"/>
      <c r="BV181" s="492"/>
      <c r="BW181" s="93"/>
      <c r="BX181" s="385"/>
      <c r="BY181" s="490"/>
      <c r="BZ181" s="605"/>
      <c r="CA181" s="490"/>
      <c r="CB181" s="93"/>
      <c r="CC181" s="387"/>
      <c r="CD181" s="404"/>
      <c r="CE181" s="535"/>
      <c r="CF181" s="404"/>
      <c r="CG181" s="93"/>
      <c r="CH181" s="387"/>
      <c r="CI181" s="404"/>
      <c r="CJ181" s="535"/>
      <c r="CK181" s="520"/>
      <c r="CL181" s="93"/>
      <c r="CM181" s="390" t="str">
        <f>IFERROR(__xludf.DUMMYFUNCTION("""COMPUTED_VALUE"""),"")</f>
        <v/>
      </c>
      <c r="CN181" s="489" t="str">
        <f>IFERROR(__xludf.DUMMYFUNCTION("""COMPUTED_VALUE"""),"Polteageist")</f>
        <v>Polteageist</v>
      </c>
      <c r="CO181" s="532" t="s">
        <v>158</v>
      </c>
      <c r="CP181" s="523"/>
      <c r="CQ181" s="93"/>
      <c r="CR181" s="413"/>
      <c r="CS181" s="414"/>
      <c r="CT181" s="632"/>
      <c r="CU181" s="414"/>
      <c r="CV181" s="93"/>
      <c r="CW181" s="415"/>
      <c r="CX181" s="468"/>
      <c r="CY181" s="633"/>
      <c r="CZ181" s="468"/>
      <c r="DA181" s="93"/>
      <c r="DB181" s="423"/>
      <c r="DC181" s="424"/>
      <c r="DD181" s="634"/>
      <c r="DE181" s="424"/>
      <c r="DF181" s="93"/>
      <c r="DG181" s="628"/>
      <c r="DH181" s="641"/>
      <c r="DI181" s="641"/>
      <c r="DJ181" s="641"/>
      <c r="DK181" s="93"/>
      <c r="DL181" s="429"/>
      <c r="DM181" s="430"/>
      <c r="DN181" s="430"/>
      <c r="DO181" s="430"/>
      <c r="DP181" s="93"/>
      <c r="DQ181" s="439"/>
      <c r="DR181" s="441"/>
      <c r="DS181" s="441"/>
      <c r="DT181" s="441"/>
      <c r="DU181" s="93"/>
      <c r="DV181" s="442"/>
      <c r="DW181" s="443"/>
      <c r="DX181" s="363"/>
      <c r="DY181" s="345"/>
      <c r="DZ181" s="87"/>
      <c r="EA181" s="10"/>
    </row>
    <row r="182" ht="17.25" customHeight="1">
      <c r="A182" s="10"/>
      <c r="B182" s="87"/>
      <c r="C182" s="234"/>
      <c r="D182" s="235"/>
      <c r="E182" s="93"/>
      <c r="F182" s="268"/>
      <c r="G182" s="268"/>
      <c r="H182" s="268"/>
      <c r="I182" s="268"/>
      <c r="J182" s="268"/>
      <c r="K182" s="268"/>
      <c r="L182" s="450"/>
      <c r="M182" s="268"/>
      <c r="N182" s="268"/>
      <c r="O182" s="268"/>
      <c r="P182" s="268"/>
      <c r="Q182" s="450"/>
      <c r="R182" s="268"/>
      <c r="S182" s="268"/>
      <c r="T182" s="268"/>
      <c r="U182" s="268"/>
      <c r="V182" s="450"/>
      <c r="W182" s="268"/>
      <c r="X182" s="268"/>
      <c r="Y182" s="268"/>
      <c r="Z182" s="268"/>
      <c r="AA182" s="450"/>
      <c r="AB182" s="268"/>
      <c r="AC182" s="268"/>
      <c r="AD182" s="268"/>
      <c r="AE182" s="268"/>
      <c r="AF182" s="450"/>
      <c r="AG182" s="268"/>
      <c r="AH182" s="268"/>
      <c r="AI182" s="268"/>
      <c r="AJ182" s="268"/>
      <c r="AK182" s="450"/>
      <c r="AL182" s="268"/>
      <c r="AM182" s="268"/>
      <c r="AN182" s="268"/>
      <c r="AO182" s="268"/>
      <c r="AP182" s="397"/>
      <c r="AQ182" s="509"/>
      <c r="AR182" s="397"/>
      <c r="AS182" s="93"/>
      <c r="AT182" s="359"/>
      <c r="AU182" s="518"/>
      <c r="AV182" s="524"/>
      <c r="AW182" s="518"/>
      <c r="AX182" s="93"/>
      <c r="AY182" s="364"/>
      <c r="AZ182" s="480"/>
      <c r="BA182" s="525"/>
      <c r="BB182" s="480"/>
      <c r="BC182" s="93"/>
      <c r="BD182" s="368"/>
      <c r="BE182" s="477"/>
      <c r="BF182" s="560"/>
      <c r="BG182" s="477"/>
      <c r="BH182" s="93"/>
      <c r="BI182" s="402"/>
      <c r="BJ182" s="478"/>
      <c r="BK182" s="609"/>
      <c r="BL182" s="478"/>
      <c r="BM182" s="93"/>
      <c r="BN182" s="372"/>
      <c r="BO182" s="455"/>
      <c r="BP182" s="557"/>
      <c r="BQ182" s="455"/>
      <c r="BR182" s="93"/>
      <c r="BS182" s="380"/>
      <c r="BT182" s="492"/>
      <c r="BU182" s="566"/>
      <c r="BV182" s="492"/>
      <c r="BW182" s="93"/>
      <c r="BX182" s="385"/>
      <c r="BY182" s="490"/>
      <c r="BZ182" s="605"/>
      <c r="CA182" s="490"/>
      <c r="CB182" s="93"/>
      <c r="CC182" s="387"/>
      <c r="CD182" s="404"/>
      <c r="CE182" s="535"/>
      <c r="CF182" s="404"/>
      <c r="CG182" s="93"/>
      <c r="CH182" s="387"/>
      <c r="CI182" s="404"/>
      <c r="CJ182" s="535"/>
      <c r="CK182" s="520"/>
      <c r="CL182" s="93"/>
      <c r="CM182" s="390" t="str">
        <f>IFERROR(__xludf.DUMMYFUNCTION("""COMPUTED_VALUE"""),"")</f>
        <v/>
      </c>
      <c r="CN182" s="489" t="str">
        <f>IFERROR(__xludf.DUMMYFUNCTION("""COMPUTED_VALUE"""),"Primeape")</f>
        <v>Primeape</v>
      </c>
      <c r="CO182" s="532" t="s">
        <v>158</v>
      </c>
      <c r="CP182" s="523"/>
      <c r="CQ182" s="93"/>
      <c r="CR182" s="413"/>
      <c r="CS182" s="414"/>
      <c r="CT182" s="632"/>
      <c r="CU182" s="414"/>
      <c r="CV182" s="93"/>
      <c r="CW182" s="415"/>
      <c r="CX182" s="468"/>
      <c r="CY182" s="633"/>
      <c r="CZ182" s="468"/>
      <c r="DA182" s="93"/>
      <c r="DB182" s="423"/>
      <c r="DC182" s="424"/>
      <c r="DD182" s="634"/>
      <c r="DE182" s="424"/>
      <c r="DF182" s="93"/>
      <c r="DG182" s="628"/>
      <c r="DH182" s="641"/>
      <c r="DI182" s="641"/>
      <c r="DJ182" s="641"/>
      <c r="DK182" s="93"/>
      <c r="DL182" s="429"/>
      <c r="DM182" s="430"/>
      <c r="DN182" s="430"/>
      <c r="DO182" s="430"/>
      <c r="DP182" s="93"/>
      <c r="DQ182" s="439"/>
      <c r="DR182" s="441"/>
      <c r="DS182" s="441"/>
      <c r="DT182" s="441"/>
      <c r="DU182" s="93"/>
      <c r="DV182" s="442"/>
      <c r="DW182" s="443"/>
      <c r="DX182" s="363"/>
      <c r="DY182" s="345"/>
      <c r="DZ182" s="87"/>
      <c r="EA182" s="10"/>
    </row>
    <row r="183" ht="17.25" customHeight="1">
      <c r="A183" s="10"/>
      <c r="B183" s="87"/>
      <c r="C183" s="234"/>
      <c r="D183" s="235"/>
      <c r="E183" s="93"/>
      <c r="F183" s="268"/>
      <c r="G183" s="268"/>
      <c r="H183" s="268"/>
      <c r="I183" s="268"/>
      <c r="J183" s="268"/>
      <c r="K183" s="268"/>
      <c r="L183" s="450"/>
      <c r="M183" s="268"/>
      <c r="N183" s="268"/>
      <c r="O183" s="268"/>
      <c r="P183" s="268"/>
      <c r="Q183" s="450"/>
      <c r="R183" s="268"/>
      <c r="S183" s="268"/>
      <c r="T183" s="268"/>
      <c r="U183" s="268"/>
      <c r="V183" s="450"/>
      <c r="W183" s="268"/>
      <c r="X183" s="268"/>
      <c r="Y183" s="268"/>
      <c r="Z183" s="268"/>
      <c r="AA183" s="450"/>
      <c r="AB183" s="268"/>
      <c r="AC183" s="268"/>
      <c r="AD183" s="268"/>
      <c r="AE183" s="268"/>
      <c r="AF183" s="450"/>
      <c r="AG183" s="268"/>
      <c r="AH183" s="268"/>
      <c r="AI183" s="268"/>
      <c r="AJ183" s="268"/>
      <c r="AK183" s="450"/>
      <c r="AL183" s="268"/>
      <c r="AM183" s="268"/>
      <c r="AN183" s="268"/>
      <c r="AO183" s="268"/>
      <c r="AP183" s="397"/>
      <c r="AQ183" s="509"/>
      <c r="AR183" s="397"/>
      <c r="AS183" s="93"/>
      <c r="AT183" s="359"/>
      <c r="AU183" s="518"/>
      <c r="AV183" s="524"/>
      <c r="AW183" s="518"/>
      <c r="AX183" s="93"/>
      <c r="AY183" s="364"/>
      <c r="AZ183" s="480"/>
      <c r="BA183" s="525"/>
      <c r="BB183" s="480"/>
      <c r="BC183" s="93"/>
      <c r="BD183" s="368"/>
      <c r="BE183" s="477"/>
      <c r="BF183" s="560"/>
      <c r="BG183" s="477"/>
      <c r="BH183" s="93"/>
      <c r="BI183" s="402"/>
      <c r="BJ183" s="478"/>
      <c r="BK183" s="609"/>
      <c r="BL183" s="478"/>
      <c r="BM183" s="93"/>
      <c r="BN183" s="372"/>
      <c r="BO183" s="455"/>
      <c r="BP183" s="557"/>
      <c r="BQ183" s="455"/>
      <c r="BR183" s="93"/>
      <c r="BS183" s="380"/>
      <c r="BT183" s="492"/>
      <c r="BU183" s="566"/>
      <c r="BV183" s="492"/>
      <c r="BW183" s="93"/>
      <c r="BX183" s="385"/>
      <c r="BY183" s="490"/>
      <c r="BZ183" s="605"/>
      <c r="CA183" s="490"/>
      <c r="CB183" s="93"/>
      <c r="CC183" s="387"/>
      <c r="CD183" s="404"/>
      <c r="CE183" s="535"/>
      <c r="CF183" s="404"/>
      <c r="CG183" s="93"/>
      <c r="CH183" s="387"/>
      <c r="CI183" s="404"/>
      <c r="CJ183" s="535"/>
      <c r="CK183" s="520"/>
      <c r="CL183" s="93"/>
      <c r="CM183" s="390" t="str">
        <f>IFERROR(__xludf.DUMMYFUNCTION("""COMPUTED_VALUE"""),"")</f>
        <v/>
      </c>
      <c r="CN183" s="489" t="str">
        <f>IFERROR(__xludf.DUMMYFUNCTION("""COMPUTED_VALUE"""),"Psyduck")</f>
        <v>Psyduck</v>
      </c>
      <c r="CO183" s="532" t="s">
        <v>158</v>
      </c>
      <c r="CP183" s="523"/>
      <c r="CQ183" s="93"/>
      <c r="CR183" s="413"/>
      <c r="CS183" s="414"/>
      <c r="CT183" s="632"/>
      <c r="CU183" s="414"/>
      <c r="CV183" s="93"/>
      <c r="CW183" s="415"/>
      <c r="CX183" s="468"/>
      <c r="CY183" s="633"/>
      <c r="CZ183" s="468"/>
      <c r="DA183" s="93"/>
      <c r="DB183" s="423"/>
      <c r="DC183" s="424"/>
      <c r="DD183" s="634"/>
      <c r="DE183" s="424"/>
      <c r="DF183" s="93"/>
      <c r="DG183" s="628"/>
      <c r="DH183" s="641"/>
      <c r="DI183" s="641"/>
      <c r="DJ183" s="641"/>
      <c r="DK183" s="93"/>
      <c r="DL183" s="429"/>
      <c r="DM183" s="430"/>
      <c r="DN183" s="430"/>
      <c r="DO183" s="430"/>
      <c r="DP183" s="93"/>
      <c r="DQ183" s="439"/>
      <c r="DR183" s="441"/>
      <c r="DS183" s="441"/>
      <c r="DT183" s="441"/>
      <c r="DU183" s="93"/>
      <c r="DV183" s="442"/>
      <c r="DW183" s="443"/>
      <c r="DX183" s="363"/>
      <c r="DY183" s="345"/>
      <c r="DZ183" s="87"/>
      <c r="EA183" s="10"/>
    </row>
    <row r="184" ht="17.25" customHeight="1">
      <c r="A184" s="10"/>
      <c r="B184" s="87"/>
      <c r="C184" s="234"/>
      <c r="D184" s="235"/>
      <c r="E184" s="93"/>
      <c r="F184" s="268"/>
      <c r="G184" s="268"/>
      <c r="H184" s="268"/>
      <c r="I184" s="268"/>
      <c r="J184" s="268"/>
      <c r="K184" s="268"/>
      <c r="L184" s="450"/>
      <c r="M184" s="268"/>
      <c r="N184" s="268"/>
      <c r="O184" s="268"/>
      <c r="P184" s="268"/>
      <c r="Q184" s="450"/>
      <c r="R184" s="268"/>
      <c r="S184" s="268"/>
      <c r="T184" s="268"/>
      <c r="U184" s="268"/>
      <c r="V184" s="450"/>
      <c r="W184" s="268"/>
      <c r="X184" s="268"/>
      <c r="Y184" s="268"/>
      <c r="Z184" s="268"/>
      <c r="AA184" s="450"/>
      <c r="AB184" s="268"/>
      <c r="AC184" s="268"/>
      <c r="AD184" s="268"/>
      <c r="AE184" s="268"/>
      <c r="AF184" s="450"/>
      <c r="AG184" s="268"/>
      <c r="AH184" s="268"/>
      <c r="AI184" s="268"/>
      <c r="AJ184" s="268"/>
      <c r="AK184" s="450"/>
      <c r="AL184" s="268"/>
      <c r="AM184" s="268"/>
      <c r="AN184" s="268"/>
      <c r="AO184" s="268"/>
      <c r="AP184" s="397"/>
      <c r="AQ184" s="509"/>
      <c r="AR184" s="397"/>
      <c r="AS184" s="93"/>
      <c r="AT184" s="359"/>
      <c r="AU184" s="518"/>
      <c r="AV184" s="524"/>
      <c r="AW184" s="518"/>
      <c r="AX184" s="93"/>
      <c r="AY184" s="364"/>
      <c r="AZ184" s="480"/>
      <c r="BA184" s="525"/>
      <c r="BB184" s="480"/>
      <c r="BC184" s="93"/>
      <c r="BD184" s="368"/>
      <c r="BE184" s="477"/>
      <c r="BF184" s="560"/>
      <c r="BG184" s="477"/>
      <c r="BH184" s="93"/>
      <c r="BI184" s="402"/>
      <c r="BJ184" s="478"/>
      <c r="BK184" s="609"/>
      <c r="BL184" s="478"/>
      <c r="BM184" s="93"/>
      <c r="BN184" s="372"/>
      <c r="BO184" s="455"/>
      <c r="BP184" s="557"/>
      <c r="BQ184" s="455"/>
      <c r="BR184" s="93"/>
      <c r="BS184" s="380"/>
      <c r="BT184" s="492"/>
      <c r="BU184" s="566"/>
      <c r="BV184" s="492"/>
      <c r="BW184" s="93"/>
      <c r="BX184" s="385"/>
      <c r="BY184" s="490"/>
      <c r="BZ184" s="605"/>
      <c r="CA184" s="490"/>
      <c r="CB184" s="93"/>
      <c r="CC184" s="387"/>
      <c r="CD184" s="404"/>
      <c r="CE184" s="535"/>
      <c r="CF184" s="404"/>
      <c r="CG184" s="93"/>
      <c r="CH184" s="387"/>
      <c r="CI184" s="404"/>
      <c r="CJ184" s="535"/>
      <c r="CK184" s="520"/>
      <c r="CL184" s="93"/>
      <c r="CM184" s="390" t="str">
        <f>IFERROR(__xludf.DUMMYFUNCTION("""COMPUTED_VALUE"""),"")</f>
        <v/>
      </c>
      <c r="CN184" s="489" t="str">
        <f>IFERROR(__xludf.DUMMYFUNCTION("""COMPUTED_VALUE"""),"Pupitar")</f>
        <v>Pupitar</v>
      </c>
      <c r="CO184" s="532" t="s">
        <v>158</v>
      </c>
      <c r="CP184" s="523"/>
      <c r="CQ184" s="93"/>
      <c r="CR184" s="413"/>
      <c r="CS184" s="414"/>
      <c r="CT184" s="632"/>
      <c r="CU184" s="414"/>
      <c r="CV184" s="93"/>
      <c r="CW184" s="415"/>
      <c r="CX184" s="468"/>
      <c r="CY184" s="633"/>
      <c r="CZ184" s="468"/>
      <c r="DA184" s="93"/>
      <c r="DB184" s="423"/>
      <c r="DC184" s="424"/>
      <c r="DD184" s="634"/>
      <c r="DE184" s="424"/>
      <c r="DF184" s="93"/>
      <c r="DG184" s="628"/>
      <c r="DH184" s="641"/>
      <c r="DI184" s="641"/>
      <c r="DJ184" s="641"/>
      <c r="DK184" s="93"/>
      <c r="DL184" s="429"/>
      <c r="DM184" s="430"/>
      <c r="DN184" s="430"/>
      <c r="DO184" s="430"/>
      <c r="DP184" s="93"/>
      <c r="DQ184" s="439"/>
      <c r="DR184" s="441"/>
      <c r="DS184" s="441"/>
      <c r="DT184" s="441"/>
      <c r="DU184" s="93"/>
      <c r="DV184" s="442"/>
      <c r="DW184" s="443"/>
      <c r="DX184" s="363"/>
      <c r="DY184" s="345"/>
      <c r="DZ184" s="87"/>
      <c r="EA184" s="10"/>
    </row>
    <row r="185" ht="17.25" customHeight="1">
      <c r="A185" s="10"/>
      <c r="B185" s="87"/>
      <c r="C185" s="234"/>
      <c r="D185" s="235"/>
      <c r="E185" s="93"/>
      <c r="F185" s="268"/>
      <c r="G185" s="268"/>
      <c r="H185" s="268"/>
      <c r="I185" s="268"/>
      <c r="J185" s="268"/>
      <c r="K185" s="268"/>
      <c r="L185" s="450"/>
      <c r="M185" s="268"/>
      <c r="N185" s="268"/>
      <c r="O185" s="268"/>
      <c r="P185" s="268"/>
      <c r="Q185" s="450"/>
      <c r="R185" s="268"/>
      <c r="S185" s="268"/>
      <c r="T185" s="268"/>
      <c r="U185" s="268"/>
      <c r="V185" s="450"/>
      <c r="W185" s="268"/>
      <c r="X185" s="268"/>
      <c r="Y185" s="268"/>
      <c r="Z185" s="268"/>
      <c r="AA185" s="450"/>
      <c r="AB185" s="268"/>
      <c r="AC185" s="268"/>
      <c r="AD185" s="268"/>
      <c r="AE185" s="268"/>
      <c r="AF185" s="450"/>
      <c r="AG185" s="268"/>
      <c r="AH185" s="268"/>
      <c r="AI185" s="268"/>
      <c r="AJ185" s="268"/>
      <c r="AK185" s="450"/>
      <c r="AL185" s="268"/>
      <c r="AM185" s="268"/>
      <c r="AN185" s="268"/>
      <c r="AO185" s="268"/>
      <c r="AP185" s="397"/>
      <c r="AQ185" s="509"/>
      <c r="AR185" s="397"/>
      <c r="AS185" s="93"/>
      <c r="AT185" s="359"/>
      <c r="AU185" s="518"/>
      <c r="AV185" s="524"/>
      <c r="AW185" s="518"/>
      <c r="AX185" s="93"/>
      <c r="AY185" s="364"/>
      <c r="AZ185" s="480"/>
      <c r="BA185" s="525"/>
      <c r="BB185" s="480"/>
      <c r="BC185" s="93"/>
      <c r="BD185" s="368"/>
      <c r="BE185" s="477"/>
      <c r="BF185" s="560"/>
      <c r="BG185" s="477"/>
      <c r="BH185" s="93"/>
      <c r="BI185" s="402"/>
      <c r="BJ185" s="478"/>
      <c r="BK185" s="609"/>
      <c r="BL185" s="478"/>
      <c r="BM185" s="93"/>
      <c r="BN185" s="372"/>
      <c r="BO185" s="455"/>
      <c r="BP185" s="557"/>
      <c r="BQ185" s="455"/>
      <c r="BR185" s="93"/>
      <c r="BS185" s="380"/>
      <c r="BT185" s="492"/>
      <c r="BU185" s="566"/>
      <c r="BV185" s="492"/>
      <c r="BW185" s="93"/>
      <c r="BX185" s="385"/>
      <c r="BY185" s="490"/>
      <c r="BZ185" s="605"/>
      <c r="CA185" s="490"/>
      <c r="CB185" s="93"/>
      <c r="CC185" s="387"/>
      <c r="CD185" s="404"/>
      <c r="CE185" s="535"/>
      <c r="CF185" s="404"/>
      <c r="CG185" s="93"/>
      <c r="CH185" s="387"/>
      <c r="CI185" s="404"/>
      <c r="CJ185" s="535"/>
      <c r="CK185" s="520"/>
      <c r="CL185" s="93"/>
      <c r="CM185" s="390" t="str">
        <f>IFERROR(__xludf.DUMMYFUNCTION("""COMPUTED_VALUE"""),"")</f>
        <v/>
      </c>
      <c r="CN185" s="489" t="str">
        <f>IFERROR(__xludf.DUMMYFUNCTION("""COMPUTED_VALUE"""),"Pyroar")</f>
        <v>Pyroar</v>
      </c>
      <c r="CO185" s="532" t="s">
        <v>158</v>
      </c>
      <c r="CP185" s="523"/>
      <c r="CQ185" s="93"/>
      <c r="CR185" s="413"/>
      <c r="CS185" s="414"/>
      <c r="CT185" s="632"/>
      <c r="CU185" s="414"/>
      <c r="CV185" s="93"/>
      <c r="CW185" s="415"/>
      <c r="CX185" s="468"/>
      <c r="CY185" s="633"/>
      <c r="CZ185" s="468"/>
      <c r="DA185" s="93"/>
      <c r="DB185" s="423"/>
      <c r="DC185" s="424"/>
      <c r="DD185" s="634"/>
      <c r="DE185" s="424"/>
      <c r="DF185" s="93"/>
      <c r="DG185" s="628"/>
      <c r="DH185" s="641"/>
      <c r="DI185" s="641"/>
      <c r="DJ185" s="641"/>
      <c r="DK185" s="93"/>
      <c r="DL185" s="429"/>
      <c r="DM185" s="430"/>
      <c r="DN185" s="430"/>
      <c r="DO185" s="430"/>
      <c r="DP185" s="93"/>
      <c r="DQ185" s="439"/>
      <c r="DR185" s="441"/>
      <c r="DS185" s="441"/>
      <c r="DT185" s="441"/>
      <c r="DU185" s="93"/>
      <c r="DV185" s="442"/>
      <c r="DW185" s="443"/>
      <c r="DX185" s="363"/>
      <c r="DY185" s="345"/>
      <c r="DZ185" s="87"/>
      <c r="EA185" s="10"/>
    </row>
    <row r="186" ht="17.25" customHeight="1">
      <c r="A186" s="10"/>
      <c r="B186" s="87"/>
      <c r="C186" s="234"/>
      <c r="D186" s="235"/>
      <c r="E186" s="93"/>
      <c r="F186" s="268"/>
      <c r="G186" s="268"/>
      <c r="H186" s="268"/>
      <c r="I186" s="268"/>
      <c r="J186" s="268"/>
      <c r="K186" s="268"/>
      <c r="L186" s="450"/>
      <c r="M186" s="268"/>
      <c r="N186" s="268"/>
      <c r="O186" s="268"/>
      <c r="P186" s="268"/>
      <c r="Q186" s="450"/>
      <c r="R186" s="268"/>
      <c r="S186" s="268"/>
      <c r="T186" s="268"/>
      <c r="U186" s="268"/>
      <c r="V186" s="450"/>
      <c r="W186" s="268"/>
      <c r="X186" s="268"/>
      <c r="Y186" s="268"/>
      <c r="Z186" s="268"/>
      <c r="AA186" s="450"/>
      <c r="AB186" s="268"/>
      <c r="AC186" s="268"/>
      <c r="AD186" s="268"/>
      <c r="AE186" s="268"/>
      <c r="AF186" s="450"/>
      <c r="AG186" s="268"/>
      <c r="AH186" s="268"/>
      <c r="AI186" s="268"/>
      <c r="AJ186" s="268"/>
      <c r="AK186" s="450"/>
      <c r="AL186" s="268"/>
      <c r="AM186" s="268"/>
      <c r="AN186" s="268"/>
      <c r="AO186" s="268"/>
      <c r="AP186" s="397"/>
      <c r="AQ186" s="509"/>
      <c r="AR186" s="397"/>
      <c r="AS186" s="93"/>
      <c r="AT186" s="359"/>
      <c r="AU186" s="518"/>
      <c r="AV186" s="524"/>
      <c r="AW186" s="518"/>
      <c r="AX186" s="93"/>
      <c r="AY186" s="364"/>
      <c r="AZ186" s="480"/>
      <c r="BA186" s="525"/>
      <c r="BB186" s="480"/>
      <c r="BC186" s="93"/>
      <c r="BD186" s="368"/>
      <c r="BE186" s="477"/>
      <c r="BF186" s="560"/>
      <c r="BG186" s="477"/>
      <c r="BH186" s="93"/>
      <c r="BI186" s="402"/>
      <c r="BJ186" s="478"/>
      <c r="BK186" s="609"/>
      <c r="BL186" s="478"/>
      <c r="BM186" s="93"/>
      <c r="BN186" s="372"/>
      <c r="BO186" s="455"/>
      <c r="BP186" s="557"/>
      <c r="BQ186" s="455"/>
      <c r="BR186" s="93"/>
      <c r="BS186" s="380"/>
      <c r="BT186" s="492"/>
      <c r="BU186" s="566"/>
      <c r="BV186" s="492"/>
      <c r="BW186" s="93"/>
      <c r="BX186" s="385"/>
      <c r="BY186" s="490"/>
      <c r="BZ186" s="605"/>
      <c r="CA186" s="490"/>
      <c r="CB186" s="93"/>
      <c r="CC186" s="387"/>
      <c r="CD186" s="404"/>
      <c r="CE186" s="535"/>
      <c r="CF186" s="404"/>
      <c r="CG186" s="93"/>
      <c r="CH186" s="387"/>
      <c r="CI186" s="404"/>
      <c r="CJ186" s="535"/>
      <c r="CK186" s="520"/>
      <c r="CL186" s="93"/>
      <c r="CM186" s="390" t="str">
        <f>IFERROR(__xludf.DUMMYFUNCTION("""COMPUTED_VALUE"""),"")</f>
        <v/>
      </c>
      <c r="CN186" s="489" t="str">
        <f>IFERROR(__xludf.DUMMYFUNCTION("""COMPUTED_VALUE"""),"Pyukumuku")</f>
        <v>Pyukumuku</v>
      </c>
      <c r="CO186" s="532" t="s">
        <v>158</v>
      </c>
      <c r="CP186" s="523"/>
      <c r="CQ186" s="93"/>
      <c r="CR186" s="413"/>
      <c r="CS186" s="414"/>
      <c r="CT186" s="632"/>
      <c r="CU186" s="414"/>
      <c r="CV186" s="93"/>
      <c r="CW186" s="415"/>
      <c r="CX186" s="468"/>
      <c r="CY186" s="633"/>
      <c r="CZ186" s="468"/>
      <c r="DA186" s="93"/>
      <c r="DB186" s="423"/>
      <c r="DC186" s="424"/>
      <c r="DD186" s="634"/>
      <c r="DE186" s="424"/>
      <c r="DF186" s="93"/>
      <c r="DG186" s="628"/>
      <c r="DH186" s="641"/>
      <c r="DI186" s="641"/>
      <c r="DJ186" s="641"/>
      <c r="DK186" s="93"/>
      <c r="DL186" s="429"/>
      <c r="DM186" s="430"/>
      <c r="DN186" s="430"/>
      <c r="DO186" s="430"/>
      <c r="DP186" s="93"/>
      <c r="DQ186" s="439"/>
      <c r="DR186" s="441"/>
      <c r="DS186" s="441"/>
      <c r="DT186" s="441"/>
      <c r="DU186" s="93"/>
      <c r="DV186" s="442"/>
      <c r="DW186" s="443"/>
      <c r="DX186" s="363"/>
      <c r="DY186" s="345"/>
      <c r="DZ186" s="87"/>
      <c r="EA186" s="10"/>
    </row>
    <row r="187" ht="17.25" customHeight="1">
      <c r="A187" s="10"/>
      <c r="B187" s="87"/>
      <c r="C187" s="234"/>
      <c r="D187" s="235"/>
      <c r="E187" s="93"/>
      <c r="F187" s="268"/>
      <c r="G187" s="268"/>
      <c r="H187" s="268"/>
      <c r="I187" s="268"/>
      <c r="J187" s="268"/>
      <c r="K187" s="268"/>
      <c r="L187" s="450"/>
      <c r="M187" s="268"/>
      <c r="N187" s="268"/>
      <c r="O187" s="268"/>
      <c r="P187" s="268"/>
      <c r="Q187" s="450"/>
      <c r="R187" s="268"/>
      <c r="S187" s="268"/>
      <c r="T187" s="268"/>
      <c r="U187" s="268"/>
      <c r="V187" s="450"/>
      <c r="W187" s="268"/>
      <c r="X187" s="268"/>
      <c r="Y187" s="268"/>
      <c r="Z187" s="268"/>
      <c r="AA187" s="450"/>
      <c r="AB187" s="268"/>
      <c r="AC187" s="268"/>
      <c r="AD187" s="268"/>
      <c r="AE187" s="268"/>
      <c r="AF187" s="450"/>
      <c r="AG187" s="268"/>
      <c r="AH187" s="268"/>
      <c r="AI187" s="268"/>
      <c r="AJ187" s="268"/>
      <c r="AK187" s="450"/>
      <c r="AL187" s="268"/>
      <c r="AM187" s="268"/>
      <c r="AN187" s="268"/>
      <c r="AO187" s="268"/>
      <c r="AP187" s="397"/>
      <c r="AQ187" s="509"/>
      <c r="AR187" s="397"/>
      <c r="AS187" s="93"/>
      <c r="AT187" s="359"/>
      <c r="AU187" s="518"/>
      <c r="AV187" s="524"/>
      <c r="AW187" s="518"/>
      <c r="AX187" s="93"/>
      <c r="AY187" s="364"/>
      <c r="AZ187" s="480"/>
      <c r="BA187" s="525"/>
      <c r="BB187" s="480"/>
      <c r="BC187" s="93"/>
      <c r="BD187" s="368"/>
      <c r="BE187" s="477"/>
      <c r="BF187" s="560"/>
      <c r="BG187" s="477"/>
      <c r="BH187" s="93"/>
      <c r="BI187" s="402"/>
      <c r="BJ187" s="478"/>
      <c r="BK187" s="609"/>
      <c r="BL187" s="478"/>
      <c r="BM187" s="93"/>
      <c r="BN187" s="372"/>
      <c r="BO187" s="455"/>
      <c r="BP187" s="557"/>
      <c r="BQ187" s="455"/>
      <c r="BR187" s="93"/>
      <c r="BS187" s="380"/>
      <c r="BT187" s="492"/>
      <c r="BU187" s="566"/>
      <c r="BV187" s="492"/>
      <c r="BW187" s="93"/>
      <c r="BX187" s="385"/>
      <c r="BY187" s="490"/>
      <c r="BZ187" s="605"/>
      <c r="CA187" s="490"/>
      <c r="CB187" s="93"/>
      <c r="CC187" s="387"/>
      <c r="CD187" s="404"/>
      <c r="CE187" s="535"/>
      <c r="CF187" s="404"/>
      <c r="CG187" s="93"/>
      <c r="CH187" s="387"/>
      <c r="CI187" s="404"/>
      <c r="CJ187" s="535"/>
      <c r="CK187" s="520"/>
      <c r="CL187" s="93"/>
      <c r="CM187" s="390" t="str">
        <f>IFERROR(__xludf.DUMMYFUNCTION("""COMPUTED_VALUE"""),"")</f>
        <v/>
      </c>
      <c r="CN187" s="489" t="str">
        <f>IFERROR(__xludf.DUMMYFUNCTION("""COMPUTED_VALUE"""),"Quaxly")</f>
        <v>Quaxly</v>
      </c>
      <c r="CO187" s="532" t="s">
        <v>158</v>
      </c>
      <c r="CP187" s="523"/>
      <c r="CQ187" s="93"/>
      <c r="CR187" s="413"/>
      <c r="CS187" s="414"/>
      <c r="CT187" s="632"/>
      <c r="CU187" s="414"/>
      <c r="CV187" s="93"/>
      <c r="CW187" s="415"/>
      <c r="CX187" s="468"/>
      <c r="CY187" s="633"/>
      <c r="CZ187" s="468"/>
      <c r="DA187" s="93"/>
      <c r="DB187" s="423"/>
      <c r="DC187" s="424"/>
      <c r="DD187" s="634"/>
      <c r="DE187" s="424"/>
      <c r="DF187" s="93"/>
      <c r="DG187" s="628"/>
      <c r="DH187" s="641"/>
      <c r="DI187" s="641"/>
      <c r="DJ187" s="641"/>
      <c r="DK187" s="93"/>
      <c r="DL187" s="429"/>
      <c r="DM187" s="430"/>
      <c r="DN187" s="430"/>
      <c r="DO187" s="430"/>
      <c r="DP187" s="93"/>
      <c r="DQ187" s="439"/>
      <c r="DR187" s="441"/>
      <c r="DS187" s="441"/>
      <c r="DT187" s="441"/>
      <c r="DU187" s="93"/>
      <c r="DV187" s="442"/>
      <c r="DW187" s="443"/>
      <c r="DX187" s="363"/>
      <c r="DY187" s="345"/>
      <c r="DZ187" s="87"/>
      <c r="EA187" s="10"/>
    </row>
    <row r="188" ht="17.25" customHeight="1">
      <c r="A188" s="10"/>
      <c r="B188" s="87"/>
      <c r="C188" s="234"/>
      <c r="D188" s="235"/>
      <c r="E188" s="93"/>
      <c r="F188" s="268"/>
      <c r="G188" s="268"/>
      <c r="H188" s="268"/>
      <c r="I188" s="268"/>
      <c r="J188" s="268"/>
      <c r="K188" s="268"/>
      <c r="L188" s="450"/>
      <c r="M188" s="268"/>
      <c r="N188" s="268"/>
      <c r="O188" s="268"/>
      <c r="P188" s="268"/>
      <c r="Q188" s="450"/>
      <c r="R188" s="268"/>
      <c r="S188" s="268"/>
      <c r="T188" s="268"/>
      <c r="U188" s="268"/>
      <c r="V188" s="450"/>
      <c r="W188" s="268"/>
      <c r="X188" s="268"/>
      <c r="Y188" s="268"/>
      <c r="Z188" s="268"/>
      <c r="AA188" s="450"/>
      <c r="AB188" s="268"/>
      <c r="AC188" s="268"/>
      <c r="AD188" s="268"/>
      <c r="AE188" s="268"/>
      <c r="AF188" s="450"/>
      <c r="AG188" s="268"/>
      <c r="AH188" s="268"/>
      <c r="AI188" s="268"/>
      <c r="AJ188" s="268"/>
      <c r="AK188" s="450"/>
      <c r="AL188" s="268"/>
      <c r="AM188" s="268"/>
      <c r="AN188" s="268"/>
      <c r="AO188" s="268"/>
      <c r="AP188" s="397"/>
      <c r="AQ188" s="509"/>
      <c r="AR188" s="397"/>
      <c r="AS188" s="93"/>
      <c r="AT188" s="359"/>
      <c r="AU188" s="518"/>
      <c r="AV188" s="524"/>
      <c r="AW188" s="518"/>
      <c r="AX188" s="93"/>
      <c r="AY188" s="364"/>
      <c r="AZ188" s="480"/>
      <c r="BA188" s="525"/>
      <c r="BB188" s="480"/>
      <c r="BC188" s="93"/>
      <c r="BD188" s="368"/>
      <c r="BE188" s="477"/>
      <c r="BF188" s="560"/>
      <c r="BG188" s="477"/>
      <c r="BH188" s="93"/>
      <c r="BI188" s="402"/>
      <c r="BJ188" s="478"/>
      <c r="BK188" s="609"/>
      <c r="BL188" s="478"/>
      <c r="BM188" s="93"/>
      <c r="BN188" s="372"/>
      <c r="BO188" s="455"/>
      <c r="BP188" s="557"/>
      <c r="BQ188" s="455"/>
      <c r="BR188" s="93"/>
      <c r="BS188" s="380"/>
      <c r="BT188" s="492"/>
      <c r="BU188" s="566"/>
      <c r="BV188" s="492"/>
      <c r="BW188" s="93"/>
      <c r="BX188" s="385"/>
      <c r="BY188" s="490"/>
      <c r="BZ188" s="605"/>
      <c r="CA188" s="490"/>
      <c r="CB188" s="93"/>
      <c r="CC188" s="387"/>
      <c r="CD188" s="404"/>
      <c r="CE188" s="535"/>
      <c r="CF188" s="404"/>
      <c r="CG188" s="93"/>
      <c r="CH188" s="387"/>
      <c r="CI188" s="404"/>
      <c r="CJ188" s="535"/>
      <c r="CK188" s="520"/>
      <c r="CL188" s="93"/>
      <c r="CM188" s="390" t="str">
        <f>IFERROR(__xludf.DUMMYFUNCTION("""COMPUTED_VALUE"""),"")</f>
        <v/>
      </c>
      <c r="CN188" s="489" t="str">
        <f>IFERROR(__xludf.DUMMYFUNCTION("""COMPUTED_VALUE"""),"Quaxwell")</f>
        <v>Quaxwell</v>
      </c>
      <c r="CO188" s="532" t="s">
        <v>158</v>
      </c>
      <c r="CP188" s="523"/>
      <c r="CQ188" s="93"/>
      <c r="CR188" s="413"/>
      <c r="CS188" s="414"/>
      <c r="CT188" s="632"/>
      <c r="CU188" s="414"/>
      <c r="CV188" s="93"/>
      <c r="CW188" s="415"/>
      <c r="CX188" s="468"/>
      <c r="CY188" s="633"/>
      <c r="CZ188" s="468"/>
      <c r="DA188" s="93"/>
      <c r="DB188" s="423"/>
      <c r="DC188" s="424"/>
      <c r="DD188" s="634"/>
      <c r="DE188" s="424"/>
      <c r="DF188" s="93"/>
      <c r="DG188" s="628"/>
      <c r="DH188" s="641"/>
      <c r="DI188" s="641"/>
      <c r="DJ188" s="641"/>
      <c r="DK188" s="93"/>
      <c r="DL188" s="429"/>
      <c r="DM188" s="430"/>
      <c r="DN188" s="430"/>
      <c r="DO188" s="430"/>
      <c r="DP188" s="93"/>
      <c r="DQ188" s="439"/>
      <c r="DR188" s="441"/>
      <c r="DS188" s="441"/>
      <c r="DT188" s="441"/>
      <c r="DU188" s="93"/>
      <c r="DV188" s="442"/>
      <c r="DW188" s="443"/>
      <c r="DX188" s="363"/>
      <c r="DY188" s="345"/>
      <c r="DZ188" s="87"/>
      <c r="EA188" s="10"/>
    </row>
    <row r="189" ht="17.25" customHeight="1">
      <c r="A189" s="10"/>
      <c r="B189" s="87"/>
      <c r="C189" s="234"/>
      <c r="D189" s="235"/>
      <c r="E189" s="93"/>
      <c r="F189" s="268"/>
      <c r="G189" s="268"/>
      <c r="H189" s="268"/>
      <c r="I189" s="268"/>
      <c r="J189" s="268"/>
      <c r="K189" s="268"/>
      <c r="L189" s="450"/>
      <c r="M189" s="268"/>
      <c r="N189" s="268"/>
      <c r="O189" s="268"/>
      <c r="P189" s="268"/>
      <c r="Q189" s="450"/>
      <c r="R189" s="268"/>
      <c r="S189" s="268"/>
      <c r="T189" s="268"/>
      <c r="U189" s="268"/>
      <c r="V189" s="450"/>
      <c r="W189" s="268"/>
      <c r="X189" s="268"/>
      <c r="Y189" s="268"/>
      <c r="Z189" s="268"/>
      <c r="AA189" s="450"/>
      <c r="AB189" s="268"/>
      <c r="AC189" s="268"/>
      <c r="AD189" s="268"/>
      <c r="AE189" s="268"/>
      <c r="AF189" s="450"/>
      <c r="AG189" s="268"/>
      <c r="AH189" s="268"/>
      <c r="AI189" s="268"/>
      <c r="AJ189" s="268"/>
      <c r="AK189" s="450"/>
      <c r="AL189" s="268"/>
      <c r="AM189" s="268"/>
      <c r="AN189" s="268"/>
      <c r="AO189" s="268"/>
      <c r="AP189" s="397"/>
      <c r="AQ189" s="509"/>
      <c r="AR189" s="397"/>
      <c r="AS189" s="93"/>
      <c r="AT189" s="359"/>
      <c r="AU189" s="518"/>
      <c r="AV189" s="524"/>
      <c r="AW189" s="518"/>
      <c r="AX189" s="93"/>
      <c r="AY189" s="364"/>
      <c r="AZ189" s="480"/>
      <c r="BA189" s="525"/>
      <c r="BB189" s="480"/>
      <c r="BC189" s="93"/>
      <c r="BD189" s="368"/>
      <c r="BE189" s="477"/>
      <c r="BF189" s="560"/>
      <c r="BG189" s="477"/>
      <c r="BH189" s="93"/>
      <c r="BI189" s="402"/>
      <c r="BJ189" s="478"/>
      <c r="BK189" s="609"/>
      <c r="BL189" s="478"/>
      <c r="BM189" s="93"/>
      <c r="BN189" s="372"/>
      <c r="BO189" s="455"/>
      <c r="BP189" s="557"/>
      <c r="BQ189" s="455"/>
      <c r="BR189" s="93"/>
      <c r="BS189" s="380"/>
      <c r="BT189" s="492"/>
      <c r="BU189" s="566"/>
      <c r="BV189" s="492"/>
      <c r="BW189" s="93"/>
      <c r="BX189" s="385"/>
      <c r="BY189" s="490"/>
      <c r="BZ189" s="605"/>
      <c r="CA189" s="490"/>
      <c r="CB189" s="93"/>
      <c r="CC189" s="387"/>
      <c r="CD189" s="404"/>
      <c r="CE189" s="535"/>
      <c r="CF189" s="404"/>
      <c r="CG189" s="93"/>
      <c r="CH189" s="387"/>
      <c r="CI189" s="404"/>
      <c r="CJ189" s="535"/>
      <c r="CK189" s="520"/>
      <c r="CL189" s="93"/>
      <c r="CM189" s="390" t="str">
        <f>IFERROR(__xludf.DUMMYFUNCTION("""COMPUTED_VALUE"""),"")</f>
        <v/>
      </c>
      <c r="CN189" s="489" t="str">
        <f>IFERROR(__xludf.DUMMYFUNCTION("""COMPUTED_VALUE"""),"Qwilfish")</f>
        <v>Qwilfish</v>
      </c>
      <c r="CO189" s="532" t="s">
        <v>158</v>
      </c>
      <c r="CP189" s="523"/>
      <c r="CQ189" s="93"/>
      <c r="CR189" s="413"/>
      <c r="CS189" s="414"/>
      <c r="CT189" s="632"/>
      <c r="CU189" s="414"/>
      <c r="CV189" s="93"/>
      <c r="CW189" s="415"/>
      <c r="CX189" s="468"/>
      <c r="CY189" s="633"/>
      <c r="CZ189" s="468"/>
      <c r="DA189" s="93"/>
      <c r="DB189" s="423"/>
      <c r="DC189" s="424"/>
      <c r="DD189" s="634"/>
      <c r="DE189" s="424"/>
      <c r="DF189" s="93"/>
      <c r="DG189" s="628"/>
      <c r="DH189" s="641"/>
      <c r="DI189" s="641"/>
      <c r="DJ189" s="641"/>
      <c r="DK189" s="93"/>
      <c r="DL189" s="429"/>
      <c r="DM189" s="430"/>
      <c r="DN189" s="430"/>
      <c r="DO189" s="430"/>
      <c r="DP189" s="93"/>
      <c r="DQ189" s="439"/>
      <c r="DR189" s="441"/>
      <c r="DS189" s="441"/>
      <c r="DT189" s="441"/>
      <c r="DU189" s="93"/>
      <c r="DV189" s="442"/>
      <c r="DW189" s="443"/>
      <c r="DX189" s="363"/>
      <c r="DY189" s="345"/>
      <c r="DZ189" s="87"/>
      <c r="EA189" s="10"/>
    </row>
    <row r="190" ht="17.25" customHeight="1">
      <c r="A190" s="10"/>
      <c r="B190" s="87"/>
      <c r="C190" s="234"/>
      <c r="D190" s="235"/>
      <c r="E190" s="93"/>
      <c r="F190" s="268"/>
      <c r="G190" s="268"/>
      <c r="H190" s="268"/>
      <c r="I190" s="268"/>
      <c r="J190" s="268"/>
      <c r="K190" s="268"/>
      <c r="L190" s="450"/>
      <c r="M190" s="268"/>
      <c r="N190" s="268"/>
      <c r="O190" s="268"/>
      <c r="P190" s="268"/>
      <c r="Q190" s="450"/>
      <c r="R190" s="268"/>
      <c r="S190" s="268"/>
      <c r="T190" s="268"/>
      <c r="U190" s="268"/>
      <c r="V190" s="450"/>
      <c r="W190" s="268"/>
      <c r="X190" s="268"/>
      <c r="Y190" s="268"/>
      <c r="Z190" s="268"/>
      <c r="AA190" s="450"/>
      <c r="AB190" s="268"/>
      <c r="AC190" s="268"/>
      <c r="AD190" s="268"/>
      <c r="AE190" s="268"/>
      <c r="AF190" s="450"/>
      <c r="AG190" s="268"/>
      <c r="AH190" s="268"/>
      <c r="AI190" s="268"/>
      <c r="AJ190" s="268"/>
      <c r="AK190" s="450"/>
      <c r="AL190" s="268"/>
      <c r="AM190" s="268"/>
      <c r="AN190" s="268"/>
      <c r="AO190" s="268"/>
      <c r="AP190" s="397"/>
      <c r="AQ190" s="509"/>
      <c r="AR190" s="397"/>
      <c r="AS190" s="93"/>
      <c r="AT190" s="359"/>
      <c r="AU190" s="518"/>
      <c r="AV190" s="524"/>
      <c r="AW190" s="518"/>
      <c r="AX190" s="93"/>
      <c r="AY190" s="364"/>
      <c r="AZ190" s="480"/>
      <c r="BA190" s="525"/>
      <c r="BB190" s="480"/>
      <c r="BC190" s="93"/>
      <c r="BD190" s="368"/>
      <c r="BE190" s="477"/>
      <c r="BF190" s="560"/>
      <c r="BG190" s="477"/>
      <c r="BH190" s="93"/>
      <c r="BI190" s="402"/>
      <c r="BJ190" s="478"/>
      <c r="BK190" s="609"/>
      <c r="BL190" s="478"/>
      <c r="BM190" s="93"/>
      <c r="BN190" s="372"/>
      <c r="BO190" s="455"/>
      <c r="BP190" s="557"/>
      <c r="BQ190" s="455"/>
      <c r="BR190" s="93"/>
      <c r="BS190" s="380"/>
      <c r="BT190" s="492"/>
      <c r="BU190" s="566"/>
      <c r="BV190" s="492"/>
      <c r="BW190" s="93"/>
      <c r="BX190" s="385"/>
      <c r="BY190" s="490"/>
      <c r="BZ190" s="605"/>
      <c r="CA190" s="490"/>
      <c r="CB190" s="93"/>
      <c r="CC190" s="387"/>
      <c r="CD190" s="404"/>
      <c r="CE190" s="535"/>
      <c r="CF190" s="404"/>
      <c r="CG190" s="93"/>
      <c r="CH190" s="387"/>
      <c r="CI190" s="404"/>
      <c r="CJ190" s="535"/>
      <c r="CK190" s="520"/>
      <c r="CL190" s="93"/>
      <c r="CM190" s="390" t="str">
        <f>IFERROR(__xludf.DUMMYFUNCTION("""COMPUTED_VALUE"""),"")</f>
        <v/>
      </c>
      <c r="CN190" s="489" t="str">
        <f>IFERROR(__xludf.DUMMYFUNCTION("""COMPUTED_VALUE"""),"Ralts")</f>
        <v>Ralts</v>
      </c>
      <c r="CO190" s="532" t="s">
        <v>158</v>
      </c>
      <c r="CP190" s="523"/>
      <c r="CQ190" s="93"/>
      <c r="CR190" s="413"/>
      <c r="CS190" s="414"/>
      <c r="CT190" s="632"/>
      <c r="CU190" s="414"/>
      <c r="CV190" s="93"/>
      <c r="CW190" s="415"/>
      <c r="CX190" s="468"/>
      <c r="CY190" s="633"/>
      <c r="CZ190" s="468"/>
      <c r="DA190" s="93"/>
      <c r="DB190" s="423"/>
      <c r="DC190" s="424"/>
      <c r="DD190" s="634"/>
      <c r="DE190" s="424"/>
      <c r="DF190" s="93"/>
      <c r="DG190" s="628"/>
      <c r="DH190" s="641"/>
      <c r="DI190" s="641"/>
      <c r="DJ190" s="641"/>
      <c r="DK190" s="93"/>
      <c r="DL190" s="429"/>
      <c r="DM190" s="430"/>
      <c r="DN190" s="430"/>
      <c r="DO190" s="430"/>
      <c r="DP190" s="93"/>
      <c r="DQ190" s="439"/>
      <c r="DR190" s="441"/>
      <c r="DS190" s="441"/>
      <c r="DT190" s="441"/>
      <c r="DU190" s="93"/>
      <c r="DV190" s="442"/>
      <c r="DW190" s="443"/>
      <c r="DX190" s="363"/>
      <c r="DY190" s="345"/>
      <c r="DZ190" s="87"/>
      <c r="EA190" s="10"/>
    </row>
    <row r="191" ht="17.25" customHeight="1">
      <c r="A191" s="10"/>
      <c r="B191" s="87"/>
      <c r="C191" s="234"/>
      <c r="D191" s="235"/>
      <c r="E191" s="93"/>
      <c r="F191" s="268"/>
      <c r="G191" s="268"/>
      <c r="H191" s="268"/>
      <c r="I191" s="268"/>
      <c r="J191" s="268"/>
      <c r="K191" s="268"/>
      <c r="L191" s="450"/>
      <c r="M191" s="268"/>
      <c r="N191" s="268"/>
      <c r="O191" s="268"/>
      <c r="P191" s="268"/>
      <c r="Q191" s="450"/>
      <c r="R191" s="268"/>
      <c r="S191" s="268"/>
      <c r="T191" s="268"/>
      <c r="U191" s="268"/>
      <c r="V191" s="450"/>
      <c r="W191" s="268"/>
      <c r="X191" s="268"/>
      <c r="Y191" s="268"/>
      <c r="Z191" s="268"/>
      <c r="AA191" s="450"/>
      <c r="AB191" s="268"/>
      <c r="AC191" s="268"/>
      <c r="AD191" s="268"/>
      <c r="AE191" s="268"/>
      <c r="AF191" s="450"/>
      <c r="AG191" s="268"/>
      <c r="AH191" s="268"/>
      <c r="AI191" s="268"/>
      <c r="AJ191" s="268"/>
      <c r="AK191" s="450"/>
      <c r="AL191" s="268"/>
      <c r="AM191" s="268"/>
      <c r="AN191" s="268"/>
      <c r="AO191" s="268"/>
      <c r="AP191" s="397"/>
      <c r="AQ191" s="509"/>
      <c r="AR191" s="397"/>
      <c r="AS191" s="93"/>
      <c r="AT191" s="359"/>
      <c r="AU191" s="518"/>
      <c r="AV191" s="524"/>
      <c r="AW191" s="518"/>
      <c r="AX191" s="93"/>
      <c r="AY191" s="364"/>
      <c r="AZ191" s="480"/>
      <c r="BA191" s="525"/>
      <c r="BB191" s="480"/>
      <c r="BC191" s="93"/>
      <c r="BD191" s="368"/>
      <c r="BE191" s="477"/>
      <c r="BF191" s="560"/>
      <c r="BG191" s="477"/>
      <c r="BH191" s="93"/>
      <c r="BI191" s="402"/>
      <c r="BJ191" s="478"/>
      <c r="BK191" s="609"/>
      <c r="BL191" s="478"/>
      <c r="BM191" s="93"/>
      <c r="BN191" s="372"/>
      <c r="BO191" s="455"/>
      <c r="BP191" s="557"/>
      <c r="BQ191" s="455"/>
      <c r="BR191" s="93"/>
      <c r="BS191" s="380"/>
      <c r="BT191" s="492"/>
      <c r="BU191" s="566"/>
      <c r="BV191" s="492"/>
      <c r="BW191" s="93"/>
      <c r="BX191" s="385"/>
      <c r="BY191" s="490"/>
      <c r="BZ191" s="605"/>
      <c r="CA191" s="490"/>
      <c r="CB191" s="93"/>
      <c r="CC191" s="387"/>
      <c r="CD191" s="404"/>
      <c r="CE191" s="535"/>
      <c r="CF191" s="404"/>
      <c r="CG191" s="93"/>
      <c r="CH191" s="387"/>
      <c r="CI191" s="404"/>
      <c r="CJ191" s="535"/>
      <c r="CK191" s="520"/>
      <c r="CL191" s="93"/>
      <c r="CM191" s="390" t="str">
        <f>IFERROR(__xludf.DUMMYFUNCTION("""COMPUTED_VALUE"""),"")</f>
        <v/>
      </c>
      <c r="CN191" s="489" t="str">
        <f>IFERROR(__xludf.DUMMYFUNCTION("""COMPUTED_VALUE"""),"Rellor")</f>
        <v>Rellor</v>
      </c>
      <c r="CO191" s="532" t="s">
        <v>158</v>
      </c>
      <c r="CP191" s="523"/>
      <c r="CQ191" s="93"/>
      <c r="CR191" s="413"/>
      <c r="CS191" s="414"/>
      <c r="CT191" s="632"/>
      <c r="CU191" s="414"/>
      <c r="CV191" s="93"/>
      <c r="CW191" s="415"/>
      <c r="CX191" s="468"/>
      <c r="CY191" s="633"/>
      <c r="CZ191" s="468"/>
      <c r="DA191" s="93"/>
      <c r="DB191" s="423"/>
      <c r="DC191" s="424"/>
      <c r="DD191" s="634"/>
      <c r="DE191" s="424"/>
      <c r="DF191" s="93"/>
      <c r="DG191" s="628"/>
      <c r="DH191" s="641"/>
      <c r="DI191" s="641"/>
      <c r="DJ191" s="641"/>
      <c r="DK191" s="93"/>
      <c r="DL191" s="429"/>
      <c r="DM191" s="430"/>
      <c r="DN191" s="430"/>
      <c r="DO191" s="430"/>
      <c r="DP191" s="93"/>
      <c r="DQ191" s="439"/>
      <c r="DR191" s="441"/>
      <c r="DS191" s="441"/>
      <c r="DT191" s="441"/>
      <c r="DU191" s="93"/>
      <c r="DV191" s="442"/>
      <c r="DW191" s="443"/>
      <c r="DX191" s="363"/>
      <c r="DY191" s="345"/>
      <c r="DZ191" s="87"/>
      <c r="EA191" s="10"/>
    </row>
    <row r="192" ht="17.25" customHeight="1">
      <c r="A192" s="10"/>
      <c r="B192" s="87"/>
      <c r="C192" s="234"/>
      <c r="D192" s="235"/>
      <c r="E192" s="93"/>
      <c r="F192" s="268"/>
      <c r="G192" s="268"/>
      <c r="H192" s="268"/>
      <c r="I192" s="268"/>
      <c r="J192" s="268"/>
      <c r="K192" s="268"/>
      <c r="L192" s="450"/>
      <c r="M192" s="268"/>
      <c r="N192" s="268"/>
      <c r="O192" s="268"/>
      <c r="P192" s="268"/>
      <c r="Q192" s="450"/>
      <c r="R192" s="268"/>
      <c r="S192" s="268"/>
      <c r="T192" s="268"/>
      <c r="U192" s="268"/>
      <c r="V192" s="450"/>
      <c r="W192" s="268"/>
      <c r="X192" s="268"/>
      <c r="Y192" s="268"/>
      <c r="Z192" s="268"/>
      <c r="AA192" s="450"/>
      <c r="AB192" s="268"/>
      <c r="AC192" s="268"/>
      <c r="AD192" s="268"/>
      <c r="AE192" s="268"/>
      <c r="AF192" s="450"/>
      <c r="AG192" s="268"/>
      <c r="AH192" s="268"/>
      <c r="AI192" s="268"/>
      <c r="AJ192" s="268"/>
      <c r="AK192" s="450"/>
      <c r="AL192" s="268"/>
      <c r="AM192" s="268"/>
      <c r="AN192" s="268"/>
      <c r="AO192" s="268"/>
      <c r="AP192" s="397"/>
      <c r="AQ192" s="509"/>
      <c r="AR192" s="397"/>
      <c r="AS192" s="93"/>
      <c r="AT192" s="359"/>
      <c r="AU192" s="518"/>
      <c r="AV192" s="524"/>
      <c r="AW192" s="518"/>
      <c r="AX192" s="93"/>
      <c r="AY192" s="364"/>
      <c r="AZ192" s="480"/>
      <c r="BA192" s="525"/>
      <c r="BB192" s="480"/>
      <c r="BC192" s="93"/>
      <c r="BD192" s="368"/>
      <c r="BE192" s="477"/>
      <c r="BF192" s="560"/>
      <c r="BG192" s="477"/>
      <c r="BH192" s="93"/>
      <c r="BI192" s="402"/>
      <c r="BJ192" s="478"/>
      <c r="BK192" s="609"/>
      <c r="BL192" s="478"/>
      <c r="BM192" s="93"/>
      <c r="BN192" s="372"/>
      <c r="BO192" s="455"/>
      <c r="BP192" s="557"/>
      <c r="BQ192" s="455"/>
      <c r="BR192" s="93"/>
      <c r="BS192" s="380"/>
      <c r="BT192" s="492"/>
      <c r="BU192" s="566"/>
      <c r="BV192" s="492"/>
      <c r="BW192" s="93"/>
      <c r="BX192" s="385"/>
      <c r="BY192" s="490"/>
      <c r="BZ192" s="605"/>
      <c r="CA192" s="490"/>
      <c r="CB192" s="93"/>
      <c r="CC192" s="387"/>
      <c r="CD192" s="404"/>
      <c r="CE192" s="535"/>
      <c r="CF192" s="404"/>
      <c r="CG192" s="93"/>
      <c r="CH192" s="387"/>
      <c r="CI192" s="404"/>
      <c r="CJ192" s="535"/>
      <c r="CK192" s="520"/>
      <c r="CL192" s="93"/>
      <c r="CM192" s="390" t="str">
        <f>IFERROR(__xludf.DUMMYFUNCTION("""COMPUTED_VALUE"""),"")</f>
        <v/>
      </c>
      <c r="CN192" s="489" t="str">
        <f>IFERROR(__xludf.DUMMYFUNCTION("""COMPUTED_VALUE"""),"Revavroom")</f>
        <v>Revavroom</v>
      </c>
      <c r="CO192" s="532" t="s">
        <v>158</v>
      </c>
      <c r="CP192" s="523"/>
      <c r="CQ192" s="93"/>
      <c r="CR192" s="413"/>
      <c r="CS192" s="414"/>
      <c r="CT192" s="632"/>
      <c r="CU192" s="414"/>
      <c r="CV192" s="93"/>
      <c r="CW192" s="415"/>
      <c r="CX192" s="468"/>
      <c r="CY192" s="633"/>
      <c r="CZ192" s="468"/>
      <c r="DA192" s="93"/>
      <c r="DB192" s="423"/>
      <c r="DC192" s="424"/>
      <c r="DD192" s="634"/>
      <c r="DE192" s="424"/>
      <c r="DF192" s="93"/>
      <c r="DG192" s="628"/>
      <c r="DH192" s="641"/>
      <c r="DI192" s="641"/>
      <c r="DJ192" s="641"/>
      <c r="DK192" s="93"/>
      <c r="DL192" s="429"/>
      <c r="DM192" s="430"/>
      <c r="DN192" s="430"/>
      <c r="DO192" s="430"/>
      <c r="DP192" s="93"/>
      <c r="DQ192" s="439"/>
      <c r="DR192" s="441"/>
      <c r="DS192" s="441"/>
      <c r="DT192" s="441"/>
      <c r="DU192" s="93"/>
      <c r="DV192" s="442"/>
      <c r="DW192" s="443"/>
      <c r="DX192" s="363"/>
      <c r="DY192" s="345"/>
      <c r="DZ192" s="87"/>
      <c r="EA192" s="10"/>
    </row>
    <row r="193" ht="17.25" customHeight="1">
      <c r="A193" s="10"/>
      <c r="B193" s="87"/>
      <c r="C193" s="234"/>
      <c r="D193" s="235"/>
      <c r="E193" s="93"/>
      <c r="F193" s="268"/>
      <c r="G193" s="268"/>
      <c r="H193" s="268"/>
      <c r="I193" s="268"/>
      <c r="J193" s="268"/>
      <c r="K193" s="268"/>
      <c r="L193" s="450"/>
      <c r="M193" s="268"/>
      <c r="N193" s="268"/>
      <c r="O193" s="268"/>
      <c r="P193" s="268"/>
      <c r="Q193" s="450"/>
      <c r="R193" s="268"/>
      <c r="S193" s="268"/>
      <c r="T193" s="268"/>
      <c r="U193" s="268"/>
      <c r="V193" s="450"/>
      <c r="W193" s="268"/>
      <c r="X193" s="268"/>
      <c r="Y193" s="268"/>
      <c r="Z193" s="268"/>
      <c r="AA193" s="450"/>
      <c r="AB193" s="268"/>
      <c r="AC193" s="268"/>
      <c r="AD193" s="268"/>
      <c r="AE193" s="268"/>
      <c r="AF193" s="450"/>
      <c r="AG193" s="268"/>
      <c r="AH193" s="268"/>
      <c r="AI193" s="268"/>
      <c r="AJ193" s="268"/>
      <c r="AK193" s="450"/>
      <c r="AL193" s="268"/>
      <c r="AM193" s="268"/>
      <c r="AN193" s="268"/>
      <c r="AO193" s="268"/>
      <c r="AP193" s="397"/>
      <c r="AQ193" s="509"/>
      <c r="AR193" s="397"/>
      <c r="AS193" s="93"/>
      <c r="AT193" s="359"/>
      <c r="AU193" s="518"/>
      <c r="AV193" s="524"/>
      <c r="AW193" s="518"/>
      <c r="AX193" s="93"/>
      <c r="AY193" s="364"/>
      <c r="AZ193" s="480"/>
      <c r="BA193" s="525"/>
      <c r="BB193" s="480"/>
      <c r="BC193" s="93"/>
      <c r="BD193" s="368"/>
      <c r="BE193" s="477"/>
      <c r="BF193" s="560"/>
      <c r="BG193" s="477"/>
      <c r="BH193" s="93"/>
      <c r="BI193" s="402"/>
      <c r="BJ193" s="478"/>
      <c r="BK193" s="609"/>
      <c r="BL193" s="478"/>
      <c r="BM193" s="93"/>
      <c r="BN193" s="372"/>
      <c r="BO193" s="455"/>
      <c r="BP193" s="557"/>
      <c r="BQ193" s="455"/>
      <c r="BR193" s="93"/>
      <c r="BS193" s="380"/>
      <c r="BT193" s="492"/>
      <c r="BU193" s="566"/>
      <c r="BV193" s="492"/>
      <c r="BW193" s="93"/>
      <c r="BX193" s="385"/>
      <c r="BY193" s="490"/>
      <c r="BZ193" s="605"/>
      <c r="CA193" s="490"/>
      <c r="CB193" s="93"/>
      <c r="CC193" s="387"/>
      <c r="CD193" s="404"/>
      <c r="CE193" s="535"/>
      <c r="CF193" s="404"/>
      <c r="CG193" s="93"/>
      <c r="CH193" s="387"/>
      <c r="CI193" s="404"/>
      <c r="CJ193" s="535"/>
      <c r="CK193" s="520"/>
      <c r="CL193" s="93"/>
      <c r="CM193" s="390" t="str">
        <f>IFERROR(__xludf.DUMMYFUNCTION("""COMPUTED_VALUE"""),"")</f>
        <v/>
      </c>
      <c r="CN193" s="489" t="str">
        <f>IFERROR(__xludf.DUMMYFUNCTION("""COMPUTED_VALUE"""),"Riolu")</f>
        <v>Riolu</v>
      </c>
      <c r="CO193" s="532" t="s">
        <v>158</v>
      </c>
      <c r="CP193" s="523"/>
      <c r="CQ193" s="93"/>
      <c r="CR193" s="413"/>
      <c r="CS193" s="414"/>
      <c r="CT193" s="632"/>
      <c r="CU193" s="414"/>
      <c r="CV193" s="93"/>
      <c r="CW193" s="415"/>
      <c r="CX193" s="468"/>
      <c r="CY193" s="633"/>
      <c r="CZ193" s="468"/>
      <c r="DA193" s="93"/>
      <c r="DB193" s="423"/>
      <c r="DC193" s="424"/>
      <c r="DD193" s="634"/>
      <c r="DE193" s="424"/>
      <c r="DF193" s="93"/>
      <c r="DG193" s="628"/>
      <c r="DH193" s="641"/>
      <c r="DI193" s="641"/>
      <c r="DJ193" s="641"/>
      <c r="DK193" s="93"/>
      <c r="DL193" s="429"/>
      <c r="DM193" s="430"/>
      <c r="DN193" s="430"/>
      <c r="DO193" s="430"/>
      <c r="DP193" s="93"/>
      <c r="DQ193" s="439"/>
      <c r="DR193" s="441"/>
      <c r="DS193" s="441"/>
      <c r="DT193" s="441"/>
      <c r="DU193" s="93"/>
      <c r="DV193" s="442"/>
      <c r="DW193" s="443"/>
      <c r="DX193" s="363"/>
      <c r="DY193" s="345"/>
      <c r="DZ193" s="87"/>
      <c r="EA193" s="10"/>
    </row>
    <row r="194" ht="17.25" customHeight="1">
      <c r="A194" s="10"/>
      <c r="B194" s="87"/>
      <c r="C194" s="234"/>
      <c r="D194" s="235"/>
      <c r="E194" s="93"/>
      <c r="F194" s="268"/>
      <c r="G194" s="268"/>
      <c r="H194" s="268"/>
      <c r="I194" s="268"/>
      <c r="J194" s="268"/>
      <c r="K194" s="268"/>
      <c r="L194" s="450"/>
      <c r="M194" s="268"/>
      <c r="N194" s="268"/>
      <c r="O194" s="268"/>
      <c r="P194" s="268"/>
      <c r="Q194" s="450"/>
      <c r="R194" s="268"/>
      <c r="S194" s="268"/>
      <c r="T194" s="268"/>
      <c r="U194" s="268"/>
      <c r="V194" s="450"/>
      <c r="W194" s="268"/>
      <c r="X194" s="268"/>
      <c r="Y194" s="268"/>
      <c r="Z194" s="268"/>
      <c r="AA194" s="450"/>
      <c r="AB194" s="268"/>
      <c r="AC194" s="268"/>
      <c r="AD194" s="268"/>
      <c r="AE194" s="268"/>
      <c r="AF194" s="450"/>
      <c r="AG194" s="268"/>
      <c r="AH194" s="268"/>
      <c r="AI194" s="268"/>
      <c r="AJ194" s="268"/>
      <c r="AK194" s="450"/>
      <c r="AL194" s="268"/>
      <c r="AM194" s="268"/>
      <c r="AN194" s="268"/>
      <c r="AO194" s="268"/>
      <c r="AP194" s="397"/>
      <c r="AQ194" s="509"/>
      <c r="AR194" s="397"/>
      <c r="AS194" s="93"/>
      <c r="AT194" s="359"/>
      <c r="AU194" s="518"/>
      <c r="AV194" s="524"/>
      <c r="AW194" s="518"/>
      <c r="AX194" s="93"/>
      <c r="AY194" s="364"/>
      <c r="AZ194" s="480"/>
      <c r="BA194" s="525"/>
      <c r="BB194" s="480"/>
      <c r="BC194" s="93"/>
      <c r="BD194" s="368"/>
      <c r="BE194" s="477"/>
      <c r="BF194" s="560"/>
      <c r="BG194" s="477"/>
      <c r="BH194" s="93"/>
      <c r="BI194" s="402"/>
      <c r="BJ194" s="478"/>
      <c r="BK194" s="609"/>
      <c r="BL194" s="478"/>
      <c r="BM194" s="93"/>
      <c r="BN194" s="372"/>
      <c r="BO194" s="455"/>
      <c r="BP194" s="557"/>
      <c r="BQ194" s="455"/>
      <c r="BR194" s="93"/>
      <c r="BS194" s="380"/>
      <c r="BT194" s="492"/>
      <c r="BU194" s="566"/>
      <c r="BV194" s="492"/>
      <c r="BW194" s="93"/>
      <c r="BX194" s="385"/>
      <c r="BY194" s="490"/>
      <c r="BZ194" s="605"/>
      <c r="CA194" s="490"/>
      <c r="CB194" s="93"/>
      <c r="CC194" s="387"/>
      <c r="CD194" s="404"/>
      <c r="CE194" s="535"/>
      <c r="CF194" s="404"/>
      <c r="CG194" s="93"/>
      <c r="CH194" s="387"/>
      <c r="CI194" s="404"/>
      <c r="CJ194" s="535"/>
      <c r="CK194" s="520"/>
      <c r="CL194" s="93"/>
      <c r="CM194" s="390" t="str">
        <f>IFERROR(__xludf.DUMMYFUNCTION("""COMPUTED_VALUE"""),"")</f>
        <v/>
      </c>
      <c r="CN194" s="489" t="str">
        <f>IFERROR(__xludf.DUMMYFUNCTION("""COMPUTED_VALUE"""),"Rolycoly")</f>
        <v>Rolycoly</v>
      </c>
      <c r="CO194" s="532" t="s">
        <v>158</v>
      </c>
      <c r="CP194" s="523"/>
      <c r="CQ194" s="93"/>
      <c r="CR194" s="413"/>
      <c r="CS194" s="414"/>
      <c r="CT194" s="632"/>
      <c r="CU194" s="414"/>
      <c r="CV194" s="93"/>
      <c r="CW194" s="415"/>
      <c r="CX194" s="468"/>
      <c r="CY194" s="633"/>
      <c r="CZ194" s="468"/>
      <c r="DA194" s="93"/>
      <c r="DB194" s="423"/>
      <c r="DC194" s="424"/>
      <c r="DD194" s="634"/>
      <c r="DE194" s="424"/>
      <c r="DF194" s="93"/>
      <c r="DG194" s="628"/>
      <c r="DH194" s="641"/>
      <c r="DI194" s="641"/>
      <c r="DJ194" s="641"/>
      <c r="DK194" s="93"/>
      <c r="DL194" s="429"/>
      <c r="DM194" s="430"/>
      <c r="DN194" s="430"/>
      <c r="DO194" s="430"/>
      <c r="DP194" s="93"/>
      <c r="DQ194" s="439"/>
      <c r="DR194" s="441"/>
      <c r="DS194" s="441"/>
      <c r="DT194" s="441"/>
      <c r="DU194" s="93"/>
      <c r="DV194" s="442"/>
      <c r="DW194" s="443"/>
      <c r="DX194" s="363"/>
      <c r="DY194" s="345"/>
      <c r="DZ194" s="87"/>
      <c r="EA194" s="10"/>
    </row>
    <row r="195" ht="17.25" customHeight="1">
      <c r="A195" s="10"/>
      <c r="B195" s="87"/>
      <c r="C195" s="234"/>
      <c r="D195" s="235"/>
      <c r="E195" s="93"/>
      <c r="F195" s="268"/>
      <c r="G195" s="268"/>
      <c r="H195" s="268"/>
      <c r="I195" s="268"/>
      <c r="J195" s="268"/>
      <c r="K195" s="268"/>
      <c r="L195" s="450"/>
      <c r="M195" s="268"/>
      <c r="N195" s="268"/>
      <c r="O195" s="268"/>
      <c r="P195" s="268"/>
      <c r="Q195" s="450"/>
      <c r="R195" s="268"/>
      <c r="S195" s="268"/>
      <c r="T195" s="268"/>
      <c r="U195" s="268"/>
      <c r="V195" s="450"/>
      <c r="W195" s="268"/>
      <c r="X195" s="268"/>
      <c r="Y195" s="268"/>
      <c r="Z195" s="268"/>
      <c r="AA195" s="450"/>
      <c r="AB195" s="268"/>
      <c r="AC195" s="268"/>
      <c r="AD195" s="268"/>
      <c r="AE195" s="268"/>
      <c r="AF195" s="450"/>
      <c r="AG195" s="268"/>
      <c r="AH195" s="268"/>
      <c r="AI195" s="268"/>
      <c r="AJ195" s="268"/>
      <c r="AK195" s="450"/>
      <c r="AL195" s="268"/>
      <c r="AM195" s="268"/>
      <c r="AN195" s="268"/>
      <c r="AO195" s="268"/>
      <c r="AP195" s="397"/>
      <c r="AQ195" s="509"/>
      <c r="AR195" s="397"/>
      <c r="AS195" s="93"/>
      <c r="AT195" s="359"/>
      <c r="AU195" s="518"/>
      <c r="AV195" s="524"/>
      <c r="AW195" s="518"/>
      <c r="AX195" s="93"/>
      <c r="AY195" s="364"/>
      <c r="AZ195" s="480"/>
      <c r="BA195" s="525"/>
      <c r="BB195" s="480"/>
      <c r="BC195" s="93"/>
      <c r="BD195" s="368"/>
      <c r="BE195" s="477"/>
      <c r="BF195" s="560"/>
      <c r="BG195" s="477"/>
      <c r="BH195" s="93"/>
      <c r="BI195" s="402"/>
      <c r="BJ195" s="478"/>
      <c r="BK195" s="609"/>
      <c r="BL195" s="478"/>
      <c r="BM195" s="93"/>
      <c r="BN195" s="372"/>
      <c r="BO195" s="455"/>
      <c r="BP195" s="557"/>
      <c r="BQ195" s="455"/>
      <c r="BR195" s="93"/>
      <c r="BS195" s="380"/>
      <c r="BT195" s="492"/>
      <c r="BU195" s="566"/>
      <c r="BV195" s="492"/>
      <c r="BW195" s="93"/>
      <c r="BX195" s="385"/>
      <c r="BY195" s="490"/>
      <c r="BZ195" s="605"/>
      <c r="CA195" s="490"/>
      <c r="CB195" s="93"/>
      <c r="CC195" s="387"/>
      <c r="CD195" s="404"/>
      <c r="CE195" s="535"/>
      <c r="CF195" s="404"/>
      <c r="CG195" s="93"/>
      <c r="CH195" s="387"/>
      <c r="CI195" s="404"/>
      <c r="CJ195" s="535"/>
      <c r="CK195" s="520"/>
      <c r="CL195" s="93"/>
      <c r="CM195" s="390" t="str">
        <f>IFERROR(__xludf.DUMMYFUNCTION("""COMPUTED_VALUE"""),"")</f>
        <v/>
      </c>
      <c r="CN195" s="489" t="str">
        <f>IFERROR(__xludf.DUMMYFUNCTION("""COMPUTED_VALUE"""),"Rookidee")</f>
        <v>Rookidee</v>
      </c>
      <c r="CO195" s="532" t="s">
        <v>158</v>
      </c>
      <c r="CP195" s="523"/>
      <c r="CQ195" s="93"/>
      <c r="CR195" s="413"/>
      <c r="CS195" s="414"/>
      <c r="CT195" s="632"/>
      <c r="CU195" s="414"/>
      <c r="CV195" s="93"/>
      <c r="CW195" s="415"/>
      <c r="CX195" s="468"/>
      <c r="CY195" s="633"/>
      <c r="CZ195" s="468"/>
      <c r="DA195" s="93"/>
      <c r="DB195" s="423"/>
      <c r="DC195" s="424"/>
      <c r="DD195" s="634"/>
      <c r="DE195" s="424"/>
      <c r="DF195" s="93"/>
      <c r="DG195" s="628"/>
      <c r="DH195" s="641"/>
      <c r="DI195" s="641"/>
      <c r="DJ195" s="641"/>
      <c r="DK195" s="93"/>
      <c r="DL195" s="429"/>
      <c r="DM195" s="430"/>
      <c r="DN195" s="430"/>
      <c r="DO195" s="430"/>
      <c r="DP195" s="93"/>
      <c r="DQ195" s="439"/>
      <c r="DR195" s="441"/>
      <c r="DS195" s="441"/>
      <c r="DT195" s="441"/>
      <c r="DU195" s="93"/>
      <c r="DV195" s="442"/>
      <c r="DW195" s="443"/>
      <c r="DX195" s="363"/>
      <c r="DY195" s="345"/>
      <c r="DZ195" s="87"/>
      <c r="EA195" s="10"/>
    </row>
    <row r="196" ht="17.25" customHeight="1">
      <c r="A196" s="10"/>
      <c r="B196" s="87"/>
      <c r="C196" s="234"/>
      <c r="D196" s="235"/>
      <c r="E196" s="93"/>
      <c r="F196" s="268"/>
      <c r="G196" s="268"/>
      <c r="H196" s="268"/>
      <c r="I196" s="268"/>
      <c r="J196" s="268"/>
      <c r="K196" s="268"/>
      <c r="L196" s="450"/>
      <c r="M196" s="268"/>
      <c r="N196" s="268"/>
      <c r="O196" s="268"/>
      <c r="P196" s="268"/>
      <c r="Q196" s="450"/>
      <c r="R196" s="268"/>
      <c r="S196" s="268"/>
      <c r="T196" s="268"/>
      <c r="U196" s="268"/>
      <c r="V196" s="450"/>
      <c r="W196" s="268"/>
      <c r="X196" s="268"/>
      <c r="Y196" s="268"/>
      <c r="Z196" s="268"/>
      <c r="AA196" s="450"/>
      <c r="AB196" s="268"/>
      <c r="AC196" s="268"/>
      <c r="AD196" s="268"/>
      <c r="AE196" s="268"/>
      <c r="AF196" s="450"/>
      <c r="AG196" s="268"/>
      <c r="AH196" s="268"/>
      <c r="AI196" s="268"/>
      <c r="AJ196" s="268"/>
      <c r="AK196" s="450"/>
      <c r="AL196" s="268"/>
      <c r="AM196" s="268"/>
      <c r="AN196" s="268"/>
      <c r="AO196" s="268"/>
      <c r="AP196" s="397"/>
      <c r="AQ196" s="509"/>
      <c r="AR196" s="397"/>
      <c r="AS196" s="93"/>
      <c r="AT196" s="359"/>
      <c r="AU196" s="518"/>
      <c r="AV196" s="524"/>
      <c r="AW196" s="518"/>
      <c r="AX196" s="93"/>
      <c r="AY196" s="364"/>
      <c r="AZ196" s="480"/>
      <c r="BA196" s="525"/>
      <c r="BB196" s="480"/>
      <c r="BC196" s="93"/>
      <c r="BD196" s="368"/>
      <c r="BE196" s="477"/>
      <c r="BF196" s="560"/>
      <c r="BG196" s="477"/>
      <c r="BH196" s="93"/>
      <c r="BI196" s="402"/>
      <c r="BJ196" s="478"/>
      <c r="BK196" s="609"/>
      <c r="BL196" s="478"/>
      <c r="BM196" s="93"/>
      <c r="BN196" s="372"/>
      <c r="BO196" s="455"/>
      <c r="BP196" s="557"/>
      <c r="BQ196" s="455"/>
      <c r="BR196" s="93"/>
      <c r="BS196" s="380"/>
      <c r="BT196" s="492"/>
      <c r="BU196" s="566"/>
      <c r="BV196" s="492"/>
      <c r="BW196" s="93"/>
      <c r="BX196" s="385"/>
      <c r="BY196" s="490"/>
      <c r="BZ196" s="605"/>
      <c r="CA196" s="490"/>
      <c r="CB196" s="93"/>
      <c r="CC196" s="387"/>
      <c r="CD196" s="404"/>
      <c r="CE196" s="535"/>
      <c r="CF196" s="404"/>
      <c r="CG196" s="93"/>
      <c r="CH196" s="387"/>
      <c r="CI196" s="404"/>
      <c r="CJ196" s="535"/>
      <c r="CK196" s="520"/>
      <c r="CL196" s="93"/>
      <c r="CM196" s="390" t="str">
        <f>IFERROR(__xludf.DUMMYFUNCTION("""COMPUTED_VALUE"""),"")</f>
        <v/>
      </c>
      <c r="CN196" s="489" t="str">
        <f>IFERROR(__xludf.DUMMYFUNCTION("""COMPUTED_VALUE"""),"Rotom")</f>
        <v>Rotom</v>
      </c>
      <c r="CO196" s="532" t="s">
        <v>158</v>
      </c>
      <c r="CP196" s="523"/>
      <c r="CQ196" s="93"/>
      <c r="CR196" s="413"/>
      <c r="CS196" s="414"/>
      <c r="CT196" s="632"/>
      <c r="CU196" s="414"/>
      <c r="CV196" s="93"/>
      <c r="CW196" s="415"/>
      <c r="CX196" s="468"/>
      <c r="CY196" s="633"/>
      <c r="CZ196" s="468"/>
      <c r="DA196" s="93"/>
      <c r="DB196" s="423"/>
      <c r="DC196" s="424"/>
      <c r="DD196" s="634"/>
      <c r="DE196" s="424"/>
      <c r="DF196" s="93"/>
      <c r="DG196" s="628"/>
      <c r="DH196" s="641"/>
      <c r="DI196" s="641"/>
      <c r="DJ196" s="641"/>
      <c r="DK196" s="93"/>
      <c r="DL196" s="429"/>
      <c r="DM196" s="430"/>
      <c r="DN196" s="430"/>
      <c r="DO196" s="430"/>
      <c r="DP196" s="93"/>
      <c r="DQ196" s="439"/>
      <c r="DR196" s="441"/>
      <c r="DS196" s="441"/>
      <c r="DT196" s="441"/>
      <c r="DU196" s="93"/>
      <c r="DV196" s="442"/>
      <c r="DW196" s="443"/>
      <c r="DX196" s="363"/>
      <c r="DY196" s="345"/>
      <c r="DZ196" s="87"/>
      <c r="EA196" s="10"/>
    </row>
    <row r="197" ht="17.25" customHeight="1">
      <c r="A197" s="10"/>
      <c r="B197" s="87"/>
      <c r="C197" s="234"/>
      <c r="D197" s="235"/>
      <c r="E197" s="93"/>
      <c r="F197" s="268"/>
      <c r="G197" s="268"/>
      <c r="H197" s="268"/>
      <c r="I197" s="268"/>
      <c r="J197" s="268"/>
      <c r="K197" s="268"/>
      <c r="L197" s="450"/>
      <c r="M197" s="268"/>
      <c r="N197" s="268"/>
      <c r="O197" s="268"/>
      <c r="P197" s="268"/>
      <c r="Q197" s="450"/>
      <c r="R197" s="268"/>
      <c r="S197" s="268"/>
      <c r="T197" s="268"/>
      <c r="U197" s="268"/>
      <c r="V197" s="450"/>
      <c r="W197" s="268"/>
      <c r="X197" s="268"/>
      <c r="Y197" s="268"/>
      <c r="Z197" s="268"/>
      <c r="AA197" s="450"/>
      <c r="AB197" s="268"/>
      <c r="AC197" s="268"/>
      <c r="AD197" s="268"/>
      <c r="AE197" s="268"/>
      <c r="AF197" s="450"/>
      <c r="AG197" s="268"/>
      <c r="AH197" s="268"/>
      <c r="AI197" s="268"/>
      <c r="AJ197" s="268"/>
      <c r="AK197" s="450"/>
      <c r="AL197" s="268"/>
      <c r="AM197" s="268"/>
      <c r="AN197" s="268"/>
      <c r="AO197" s="268"/>
      <c r="AP197" s="397"/>
      <c r="AQ197" s="509"/>
      <c r="AR197" s="397"/>
      <c r="AS197" s="93"/>
      <c r="AT197" s="359"/>
      <c r="AU197" s="518"/>
      <c r="AV197" s="524"/>
      <c r="AW197" s="518"/>
      <c r="AX197" s="93"/>
      <c r="AY197" s="364"/>
      <c r="AZ197" s="480"/>
      <c r="BA197" s="525"/>
      <c r="BB197" s="480"/>
      <c r="BC197" s="93"/>
      <c r="BD197" s="368"/>
      <c r="BE197" s="477"/>
      <c r="BF197" s="560"/>
      <c r="BG197" s="477"/>
      <c r="BH197" s="93"/>
      <c r="BI197" s="402"/>
      <c r="BJ197" s="478"/>
      <c r="BK197" s="609"/>
      <c r="BL197" s="478"/>
      <c r="BM197" s="93"/>
      <c r="BN197" s="372"/>
      <c r="BO197" s="455"/>
      <c r="BP197" s="557"/>
      <c r="BQ197" s="455"/>
      <c r="BR197" s="93"/>
      <c r="BS197" s="380"/>
      <c r="BT197" s="492"/>
      <c r="BU197" s="566"/>
      <c r="BV197" s="492"/>
      <c r="BW197" s="93"/>
      <c r="BX197" s="385"/>
      <c r="BY197" s="490"/>
      <c r="BZ197" s="605"/>
      <c r="CA197" s="490"/>
      <c r="CB197" s="93"/>
      <c r="CC197" s="387"/>
      <c r="CD197" s="404"/>
      <c r="CE197" s="535"/>
      <c r="CF197" s="404"/>
      <c r="CG197" s="93"/>
      <c r="CH197" s="387"/>
      <c r="CI197" s="404"/>
      <c r="CJ197" s="535"/>
      <c r="CK197" s="520"/>
      <c r="CL197" s="93"/>
      <c r="CM197" s="390" t="str">
        <f>IFERROR(__xludf.DUMMYFUNCTION("""COMPUTED_VALUE"""),"")</f>
        <v/>
      </c>
      <c r="CN197" s="489" t="str">
        <f>IFERROR(__xludf.DUMMYFUNCTION("""COMPUTED_VALUE"""),"Rotom-Fan")</f>
        <v>Rotom-Fan</v>
      </c>
      <c r="CO197" s="532" t="s">
        <v>158</v>
      </c>
      <c r="CP197" s="523"/>
      <c r="CQ197" s="93"/>
      <c r="CR197" s="413"/>
      <c r="CS197" s="414"/>
      <c r="CT197" s="632"/>
      <c r="CU197" s="414"/>
      <c r="CV197" s="93"/>
      <c r="CW197" s="415"/>
      <c r="CX197" s="468"/>
      <c r="CY197" s="633"/>
      <c r="CZ197" s="468"/>
      <c r="DA197" s="93"/>
      <c r="DB197" s="423"/>
      <c r="DC197" s="424"/>
      <c r="DD197" s="634"/>
      <c r="DE197" s="424"/>
      <c r="DF197" s="93"/>
      <c r="DG197" s="628"/>
      <c r="DH197" s="641"/>
      <c r="DI197" s="641"/>
      <c r="DJ197" s="641"/>
      <c r="DK197" s="93"/>
      <c r="DL197" s="429"/>
      <c r="DM197" s="430"/>
      <c r="DN197" s="430"/>
      <c r="DO197" s="430"/>
      <c r="DP197" s="93"/>
      <c r="DQ197" s="439"/>
      <c r="DR197" s="441"/>
      <c r="DS197" s="441"/>
      <c r="DT197" s="441"/>
      <c r="DU197" s="93"/>
      <c r="DV197" s="442"/>
      <c r="DW197" s="443"/>
      <c r="DX197" s="363"/>
      <c r="DY197" s="345"/>
      <c r="DZ197" s="87"/>
      <c r="EA197" s="10"/>
    </row>
    <row r="198" ht="17.25" customHeight="1">
      <c r="A198" s="10"/>
      <c r="B198" s="87"/>
      <c r="C198" s="234"/>
      <c r="D198" s="235"/>
      <c r="E198" s="93"/>
      <c r="F198" s="268"/>
      <c r="G198" s="268"/>
      <c r="H198" s="268"/>
      <c r="I198" s="268"/>
      <c r="J198" s="268"/>
      <c r="K198" s="268"/>
      <c r="L198" s="450"/>
      <c r="M198" s="268"/>
      <c r="N198" s="268"/>
      <c r="O198" s="268"/>
      <c r="P198" s="268"/>
      <c r="Q198" s="450"/>
      <c r="R198" s="268"/>
      <c r="S198" s="268"/>
      <c r="T198" s="268"/>
      <c r="U198" s="268"/>
      <c r="V198" s="450"/>
      <c r="W198" s="268"/>
      <c r="X198" s="268"/>
      <c r="Y198" s="268"/>
      <c r="Z198" s="268"/>
      <c r="AA198" s="450"/>
      <c r="AB198" s="268"/>
      <c r="AC198" s="268"/>
      <c r="AD198" s="268"/>
      <c r="AE198" s="268"/>
      <c r="AF198" s="450"/>
      <c r="AG198" s="268"/>
      <c r="AH198" s="268"/>
      <c r="AI198" s="268"/>
      <c r="AJ198" s="268"/>
      <c r="AK198" s="450"/>
      <c r="AL198" s="268"/>
      <c r="AM198" s="268"/>
      <c r="AN198" s="268"/>
      <c r="AO198" s="268"/>
      <c r="AP198" s="397"/>
      <c r="AQ198" s="509"/>
      <c r="AR198" s="397"/>
      <c r="AS198" s="93"/>
      <c r="AT198" s="359"/>
      <c r="AU198" s="518"/>
      <c r="AV198" s="524"/>
      <c r="AW198" s="518"/>
      <c r="AX198" s="93"/>
      <c r="AY198" s="364"/>
      <c r="AZ198" s="480"/>
      <c r="BA198" s="525"/>
      <c r="BB198" s="480"/>
      <c r="BC198" s="93"/>
      <c r="BD198" s="368"/>
      <c r="BE198" s="477"/>
      <c r="BF198" s="560"/>
      <c r="BG198" s="477"/>
      <c r="BH198" s="93"/>
      <c r="BI198" s="402"/>
      <c r="BJ198" s="478"/>
      <c r="BK198" s="609"/>
      <c r="BL198" s="478"/>
      <c r="BM198" s="93"/>
      <c r="BN198" s="372"/>
      <c r="BO198" s="455"/>
      <c r="BP198" s="557"/>
      <c r="BQ198" s="455"/>
      <c r="BR198" s="93"/>
      <c r="BS198" s="380"/>
      <c r="BT198" s="492"/>
      <c r="BU198" s="566"/>
      <c r="BV198" s="492"/>
      <c r="BW198" s="93"/>
      <c r="BX198" s="385"/>
      <c r="BY198" s="490"/>
      <c r="BZ198" s="605"/>
      <c r="CA198" s="490"/>
      <c r="CB198" s="93"/>
      <c r="CC198" s="387"/>
      <c r="CD198" s="404"/>
      <c r="CE198" s="535"/>
      <c r="CF198" s="404"/>
      <c r="CG198" s="93"/>
      <c r="CH198" s="387"/>
      <c r="CI198" s="404"/>
      <c r="CJ198" s="535"/>
      <c r="CK198" s="520"/>
      <c r="CL198" s="93"/>
      <c r="CM198" s="390" t="str">
        <f>IFERROR(__xludf.DUMMYFUNCTION("""COMPUTED_VALUE"""),"")</f>
        <v/>
      </c>
      <c r="CN198" s="489" t="str">
        <f>IFERROR(__xludf.DUMMYFUNCTION("""COMPUTED_VALUE"""),"Rotom-Frost")</f>
        <v>Rotom-Frost</v>
      </c>
      <c r="CO198" s="532" t="s">
        <v>159</v>
      </c>
      <c r="CP198" s="523"/>
      <c r="CQ198" s="93"/>
      <c r="CR198" s="413"/>
      <c r="CS198" s="414"/>
      <c r="CT198" s="632"/>
      <c r="CU198" s="414"/>
      <c r="CV198" s="93"/>
      <c r="CW198" s="415"/>
      <c r="CX198" s="468"/>
      <c r="CY198" s="633"/>
      <c r="CZ198" s="468"/>
      <c r="DA198" s="93"/>
      <c r="DB198" s="423"/>
      <c r="DC198" s="424"/>
      <c r="DD198" s="634"/>
      <c r="DE198" s="424"/>
      <c r="DF198" s="93"/>
      <c r="DG198" s="628"/>
      <c r="DH198" s="641"/>
      <c r="DI198" s="641"/>
      <c r="DJ198" s="641"/>
      <c r="DK198" s="93"/>
      <c r="DL198" s="429"/>
      <c r="DM198" s="430"/>
      <c r="DN198" s="430"/>
      <c r="DO198" s="430"/>
      <c r="DP198" s="93"/>
      <c r="DQ198" s="439"/>
      <c r="DR198" s="441"/>
      <c r="DS198" s="441"/>
      <c r="DT198" s="441"/>
      <c r="DU198" s="93"/>
      <c r="DV198" s="442"/>
      <c r="DW198" s="443"/>
      <c r="DX198" s="363"/>
      <c r="DY198" s="345"/>
      <c r="DZ198" s="87"/>
      <c r="EA198" s="10"/>
    </row>
    <row r="199" ht="17.25" customHeight="1">
      <c r="A199" s="10"/>
      <c r="B199" s="87"/>
      <c r="C199" s="234"/>
      <c r="D199" s="235"/>
      <c r="E199" s="93"/>
      <c r="F199" s="268"/>
      <c r="G199" s="268"/>
      <c r="H199" s="268"/>
      <c r="I199" s="268"/>
      <c r="J199" s="268"/>
      <c r="K199" s="268"/>
      <c r="L199" s="450"/>
      <c r="M199" s="268"/>
      <c r="N199" s="268"/>
      <c r="O199" s="268"/>
      <c r="P199" s="268"/>
      <c r="Q199" s="450"/>
      <c r="R199" s="268"/>
      <c r="S199" s="268"/>
      <c r="T199" s="268"/>
      <c r="U199" s="268"/>
      <c r="V199" s="450"/>
      <c r="W199" s="268"/>
      <c r="X199" s="268"/>
      <c r="Y199" s="268"/>
      <c r="Z199" s="268"/>
      <c r="AA199" s="450"/>
      <c r="AB199" s="268"/>
      <c r="AC199" s="268"/>
      <c r="AD199" s="268"/>
      <c r="AE199" s="268"/>
      <c r="AF199" s="450"/>
      <c r="AG199" s="268"/>
      <c r="AH199" s="268"/>
      <c r="AI199" s="268"/>
      <c r="AJ199" s="268"/>
      <c r="AK199" s="450"/>
      <c r="AL199" s="268"/>
      <c r="AM199" s="268"/>
      <c r="AN199" s="268"/>
      <c r="AO199" s="268"/>
      <c r="AP199" s="397"/>
      <c r="AQ199" s="509"/>
      <c r="AR199" s="397"/>
      <c r="AS199" s="93"/>
      <c r="AT199" s="359"/>
      <c r="AU199" s="518"/>
      <c r="AV199" s="524"/>
      <c r="AW199" s="518"/>
      <c r="AX199" s="93"/>
      <c r="AY199" s="364"/>
      <c r="AZ199" s="480"/>
      <c r="BA199" s="525"/>
      <c r="BB199" s="480"/>
      <c r="BC199" s="93"/>
      <c r="BD199" s="368"/>
      <c r="BE199" s="477"/>
      <c r="BF199" s="560"/>
      <c r="BG199" s="477"/>
      <c r="BH199" s="93"/>
      <c r="BI199" s="402"/>
      <c r="BJ199" s="478"/>
      <c r="BK199" s="609"/>
      <c r="BL199" s="478"/>
      <c r="BM199" s="93"/>
      <c r="BN199" s="372"/>
      <c r="BO199" s="455"/>
      <c r="BP199" s="557"/>
      <c r="BQ199" s="455"/>
      <c r="BR199" s="93"/>
      <c r="BS199" s="380"/>
      <c r="BT199" s="492"/>
      <c r="BU199" s="566"/>
      <c r="BV199" s="492"/>
      <c r="BW199" s="93"/>
      <c r="BX199" s="385"/>
      <c r="BY199" s="490"/>
      <c r="BZ199" s="605"/>
      <c r="CA199" s="490"/>
      <c r="CB199" s="93"/>
      <c r="CC199" s="387"/>
      <c r="CD199" s="404"/>
      <c r="CE199" s="535"/>
      <c r="CF199" s="404"/>
      <c r="CG199" s="93"/>
      <c r="CH199" s="387"/>
      <c r="CI199" s="404"/>
      <c r="CJ199" s="535"/>
      <c r="CK199" s="520"/>
      <c r="CL199" s="93"/>
      <c r="CM199" s="390" t="str">
        <f>IFERROR(__xludf.DUMMYFUNCTION("""COMPUTED_VALUE"""),"")</f>
        <v/>
      </c>
      <c r="CN199" s="489" t="str">
        <f>IFERROR(__xludf.DUMMYFUNCTION("""COMPUTED_VALUE"""),"Rufflet")</f>
        <v>Rufflet</v>
      </c>
      <c r="CO199" s="532" t="s">
        <v>158</v>
      </c>
      <c r="CP199" s="523"/>
      <c r="CQ199" s="93"/>
      <c r="CR199" s="413"/>
      <c r="CS199" s="414"/>
      <c r="CT199" s="632"/>
      <c r="CU199" s="414"/>
      <c r="CV199" s="93"/>
      <c r="CW199" s="415"/>
      <c r="CX199" s="468"/>
      <c r="CY199" s="633"/>
      <c r="CZ199" s="468"/>
      <c r="DA199" s="93"/>
      <c r="DB199" s="423"/>
      <c r="DC199" s="424"/>
      <c r="DD199" s="634"/>
      <c r="DE199" s="424"/>
      <c r="DF199" s="93"/>
      <c r="DG199" s="628"/>
      <c r="DH199" s="641"/>
      <c r="DI199" s="641"/>
      <c r="DJ199" s="641"/>
      <c r="DK199" s="93"/>
      <c r="DL199" s="429"/>
      <c r="DM199" s="430"/>
      <c r="DN199" s="430"/>
      <c r="DO199" s="430"/>
      <c r="DP199" s="93"/>
      <c r="DQ199" s="439"/>
      <c r="DR199" s="441"/>
      <c r="DS199" s="441"/>
      <c r="DT199" s="441"/>
      <c r="DU199" s="93"/>
      <c r="DV199" s="442"/>
      <c r="DW199" s="443"/>
      <c r="DX199" s="363"/>
      <c r="DY199" s="345"/>
      <c r="DZ199" s="87"/>
      <c r="EA199" s="10"/>
    </row>
    <row r="200" ht="17.25" customHeight="1">
      <c r="A200" s="10"/>
      <c r="B200" s="87"/>
      <c r="C200" s="234"/>
      <c r="D200" s="235"/>
      <c r="E200" s="93"/>
      <c r="F200" s="268"/>
      <c r="G200" s="268"/>
      <c r="H200" s="268"/>
      <c r="I200" s="268"/>
      <c r="J200" s="268"/>
      <c r="K200" s="268"/>
      <c r="L200" s="450"/>
      <c r="M200" s="268"/>
      <c r="N200" s="268"/>
      <c r="O200" s="268"/>
      <c r="P200" s="268"/>
      <c r="Q200" s="450"/>
      <c r="R200" s="268"/>
      <c r="S200" s="268"/>
      <c r="T200" s="268"/>
      <c r="U200" s="268"/>
      <c r="V200" s="450"/>
      <c r="W200" s="268"/>
      <c r="X200" s="268"/>
      <c r="Y200" s="268"/>
      <c r="Z200" s="268"/>
      <c r="AA200" s="450"/>
      <c r="AB200" s="268"/>
      <c r="AC200" s="268"/>
      <c r="AD200" s="268"/>
      <c r="AE200" s="268"/>
      <c r="AF200" s="450"/>
      <c r="AG200" s="268"/>
      <c r="AH200" s="268"/>
      <c r="AI200" s="268"/>
      <c r="AJ200" s="268"/>
      <c r="AK200" s="450"/>
      <c r="AL200" s="268"/>
      <c r="AM200" s="268"/>
      <c r="AN200" s="268"/>
      <c r="AO200" s="268"/>
      <c r="AP200" s="397"/>
      <c r="AQ200" s="509"/>
      <c r="AR200" s="397"/>
      <c r="AS200" s="93"/>
      <c r="AT200" s="359"/>
      <c r="AU200" s="518"/>
      <c r="AV200" s="524"/>
      <c r="AW200" s="518"/>
      <c r="AX200" s="93"/>
      <c r="AY200" s="364"/>
      <c r="AZ200" s="480"/>
      <c r="BA200" s="525"/>
      <c r="BB200" s="480"/>
      <c r="BC200" s="93"/>
      <c r="BD200" s="368"/>
      <c r="BE200" s="477"/>
      <c r="BF200" s="560"/>
      <c r="BG200" s="477"/>
      <c r="BH200" s="93"/>
      <c r="BI200" s="402"/>
      <c r="BJ200" s="478"/>
      <c r="BK200" s="609"/>
      <c r="BL200" s="478"/>
      <c r="BM200" s="93"/>
      <c r="BN200" s="372"/>
      <c r="BO200" s="455"/>
      <c r="BP200" s="557"/>
      <c r="BQ200" s="455"/>
      <c r="BR200" s="93"/>
      <c r="BS200" s="380"/>
      <c r="BT200" s="492"/>
      <c r="BU200" s="566"/>
      <c r="BV200" s="492"/>
      <c r="BW200" s="93"/>
      <c r="BX200" s="385"/>
      <c r="BY200" s="490"/>
      <c r="BZ200" s="605"/>
      <c r="CA200" s="490"/>
      <c r="CB200" s="93"/>
      <c r="CC200" s="387"/>
      <c r="CD200" s="404"/>
      <c r="CE200" s="535"/>
      <c r="CF200" s="404"/>
      <c r="CG200" s="93"/>
      <c r="CH200" s="387"/>
      <c r="CI200" s="404"/>
      <c r="CJ200" s="535"/>
      <c r="CK200" s="520"/>
      <c r="CL200" s="93"/>
      <c r="CM200" s="390" t="str">
        <f>IFERROR(__xludf.DUMMYFUNCTION("""COMPUTED_VALUE"""),"")</f>
        <v/>
      </c>
      <c r="CN200" s="489" t="str">
        <f>IFERROR(__xludf.DUMMYFUNCTION("""COMPUTED_VALUE"""),"Salandit")</f>
        <v>Salandit</v>
      </c>
      <c r="CO200" s="532" t="s">
        <v>158</v>
      </c>
      <c r="CP200" s="523"/>
      <c r="CQ200" s="93"/>
      <c r="CR200" s="413"/>
      <c r="CS200" s="414"/>
      <c r="CT200" s="632"/>
      <c r="CU200" s="414"/>
      <c r="CV200" s="93"/>
      <c r="CW200" s="415"/>
      <c r="CX200" s="468"/>
      <c r="CY200" s="633"/>
      <c r="CZ200" s="468"/>
      <c r="DA200" s="93"/>
      <c r="DB200" s="423"/>
      <c r="DC200" s="424"/>
      <c r="DD200" s="634"/>
      <c r="DE200" s="424"/>
      <c r="DF200" s="93"/>
      <c r="DG200" s="628"/>
      <c r="DH200" s="641"/>
      <c r="DI200" s="641"/>
      <c r="DJ200" s="641"/>
      <c r="DK200" s="93"/>
      <c r="DL200" s="429"/>
      <c r="DM200" s="430"/>
      <c r="DN200" s="430"/>
      <c r="DO200" s="430"/>
      <c r="DP200" s="93"/>
      <c r="DQ200" s="439"/>
      <c r="DR200" s="441"/>
      <c r="DS200" s="441"/>
      <c r="DT200" s="441"/>
      <c r="DU200" s="93"/>
      <c r="DV200" s="442"/>
      <c r="DW200" s="443"/>
      <c r="DX200" s="363"/>
      <c r="DY200" s="345"/>
      <c r="DZ200" s="87"/>
      <c r="EA200" s="10"/>
    </row>
    <row r="201" ht="17.25" customHeight="1">
      <c r="A201" s="10"/>
      <c r="B201" s="87"/>
      <c r="C201" s="234"/>
      <c r="D201" s="235"/>
      <c r="E201" s="93"/>
      <c r="F201" s="268"/>
      <c r="G201" s="268"/>
      <c r="H201" s="268"/>
      <c r="I201" s="268"/>
      <c r="J201" s="268"/>
      <c r="K201" s="268"/>
      <c r="L201" s="450"/>
      <c r="M201" s="268"/>
      <c r="N201" s="268"/>
      <c r="O201" s="268"/>
      <c r="P201" s="268"/>
      <c r="Q201" s="450"/>
      <c r="R201" s="268"/>
      <c r="S201" s="268"/>
      <c r="T201" s="268"/>
      <c r="U201" s="268"/>
      <c r="V201" s="450"/>
      <c r="W201" s="268"/>
      <c r="X201" s="268"/>
      <c r="Y201" s="268"/>
      <c r="Z201" s="268"/>
      <c r="AA201" s="450"/>
      <c r="AB201" s="268"/>
      <c r="AC201" s="268"/>
      <c r="AD201" s="268"/>
      <c r="AE201" s="268"/>
      <c r="AF201" s="450"/>
      <c r="AG201" s="268"/>
      <c r="AH201" s="268"/>
      <c r="AI201" s="268"/>
      <c r="AJ201" s="268"/>
      <c r="AK201" s="450"/>
      <c r="AL201" s="268"/>
      <c r="AM201" s="268"/>
      <c r="AN201" s="268"/>
      <c r="AO201" s="268"/>
      <c r="AP201" s="397"/>
      <c r="AQ201" s="509"/>
      <c r="AR201" s="397"/>
      <c r="AS201" s="93"/>
      <c r="AT201" s="359"/>
      <c r="AU201" s="518"/>
      <c r="AV201" s="524"/>
      <c r="AW201" s="518"/>
      <c r="AX201" s="93"/>
      <c r="AY201" s="364"/>
      <c r="AZ201" s="480"/>
      <c r="BA201" s="525"/>
      <c r="BB201" s="480"/>
      <c r="BC201" s="93"/>
      <c r="BD201" s="368"/>
      <c r="BE201" s="477"/>
      <c r="BF201" s="560"/>
      <c r="BG201" s="477"/>
      <c r="BH201" s="93"/>
      <c r="BI201" s="402"/>
      <c r="BJ201" s="478"/>
      <c r="BK201" s="609"/>
      <c r="BL201" s="478"/>
      <c r="BM201" s="93"/>
      <c r="BN201" s="372"/>
      <c r="BO201" s="455"/>
      <c r="BP201" s="557"/>
      <c r="BQ201" s="455"/>
      <c r="BR201" s="93"/>
      <c r="BS201" s="380"/>
      <c r="BT201" s="492"/>
      <c r="BU201" s="566"/>
      <c r="BV201" s="492"/>
      <c r="BW201" s="93"/>
      <c r="BX201" s="385"/>
      <c r="BY201" s="490"/>
      <c r="BZ201" s="605"/>
      <c r="CA201" s="490"/>
      <c r="CB201" s="93"/>
      <c r="CC201" s="387"/>
      <c r="CD201" s="404"/>
      <c r="CE201" s="535"/>
      <c r="CF201" s="404"/>
      <c r="CG201" s="93"/>
      <c r="CH201" s="387"/>
      <c r="CI201" s="404"/>
      <c r="CJ201" s="535"/>
      <c r="CK201" s="520"/>
      <c r="CL201" s="93"/>
      <c r="CM201" s="390" t="str">
        <f>IFERROR(__xludf.DUMMYFUNCTION("""COMPUTED_VALUE"""),"")</f>
        <v/>
      </c>
      <c r="CN201" s="489" t="str">
        <f>IFERROR(__xludf.DUMMYFUNCTION("""COMPUTED_VALUE"""),"Sandaconda")</f>
        <v>Sandaconda</v>
      </c>
      <c r="CO201" s="532" t="s">
        <v>158</v>
      </c>
      <c r="CP201" s="523"/>
      <c r="CQ201" s="93"/>
      <c r="CR201" s="413"/>
      <c r="CS201" s="414"/>
      <c r="CT201" s="632"/>
      <c r="CU201" s="414"/>
      <c r="CV201" s="93"/>
      <c r="CW201" s="415"/>
      <c r="CX201" s="468"/>
      <c r="CY201" s="633"/>
      <c r="CZ201" s="468"/>
      <c r="DA201" s="93"/>
      <c r="DB201" s="423"/>
      <c r="DC201" s="424"/>
      <c r="DD201" s="634"/>
      <c r="DE201" s="424"/>
      <c r="DF201" s="93"/>
      <c r="DG201" s="628"/>
      <c r="DH201" s="641"/>
      <c r="DI201" s="641"/>
      <c r="DJ201" s="641"/>
      <c r="DK201" s="93"/>
      <c r="DL201" s="429"/>
      <c r="DM201" s="430"/>
      <c r="DN201" s="430"/>
      <c r="DO201" s="430"/>
      <c r="DP201" s="93"/>
      <c r="DQ201" s="439"/>
      <c r="DR201" s="441"/>
      <c r="DS201" s="441"/>
      <c r="DT201" s="441"/>
      <c r="DU201" s="93"/>
      <c r="DV201" s="442"/>
      <c r="DW201" s="443"/>
      <c r="DX201" s="363"/>
      <c r="DY201" s="345"/>
      <c r="DZ201" s="87"/>
      <c r="EA201" s="10"/>
    </row>
    <row r="202" ht="17.25" customHeight="1">
      <c r="A202" s="10"/>
      <c r="B202" s="87"/>
      <c r="C202" s="234"/>
      <c r="D202" s="235"/>
      <c r="E202" s="93"/>
      <c r="F202" s="268"/>
      <c r="G202" s="268"/>
      <c r="H202" s="268"/>
      <c r="I202" s="268"/>
      <c r="J202" s="268"/>
      <c r="K202" s="268"/>
      <c r="L202" s="450"/>
      <c r="M202" s="268"/>
      <c r="N202" s="268"/>
      <c r="O202" s="268"/>
      <c r="P202" s="268"/>
      <c r="Q202" s="450"/>
      <c r="R202" s="268"/>
      <c r="S202" s="268"/>
      <c r="T202" s="268"/>
      <c r="U202" s="268"/>
      <c r="V202" s="450"/>
      <c r="W202" s="268"/>
      <c r="X202" s="268"/>
      <c r="Y202" s="268"/>
      <c r="Z202" s="268"/>
      <c r="AA202" s="450"/>
      <c r="AB202" s="268"/>
      <c r="AC202" s="268"/>
      <c r="AD202" s="268"/>
      <c r="AE202" s="268"/>
      <c r="AF202" s="450"/>
      <c r="AG202" s="268"/>
      <c r="AH202" s="268"/>
      <c r="AI202" s="268"/>
      <c r="AJ202" s="268"/>
      <c r="AK202" s="450"/>
      <c r="AL202" s="268"/>
      <c r="AM202" s="268"/>
      <c r="AN202" s="268"/>
      <c r="AO202" s="268"/>
      <c r="AP202" s="397"/>
      <c r="AQ202" s="509"/>
      <c r="AR202" s="397"/>
      <c r="AS202" s="93"/>
      <c r="AT202" s="359"/>
      <c r="AU202" s="518"/>
      <c r="AV202" s="524"/>
      <c r="AW202" s="518"/>
      <c r="AX202" s="93"/>
      <c r="AY202" s="364"/>
      <c r="AZ202" s="480"/>
      <c r="BA202" s="525"/>
      <c r="BB202" s="480"/>
      <c r="BC202" s="93"/>
      <c r="BD202" s="368"/>
      <c r="BE202" s="477"/>
      <c r="BF202" s="560"/>
      <c r="BG202" s="477"/>
      <c r="BH202" s="93"/>
      <c r="BI202" s="402"/>
      <c r="BJ202" s="478"/>
      <c r="BK202" s="609"/>
      <c r="BL202" s="478"/>
      <c r="BM202" s="93"/>
      <c r="BN202" s="372"/>
      <c r="BO202" s="455"/>
      <c r="BP202" s="557"/>
      <c r="BQ202" s="455"/>
      <c r="BR202" s="93"/>
      <c r="BS202" s="380"/>
      <c r="BT202" s="492"/>
      <c r="BU202" s="566"/>
      <c r="BV202" s="492"/>
      <c r="BW202" s="93"/>
      <c r="BX202" s="385"/>
      <c r="BY202" s="490"/>
      <c r="BZ202" s="605"/>
      <c r="CA202" s="490"/>
      <c r="CB202" s="93"/>
      <c r="CC202" s="387"/>
      <c r="CD202" s="404"/>
      <c r="CE202" s="535"/>
      <c r="CF202" s="404"/>
      <c r="CG202" s="93"/>
      <c r="CH202" s="387"/>
      <c r="CI202" s="404"/>
      <c r="CJ202" s="535"/>
      <c r="CK202" s="520"/>
      <c r="CL202" s="93"/>
      <c r="CM202" s="390" t="str">
        <f>IFERROR(__xludf.DUMMYFUNCTION("""COMPUTED_VALUE"""),"")</f>
        <v/>
      </c>
      <c r="CN202" s="489" t="str">
        <f>IFERROR(__xludf.DUMMYFUNCTION("""COMPUTED_VALUE"""),"Sandile")</f>
        <v>Sandile</v>
      </c>
      <c r="CO202" s="532" t="s">
        <v>158</v>
      </c>
      <c r="CP202" s="523"/>
      <c r="CQ202" s="93"/>
      <c r="CR202" s="413"/>
      <c r="CS202" s="414"/>
      <c r="CT202" s="632"/>
      <c r="CU202" s="414"/>
      <c r="CV202" s="93"/>
      <c r="CW202" s="415"/>
      <c r="CX202" s="468"/>
      <c r="CY202" s="633"/>
      <c r="CZ202" s="468"/>
      <c r="DA202" s="93"/>
      <c r="DB202" s="423"/>
      <c r="DC202" s="424"/>
      <c r="DD202" s="634"/>
      <c r="DE202" s="424"/>
      <c r="DF202" s="93"/>
      <c r="DG202" s="628"/>
      <c r="DH202" s="641"/>
      <c r="DI202" s="641"/>
      <c r="DJ202" s="641"/>
      <c r="DK202" s="93"/>
      <c r="DL202" s="429"/>
      <c r="DM202" s="430"/>
      <c r="DN202" s="430"/>
      <c r="DO202" s="430"/>
      <c r="DP202" s="93"/>
      <c r="DQ202" s="439"/>
      <c r="DR202" s="441"/>
      <c r="DS202" s="441"/>
      <c r="DT202" s="441"/>
      <c r="DU202" s="93"/>
      <c r="DV202" s="442"/>
      <c r="DW202" s="443"/>
      <c r="DX202" s="363"/>
      <c r="DY202" s="345"/>
      <c r="DZ202" s="87"/>
      <c r="EA202" s="10"/>
    </row>
    <row r="203" ht="17.25" customHeight="1">
      <c r="A203" s="10"/>
      <c r="B203" s="87"/>
      <c r="C203" s="234"/>
      <c r="D203" s="235"/>
      <c r="E203" s="93"/>
      <c r="F203" s="268"/>
      <c r="G203" s="268"/>
      <c r="H203" s="268"/>
      <c r="I203" s="268"/>
      <c r="J203" s="268"/>
      <c r="K203" s="268"/>
      <c r="L203" s="450"/>
      <c r="M203" s="268"/>
      <c r="N203" s="268"/>
      <c r="O203" s="268"/>
      <c r="P203" s="268"/>
      <c r="Q203" s="450"/>
      <c r="R203" s="268"/>
      <c r="S203" s="268"/>
      <c r="T203" s="268"/>
      <c r="U203" s="268"/>
      <c r="V203" s="450"/>
      <c r="W203" s="268"/>
      <c r="X203" s="268"/>
      <c r="Y203" s="268"/>
      <c r="Z203" s="268"/>
      <c r="AA203" s="450"/>
      <c r="AB203" s="268"/>
      <c r="AC203" s="268"/>
      <c r="AD203" s="268"/>
      <c r="AE203" s="268"/>
      <c r="AF203" s="450"/>
      <c r="AG203" s="268"/>
      <c r="AH203" s="268"/>
      <c r="AI203" s="268"/>
      <c r="AJ203" s="268"/>
      <c r="AK203" s="450"/>
      <c r="AL203" s="268"/>
      <c r="AM203" s="268"/>
      <c r="AN203" s="268"/>
      <c r="AO203" s="268"/>
      <c r="AP203" s="397"/>
      <c r="AQ203" s="509"/>
      <c r="AR203" s="397"/>
      <c r="AS203" s="93"/>
      <c r="AT203" s="359"/>
      <c r="AU203" s="518"/>
      <c r="AV203" s="524"/>
      <c r="AW203" s="518"/>
      <c r="AX203" s="93"/>
      <c r="AY203" s="364"/>
      <c r="AZ203" s="480"/>
      <c r="BA203" s="525"/>
      <c r="BB203" s="480"/>
      <c r="BC203" s="93"/>
      <c r="BD203" s="368"/>
      <c r="BE203" s="477"/>
      <c r="BF203" s="560"/>
      <c r="BG203" s="477"/>
      <c r="BH203" s="93"/>
      <c r="BI203" s="402"/>
      <c r="BJ203" s="478"/>
      <c r="BK203" s="609"/>
      <c r="BL203" s="478"/>
      <c r="BM203" s="93"/>
      <c r="BN203" s="372"/>
      <c r="BO203" s="455"/>
      <c r="BP203" s="557"/>
      <c r="BQ203" s="455"/>
      <c r="BR203" s="93"/>
      <c r="BS203" s="380"/>
      <c r="BT203" s="492"/>
      <c r="BU203" s="566"/>
      <c r="BV203" s="492"/>
      <c r="BW203" s="93"/>
      <c r="BX203" s="385"/>
      <c r="BY203" s="490"/>
      <c r="BZ203" s="605"/>
      <c r="CA203" s="490"/>
      <c r="CB203" s="93"/>
      <c r="CC203" s="387"/>
      <c r="CD203" s="404"/>
      <c r="CE203" s="535"/>
      <c r="CF203" s="404"/>
      <c r="CG203" s="93"/>
      <c r="CH203" s="387"/>
      <c r="CI203" s="404"/>
      <c r="CJ203" s="535"/>
      <c r="CK203" s="520"/>
      <c r="CL203" s="93"/>
      <c r="CM203" s="390" t="str">
        <f>IFERROR(__xludf.DUMMYFUNCTION("""COMPUTED_VALUE"""),"")</f>
        <v/>
      </c>
      <c r="CN203" s="489" t="str">
        <f>IFERROR(__xludf.DUMMYFUNCTION("""COMPUTED_VALUE"""),"Sandygast")</f>
        <v>Sandygast</v>
      </c>
      <c r="CO203" s="532" t="s">
        <v>158</v>
      </c>
      <c r="CP203" s="523"/>
      <c r="CQ203" s="93"/>
      <c r="CR203" s="413"/>
      <c r="CS203" s="414"/>
      <c r="CT203" s="632"/>
      <c r="CU203" s="414"/>
      <c r="CV203" s="93"/>
      <c r="CW203" s="415"/>
      <c r="CX203" s="468"/>
      <c r="CY203" s="633"/>
      <c r="CZ203" s="468"/>
      <c r="DA203" s="93"/>
      <c r="DB203" s="423"/>
      <c r="DC203" s="424"/>
      <c r="DD203" s="634"/>
      <c r="DE203" s="424"/>
      <c r="DF203" s="93"/>
      <c r="DG203" s="628"/>
      <c r="DH203" s="641"/>
      <c r="DI203" s="641"/>
      <c r="DJ203" s="641"/>
      <c r="DK203" s="93"/>
      <c r="DL203" s="429"/>
      <c r="DM203" s="430"/>
      <c r="DN203" s="430"/>
      <c r="DO203" s="430"/>
      <c r="DP203" s="93"/>
      <c r="DQ203" s="439"/>
      <c r="DR203" s="441"/>
      <c r="DS203" s="441"/>
      <c r="DT203" s="441"/>
      <c r="DU203" s="93"/>
      <c r="DV203" s="442"/>
      <c r="DW203" s="443"/>
      <c r="DX203" s="363"/>
      <c r="DY203" s="345"/>
      <c r="DZ203" s="87"/>
      <c r="EA203" s="10"/>
    </row>
    <row r="204" ht="17.25" customHeight="1">
      <c r="A204" s="10"/>
      <c r="B204" s="87"/>
      <c r="C204" s="234"/>
      <c r="D204" s="235"/>
      <c r="E204" s="93"/>
      <c r="F204" s="268"/>
      <c r="G204" s="268"/>
      <c r="H204" s="268"/>
      <c r="I204" s="268"/>
      <c r="J204" s="268"/>
      <c r="K204" s="268"/>
      <c r="L204" s="450"/>
      <c r="M204" s="268"/>
      <c r="N204" s="268"/>
      <c r="O204" s="268"/>
      <c r="P204" s="268"/>
      <c r="Q204" s="450"/>
      <c r="R204" s="268"/>
      <c r="S204" s="268"/>
      <c r="T204" s="268"/>
      <c r="U204" s="268"/>
      <c r="V204" s="450"/>
      <c r="W204" s="268"/>
      <c r="X204" s="268"/>
      <c r="Y204" s="268"/>
      <c r="Z204" s="268"/>
      <c r="AA204" s="450"/>
      <c r="AB204" s="268"/>
      <c r="AC204" s="268"/>
      <c r="AD204" s="268"/>
      <c r="AE204" s="268"/>
      <c r="AF204" s="450"/>
      <c r="AG204" s="268"/>
      <c r="AH204" s="268"/>
      <c r="AI204" s="268"/>
      <c r="AJ204" s="268"/>
      <c r="AK204" s="450"/>
      <c r="AL204" s="268"/>
      <c r="AM204" s="268"/>
      <c r="AN204" s="268"/>
      <c r="AO204" s="268"/>
      <c r="AP204" s="397"/>
      <c r="AQ204" s="509"/>
      <c r="AR204" s="397"/>
      <c r="AS204" s="93"/>
      <c r="AT204" s="359"/>
      <c r="AU204" s="518"/>
      <c r="AV204" s="524"/>
      <c r="AW204" s="518"/>
      <c r="AX204" s="93"/>
      <c r="AY204" s="364"/>
      <c r="AZ204" s="480"/>
      <c r="BA204" s="525"/>
      <c r="BB204" s="480"/>
      <c r="BC204" s="93"/>
      <c r="BD204" s="368"/>
      <c r="BE204" s="477"/>
      <c r="BF204" s="560"/>
      <c r="BG204" s="477"/>
      <c r="BH204" s="93"/>
      <c r="BI204" s="402"/>
      <c r="BJ204" s="478"/>
      <c r="BK204" s="609"/>
      <c r="BL204" s="478"/>
      <c r="BM204" s="93"/>
      <c r="BN204" s="372"/>
      <c r="BO204" s="455"/>
      <c r="BP204" s="557"/>
      <c r="BQ204" s="455"/>
      <c r="BR204" s="93"/>
      <c r="BS204" s="380"/>
      <c r="BT204" s="492"/>
      <c r="BU204" s="566"/>
      <c r="BV204" s="492"/>
      <c r="BW204" s="93"/>
      <c r="BX204" s="385"/>
      <c r="BY204" s="490"/>
      <c r="BZ204" s="605"/>
      <c r="CA204" s="490"/>
      <c r="CB204" s="93"/>
      <c r="CC204" s="387"/>
      <c r="CD204" s="404"/>
      <c r="CE204" s="535"/>
      <c r="CF204" s="404"/>
      <c r="CG204" s="93"/>
      <c r="CH204" s="387"/>
      <c r="CI204" s="404"/>
      <c r="CJ204" s="535"/>
      <c r="CK204" s="520"/>
      <c r="CL204" s="93"/>
      <c r="CM204" s="390" t="str">
        <f>IFERROR(__xludf.DUMMYFUNCTION("""COMPUTED_VALUE"""),"")</f>
        <v/>
      </c>
      <c r="CN204" s="489" t="str">
        <f>IFERROR(__xludf.DUMMYFUNCTION("""COMPUTED_VALUE"""),"Sawsbuck")</f>
        <v>Sawsbuck</v>
      </c>
      <c r="CO204" s="532" t="s">
        <v>158</v>
      </c>
      <c r="CP204" s="523"/>
      <c r="CQ204" s="93"/>
      <c r="CR204" s="413"/>
      <c r="CS204" s="414"/>
      <c r="CT204" s="632"/>
      <c r="CU204" s="414"/>
      <c r="CV204" s="93"/>
      <c r="CW204" s="415"/>
      <c r="CX204" s="468"/>
      <c r="CY204" s="633"/>
      <c r="CZ204" s="468"/>
      <c r="DA204" s="93"/>
      <c r="DB204" s="423"/>
      <c r="DC204" s="424"/>
      <c r="DD204" s="634"/>
      <c r="DE204" s="424"/>
      <c r="DF204" s="93"/>
      <c r="DG204" s="628"/>
      <c r="DH204" s="641"/>
      <c r="DI204" s="641"/>
      <c r="DJ204" s="641"/>
      <c r="DK204" s="93"/>
      <c r="DL204" s="429"/>
      <c r="DM204" s="430"/>
      <c r="DN204" s="430"/>
      <c r="DO204" s="430"/>
      <c r="DP204" s="93"/>
      <c r="DQ204" s="439"/>
      <c r="DR204" s="441"/>
      <c r="DS204" s="441"/>
      <c r="DT204" s="441"/>
      <c r="DU204" s="93"/>
      <c r="DV204" s="442"/>
      <c r="DW204" s="443"/>
      <c r="DX204" s="363"/>
      <c r="DY204" s="345"/>
      <c r="DZ204" s="87"/>
      <c r="EA204" s="10"/>
    </row>
    <row r="205" ht="17.25" customHeight="1">
      <c r="A205" s="10"/>
      <c r="B205" s="87"/>
      <c r="C205" s="234"/>
      <c r="D205" s="235"/>
      <c r="E205" s="93"/>
      <c r="F205" s="268"/>
      <c r="G205" s="268"/>
      <c r="H205" s="268"/>
      <c r="I205" s="268"/>
      <c r="J205" s="268"/>
      <c r="K205" s="268"/>
      <c r="L205" s="450"/>
      <c r="M205" s="268"/>
      <c r="N205" s="268"/>
      <c r="O205" s="268"/>
      <c r="P205" s="268"/>
      <c r="Q205" s="450"/>
      <c r="R205" s="268"/>
      <c r="S205" s="268"/>
      <c r="T205" s="268"/>
      <c r="U205" s="268"/>
      <c r="V205" s="450"/>
      <c r="W205" s="268"/>
      <c r="X205" s="268"/>
      <c r="Y205" s="268"/>
      <c r="Z205" s="268"/>
      <c r="AA205" s="450"/>
      <c r="AB205" s="268"/>
      <c r="AC205" s="268"/>
      <c r="AD205" s="268"/>
      <c r="AE205" s="268"/>
      <c r="AF205" s="450"/>
      <c r="AG205" s="268"/>
      <c r="AH205" s="268"/>
      <c r="AI205" s="268"/>
      <c r="AJ205" s="268"/>
      <c r="AK205" s="450"/>
      <c r="AL205" s="268"/>
      <c r="AM205" s="268"/>
      <c r="AN205" s="268"/>
      <c r="AO205" s="268"/>
      <c r="AP205" s="397"/>
      <c r="AQ205" s="509"/>
      <c r="AR205" s="397"/>
      <c r="AS205" s="93"/>
      <c r="AT205" s="359"/>
      <c r="AU205" s="518"/>
      <c r="AV205" s="524"/>
      <c r="AW205" s="518"/>
      <c r="AX205" s="93"/>
      <c r="AY205" s="364"/>
      <c r="AZ205" s="480"/>
      <c r="BA205" s="525"/>
      <c r="BB205" s="480"/>
      <c r="BC205" s="93"/>
      <c r="BD205" s="368"/>
      <c r="BE205" s="477"/>
      <c r="BF205" s="560"/>
      <c r="BG205" s="477"/>
      <c r="BH205" s="93"/>
      <c r="BI205" s="402"/>
      <c r="BJ205" s="478"/>
      <c r="BK205" s="609"/>
      <c r="BL205" s="478"/>
      <c r="BM205" s="93"/>
      <c r="BN205" s="372"/>
      <c r="BO205" s="455"/>
      <c r="BP205" s="557"/>
      <c r="BQ205" s="455"/>
      <c r="BR205" s="93"/>
      <c r="BS205" s="380"/>
      <c r="BT205" s="492"/>
      <c r="BU205" s="566"/>
      <c r="BV205" s="492"/>
      <c r="BW205" s="93"/>
      <c r="BX205" s="385"/>
      <c r="BY205" s="490"/>
      <c r="BZ205" s="605"/>
      <c r="CA205" s="490"/>
      <c r="CB205" s="93"/>
      <c r="CC205" s="387"/>
      <c r="CD205" s="404"/>
      <c r="CE205" s="535"/>
      <c r="CF205" s="404"/>
      <c r="CG205" s="93"/>
      <c r="CH205" s="387"/>
      <c r="CI205" s="404"/>
      <c r="CJ205" s="535"/>
      <c r="CK205" s="520"/>
      <c r="CL205" s="93"/>
      <c r="CM205" s="390" t="str">
        <f>IFERROR(__xludf.DUMMYFUNCTION("""COMPUTED_VALUE"""),"")</f>
        <v/>
      </c>
      <c r="CN205" s="489" t="str">
        <f>IFERROR(__xludf.DUMMYFUNCTION("""COMPUTED_VALUE"""),"Scatterbug")</f>
        <v>Scatterbug</v>
      </c>
      <c r="CO205" s="532" t="s">
        <v>158</v>
      </c>
      <c r="CP205" s="523"/>
      <c r="CQ205" s="93"/>
      <c r="CR205" s="413"/>
      <c r="CS205" s="414"/>
      <c r="CT205" s="632"/>
      <c r="CU205" s="414"/>
      <c r="CV205" s="93"/>
      <c r="CW205" s="415"/>
      <c r="CX205" s="468"/>
      <c r="CY205" s="633"/>
      <c r="CZ205" s="468"/>
      <c r="DA205" s="93"/>
      <c r="DB205" s="423"/>
      <c r="DC205" s="424"/>
      <c r="DD205" s="634"/>
      <c r="DE205" s="424"/>
      <c r="DF205" s="93"/>
      <c r="DG205" s="628"/>
      <c r="DH205" s="641"/>
      <c r="DI205" s="641"/>
      <c r="DJ205" s="641"/>
      <c r="DK205" s="93"/>
      <c r="DL205" s="429"/>
      <c r="DM205" s="430"/>
      <c r="DN205" s="430"/>
      <c r="DO205" s="430"/>
      <c r="DP205" s="93"/>
      <c r="DQ205" s="439"/>
      <c r="DR205" s="441"/>
      <c r="DS205" s="441"/>
      <c r="DT205" s="441"/>
      <c r="DU205" s="93"/>
      <c r="DV205" s="442"/>
      <c r="DW205" s="443"/>
      <c r="DX205" s="363"/>
      <c r="DY205" s="345"/>
      <c r="DZ205" s="87"/>
      <c r="EA205" s="10"/>
    </row>
    <row r="206" ht="17.25" customHeight="1">
      <c r="A206" s="10"/>
      <c r="B206" s="87"/>
      <c r="C206" s="234"/>
      <c r="D206" s="235"/>
      <c r="E206" s="93"/>
      <c r="F206" s="268"/>
      <c r="G206" s="268"/>
      <c r="H206" s="268"/>
      <c r="I206" s="268"/>
      <c r="J206" s="268"/>
      <c r="K206" s="268"/>
      <c r="L206" s="450"/>
      <c r="M206" s="268"/>
      <c r="N206" s="268"/>
      <c r="O206" s="268"/>
      <c r="P206" s="268"/>
      <c r="Q206" s="450"/>
      <c r="R206" s="268"/>
      <c r="S206" s="268"/>
      <c r="T206" s="268"/>
      <c r="U206" s="268"/>
      <c r="V206" s="450"/>
      <c r="W206" s="268"/>
      <c r="X206" s="268"/>
      <c r="Y206" s="268"/>
      <c r="Z206" s="268"/>
      <c r="AA206" s="450"/>
      <c r="AB206" s="268"/>
      <c r="AC206" s="268"/>
      <c r="AD206" s="268"/>
      <c r="AE206" s="268"/>
      <c r="AF206" s="450"/>
      <c r="AG206" s="268"/>
      <c r="AH206" s="268"/>
      <c r="AI206" s="268"/>
      <c r="AJ206" s="268"/>
      <c r="AK206" s="450"/>
      <c r="AL206" s="268"/>
      <c r="AM206" s="268"/>
      <c r="AN206" s="268"/>
      <c r="AO206" s="268"/>
      <c r="AP206" s="397"/>
      <c r="AQ206" s="509"/>
      <c r="AR206" s="397"/>
      <c r="AS206" s="93"/>
      <c r="AT206" s="359"/>
      <c r="AU206" s="518"/>
      <c r="AV206" s="524"/>
      <c r="AW206" s="518"/>
      <c r="AX206" s="93"/>
      <c r="AY206" s="364"/>
      <c r="AZ206" s="480"/>
      <c r="BA206" s="525"/>
      <c r="BB206" s="480"/>
      <c r="BC206" s="93"/>
      <c r="BD206" s="368"/>
      <c r="BE206" s="477"/>
      <c r="BF206" s="560"/>
      <c r="BG206" s="477"/>
      <c r="BH206" s="93"/>
      <c r="BI206" s="402"/>
      <c r="BJ206" s="478"/>
      <c r="BK206" s="609"/>
      <c r="BL206" s="478"/>
      <c r="BM206" s="93"/>
      <c r="BN206" s="372"/>
      <c r="BO206" s="455"/>
      <c r="BP206" s="557"/>
      <c r="BQ206" s="455"/>
      <c r="BR206" s="93"/>
      <c r="BS206" s="380"/>
      <c r="BT206" s="492"/>
      <c r="BU206" s="566"/>
      <c r="BV206" s="492"/>
      <c r="BW206" s="93"/>
      <c r="BX206" s="385"/>
      <c r="BY206" s="490"/>
      <c r="BZ206" s="605"/>
      <c r="CA206" s="490"/>
      <c r="CB206" s="93"/>
      <c r="CC206" s="387"/>
      <c r="CD206" s="404"/>
      <c r="CE206" s="535"/>
      <c r="CF206" s="404"/>
      <c r="CG206" s="93"/>
      <c r="CH206" s="387"/>
      <c r="CI206" s="404"/>
      <c r="CJ206" s="535"/>
      <c r="CK206" s="520"/>
      <c r="CL206" s="93"/>
      <c r="CM206" s="390" t="str">
        <f>IFERROR(__xludf.DUMMYFUNCTION("""COMPUTED_VALUE"""),"")</f>
        <v/>
      </c>
      <c r="CN206" s="489" t="str">
        <f>IFERROR(__xludf.DUMMYFUNCTION("""COMPUTED_VALUE"""),"Scyther")</f>
        <v>Scyther</v>
      </c>
      <c r="CO206" s="532" t="s">
        <v>158</v>
      </c>
      <c r="CP206" s="523"/>
      <c r="CQ206" s="93"/>
      <c r="CR206" s="413"/>
      <c r="CS206" s="414"/>
      <c r="CT206" s="632"/>
      <c r="CU206" s="414"/>
      <c r="CV206" s="93"/>
      <c r="CW206" s="415"/>
      <c r="CX206" s="468"/>
      <c r="CY206" s="633"/>
      <c r="CZ206" s="468"/>
      <c r="DA206" s="93"/>
      <c r="DB206" s="423"/>
      <c r="DC206" s="424"/>
      <c r="DD206" s="634"/>
      <c r="DE206" s="424"/>
      <c r="DF206" s="93"/>
      <c r="DG206" s="628"/>
      <c r="DH206" s="641"/>
      <c r="DI206" s="641"/>
      <c r="DJ206" s="641"/>
      <c r="DK206" s="93"/>
      <c r="DL206" s="429"/>
      <c r="DM206" s="430"/>
      <c r="DN206" s="430"/>
      <c r="DO206" s="430"/>
      <c r="DP206" s="93"/>
      <c r="DQ206" s="439"/>
      <c r="DR206" s="441"/>
      <c r="DS206" s="441"/>
      <c r="DT206" s="441"/>
      <c r="DU206" s="93"/>
      <c r="DV206" s="442"/>
      <c r="DW206" s="443"/>
      <c r="DX206" s="363"/>
      <c r="DY206" s="345"/>
      <c r="DZ206" s="87"/>
      <c r="EA206" s="10"/>
    </row>
    <row r="207" ht="17.25" customHeight="1">
      <c r="A207" s="10"/>
      <c r="B207" s="87"/>
      <c r="C207" s="234"/>
      <c r="D207" s="235"/>
      <c r="E207" s="93"/>
      <c r="F207" s="268"/>
      <c r="G207" s="268"/>
      <c r="H207" s="268"/>
      <c r="I207" s="268"/>
      <c r="J207" s="268"/>
      <c r="K207" s="268"/>
      <c r="L207" s="450"/>
      <c r="M207" s="268"/>
      <c r="N207" s="268"/>
      <c r="O207" s="268"/>
      <c r="P207" s="268"/>
      <c r="Q207" s="450"/>
      <c r="R207" s="268"/>
      <c r="S207" s="268"/>
      <c r="T207" s="268"/>
      <c r="U207" s="268"/>
      <c r="V207" s="450"/>
      <c r="W207" s="268"/>
      <c r="X207" s="268"/>
      <c r="Y207" s="268"/>
      <c r="Z207" s="268"/>
      <c r="AA207" s="450"/>
      <c r="AB207" s="268"/>
      <c r="AC207" s="268"/>
      <c r="AD207" s="268"/>
      <c r="AE207" s="268"/>
      <c r="AF207" s="450"/>
      <c r="AG207" s="268"/>
      <c r="AH207" s="268"/>
      <c r="AI207" s="268"/>
      <c r="AJ207" s="268"/>
      <c r="AK207" s="450"/>
      <c r="AL207" s="268"/>
      <c r="AM207" s="268"/>
      <c r="AN207" s="268"/>
      <c r="AO207" s="268"/>
      <c r="AP207" s="397"/>
      <c r="AQ207" s="509"/>
      <c r="AR207" s="397"/>
      <c r="AS207" s="93"/>
      <c r="AT207" s="359"/>
      <c r="AU207" s="518"/>
      <c r="AV207" s="524"/>
      <c r="AW207" s="518"/>
      <c r="AX207" s="93"/>
      <c r="AY207" s="364"/>
      <c r="AZ207" s="480"/>
      <c r="BA207" s="525"/>
      <c r="BB207" s="480"/>
      <c r="BC207" s="93"/>
      <c r="BD207" s="368"/>
      <c r="BE207" s="477"/>
      <c r="BF207" s="560"/>
      <c r="BG207" s="477"/>
      <c r="BH207" s="93"/>
      <c r="BI207" s="402"/>
      <c r="BJ207" s="478"/>
      <c r="BK207" s="609"/>
      <c r="BL207" s="478"/>
      <c r="BM207" s="93"/>
      <c r="BN207" s="372"/>
      <c r="BO207" s="455"/>
      <c r="BP207" s="557"/>
      <c r="BQ207" s="455"/>
      <c r="BR207" s="93"/>
      <c r="BS207" s="380"/>
      <c r="BT207" s="492"/>
      <c r="BU207" s="566"/>
      <c r="BV207" s="492"/>
      <c r="BW207" s="93"/>
      <c r="BX207" s="385"/>
      <c r="BY207" s="490"/>
      <c r="BZ207" s="605"/>
      <c r="CA207" s="490"/>
      <c r="CB207" s="93"/>
      <c r="CC207" s="387"/>
      <c r="CD207" s="404"/>
      <c r="CE207" s="535"/>
      <c r="CF207" s="404"/>
      <c r="CG207" s="93"/>
      <c r="CH207" s="387"/>
      <c r="CI207" s="404"/>
      <c r="CJ207" s="535"/>
      <c r="CK207" s="520"/>
      <c r="CL207" s="93"/>
      <c r="CM207" s="390" t="str">
        <f>IFERROR(__xludf.DUMMYFUNCTION("""COMPUTED_VALUE"""),"")</f>
        <v/>
      </c>
      <c r="CN207" s="489" t="str">
        <f>IFERROR(__xludf.DUMMYFUNCTION("""COMPUTED_VALUE"""),"Seviper")</f>
        <v>Seviper</v>
      </c>
      <c r="CO207" s="532" t="s">
        <v>158</v>
      </c>
      <c r="CP207" s="523"/>
      <c r="CQ207" s="93"/>
      <c r="CR207" s="413"/>
      <c r="CS207" s="414"/>
      <c r="CT207" s="632"/>
      <c r="CU207" s="414"/>
      <c r="CV207" s="93"/>
      <c r="CW207" s="415"/>
      <c r="CX207" s="468"/>
      <c r="CY207" s="633"/>
      <c r="CZ207" s="468"/>
      <c r="DA207" s="93"/>
      <c r="DB207" s="423"/>
      <c r="DC207" s="424"/>
      <c r="DD207" s="634"/>
      <c r="DE207" s="424"/>
      <c r="DF207" s="93"/>
      <c r="DG207" s="628"/>
      <c r="DH207" s="641"/>
      <c r="DI207" s="641"/>
      <c r="DJ207" s="641"/>
      <c r="DK207" s="93"/>
      <c r="DL207" s="429"/>
      <c r="DM207" s="430"/>
      <c r="DN207" s="430"/>
      <c r="DO207" s="430"/>
      <c r="DP207" s="93"/>
      <c r="DQ207" s="439"/>
      <c r="DR207" s="441"/>
      <c r="DS207" s="441"/>
      <c r="DT207" s="441"/>
      <c r="DU207" s="93"/>
      <c r="DV207" s="442"/>
      <c r="DW207" s="443"/>
      <c r="DX207" s="363"/>
      <c r="DY207" s="345"/>
      <c r="DZ207" s="87"/>
      <c r="EA207" s="10"/>
    </row>
    <row r="208" ht="17.25" customHeight="1">
      <c r="A208" s="10"/>
      <c r="B208" s="87"/>
      <c r="C208" s="234"/>
      <c r="D208" s="235"/>
      <c r="E208" s="93"/>
      <c r="F208" s="268"/>
      <c r="G208" s="268"/>
      <c r="H208" s="268"/>
      <c r="I208" s="268"/>
      <c r="J208" s="268"/>
      <c r="K208" s="268"/>
      <c r="L208" s="450"/>
      <c r="M208" s="268"/>
      <c r="N208" s="268"/>
      <c r="O208" s="268"/>
      <c r="P208" s="268"/>
      <c r="Q208" s="450"/>
      <c r="R208" s="268"/>
      <c r="S208" s="268"/>
      <c r="T208" s="268"/>
      <c r="U208" s="268"/>
      <c r="V208" s="450"/>
      <c r="W208" s="268"/>
      <c r="X208" s="268"/>
      <c r="Y208" s="268"/>
      <c r="Z208" s="268"/>
      <c r="AA208" s="450"/>
      <c r="AB208" s="268"/>
      <c r="AC208" s="268"/>
      <c r="AD208" s="268"/>
      <c r="AE208" s="268"/>
      <c r="AF208" s="450"/>
      <c r="AG208" s="268"/>
      <c r="AH208" s="268"/>
      <c r="AI208" s="268"/>
      <c r="AJ208" s="268"/>
      <c r="AK208" s="450"/>
      <c r="AL208" s="268"/>
      <c r="AM208" s="268"/>
      <c r="AN208" s="268"/>
      <c r="AO208" s="268"/>
      <c r="AP208" s="397"/>
      <c r="AQ208" s="509"/>
      <c r="AR208" s="397"/>
      <c r="AS208" s="93"/>
      <c r="AT208" s="359"/>
      <c r="AU208" s="518"/>
      <c r="AV208" s="524"/>
      <c r="AW208" s="518"/>
      <c r="AX208" s="93"/>
      <c r="AY208" s="364"/>
      <c r="AZ208" s="480"/>
      <c r="BA208" s="525"/>
      <c r="BB208" s="480"/>
      <c r="BC208" s="93"/>
      <c r="BD208" s="368"/>
      <c r="BE208" s="477"/>
      <c r="BF208" s="560"/>
      <c r="BG208" s="477"/>
      <c r="BH208" s="93"/>
      <c r="BI208" s="402"/>
      <c r="BJ208" s="478"/>
      <c r="BK208" s="609"/>
      <c r="BL208" s="478"/>
      <c r="BM208" s="93"/>
      <c r="BN208" s="372"/>
      <c r="BO208" s="455"/>
      <c r="BP208" s="557"/>
      <c r="BQ208" s="455"/>
      <c r="BR208" s="93"/>
      <c r="BS208" s="380"/>
      <c r="BT208" s="492"/>
      <c r="BU208" s="566"/>
      <c r="BV208" s="492"/>
      <c r="BW208" s="93"/>
      <c r="BX208" s="385"/>
      <c r="BY208" s="490"/>
      <c r="BZ208" s="605"/>
      <c r="CA208" s="490"/>
      <c r="CB208" s="93"/>
      <c r="CC208" s="387"/>
      <c r="CD208" s="404"/>
      <c r="CE208" s="535"/>
      <c r="CF208" s="404"/>
      <c r="CG208" s="93"/>
      <c r="CH208" s="387"/>
      <c r="CI208" s="404"/>
      <c r="CJ208" s="535"/>
      <c r="CK208" s="520"/>
      <c r="CL208" s="93"/>
      <c r="CM208" s="390" t="str">
        <f>IFERROR(__xludf.DUMMYFUNCTION("""COMPUTED_VALUE"""),"")</f>
        <v/>
      </c>
      <c r="CN208" s="489" t="str">
        <f>IFERROR(__xludf.DUMMYFUNCTION("""COMPUTED_VALUE"""),"Shelgon")</f>
        <v>Shelgon</v>
      </c>
      <c r="CO208" s="532" t="s">
        <v>158</v>
      </c>
      <c r="CP208" s="523"/>
      <c r="CQ208" s="93"/>
      <c r="CR208" s="413"/>
      <c r="CS208" s="414"/>
      <c r="CT208" s="632"/>
      <c r="CU208" s="414"/>
      <c r="CV208" s="93"/>
      <c r="CW208" s="415"/>
      <c r="CX208" s="468"/>
      <c r="CY208" s="633"/>
      <c r="CZ208" s="468"/>
      <c r="DA208" s="93"/>
      <c r="DB208" s="423"/>
      <c r="DC208" s="424"/>
      <c r="DD208" s="634"/>
      <c r="DE208" s="424"/>
      <c r="DF208" s="93"/>
      <c r="DG208" s="628"/>
      <c r="DH208" s="641"/>
      <c r="DI208" s="641"/>
      <c r="DJ208" s="641"/>
      <c r="DK208" s="93"/>
      <c r="DL208" s="429"/>
      <c r="DM208" s="430"/>
      <c r="DN208" s="430"/>
      <c r="DO208" s="430"/>
      <c r="DP208" s="93"/>
      <c r="DQ208" s="439"/>
      <c r="DR208" s="441"/>
      <c r="DS208" s="441"/>
      <c r="DT208" s="441"/>
      <c r="DU208" s="93"/>
      <c r="DV208" s="442"/>
      <c r="DW208" s="443"/>
      <c r="DX208" s="363"/>
      <c r="DY208" s="345"/>
      <c r="DZ208" s="87"/>
      <c r="EA208" s="10"/>
    </row>
    <row r="209" ht="17.25" customHeight="1">
      <c r="A209" s="10"/>
      <c r="B209" s="87"/>
      <c r="C209" s="234"/>
      <c r="D209" s="235"/>
      <c r="E209" s="93"/>
      <c r="F209" s="268"/>
      <c r="G209" s="268"/>
      <c r="H209" s="268"/>
      <c r="I209" s="268"/>
      <c r="J209" s="268"/>
      <c r="K209" s="268"/>
      <c r="L209" s="450"/>
      <c r="M209" s="268"/>
      <c r="N209" s="268"/>
      <c r="O209" s="268"/>
      <c r="P209" s="268"/>
      <c r="Q209" s="450"/>
      <c r="R209" s="268"/>
      <c r="S209" s="268"/>
      <c r="T209" s="268"/>
      <c r="U209" s="268"/>
      <c r="V209" s="450"/>
      <c r="W209" s="268"/>
      <c r="X209" s="268"/>
      <c r="Y209" s="268"/>
      <c r="Z209" s="268"/>
      <c r="AA209" s="450"/>
      <c r="AB209" s="268"/>
      <c r="AC209" s="268"/>
      <c r="AD209" s="268"/>
      <c r="AE209" s="268"/>
      <c r="AF209" s="450"/>
      <c r="AG209" s="268"/>
      <c r="AH209" s="268"/>
      <c r="AI209" s="268"/>
      <c r="AJ209" s="268"/>
      <c r="AK209" s="450"/>
      <c r="AL209" s="268"/>
      <c r="AM209" s="268"/>
      <c r="AN209" s="268"/>
      <c r="AO209" s="268"/>
      <c r="AP209" s="397"/>
      <c r="AQ209" s="509"/>
      <c r="AR209" s="397"/>
      <c r="AS209" s="93"/>
      <c r="AT209" s="359"/>
      <c r="AU209" s="518"/>
      <c r="AV209" s="524"/>
      <c r="AW209" s="518"/>
      <c r="AX209" s="93"/>
      <c r="AY209" s="364"/>
      <c r="AZ209" s="480"/>
      <c r="BA209" s="525"/>
      <c r="BB209" s="480"/>
      <c r="BC209" s="93"/>
      <c r="BD209" s="368"/>
      <c r="BE209" s="477"/>
      <c r="BF209" s="560"/>
      <c r="BG209" s="477"/>
      <c r="BH209" s="93"/>
      <c r="BI209" s="402"/>
      <c r="BJ209" s="478"/>
      <c r="BK209" s="609"/>
      <c r="BL209" s="478"/>
      <c r="BM209" s="93"/>
      <c r="BN209" s="372"/>
      <c r="BO209" s="455"/>
      <c r="BP209" s="557"/>
      <c r="BQ209" s="455"/>
      <c r="BR209" s="93"/>
      <c r="BS209" s="380"/>
      <c r="BT209" s="492"/>
      <c r="BU209" s="566"/>
      <c r="BV209" s="492"/>
      <c r="BW209" s="93"/>
      <c r="BX209" s="385"/>
      <c r="BY209" s="490"/>
      <c r="BZ209" s="605"/>
      <c r="CA209" s="490"/>
      <c r="CB209" s="93"/>
      <c r="CC209" s="387"/>
      <c r="CD209" s="404"/>
      <c r="CE209" s="535"/>
      <c r="CF209" s="404"/>
      <c r="CG209" s="93"/>
      <c r="CH209" s="387"/>
      <c r="CI209" s="404"/>
      <c r="CJ209" s="535"/>
      <c r="CK209" s="520"/>
      <c r="CL209" s="93"/>
      <c r="CM209" s="390" t="str">
        <f>IFERROR(__xludf.DUMMYFUNCTION("""COMPUTED_VALUE"""),"")</f>
        <v/>
      </c>
      <c r="CN209" s="489" t="str">
        <f>IFERROR(__xludf.DUMMYFUNCTION("""COMPUTED_VALUE"""),"Shellder")</f>
        <v>Shellder</v>
      </c>
      <c r="CO209" s="532" t="s">
        <v>158</v>
      </c>
      <c r="CP209" s="523"/>
      <c r="CQ209" s="93"/>
      <c r="CR209" s="413"/>
      <c r="CS209" s="414"/>
      <c r="CT209" s="632"/>
      <c r="CU209" s="414"/>
      <c r="CV209" s="93"/>
      <c r="CW209" s="415"/>
      <c r="CX209" s="468"/>
      <c r="CY209" s="633"/>
      <c r="CZ209" s="468"/>
      <c r="DA209" s="93"/>
      <c r="DB209" s="423"/>
      <c r="DC209" s="424"/>
      <c r="DD209" s="634"/>
      <c r="DE209" s="424"/>
      <c r="DF209" s="93"/>
      <c r="DG209" s="628"/>
      <c r="DH209" s="641"/>
      <c r="DI209" s="641"/>
      <c r="DJ209" s="641"/>
      <c r="DK209" s="93"/>
      <c r="DL209" s="429"/>
      <c r="DM209" s="430"/>
      <c r="DN209" s="430"/>
      <c r="DO209" s="430"/>
      <c r="DP209" s="93"/>
      <c r="DQ209" s="439"/>
      <c r="DR209" s="441"/>
      <c r="DS209" s="441"/>
      <c r="DT209" s="441"/>
      <c r="DU209" s="93"/>
      <c r="DV209" s="442"/>
      <c r="DW209" s="443"/>
      <c r="DX209" s="363"/>
      <c r="DY209" s="345"/>
      <c r="DZ209" s="87"/>
      <c r="EA209" s="10"/>
    </row>
    <row r="210" ht="17.25" customHeight="1">
      <c r="A210" s="10"/>
      <c r="B210" s="87"/>
      <c r="C210" s="234"/>
      <c r="D210" s="235"/>
      <c r="E210" s="93"/>
      <c r="F210" s="268"/>
      <c r="G210" s="268"/>
      <c r="H210" s="268"/>
      <c r="I210" s="268"/>
      <c r="J210" s="268"/>
      <c r="K210" s="268"/>
      <c r="L210" s="450"/>
      <c r="M210" s="268"/>
      <c r="N210" s="268"/>
      <c r="O210" s="268"/>
      <c r="P210" s="268"/>
      <c r="Q210" s="450"/>
      <c r="R210" s="268"/>
      <c r="S210" s="268"/>
      <c r="T210" s="268"/>
      <c r="U210" s="268"/>
      <c r="V210" s="450"/>
      <c r="W210" s="268"/>
      <c r="X210" s="268"/>
      <c r="Y210" s="268"/>
      <c r="Z210" s="268"/>
      <c r="AA210" s="450"/>
      <c r="AB210" s="268"/>
      <c r="AC210" s="268"/>
      <c r="AD210" s="268"/>
      <c r="AE210" s="268"/>
      <c r="AF210" s="450"/>
      <c r="AG210" s="268"/>
      <c r="AH210" s="268"/>
      <c r="AI210" s="268"/>
      <c r="AJ210" s="268"/>
      <c r="AK210" s="450"/>
      <c r="AL210" s="268"/>
      <c r="AM210" s="268"/>
      <c r="AN210" s="268"/>
      <c r="AO210" s="268"/>
      <c r="AP210" s="397"/>
      <c r="AQ210" s="509"/>
      <c r="AR210" s="397"/>
      <c r="AS210" s="93"/>
      <c r="AT210" s="359"/>
      <c r="AU210" s="518"/>
      <c r="AV210" s="524"/>
      <c r="AW210" s="518"/>
      <c r="AX210" s="93"/>
      <c r="AY210" s="364"/>
      <c r="AZ210" s="480"/>
      <c r="BA210" s="525"/>
      <c r="BB210" s="480"/>
      <c r="BC210" s="93"/>
      <c r="BD210" s="368"/>
      <c r="BE210" s="477"/>
      <c r="BF210" s="560"/>
      <c r="BG210" s="477"/>
      <c r="BH210" s="93"/>
      <c r="BI210" s="402"/>
      <c r="BJ210" s="478"/>
      <c r="BK210" s="609"/>
      <c r="BL210" s="478"/>
      <c r="BM210" s="93"/>
      <c r="BN210" s="372"/>
      <c r="BO210" s="455"/>
      <c r="BP210" s="557"/>
      <c r="BQ210" s="455"/>
      <c r="BR210" s="93"/>
      <c r="BS210" s="380"/>
      <c r="BT210" s="492"/>
      <c r="BU210" s="566"/>
      <c r="BV210" s="492"/>
      <c r="BW210" s="93"/>
      <c r="BX210" s="385"/>
      <c r="BY210" s="490"/>
      <c r="BZ210" s="605"/>
      <c r="CA210" s="490"/>
      <c r="CB210" s="93"/>
      <c r="CC210" s="387"/>
      <c r="CD210" s="404"/>
      <c r="CE210" s="535"/>
      <c r="CF210" s="404"/>
      <c r="CG210" s="93"/>
      <c r="CH210" s="387"/>
      <c r="CI210" s="404"/>
      <c r="CJ210" s="535"/>
      <c r="CK210" s="520"/>
      <c r="CL210" s="93"/>
      <c r="CM210" s="390" t="str">
        <f>IFERROR(__xludf.DUMMYFUNCTION("""COMPUTED_VALUE"""),"")</f>
        <v/>
      </c>
      <c r="CN210" s="489" t="str">
        <f>IFERROR(__xludf.DUMMYFUNCTION("""COMPUTED_VALUE"""),"Shellos")</f>
        <v>Shellos</v>
      </c>
      <c r="CO210" s="532" t="s">
        <v>158</v>
      </c>
      <c r="CP210" s="523"/>
      <c r="CQ210" s="93"/>
      <c r="CR210" s="413"/>
      <c r="CS210" s="414"/>
      <c r="CT210" s="632"/>
      <c r="CU210" s="414"/>
      <c r="CV210" s="93"/>
      <c r="CW210" s="415"/>
      <c r="CX210" s="468"/>
      <c r="CY210" s="633"/>
      <c r="CZ210" s="468"/>
      <c r="DA210" s="93"/>
      <c r="DB210" s="423"/>
      <c r="DC210" s="424"/>
      <c r="DD210" s="634"/>
      <c r="DE210" s="424"/>
      <c r="DF210" s="93"/>
      <c r="DG210" s="628"/>
      <c r="DH210" s="641"/>
      <c r="DI210" s="641"/>
      <c r="DJ210" s="641"/>
      <c r="DK210" s="93"/>
      <c r="DL210" s="429"/>
      <c r="DM210" s="430"/>
      <c r="DN210" s="430"/>
      <c r="DO210" s="430"/>
      <c r="DP210" s="93"/>
      <c r="DQ210" s="439"/>
      <c r="DR210" s="441"/>
      <c r="DS210" s="441"/>
      <c r="DT210" s="441"/>
      <c r="DU210" s="93"/>
      <c r="DV210" s="442"/>
      <c r="DW210" s="443"/>
      <c r="DX210" s="363"/>
      <c r="DY210" s="345"/>
      <c r="DZ210" s="87"/>
      <c r="EA210" s="10"/>
    </row>
    <row r="211" ht="17.25" customHeight="1">
      <c r="A211" s="10"/>
      <c r="B211" s="87"/>
      <c r="C211" s="234"/>
      <c r="D211" s="235"/>
      <c r="E211" s="93"/>
      <c r="F211" s="268"/>
      <c r="G211" s="268"/>
      <c r="H211" s="268"/>
      <c r="I211" s="268"/>
      <c r="J211" s="268"/>
      <c r="K211" s="268"/>
      <c r="L211" s="450"/>
      <c r="M211" s="268"/>
      <c r="N211" s="268"/>
      <c r="O211" s="268"/>
      <c r="P211" s="268"/>
      <c r="Q211" s="450"/>
      <c r="R211" s="268"/>
      <c r="S211" s="268"/>
      <c r="T211" s="268"/>
      <c r="U211" s="268"/>
      <c r="V211" s="450"/>
      <c r="W211" s="268"/>
      <c r="X211" s="268"/>
      <c r="Y211" s="268"/>
      <c r="Z211" s="268"/>
      <c r="AA211" s="450"/>
      <c r="AB211" s="268"/>
      <c r="AC211" s="268"/>
      <c r="AD211" s="268"/>
      <c r="AE211" s="268"/>
      <c r="AF211" s="450"/>
      <c r="AG211" s="268"/>
      <c r="AH211" s="268"/>
      <c r="AI211" s="268"/>
      <c r="AJ211" s="268"/>
      <c r="AK211" s="450"/>
      <c r="AL211" s="268"/>
      <c r="AM211" s="268"/>
      <c r="AN211" s="268"/>
      <c r="AO211" s="268"/>
      <c r="AP211" s="397"/>
      <c r="AQ211" s="509"/>
      <c r="AR211" s="397"/>
      <c r="AS211" s="93"/>
      <c r="AT211" s="359"/>
      <c r="AU211" s="518"/>
      <c r="AV211" s="524"/>
      <c r="AW211" s="518"/>
      <c r="AX211" s="93"/>
      <c r="AY211" s="364"/>
      <c r="AZ211" s="480"/>
      <c r="BA211" s="525"/>
      <c r="BB211" s="480"/>
      <c r="BC211" s="93"/>
      <c r="BD211" s="368"/>
      <c r="BE211" s="477"/>
      <c r="BF211" s="560"/>
      <c r="BG211" s="477"/>
      <c r="BH211" s="93"/>
      <c r="BI211" s="402"/>
      <c r="BJ211" s="478"/>
      <c r="BK211" s="609"/>
      <c r="BL211" s="478"/>
      <c r="BM211" s="93"/>
      <c r="BN211" s="372"/>
      <c r="BO211" s="455"/>
      <c r="BP211" s="557"/>
      <c r="BQ211" s="455"/>
      <c r="BR211" s="93"/>
      <c r="BS211" s="380"/>
      <c r="BT211" s="492"/>
      <c r="BU211" s="566"/>
      <c r="BV211" s="492"/>
      <c r="BW211" s="93"/>
      <c r="BX211" s="385"/>
      <c r="BY211" s="490"/>
      <c r="BZ211" s="605"/>
      <c r="CA211" s="490"/>
      <c r="CB211" s="93"/>
      <c r="CC211" s="387"/>
      <c r="CD211" s="404"/>
      <c r="CE211" s="535"/>
      <c r="CF211" s="404"/>
      <c r="CG211" s="93"/>
      <c r="CH211" s="387"/>
      <c r="CI211" s="404"/>
      <c r="CJ211" s="535"/>
      <c r="CK211" s="520"/>
      <c r="CL211" s="93"/>
      <c r="CM211" s="390" t="str">
        <f>IFERROR(__xludf.DUMMYFUNCTION("""COMPUTED_VALUE"""),"")</f>
        <v/>
      </c>
      <c r="CN211" s="489" t="str">
        <f>IFERROR(__xludf.DUMMYFUNCTION("""COMPUTED_VALUE"""),"Shinx")</f>
        <v>Shinx</v>
      </c>
      <c r="CO211" s="532" t="s">
        <v>158</v>
      </c>
      <c r="CP211" s="523"/>
      <c r="CQ211" s="93"/>
      <c r="CR211" s="413"/>
      <c r="CS211" s="414"/>
      <c r="CT211" s="632"/>
      <c r="CU211" s="414"/>
      <c r="CV211" s="93"/>
      <c r="CW211" s="415"/>
      <c r="CX211" s="468"/>
      <c r="CY211" s="633"/>
      <c r="CZ211" s="468"/>
      <c r="DA211" s="93"/>
      <c r="DB211" s="423"/>
      <c r="DC211" s="424"/>
      <c r="DD211" s="634"/>
      <c r="DE211" s="424"/>
      <c r="DF211" s="93"/>
      <c r="DG211" s="628"/>
      <c r="DH211" s="641"/>
      <c r="DI211" s="641"/>
      <c r="DJ211" s="641"/>
      <c r="DK211" s="93"/>
      <c r="DL211" s="429"/>
      <c r="DM211" s="430"/>
      <c r="DN211" s="430"/>
      <c r="DO211" s="430"/>
      <c r="DP211" s="93"/>
      <c r="DQ211" s="439"/>
      <c r="DR211" s="441"/>
      <c r="DS211" s="441"/>
      <c r="DT211" s="441"/>
      <c r="DU211" s="93"/>
      <c r="DV211" s="442"/>
      <c r="DW211" s="443"/>
      <c r="DX211" s="363"/>
      <c r="DY211" s="345"/>
      <c r="DZ211" s="87"/>
      <c r="EA211" s="10"/>
    </row>
    <row r="212" ht="17.25" customHeight="1">
      <c r="A212" s="10"/>
      <c r="B212" s="87"/>
      <c r="C212" s="234"/>
      <c r="D212" s="235"/>
      <c r="E212" s="93"/>
      <c r="F212" s="268"/>
      <c r="G212" s="268"/>
      <c r="H212" s="268"/>
      <c r="I212" s="268"/>
      <c r="J212" s="268"/>
      <c r="K212" s="268"/>
      <c r="L212" s="450"/>
      <c r="M212" s="268"/>
      <c r="N212" s="268"/>
      <c r="O212" s="268"/>
      <c r="P212" s="268"/>
      <c r="Q212" s="450"/>
      <c r="R212" s="268"/>
      <c r="S212" s="268"/>
      <c r="T212" s="268"/>
      <c r="U212" s="268"/>
      <c r="V212" s="450"/>
      <c r="W212" s="268"/>
      <c r="X212" s="268"/>
      <c r="Y212" s="268"/>
      <c r="Z212" s="268"/>
      <c r="AA212" s="450"/>
      <c r="AB212" s="268"/>
      <c r="AC212" s="268"/>
      <c r="AD212" s="268"/>
      <c r="AE212" s="268"/>
      <c r="AF212" s="450"/>
      <c r="AG212" s="268"/>
      <c r="AH212" s="268"/>
      <c r="AI212" s="268"/>
      <c r="AJ212" s="268"/>
      <c r="AK212" s="450"/>
      <c r="AL212" s="268"/>
      <c r="AM212" s="268"/>
      <c r="AN212" s="268"/>
      <c r="AO212" s="268"/>
      <c r="AP212" s="397"/>
      <c r="AQ212" s="509"/>
      <c r="AR212" s="397"/>
      <c r="AS212" s="93"/>
      <c r="AT212" s="359"/>
      <c r="AU212" s="518"/>
      <c r="AV212" s="524"/>
      <c r="AW212" s="518"/>
      <c r="AX212" s="93"/>
      <c r="AY212" s="364"/>
      <c r="AZ212" s="480"/>
      <c r="BA212" s="525"/>
      <c r="BB212" s="480"/>
      <c r="BC212" s="93"/>
      <c r="BD212" s="368"/>
      <c r="BE212" s="477"/>
      <c r="BF212" s="560"/>
      <c r="BG212" s="477"/>
      <c r="BH212" s="93"/>
      <c r="BI212" s="402"/>
      <c r="BJ212" s="478"/>
      <c r="BK212" s="609"/>
      <c r="BL212" s="478"/>
      <c r="BM212" s="93"/>
      <c r="BN212" s="372"/>
      <c r="BO212" s="455"/>
      <c r="BP212" s="557"/>
      <c r="BQ212" s="455"/>
      <c r="BR212" s="93"/>
      <c r="BS212" s="380"/>
      <c r="BT212" s="492"/>
      <c r="BU212" s="566"/>
      <c r="BV212" s="492"/>
      <c r="BW212" s="93"/>
      <c r="BX212" s="385"/>
      <c r="BY212" s="490"/>
      <c r="BZ212" s="605"/>
      <c r="CA212" s="490"/>
      <c r="CB212" s="93"/>
      <c r="CC212" s="387"/>
      <c r="CD212" s="404"/>
      <c r="CE212" s="535"/>
      <c r="CF212" s="404"/>
      <c r="CG212" s="93"/>
      <c r="CH212" s="387"/>
      <c r="CI212" s="404"/>
      <c r="CJ212" s="535"/>
      <c r="CK212" s="520"/>
      <c r="CL212" s="93"/>
      <c r="CM212" s="390" t="str">
        <f>IFERROR(__xludf.DUMMYFUNCTION("""COMPUTED_VALUE"""),"")</f>
        <v/>
      </c>
      <c r="CN212" s="489" t="str">
        <f>IFERROR(__xludf.DUMMYFUNCTION("""COMPUTED_VALUE"""),"Shroodle")</f>
        <v>Shroodle</v>
      </c>
      <c r="CO212" s="532" t="s">
        <v>158</v>
      </c>
      <c r="CP212" s="523"/>
      <c r="CQ212" s="93"/>
      <c r="CR212" s="413"/>
      <c r="CS212" s="414"/>
      <c r="CT212" s="632"/>
      <c r="CU212" s="414"/>
      <c r="CV212" s="93"/>
      <c r="CW212" s="415"/>
      <c r="CX212" s="468"/>
      <c r="CY212" s="633"/>
      <c r="CZ212" s="468"/>
      <c r="DA212" s="93"/>
      <c r="DB212" s="423"/>
      <c r="DC212" s="424"/>
      <c r="DD212" s="634"/>
      <c r="DE212" s="424"/>
      <c r="DF212" s="93"/>
      <c r="DG212" s="628"/>
      <c r="DH212" s="641"/>
      <c r="DI212" s="641"/>
      <c r="DJ212" s="641"/>
      <c r="DK212" s="93"/>
      <c r="DL212" s="429"/>
      <c r="DM212" s="430"/>
      <c r="DN212" s="430"/>
      <c r="DO212" s="430"/>
      <c r="DP212" s="93"/>
      <c r="DQ212" s="439"/>
      <c r="DR212" s="441"/>
      <c r="DS212" s="441"/>
      <c r="DT212" s="441"/>
      <c r="DU212" s="93"/>
      <c r="DV212" s="442"/>
      <c r="DW212" s="443"/>
      <c r="DX212" s="363"/>
      <c r="DY212" s="345"/>
      <c r="DZ212" s="87"/>
      <c r="EA212" s="10"/>
    </row>
    <row r="213" ht="17.25" customHeight="1">
      <c r="A213" s="10"/>
      <c r="B213" s="87"/>
      <c r="C213" s="234"/>
      <c r="D213" s="235"/>
      <c r="E213" s="93"/>
      <c r="F213" s="268"/>
      <c r="G213" s="268"/>
      <c r="H213" s="268"/>
      <c r="I213" s="268"/>
      <c r="J213" s="268"/>
      <c r="K213" s="268"/>
      <c r="L213" s="450"/>
      <c r="M213" s="268"/>
      <c r="N213" s="268"/>
      <c r="O213" s="268"/>
      <c r="P213" s="268"/>
      <c r="Q213" s="450"/>
      <c r="R213" s="268"/>
      <c r="S213" s="268"/>
      <c r="T213" s="268"/>
      <c r="U213" s="268"/>
      <c r="V213" s="450"/>
      <c r="W213" s="268"/>
      <c r="X213" s="268"/>
      <c r="Y213" s="268"/>
      <c r="Z213" s="268"/>
      <c r="AA213" s="450"/>
      <c r="AB213" s="268"/>
      <c r="AC213" s="268"/>
      <c r="AD213" s="268"/>
      <c r="AE213" s="268"/>
      <c r="AF213" s="450"/>
      <c r="AG213" s="268"/>
      <c r="AH213" s="268"/>
      <c r="AI213" s="268"/>
      <c r="AJ213" s="268"/>
      <c r="AK213" s="450"/>
      <c r="AL213" s="268"/>
      <c r="AM213" s="268"/>
      <c r="AN213" s="268"/>
      <c r="AO213" s="268"/>
      <c r="AP213" s="397"/>
      <c r="AQ213" s="509"/>
      <c r="AR213" s="397"/>
      <c r="AS213" s="93"/>
      <c r="AT213" s="359"/>
      <c r="AU213" s="518"/>
      <c r="AV213" s="524"/>
      <c r="AW213" s="518"/>
      <c r="AX213" s="93"/>
      <c r="AY213" s="364"/>
      <c r="AZ213" s="480"/>
      <c r="BA213" s="525"/>
      <c r="BB213" s="480"/>
      <c r="BC213" s="93"/>
      <c r="BD213" s="368"/>
      <c r="BE213" s="477"/>
      <c r="BF213" s="560"/>
      <c r="BG213" s="477"/>
      <c r="BH213" s="93"/>
      <c r="BI213" s="402"/>
      <c r="BJ213" s="478"/>
      <c r="BK213" s="609"/>
      <c r="BL213" s="478"/>
      <c r="BM213" s="93"/>
      <c r="BN213" s="372"/>
      <c r="BO213" s="455"/>
      <c r="BP213" s="557"/>
      <c r="BQ213" s="455"/>
      <c r="BR213" s="93"/>
      <c r="BS213" s="380"/>
      <c r="BT213" s="492"/>
      <c r="BU213" s="566"/>
      <c r="BV213" s="492"/>
      <c r="BW213" s="93"/>
      <c r="BX213" s="385"/>
      <c r="BY213" s="490"/>
      <c r="BZ213" s="605"/>
      <c r="CA213" s="490"/>
      <c r="CB213" s="93"/>
      <c r="CC213" s="387"/>
      <c r="CD213" s="404"/>
      <c r="CE213" s="535"/>
      <c r="CF213" s="404"/>
      <c r="CG213" s="93"/>
      <c r="CH213" s="387"/>
      <c r="CI213" s="404"/>
      <c r="CJ213" s="535"/>
      <c r="CK213" s="520"/>
      <c r="CL213" s="93"/>
      <c r="CM213" s="390" t="str">
        <f>IFERROR(__xludf.DUMMYFUNCTION("""COMPUTED_VALUE"""),"")</f>
        <v/>
      </c>
      <c r="CN213" s="489" t="str">
        <f>IFERROR(__xludf.DUMMYFUNCTION("""COMPUTED_VALUE"""),"Shroomish")</f>
        <v>Shroomish</v>
      </c>
      <c r="CO213" s="532" t="s">
        <v>158</v>
      </c>
      <c r="CP213" s="523"/>
      <c r="CQ213" s="93"/>
      <c r="CR213" s="413"/>
      <c r="CS213" s="414"/>
      <c r="CT213" s="632"/>
      <c r="CU213" s="414"/>
      <c r="CV213" s="93"/>
      <c r="CW213" s="415"/>
      <c r="CX213" s="468"/>
      <c r="CY213" s="633"/>
      <c r="CZ213" s="468"/>
      <c r="DA213" s="93"/>
      <c r="DB213" s="423"/>
      <c r="DC213" s="424"/>
      <c r="DD213" s="634"/>
      <c r="DE213" s="424"/>
      <c r="DF213" s="93"/>
      <c r="DG213" s="628"/>
      <c r="DH213" s="641"/>
      <c r="DI213" s="641"/>
      <c r="DJ213" s="641"/>
      <c r="DK213" s="93"/>
      <c r="DL213" s="429"/>
      <c r="DM213" s="430"/>
      <c r="DN213" s="430"/>
      <c r="DO213" s="430"/>
      <c r="DP213" s="93"/>
      <c r="DQ213" s="439"/>
      <c r="DR213" s="441"/>
      <c r="DS213" s="441"/>
      <c r="DT213" s="441"/>
      <c r="DU213" s="93"/>
      <c r="DV213" s="442"/>
      <c r="DW213" s="443"/>
      <c r="DX213" s="363"/>
      <c r="DY213" s="345"/>
      <c r="DZ213" s="87"/>
      <c r="EA213" s="10"/>
    </row>
    <row r="214" ht="17.25" customHeight="1">
      <c r="A214" s="10"/>
      <c r="B214" s="87"/>
      <c r="C214" s="234"/>
      <c r="D214" s="235"/>
      <c r="E214" s="93"/>
      <c r="F214" s="268"/>
      <c r="G214" s="268"/>
      <c r="H214" s="268"/>
      <c r="I214" s="268"/>
      <c r="J214" s="268"/>
      <c r="K214" s="268"/>
      <c r="L214" s="450"/>
      <c r="M214" s="268"/>
      <c r="N214" s="268"/>
      <c r="O214" s="268"/>
      <c r="P214" s="268"/>
      <c r="Q214" s="450"/>
      <c r="R214" s="268"/>
      <c r="S214" s="268"/>
      <c r="T214" s="268"/>
      <c r="U214" s="268"/>
      <c r="V214" s="450"/>
      <c r="W214" s="268"/>
      <c r="X214" s="268"/>
      <c r="Y214" s="268"/>
      <c r="Z214" s="268"/>
      <c r="AA214" s="450"/>
      <c r="AB214" s="268"/>
      <c r="AC214" s="268"/>
      <c r="AD214" s="268"/>
      <c r="AE214" s="268"/>
      <c r="AF214" s="450"/>
      <c r="AG214" s="268"/>
      <c r="AH214" s="268"/>
      <c r="AI214" s="268"/>
      <c r="AJ214" s="268"/>
      <c r="AK214" s="450"/>
      <c r="AL214" s="268"/>
      <c r="AM214" s="268"/>
      <c r="AN214" s="268"/>
      <c r="AO214" s="268"/>
      <c r="AP214" s="397"/>
      <c r="AQ214" s="509"/>
      <c r="AR214" s="397"/>
      <c r="AS214" s="93"/>
      <c r="AT214" s="359"/>
      <c r="AU214" s="518"/>
      <c r="AV214" s="524"/>
      <c r="AW214" s="518"/>
      <c r="AX214" s="93"/>
      <c r="AY214" s="364"/>
      <c r="AZ214" s="480"/>
      <c r="BA214" s="525"/>
      <c r="BB214" s="480"/>
      <c r="BC214" s="93"/>
      <c r="BD214" s="368"/>
      <c r="BE214" s="477"/>
      <c r="BF214" s="560"/>
      <c r="BG214" s="477"/>
      <c r="BH214" s="93"/>
      <c r="BI214" s="402"/>
      <c r="BJ214" s="478"/>
      <c r="BK214" s="609"/>
      <c r="BL214" s="478"/>
      <c r="BM214" s="93"/>
      <c r="BN214" s="372"/>
      <c r="BO214" s="455"/>
      <c r="BP214" s="557"/>
      <c r="BQ214" s="455"/>
      <c r="BR214" s="93"/>
      <c r="BS214" s="380"/>
      <c r="BT214" s="492"/>
      <c r="BU214" s="566"/>
      <c r="BV214" s="492"/>
      <c r="BW214" s="93"/>
      <c r="BX214" s="385"/>
      <c r="BY214" s="490"/>
      <c r="BZ214" s="605"/>
      <c r="CA214" s="490"/>
      <c r="CB214" s="93"/>
      <c r="CC214" s="387"/>
      <c r="CD214" s="404"/>
      <c r="CE214" s="535"/>
      <c r="CF214" s="404"/>
      <c r="CG214" s="93"/>
      <c r="CH214" s="387"/>
      <c r="CI214" s="404"/>
      <c r="CJ214" s="535"/>
      <c r="CK214" s="520"/>
      <c r="CL214" s="93"/>
      <c r="CM214" s="390" t="str">
        <f>IFERROR(__xludf.DUMMYFUNCTION("""COMPUTED_VALUE"""),"")</f>
        <v/>
      </c>
      <c r="CN214" s="489" t="str">
        <f>IFERROR(__xludf.DUMMYFUNCTION("""COMPUTED_VALUE"""),"Shuppet")</f>
        <v>Shuppet</v>
      </c>
      <c r="CO214" s="532" t="s">
        <v>158</v>
      </c>
      <c r="CP214" s="523"/>
      <c r="CQ214" s="93"/>
      <c r="CR214" s="413"/>
      <c r="CS214" s="414"/>
      <c r="CT214" s="632"/>
      <c r="CU214" s="414"/>
      <c r="CV214" s="93"/>
      <c r="CW214" s="415"/>
      <c r="CX214" s="468"/>
      <c r="CY214" s="633"/>
      <c r="CZ214" s="468"/>
      <c r="DA214" s="93"/>
      <c r="DB214" s="423"/>
      <c r="DC214" s="424"/>
      <c r="DD214" s="634"/>
      <c r="DE214" s="424"/>
      <c r="DF214" s="93"/>
      <c r="DG214" s="628"/>
      <c r="DH214" s="641"/>
      <c r="DI214" s="641"/>
      <c r="DJ214" s="641"/>
      <c r="DK214" s="93"/>
      <c r="DL214" s="429"/>
      <c r="DM214" s="430"/>
      <c r="DN214" s="430"/>
      <c r="DO214" s="430"/>
      <c r="DP214" s="93"/>
      <c r="DQ214" s="439"/>
      <c r="DR214" s="441"/>
      <c r="DS214" s="441"/>
      <c r="DT214" s="441"/>
      <c r="DU214" s="93"/>
      <c r="DV214" s="442"/>
      <c r="DW214" s="443"/>
      <c r="DX214" s="363"/>
      <c r="DY214" s="345"/>
      <c r="DZ214" s="87"/>
      <c r="EA214" s="10"/>
    </row>
    <row r="215" ht="17.25" customHeight="1">
      <c r="A215" s="10"/>
      <c r="B215" s="87"/>
      <c r="C215" s="234"/>
      <c r="D215" s="235"/>
      <c r="E215" s="93"/>
      <c r="F215" s="268"/>
      <c r="G215" s="268"/>
      <c r="H215" s="268"/>
      <c r="I215" s="268"/>
      <c r="J215" s="268"/>
      <c r="K215" s="268"/>
      <c r="L215" s="450"/>
      <c r="M215" s="268"/>
      <c r="N215" s="268"/>
      <c r="O215" s="268"/>
      <c r="P215" s="268"/>
      <c r="Q215" s="450"/>
      <c r="R215" s="268"/>
      <c r="S215" s="268"/>
      <c r="T215" s="268"/>
      <c r="U215" s="268"/>
      <c r="V215" s="450"/>
      <c r="W215" s="268"/>
      <c r="X215" s="268"/>
      <c r="Y215" s="268"/>
      <c r="Z215" s="268"/>
      <c r="AA215" s="450"/>
      <c r="AB215" s="268"/>
      <c r="AC215" s="268"/>
      <c r="AD215" s="268"/>
      <c r="AE215" s="268"/>
      <c r="AF215" s="450"/>
      <c r="AG215" s="268"/>
      <c r="AH215" s="268"/>
      <c r="AI215" s="268"/>
      <c r="AJ215" s="268"/>
      <c r="AK215" s="450"/>
      <c r="AL215" s="268"/>
      <c r="AM215" s="268"/>
      <c r="AN215" s="268"/>
      <c r="AO215" s="268"/>
      <c r="AP215" s="397"/>
      <c r="AQ215" s="509"/>
      <c r="AR215" s="397"/>
      <c r="AS215" s="93"/>
      <c r="AT215" s="359"/>
      <c r="AU215" s="518"/>
      <c r="AV215" s="524"/>
      <c r="AW215" s="518"/>
      <c r="AX215" s="93"/>
      <c r="AY215" s="364"/>
      <c r="AZ215" s="480"/>
      <c r="BA215" s="525"/>
      <c r="BB215" s="480"/>
      <c r="BC215" s="93"/>
      <c r="BD215" s="368"/>
      <c r="BE215" s="477"/>
      <c r="BF215" s="560"/>
      <c r="BG215" s="477"/>
      <c r="BH215" s="93"/>
      <c r="BI215" s="402"/>
      <c r="BJ215" s="478"/>
      <c r="BK215" s="609"/>
      <c r="BL215" s="478"/>
      <c r="BM215" s="93"/>
      <c r="BN215" s="372"/>
      <c r="BO215" s="455"/>
      <c r="BP215" s="557"/>
      <c r="BQ215" s="455"/>
      <c r="BR215" s="93"/>
      <c r="BS215" s="380"/>
      <c r="BT215" s="492"/>
      <c r="BU215" s="566"/>
      <c r="BV215" s="492"/>
      <c r="BW215" s="93"/>
      <c r="BX215" s="385"/>
      <c r="BY215" s="490"/>
      <c r="BZ215" s="605"/>
      <c r="CA215" s="490"/>
      <c r="CB215" s="93"/>
      <c r="CC215" s="387"/>
      <c r="CD215" s="404"/>
      <c r="CE215" s="535"/>
      <c r="CF215" s="404"/>
      <c r="CG215" s="93"/>
      <c r="CH215" s="387"/>
      <c r="CI215" s="404"/>
      <c r="CJ215" s="535"/>
      <c r="CK215" s="520"/>
      <c r="CL215" s="93"/>
      <c r="CM215" s="390" t="str">
        <f>IFERROR(__xludf.DUMMYFUNCTION("""COMPUTED_VALUE"""),"")</f>
        <v/>
      </c>
      <c r="CN215" s="489" t="str">
        <f>IFERROR(__xludf.DUMMYFUNCTION("""COMPUTED_VALUE"""),"Silicobra")</f>
        <v>Silicobra</v>
      </c>
      <c r="CO215" s="532" t="s">
        <v>158</v>
      </c>
      <c r="CP215" s="523"/>
      <c r="CQ215" s="93"/>
      <c r="CR215" s="413"/>
      <c r="CS215" s="414"/>
      <c r="CT215" s="632"/>
      <c r="CU215" s="414"/>
      <c r="CV215" s="93"/>
      <c r="CW215" s="415"/>
      <c r="CX215" s="468"/>
      <c r="CY215" s="633"/>
      <c r="CZ215" s="468"/>
      <c r="DA215" s="93"/>
      <c r="DB215" s="423"/>
      <c r="DC215" s="424"/>
      <c r="DD215" s="634"/>
      <c r="DE215" s="424"/>
      <c r="DF215" s="93"/>
      <c r="DG215" s="628"/>
      <c r="DH215" s="641"/>
      <c r="DI215" s="641"/>
      <c r="DJ215" s="641"/>
      <c r="DK215" s="93"/>
      <c r="DL215" s="429"/>
      <c r="DM215" s="430"/>
      <c r="DN215" s="430"/>
      <c r="DO215" s="430"/>
      <c r="DP215" s="93"/>
      <c r="DQ215" s="439"/>
      <c r="DR215" s="441"/>
      <c r="DS215" s="441"/>
      <c r="DT215" s="441"/>
      <c r="DU215" s="93"/>
      <c r="DV215" s="442"/>
      <c r="DW215" s="443"/>
      <c r="DX215" s="363"/>
      <c r="DY215" s="345"/>
      <c r="DZ215" s="87"/>
      <c r="EA215" s="10"/>
    </row>
    <row r="216" ht="17.25" customHeight="1">
      <c r="A216" s="10"/>
      <c r="B216" s="87"/>
      <c r="C216" s="234"/>
      <c r="D216" s="235"/>
      <c r="E216" s="93"/>
      <c r="F216" s="268"/>
      <c r="G216" s="268"/>
      <c r="H216" s="268"/>
      <c r="I216" s="268"/>
      <c r="J216" s="268"/>
      <c r="K216" s="268"/>
      <c r="L216" s="450"/>
      <c r="M216" s="268"/>
      <c r="N216" s="268"/>
      <c r="O216" s="268"/>
      <c r="P216" s="268"/>
      <c r="Q216" s="450"/>
      <c r="R216" s="268"/>
      <c r="S216" s="268"/>
      <c r="T216" s="268"/>
      <c r="U216" s="268"/>
      <c r="V216" s="450"/>
      <c r="W216" s="268"/>
      <c r="X216" s="268"/>
      <c r="Y216" s="268"/>
      <c r="Z216" s="268"/>
      <c r="AA216" s="450"/>
      <c r="AB216" s="268"/>
      <c r="AC216" s="268"/>
      <c r="AD216" s="268"/>
      <c r="AE216" s="268"/>
      <c r="AF216" s="450"/>
      <c r="AG216" s="268"/>
      <c r="AH216" s="268"/>
      <c r="AI216" s="268"/>
      <c r="AJ216" s="268"/>
      <c r="AK216" s="450"/>
      <c r="AL216" s="268"/>
      <c r="AM216" s="268"/>
      <c r="AN216" s="268"/>
      <c r="AO216" s="268"/>
      <c r="AP216" s="397"/>
      <c r="AQ216" s="509"/>
      <c r="AR216" s="397"/>
      <c r="AS216" s="93"/>
      <c r="AT216" s="359"/>
      <c r="AU216" s="518"/>
      <c r="AV216" s="524"/>
      <c r="AW216" s="518"/>
      <c r="AX216" s="93"/>
      <c r="AY216" s="364"/>
      <c r="AZ216" s="480"/>
      <c r="BA216" s="525"/>
      <c r="BB216" s="480"/>
      <c r="BC216" s="93"/>
      <c r="BD216" s="368"/>
      <c r="BE216" s="477"/>
      <c r="BF216" s="560"/>
      <c r="BG216" s="477"/>
      <c r="BH216" s="93"/>
      <c r="BI216" s="402"/>
      <c r="BJ216" s="478"/>
      <c r="BK216" s="609"/>
      <c r="BL216" s="478"/>
      <c r="BM216" s="93"/>
      <c r="BN216" s="372"/>
      <c r="BO216" s="455"/>
      <c r="BP216" s="557"/>
      <c r="BQ216" s="455"/>
      <c r="BR216" s="93"/>
      <c r="BS216" s="380"/>
      <c r="BT216" s="492"/>
      <c r="BU216" s="566"/>
      <c r="BV216" s="492"/>
      <c r="BW216" s="93"/>
      <c r="BX216" s="385"/>
      <c r="BY216" s="490"/>
      <c r="BZ216" s="605"/>
      <c r="CA216" s="490"/>
      <c r="CB216" s="93"/>
      <c r="CC216" s="387"/>
      <c r="CD216" s="404"/>
      <c r="CE216" s="535"/>
      <c r="CF216" s="404"/>
      <c r="CG216" s="93"/>
      <c r="CH216" s="387"/>
      <c r="CI216" s="404"/>
      <c r="CJ216" s="535"/>
      <c r="CK216" s="520"/>
      <c r="CL216" s="93"/>
      <c r="CM216" s="390" t="str">
        <f>IFERROR(__xludf.DUMMYFUNCTION("""COMPUTED_VALUE"""),"")</f>
        <v/>
      </c>
      <c r="CN216" s="489" t="str">
        <f>IFERROR(__xludf.DUMMYFUNCTION("""COMPUTED_VALUE"""),"Sinistea")</f>
        <v>Sinistea</v>
      </c>
      <c r="CO216" s="532" t="s">
        <v>158</v>
      </c>
      <c r="CP216" s="523"/>
      <c r="CQ216" s="93"/>
      <c r="CR216" s="413"/>
      <c r="CS216" s="414"/>
      <c r="CT216" s="632"/>
      <c r="CU216" s="414"/>
      <c r="CV216" s="93"/>
      <c r="CW216" s="415"/>
      <c r="CX216" s="468"/>
      <c r="CY216" s="633"/>
      <c r="CZ216" s="468"/>
      <c r="DA216" s="93"/>
      <c r="DB216" s="423"/>
      <c r="DC216" s="424"/>
      <c r="DD216" s="634"/>
      <c r="DE216" s="424"/>
      <c r="DF216" s="93"/>
      <c r="DG216" s="628"/>
      <c r="DH216" s="641"/>
      <c r="DI216" s="641"/>
      <c r="DJ216" s="641"/>
      <c r="DK216" s="93"/>
      <c r="DL216" s="429"/>
      <c r="DM216" s="430"/>
      <c r="DN216" s="430"/>
      <c r="DO216" s="430"/>
      <c r="DP216" s="93"/>
      <c r="DQ216" s="439"/>
      <c r="DR216" s="441"/>
      <c r="DS216" s="441"/>
      <c r="DT216" s="441"/>
      <c r="DU216" s="93"/>
      <c r="DV216" s="442"/>
      <c r="DW216" s="443"/>
      <c r="DX216" s="363"/>
      <c r="DY216" s="345"/>
      <c r="DZ216" s="87"/>
      <c r="EA216" s="10"/>
    </row>
    <row r="217" ht="17.25" customHeight="1">
      <c r="A217" s="10"/>
      <c r="B217" s="87"/>
      <c r="C217" s="234"/>
      <c r="D217" s="235"/>
      <c r="E217" s="93"/>
      <c r="F217" s="268"/>
      <c r="G217" s="268"/>
      <c r="H217" s="268"/>
      <c r="I217" s="268"/>
      <c r="J217" s="268"/>
      <c r="K217" s="268"/>
      <c r="L217" s="450"/>
      <c r="M217" s="268"/>
      <c r="N217" s="268"/>
      <c r="O217" s="268"/>
      <c r="P217" s="268"/>
      <c r="Q217" s="450"/>
      <c r="R217" s="268"/>
      <c r="S217" s="268"/>
      <c r="T217" s="268"/>
      <c r="U217" s="268"/>
      <c r="V217" s="450"/>
      <c r="W217" s="268"/>
      <c r="X217" s="268"/>
      <c r="Y217" s="268"/>
      <c r="Z217" s="268"/>
      <c r="AA217" s="450"/>
      <c r="AB217" s="268"/>
      <c r="AC217" s="268"/>
      <c r="AD217" s="268"/>
      <c r="AE217" s="268"/>
      <c r="AF217" s="450"/>
      <c r="AG217" s="268"/>
      <c r="AH217" s="268"/>
      <c r="AI217" s="268"/>
      <c r="AJ217" s="268"/>
      <c r="AK217" s="450"/>
      <c r="AL217" s="268"/>
      <c r="AM217" s="268"/>
      <c r="AN217" s="268"/>
      <c r="AO217" s="268"/>
      <c r="AP217" s="397"/>
      <c r="AQ217" s="509"/>
      <c r="AR217" s="397"/>
      <c r="AS217" s="93"/>
      <c r="AT217" s="359"/>
      <c r="AU217" s="518"/>
      <c r="AV217" s="524"/>
      <c r="AW217" s="518"/>
      <c r="AX217" s="93"/>
      <c r="AY217" s="364"/>
      <c r="AZ217" s="480"/>
      <c r="BA217" s="525"/>
      <c r="BB217" s="480"/>
      <c r="BC217" s="93"/>
      <c r="BD217" s="368"/>
      <c r="BE217" s="477"/>
      <c r="BF217" s="560"/>
      <c r="BG217" s="477"/>
      <c r="BH217" s="93"/>
      <c r="BI217" s="402"/>
      <c r="BJ217" s="478"/>
      <c r="BK217" s="609"/>
      <c r="BL217" s="478"/>
      <c r="BM217" s="93"/>
      <c r="BN217" s="372"/>
      <c r="BO217" s="455"/>
      <c r="BP217" s="557"/>
      <c r="BQ217" s="455"/>
      <c r="BR217" s="93"/>
      <c r="BS217" s="380"/>
      <c r="BT217" s="492"/>
      <c r="BU217" s="566"/>
      <c r="BV217" s="492"/>
      <c r="BW217" s="93"/>
      <c r="BX217" s="385"/>
      <c r="BY217" s="490"/>
      <c r="BZ217" s="605"/>
      <c r="CA217" s="490"/>
      <c r="CB217" s="93"/>
      <c r="CC217" s="387"/>
      <c r="CD217" s="404"/>
      <c r="CE217" s="535"/>
      <c r="CF217" s="404"/>
      <c r="CG217" s="93"/>
      <c r="CH217" s="387"/>
      <c r="CI217" s="404"/>
      <c r="CJ217" s="535"/>
      <c r="CK217" s="520"/>
      <c r="CL217" s="93"/>
      <c r="CM217" s="390" t="str">
        <f>IFERROR(__xludf.DUMMYFUNCTION("""COMPUTED_VALUE"""),"")</f>
        <v/>
      </c>
      <c r="CN217" s="489" t="str">
        <f>IFERROR(__xludf.DUMMYFUNCTION("""COMPUTED_VALUE"""),"Skiploom")</f>
        <v>Skiploom</v>
      </c>
      <c r="CO217" s="532" t="s">
        <v>158</v>
      </c>
      <c r="CP217" s="523"/>
      <c r="CQ217" s="93"/>
      <c r="CR217" s="413"/>
      <c r="CS217" s="414"/>
      <c r="CT217" s="632"/>
      <c r="CU217" s="414"/>
      <c r="CV217" s="93"/>
      <c r="CW217" s="415"/>
      <c r="CX217" s="468"/>
      <c r="CY217" s="633"/>
      <c r="CZ217" s="468"/>
      <c r="DA217" s="93"/>
      <c r="DB217" s="423"/>
      <c r="DC217" s="424"/>
      <c r="DD217" s="634"/>
      <c r="DE217" s="424"/>
      <c r="DF217" s="93"/>
      <c r="DG217" s="628"/>
      <c r="DH217" s="641"/>
      <c r="DI217" s="641"/>
      <c r="DJ217" s="641"/>
      <c r="DK217" s="93"/>
      <c r="DL217" s="429"/>
      <c r="DM217" s="430"/>
      <c r="DN217" s="430"/>
      <c r="DO217" s="430"/>
      <c r="DP217" s="93"/>
      <c r="DQ217" s="439"/>
      <c r="DR217" s="441"/>
      <c r="DS217" s="441"/>
      <c r="DT217" s="441"/>
      <c r="DU217" s="93"/>
      <c r="DV217" s="442"/>
      <c r="DW217" s="443"/>
      <c r="DX217" s="363"/>
      <c r="DY217" s="345"/>
      <c r="DZ217" s="87"/>
      <c r="EA217" s="10"/>
    </row>
    <row r="218" ht="17.25" customHeight="1">
      <c r="A218" s="10"/>
      <c r="B218" s="87"/>
      <c r="C218" s="234"/>
      <c r="D218" s="235"/>
      <c r="E218" s="93"/>
      <c r="F218" s="268"/>
      <c r="G218" s="268"/>
      <c r="H218" s="268"/>
      <c r="I218" s="268"/>
      <c r="J218" s="268"/>
      <c r="K218" s="268"/>
      <c r="L218" s="450"/>
      <c r="M218" s="268"/>
      <c r="N218" s="268"/>
      <c r="O218" s="268"/>
      <c r="P218" s="268"/>
      <c r="Q218" s="450"/>
      <c r="R218" s="268"/>
      <c r="S218" s="268"/>
      <c r="T218" s="268"/>
      <c r="U218" s="268"/>
      <c r="V218" s="450"/>
      <c r="W218" s="268"/>
      <c r="X218" s="268"/>
      <c r="Y218" s="268"/>
      <c r="Z218" s="268"/>
      <c r="AA218" s="450"/>
      <c r="AB218" s="268"/>
      <c r="AC218" s="268"/>
      <c r="AD218" s="268"/>
      <c r="AE218" s="268"/>
      <c r="AF218" s="450"/>
      <c r="AG218" s="268"/>
      <c r="AH218" s="268"/>
      <c r="AI218" s="268"/>
      <c r="AJ218" s="268"/>
      <c r="AK218" s="450"/>
      <c r="AL218" s="268"/>
      <c r="AM218" s="268"/>
      <c r="AN218" s="268"/>
      <c r="AO218" s="268"/>
      <c r="AP218" s="397"/>
      <c r="AQ218" s="509"/>
      <c r="AR218" s="397"/>
      <c r="AS218" s="93"/>
      <c r="AT218" s="359"/>
      <c r="AU218" s="518"/>
      <c r="AV218" s="524"/>
      <c r="AW218" s="518"/>
      <c r="AX218" s="93"/>
      <c r="AY218" s="364"/>
      <c r="AZ218" s="480"/>
      <c r="BA218" s="525"/>
      <c r="BB218" s="480"/>
      <c r="BC218" s="93"/>
      <c r="BD218" s="368"/>
      <c r="BE218" s="477"/>
      <c r="BF218" s="560"/>
      <c r="BG218" s="477"/>
      <c r="BH218" s="93"/>
      <c r="BI218" s="402"/>
      <c r="BJ218" s="478"/>
      <c r="BK218" s="609"/>
      <c r="BL218" s="478"/>
      <c r="BM218" s="93"/>
      <c r="BN218" s="372"/>
      <c r="BO218" s="455"/>
      <c r="BP218" s="557"/>
      <c r="BQ218" s="455"/>
      <c r="BR218" s="93"/>
      <c r="BS218" s="380"/>
      <c r="BT218" s="492"/>
      <c r="BU218" s="566"/>
      <c r="BV218" s="492"/>
      <c r="BW218" s="93"/>
      <c r="BX218" s="385"/>
      <c r="BY218" s="490"/>
      <c r="BZ218" s="605"/>
      <c r="CA218" s="490"/>
      <c r="CB218" s="93"/>
      <c r="CC218" s="387"/>
      <c r="CD218" s="404"/>
      <c r="CE218" s="535"/>
      <c r="CF218" s="404"/>
      <c r="CG218" s="93"/>
      <c r="CH218" s="387"/>
      <c r="CI218" s="404"/>
      <c r="CJ218" s="535"/>
      <c r="CK218" s="520"/>
      <c r="CL218" s="93"/>
      <c r="CM218" s="390" t="str">
        <f>IFERROR(__xludf.DUMMYFUNCTION("""COMPUTED_VALUE"""),"")</f>
        <v/>
      </c>
      <c r="CN218" s="489" t="str">
        <f>IFERROR(__xludf.DUMMYFUNCTION("""COMPUTED_VALUE"""),"Skrelp")</f>
        <v>Skrelp</v>
      </c>
      <c r="CO218" s="532" t="s">
        <v>158</v>
      </c>
      <c r="CP218" s="523"/>
      <c r="CQ218" s="93"/>
      <c r="CR218" s="413"/>
      <c r="CS218" s="414"/>
      <c r="CT218" s="632"/>
      <c r="CU218" s="414"/>
      <c r="CV218" s="93"/>
      <c r="CW218" s="415"/>
      <c r="CX218" s="468"/>
      <c r="CY218" s="633"/>
      <c r="CZ218" s="468"/>
      <c r="DA218" s="93"/>
      <c r="DB218" s="423"/>
      <c r="DC218" s="424"/>
      <c r="DD218" s="634"/>
      <c r="DE218" s="424"/>
      <c r="DF218" s="93"/>
      <c r="DG218" s="628"/>
      <c r="DH218" s="641"/>
      <c r="DI218" s="641"/>
      <c r="DJ218" s="641"/>
      <c r="DK218" s="93"/>
      <c r="DL218" s="429"/>
      <c r="DM218" s="430"/>
      <c r="DN218" s="430"/>
      <c r="DO218" s="430"/>
      <c r="DP218" s="93"/>
      <c r="DQ218" s="439"/>
      <c r="DR218" s="441"/>
      <c r="DS218" s="441"/>
      <c r="DT218" s="441"/>
      <c r="DU218" s="93"/>
      <c r="DV218" s="442"/>
      <c r="DW218" s="443"/>
      <c r="DX218" s="363"/>
      <c r="DY218" s="345"/>
      <c r="DZ218" s="87"/>
      <c r="EA218" s="10"/>
    </row>
    <row r="219" ht="17.25" customHeight="1">
      <c r="A219" s="10"/>
      <c r="B219" s="87"/>
      <c r="C219" s="234"/>
      <c r="D219" s="235"/>
      <c r="E219" s="93"/>
      <c r="F219" s="268"/>
      <c r="G219" s="268"/>
      <c r="H219" s="268"/>
      <c r="I219" s="268"/>
      <c r="J219" s="268"/>
      <c r="K219" s="268"/>
      <c r="L219" s="450"/>
      <c r="M219" s="268"/>
      <c r="N219" s="268"/>
      <c r="O219" s="268"/>
      <c r="P219" s="268"/>
      <c r="Q219" s="450"/>
      <c r="R219" s="268"/>
      <c r="S219" s="268"/>
      <c r="T219" s="268"/>
      <c r="U219" s="268"/>
      <c r="V219" s="450"/>
      <c r="W219" s="268"/>
      <c r="X219" s="268"/>
      <c r="Y219" s="268"/>
      <c r="Z219" s="268"/>
      <c r="AA219" s="450"/>
      <c r="AB219" s="268"/>
      <c r="AC219" s="268"/>
      <c r="AD219" s="268"/>
      <c r="AE219" s="268"/>
      <c r="AF219" s="450"/>
      <c r="AG219" s="268"/>
      <c r="AH219" s="268"/>
      <c r="AI219" s="268"/>
      <c r="AJ219" s="268"/>
      <c r="AK219" s="450"/>
      <c r="AL219" s="268"/>
      <c r="AM219" s="268"/>
      <c r="AN219" s="268"/>
      <c r="AO219" s="268"/>
      <c r="AP219" s="397"/>
      <c r="AQ219" s="509"/>
      <c r="AR219" s="397"/>
      <c r="AS219" s="93"/>
      <c r="AT219" s="359"/>
      <c r="AU219" s="518"/>
      <c r="AV219" s="524"/>
      <c r="AW219" s="518"/>
      <c r="AX219" s="93"/>
      <c r="AY219" s="364"/>
      <c r="AZ219" s="480"/>
      <c r="BA219" s="525"/>
      <c r="BB219" s="480"/>
      <c r="BC219" s="93"/>
      <c r="BD219" s="368"/>
      <c r="BE219" s="477"/>
      <c r="BF219" s="560"/>
      <c r="BG219" s="477"/>
      <c r="BH219" s="93"/>
      <c r="BI219" s="402"/>
      <c r="BJ219" s="478"/>
      <c r="BK219" s="609"/>
      <c r="BL219" s="478"/>
      <c r="BM219" s="93"/>
      <c r="BN219" s="372"/>
      <c r="BO219" s="455"/>
      <c r="BP219" s="557"/>
      <c r="BQ219" s="455"/>
      <c r="BR219" s="93"/>
      <c r="BS219" s="380"/>
      <c r="BT219" s="492"/>
      <c r="BU219" s="566"/>
      <c r="BV219" s="492"/>
      <c r="BW219" s="93"/>
      <c r="BX219" s="385"/>
      <c r="BY219" s="490"/>
      <c r="BZ219" s="605"/>
      <c r="CA219" s="490"/>
      <c r="CB219" s="93"/>
      <c r="CC219" s="387"/>
      <c r="CD219" s="404"/>
      <c r="CE219" s="535"/>
      <c r="CF219" s="404"/>
      <c r="CG219" s="93"/>
      <c r="CH219" s="387"/>
      <c r="CI219" s="404"/>
      <c r="CJ219" s="535"/>
      <c r="CK219" s="520"/>
      <c r="CL219" s="93"/>
      <c r="CM219" s="390" t="str">
        <f>IFERROR(__xludf.DUMMYFUNCTION("""COMPUTED_VALUE"""),"")</f>
        <v/>
      </c>
      <c r="CN219" s="489" t="str">
        <f>IFERROR(__xludf.DUMMYFUNCTION("""COMPUTED_VALUE"""),"Skuntank")</f>
        <v>Skuntank</v>
      </c>
      <c r="CO219" s="532" t="s">
        <v>158</v>
      </c>
      <c r="CP219" s="523"/>
      <c r="CQ219" s="93"/>
      <c r="CR219" s="413"/>
      <c r="CS219" s="414"/>
      <c r="CT219" s="632"/>
      <c r="CU219" s="414"/>
      <c r="CV219" s="93"/>
      <c r="CW219" s="415"/>
      <c r="CX219" s="468"/>
      <c r="CY219" s="633"/>
      <c r="CZ219" s="468"/>
      <c r="DA219" s="93"/>
      <c r="DB219" s="423"/>
      <c r="DC219" s="424"/>
      <c r="DD219" s="634"/>
      <c r="DE219" s="424"/>
      <c r="DF219" s="93"/>
      <c r="DG219" s="628"/>
      <c r="DH219" s="641"/>
      <c r="DI219" s="641"/>
      <c r="DJ219" s="641"/>
      <c r="DK219" s="93"/>
      <c r="DL219" s="429"/>
      <c r="DM219" s="430"/>
      <c r="DN219" s="430"/>
      <c r="DO219" s="430"/>
      <c r="DP219" s="93"/>
      <c r="DQ219" s="439"/>
      <c r="DR219" s="441"/>
      <c r="DS219" s="441"/>
      <c r="DT219" s="441"/>
      <c r="DU219" s="93"/>
      <c r="DV219" s="442"/>
      <c r="DW219" s="443"/>
      <c r="DX219" s="363"/>
      <c r="DY219" s="345"/>
      <c r="DZ219" s="87"/>
      <c r="EA219" s="10"/>
    </row>
    <row r="220" ht="17.25" customHeight="1">
      <c r="A220" s="10"/>
      <c r="B220" s="87"/>
      <c r="C220" s="234"/>
      <c r="D220" s="235"/>
      <c r="E220" s="93"/>
      <c r="F220" s="268"/>
      <c r="G220" s="268"/>
      <c r="H220" s="268"/>
      <c r="I220" s="268"/>
      <c r="J220" s="268"/>
      <c r="K220" s="268"/>
      <c r="L220" s="450"/>
      <c r="M220" s="268"/>
      <c r="N220" s="268"/>
      <c r="O220" s="268"/>
      <c r="P220" s="268"/>
      <c r="Q220" s="450"/>
      <c r="R220" s="268"/>
      <c r="S220" s="268"/>
      <c r="T220" s="268"/>
      <c r="U220" s="268"/>
      <c r="V220" s="450"/>
      <c r="W220" s="268"/>
      <c r="X220" s="268"/>
      <c r="Y220" s="268"/>
      <c r="Z220" s="268"/>
      <c r="AA220" s="450"/>
      <c r="AB220" s="268"/>
      <c r="AC220" s="268"/>
      <c r="AD220" s="268"/>
      <c r="AE220" s="268"/>
      <c r="AF220" s="450"/>
      <c r="AG220" s="268"/>
      <c r="AH220" s="268"/>
      <c r="AI220" s="268"/>
      <c r="AJ220" s="268"/>
      <c r="AK220" s="450"/>
      <c r="AL220" s="268"/>
      <c r="AM220" s="268"/>
      <c r="AN220" s="268"/>
      <c r="AO220" s="268"/>
      <c r="AP220" s="397"/>
      <c r="AQ220" s="509"/>
      <c r="AR220" s="397"/>
      <c r="AS220" s="93"/>
      <c r="AT220" s="359"/>
      <c r="AU220" s="518"/>
      <c r="AV220" s="524"/>
      <c r="AW220" s="518"/>
      <c r="AX220" s="93"/>
      <c r="AY220" s="364"/>
      <c r="AZ220" s="480"/>
      <c r="BA220" s="525"/>
      <c r="BB220" s="480"/>
      <c r="BC220" s="93"/>
      <c r="BD220" s="368"/>
      <c r="BE220" s="477"/>
      <c r="BF220" s="560"/>
      <c r="BG220" s="477"/>
      <c r="BH220" s="93"/>
      <c r="BI220" s="402"/>
      <c r="BJ220" s="478"/>
      <c r="BK220" s="609"/>
      <c r="BL220" s="478"/>
      <c r="BM220" s="93"/>
      <c r="BN220" s="372"/>
      <c r="BO220" s="455"/>
      <c r="BP220" s="557"/>
      <c r="BQ220" s="455"/>
      <c r="BR220" s="93"/>
      <c r="BS220" s="380"/>
      <c r="BT220" s="492"/>
      <c r="BU220" s="566"/>
      <c r="BV220" s="492"/>
      <c r="BW220" s="93"/>
      <c r="BX220" s="385"/>
      <c r="BY220" s="490"/>
      <c r="BZ220" s="605"/>
      <c r="CA220" s="490"/>
      <c r="CB220" s="93"/>
      <c r="CC220" s="387"/>
      <c r="CD220" s="404"/>
      <c r="CE220" s="535"/>
      <c r="CF220" s="404"/>
      <c r="CG220" s="93"/>
      <c r="CH220" s="387"/>
      <c r="CI220" s="404"/>
      <c r="CJ220" s="535"/>
      <c r="CK220" s="520"/>
      <c r="CL220" s="93"/>
      <c r="CM220" s="390" t="str">
        <f>IFERROR(__xludf.DUMMYFUNCTION("""COMPUTED_VALUE"""),"")</f>
        <v/>
      </c>
      <c r="CN220" s="489" t="str">
        <f>IFERROR(__xludf.DUMMYFUNCTION("""COMPUTED_VALUE"""),"Skwovet")</f>
        <v>Skwovet</v>
      </c>
      <c r="CO220" s="532" t="s">
        <v>158</v>
      </c>
      <c r="CP220" s="523"/>
      <c r="CQ220" s="93"/>
      <c r="CR220" s="413"/>
      <c r="CS220" s="414"/>
      <c r="CT220" s="632"/>
      <c r="CU220" s="414"/>
      <c r="CV220" s="93"/>
      <c r="CW220" s="415"/>
      <c r="CX220" s="468"/>
      <c r="CY220" s="633"/>
      <c r="CZ220" s="468"/>
      <c r="DA220" s="93"/>
      <c r="DB220" s="423"/>
      <c r="DC220" s="424"/>
      <c r="DD220" s="634"/>
      <c r="DE220" s="424"/>
      <c r="DF220" s="93"/>
      <c r="DG220" s="628"/>
      <c r="DH220" s="641"/>
      <c r="DI220" s="641"/>
      <c r="DJ220" s="641"/>
      <c r="DK220" s="93"/>
      <c r="DL220" s="429"/>
      <c r="DM220" s="430"/>
      <c r="DN220" s="430"/>
      <c r="DO220" s="430"/>
      <c r="DP220" s="93"/>
      <c r="DQ220" s="439"/>
      <c r="DR220" s="441"/>
      <c r="DS220" s="441"/>
      <c r="DT220" s="441"/>
      <c r="DU220" s="93"/>
      <c r="DV220" s="442"/>
      <c r="DW220" s="443"/>
      <c r="DX220" s="363"/>
      <c r="DY220" s="345"/>
      <c r="DZ220" s="87"/>
      <c r="EA220" s="10"/>
    </row>
    <row r="221" ht="17.25" customHeight="1">
      <c r="A221" s="10"/>
      <c r="B221" s="87"/>
      <c r="C221" s="234"/>
      <c r="D221" s="235"/>
      <c r="E221" s="93"/>
      <c r="F221" s="268"/>
      <c r="G221" s="268"/>
      <c r="H221" s="268"/>
      <c r="I221" s="268"/>
      <c r="J221" s="268"/>
      <c r="K221" s="268"/>
      <c r="L221" s="450"/>
      <c r="M221" s="268"/>
      <c r="N221" s="268"/>
      <c r="O221" s="268"/>
      <c r="P221" s="268"/>
      <c r="Q221" s="450"/>
      <c r="R221" s="268"/>
      <c r="S221" s="268"/>
      <c r="T221" s="268"/>
      <c r="U221" s="268"/>
      <c r="V221" s="450"/>
      <c r="W221" s="268"/>
      <c r="X221" s="268"/>
      <c r="Y221" s="268"/>
      <c r="Z221" s="268"/>
      <c r="AA221" s="450"/>
      <c r="AB221" s="268"/>
      <c r="AC221" s="268"/>
      <c r="AD221" s="268"/>
      <c r="AE221" s="268"/>
      <c r="AF221" s="450"/>
      <c r="AG221" s="268"/>
      <c r="AH221" s="268"/>
      <c r="AI221" s="268"/>
      <c r="AJ221" s="268"/>
      <c r="AK221" s="450"/>
      <c r="AL221" s="268"/>
      <c r="AM221" s="268"/>
      <c r="AN221" s="268"/>
      <c r="AO221" s="268"/>
      <c r="AP221" s="397"/>
      <c r="AQ221" s="509"/>
      <c r="AR221" s="397"/>
      <c r="AS221" s="93"/>
      <c r="AT221" s="359"/>
      <c r="AU221" s="518"/>
      <c r="AV221" s="524"/>
      <c r="AW221" s="518"/>
      <c r="AX221" s="93"/>
      <c r="AY221" s="364"/>
      <c r="AZ221" s="480"/>
      <c r="BA221" s="525"/>
      <c r="BB221" s="480"/>
      <c r="BC221" s="93"/>
      <c r="BD221" s="368"/>
      <c r="BE221" s="477"/>
      <c r="BF221" s="560"/>
      <c r="BG221" s="477"/>
      <c r="BH221" s="93"/>
      <c r="BI221" s="402"/>
      <c r="BJ221" s="478"/>
      <c r="BK221" s="609"/>
      <c r="BL221" s="478"/>
      <c r="BM221" s="93"/>
      <c r="BN221" s="372"/>
      <c r="BO221" s="455"/>
      <c r="BP221" s="557"/>
      <c r="BQ221" s="455"/>
      <c r="BR221" s="93"/>
      <c r="BS221" s="380"/>
      <c r="BT221" s="492"/>
      <c r="BU221" s="566"/>
      <c r="BV221" s="492"/>
      <c r="BW221" s="93"/>
      <c r="BX221" s="385"/>
      <c r="BY221" s="490"/>
      <c r="BZ221" s="605"/>
      <c r="CA221" s="490"/>
      <c r="CB221" s="93"/>
      <c r="CC221" s="387"/>
      <c r="CD221" s="404"/>
      <c r="CE221" s="535"/>
      <c r="CF221" s="404"/>
      <c r="CG221" s="93"/>
      <c r="CH221" s="387"/>
      <c r="CI221" s="404"/>
      <c r="CJ221" s="535"/>
      <c r="CK221" s="520"/>
      <c r="CL221" s="93"/>
      <c r="CM221" s="390" t="str">
        <f>IFERROR(__xludf.DUMMYFUNCTION("""COMPUTED_VALUE"""),"")</f>
        <v/>
      </c>
      <c r="CN221" s="489" t="str">
        <f>IFERROR(__xludf.DUMMYFUNCTION("""COMPUTED_VALUE"""),"Slakoth")</f>
        <v>Slakoth</v>
      </c>
      <c r="CO221" s="532" t="s">
        <v>158</v>
      </c>
      <c r="CP221" s="523"/>
      <c r="CQ221" s="93"/>
      <c r="CR221" s="413"/>
      <c r="CS221" s="414"/>
      <c r="CT221" s="632"/>
      <c r="CU221" s="414"/>
      <c r="CV221" s="93"/>
      <c r="CW221" s="415"/>
      <c r="CX221" s="468"/>
      <c r="CY221" s="633"/>
      <c r="CZ221" s="468"/>
      <c r="DA221" s="93"/>
      <c r="DB221" s="423"/>
      <c r="DC221" s="424"/>
      <c r="DD221" s="634"/>
      <c r="DE221" s="424"/>
      <c r="DF221" s="93"/>
      <c r="DG221" s="628"/>
      <c r="DH221" s="641"/>
      <c r="DI221" s="641"/>
      <c r="DJ221" s="641"/>
      <c r="DK221" s="93"/>
      <c r="DL221" s="429"/>
      <c r="DM221" s="430"/>
      <c r="DN221" s="430"/>
      <c r="DO221" s="430"/>
      <c r="DP221" s="93"/>
      <c r="DQ221" s="439"/>
      <c r="DR221" s="441"/>
      <c r="DS221" s="441"/>
      <c r="DT221" s="441"/>
      <c r="DU221" s="93"/>
      <c r="DV221" s="442"/>
      <c r="DW221" s="443"/>
      <c r="DX221" s="363"/>
      <c r="DY221" s="345"/>
      <c r="DZ221" s="87"/>
      <c r="EA221" s="10"/>
    </row>
    <row r="222" ht="17.25" customHeight="1">
      <c r="A222" s="10"/>
      <c r="B222" s="87"/>
      <c r="C222" s="234"/>
      <c r="D222" s="235"/>
      <c r="E222" s="93"/>
      <c r="F222" s="268"/>
      <c r="G222" s="268"/>
      <c r="H222" s="268"/>
      <c r="I222" s="268"/>
      <c r="J222" s="268"/>
      <c r="K222" s="268"/>
      <c r="L222" s="450"/>
      <c r="M222" s="268"/>
      <c r="N222" s="268"/>
      <c r="O222" s="268"/>
      <c r="P222" s="268"/>
      <c r="Q222" s="450"/>
      <c r="R222" s="268"/>
      <c r="S222" s="268"/>
      <c r="T222" s="268"/>
      <c r="U222" s="268"/>
      <c r="V222" s="450"/>
      <c r="W222" s="268"/>
      <c r="X222" s="268"/>
      <c r="Y222" s="268"/>
      <c r="Z222" s="268"/>
      <c r="AA222" s="450"/>
      <c r="AB222" s="268"/>
      <c r="AC222" s="268"/>
      <c r="AD222" s="268"/>
      <c r="AE222" s="268"/>
      <c r="AF222" s="450"/>
      <c r="AG222" s="268"/>
      <c r="AH222" s="268"/>
      <c r="AI222" s="268"/>
      <c r="AJ222" s="268"/>
      <c r="AK222" s="450"/>
      <c r="AL222" s="268"/>
      <c r="AM222" s="268"/>
      <c r="AN222" s="268"/>
      <c r="AO222" s="268"/>
      <c r="AP222" s="397"/>
      <c r="AQ222" s="509"/>
      <c r="AR222" s="397"/>
      <c r="AS222" s="93"/>
      <c r="AT222" s="359"/>
      <c r="AU222" s="518"/>
      <c r="AV222" s="524"/>
      <c r="AW222" s="518"/>
      <c r="AX222" s="93"/>
      <c r="AY222" s="364"/>
      <c r="AZ222" s="480"/>
      <c r="BA222" s="525"/>
      <c r="BB222" s="480"/>
      <c r="BC222" s="93"/>
      <c r="BD222" s="368"/>
      <c r="BE222" s="477"/>
      <c r="BF222" s="560"/>
      <c r="BG222" s="477"/>
      <c r="BH222" s="93"/>
      <c r="BI222" s="402"/>
      <c r="BJ222" s="478"/>
      <c r="BK222" s="609"/>
      <c r="BL222" s="478"/>
      <c r="BM222" s="93"/>
      <c r="BN222" s="372"/>
      <c r="BO222" s="455"/>
      <c r="BP222" s="557"/>
      <c r="BQ222" s="455"/>
      <c r="BR222" s="93"/>
      <c r="BS222" s="380"/>
      <c r="BT222" s="492"/>
      <c r="BU222" s="566"/>
      <c r="BV222" s="492"/>
      <c r="BW222" s="93"/>
      <c r="BX222" s="385"/>
      <c r="BY222" s="490"/>
      <c r="BZ222" s="605"/>
      <c r="CA222" s="490"/>
      <c r="CB222" s="93"/>
      <c r="CC222" s="387"/>
      <c r="CD222" s="404"/>
      <c r="CE222" s="535"/>
      <c r="CF222" s="404"/>
      <c r="CG222" s="93"/>
      <c r="CH222" s="387"/>
      <c r="CI222" s="404"/>
      <c r="CJ222" s="535"/>
      <c r="CK222" s="520"/>
      <c r="CL222" s="93"/>
      <c r="CM222" s="390" t="str">
        <f>IFERROR(__xludf.DUMMYFUNCTION("""COMPUTED_VALUE"""),"")</f>
        <v/>
      </c>
      <c r="CN222" s="489" t="str">
        <f>IFERROR(__xludf.DUMMYFUNCTION("""COMPUTED_VALUE"""),"Sliggoo")</f>
        <v>Sliggoo</v>
      </c>
      <c r="CO222" s="532" t="s">
        <v>158</v>
      </c>
      <c r="CP222" s="523"/>
      <c r="CQ222" s="93"/>
      <c r="CR222" s="413"/>
      <c r="CS222" s="414"/>
      <c r="CT222" s="632"/>
      <c r="CU222" s="414"/>
      <c r="CV222" s="93"/>
      <c r="CW222" s="415"/>
      <c r="CX222" s="468"/>
      <c r="CY222" s="633"/>
      <c r="CZ222" s="468"/>
      <c r="DA222" s="93"/>
      <c r="DB222" s="423"/>
      <c r="DC222" s="424"/>
      <c r="DD222" s="634"/>
      <c r="DE222" s="424"/>
      <c r="DF222" s="93"/>
      <c r="DG222" s="628"/>
      <c r="DH222" s="641"/>
      <c r="DI222" s="641"/>
      <c r="DJ222" s="641"/>
      <c r="DK222" s="93"/>
      <c r="DL222" s="429"/>
      <c r="DM222" s="430"/>
      <c r="DN222" s="430"/>
      <c r="DO222" s="430"/>
      <c r="DP222" s="93"/>
      <c r="DQ222" s="439"/>
      <c r="DR222" s="441"/>
      <c r="DS222" s="441"/>
      <c r="DT222" s="441"/>
      <c r="DU222" s="93"/>
      <c r="DV222" s="442"/>
      <c r="DW222" s="443"/>
      <c r="DX222" s="363"/>
      <c r="DY222" s="345"/>
      <c r="DZ222" s="87"/>
      <c r="EA222" s="10"/>
    </row>
    <row r="223" ht="17.25" customHeight="1">
      <c r="A223" s="10"/>
      <c r="B223" s="87"/>
      <c r="C223" s="234"/>
      <c r="D223" s="235"/>
      <c r="E223" s="93"/>
      <c r="F223" s="268"/>
      <c r="G223" s="268"/>
      <c r="H223" s="268"/>
      <c r="I223" s="268"/>
      <c r="J223" s="268"/>
      <c r="K223" s="268"/>
      <c r="L223" s="450"/>
      <c r="M223" s="268"/>
      <c r="N223" s="268"/>
      <c r="O223" s="268"/>
      <c r="P223" s="268"/>
      <c r="Q223" s="450"/>
      <c r="R223" s="268"/>
      <c r="S223" s="268"/>
      <c r="T223" s="268"/>
      <c r="U223" s="268"/>
      <c r="V223" s="450"/>
      <c r="W223" s="268"/>
      <c r="X223" s="268"/>
      <c r="Y223" s="268"/>
      <c r="Z223" s="268"/>
      <c r="AA223" s="450"/>
      <c r="AB223" s="268"/>
      <c r="AC223" s="268"/>
      <c r="AD223" s="268"/>
      <c r="AE223" s="268"/>
      <c r="AF223" s="450"/>
      <c r="AG223" s="268"/>
      <c r="AH223" s="268"/>
      <c r="AI223" s="268"/>
      <c r="AJ223" s="268"/>
      <c r="AK223" s="450"/>
      <c r="AL223" s="268"/>
      <c r="AM223" s="268"/>
      <c r="AN223" s="268"/>
      <c r="AO223" s="268"/>
      <c r="AP223" s="397"/>
      <c r="AQ223" s="509"/>
      <c r="AR223" s="397"/>
      <c r="AS223" s="93"/>
      <c r="AT223" s="359"/>
      <c r="AU223" s="518"/>
      <c r="AV223" s="524"/>
      <c r="AW223" s="518"/>
      <c r="AX223" s="93"/>
      <c r="AY223" s="364"/>
      <c r="AZ223" s="480"/>
      <c r="BA223" s="525"/>
      <c r="BB223" s="480"/>
      <c r="BC223" s="93"/>
      <c r="BD223" s="368"/>
      <c r="BE223" s="477"/>
      <c r="BF223" s="560"/>
      <c r="BG223" s="477"/>
      <c r="BH223" s="93"/>
      <c r="BI223" s="402"/>
      <c r="BJ223" s="478"/>
      <c r="BK223" s="609"/>
      <c r="BL223" s="478"/>
      <c r="BM223" s="93"/>
      <c r="BN223" s="372"/>
      <c r="BO223" s="455"/>
      <c r="BP223" s="557"/>
      <c r="BQ223" s="455"/>
      <c r="BR223" s="93"/>
      <c r="BS223" s="380"/>
      <c r="BT223" s="492"/>
      <c r="BU223" s="566"/>
      <c r="BV223" s="492"/>
      <c r="BW223" s="93"/>
      <c r="BX223" s="385"/>
      <c r="BY223" s="490"/>
      <c r="BZ223" s="605"/>
      <c r="CA223" s="490"/>
      <c r="CB223" s="93"/>
      <c r="CC223" s="387"/>
      <c r="CD223" s="404"/>
      <c r="CE223" s="535"/>
      <c r="CF223" s="404"/>
      <c r="CG223" s="93"/>
      <c r="CH223" s="387"/>
      <c r="CI223" s="404"/>
      <c r="CJ223" s="535"/>
      <c r="CK223" s="520"/>
      <c r="CL223" s="93"/>
      <c r="CM223" s="390" t="str">
        <f>IFERROR(__xludf.DUMMYFUNCTION("""COMPUTED_VALUE"""),"")</f>
        <v/>
      </c>
      <c r="CN223" s="489" t="str">
        <f>IFERROR(__xludf.DUMMYFUNCTION("""COMPUTED_VALUE"""),"Slowbro")</f>
        <v>Slowbro</v>
      </c>
      <c r="CO223" s="532" t="s">
        <v>158</v>
      </c>
      <c r="CP223" s="523"/>
      <c r="CQ223" s="93"/>
      <c r="CR223" s="413"/>
      <c r="CS223" s="414"/>
      <c r="CT223" s="632"/>
      <c r="CU223" s="414"/>
      <c r="CV223" s="93"/>
      <c r="CW223" s="415"/>
      <c r="CX223" s="468"/>
      <c r="CY223" s="633"/>
      <c r="CZ223" s="468"/>
      <c r="DA223" s="93"/>
      <c r="DB223" s="423"/>
      <c r="DC223" s="424"/>
      <c r="DD223" s="634"/>
      <c r="DE223" s="424"/>
      <c r="DF223" s="93"/>
      <c r="DG223" s="628"/>
      <c r="DH223" s="641"/>
      <c r="DI223" s="641"/>
      <c r="DJ223" s="641"/>
      <c r="DK223" s="93"/>
      <c r="DL223" s="429"/>
      <c r="DM223" s="430"/>
      <c r="DN223" s="430"/>
      <c r="DO223" s="430"/>
      <c r="DP223" s="93"/>
      <c r="DQ223" s="439"/>
      <c r="DR223" s="441"/>
      <c r="DS223" s="441"/>
      <c r="DT223" s="441"/>
      <c r="DU223" s="93"/>
      <c r="DV223" s="442"/>
      <c r="DW223" s="443"/>
      <c r="DX223" s="363"/>
      <c r="DY223" s="345"/>
      <c r="DZ223" s="87"/>
      <c r="EA223" s="10"/>
    </row>
    <row r="224" ht="17.25" customHeight="1">
      <c r="A224" s="10"/>
      <c r="B224" s="87"/>
      <c r="C224" s="234"/>
      <c r="D224" s="235"/>
      <c r="E224" s="93"/>
      <c r="F224" s="268"/>
      <c r="G224" s="268"/>
      <c r="H224" s="268"/>
      <c r="I224" s="268"/>
      <c r="J224" s="268"/>
      <c r="K224" s="268"/>
      <c r="L224" s="450"/>
      <c r="M224" s="268"/>
      <c r="N224" s="268"/>
      <c r="O224" s="268"/>
      <c r="P224" s="268"/>
      <c r="Q224" s="450"/>
      <c r="R224" s="268"/>
      <c r="S224" s="268"/>
      <c r="T224" s="268"/>
      <c r="U224" s="268"/>
      <c r="V224" s="450"/>
      <c r="W224" s="268"/>
      <c r="X224" s="268"/>
      <c r="Y224" s="268"/>
      <c r="Z224" s="268"/>
      <c r="AA224" s="450"/>
      <c r="AB224" s="268"/>
      <c r="AC224" s="268"/>
      <c r="AD224" s="268"/>
      <c r="AE224" s="268"/>
      <c r="AF224" s="450"/>
      <c r="AG224" s="268"/>
      <c r="AH224" s="268"/>
      <c r="AI224" s="268"/>
      <c r="AJ224" s="268"/>
      <c r="AK224" s="450"/>
      <c r="AL224" s="268"/>
      <c r="AM224" s="268"/>
      <c r="AN224" s="268"/>
      <c r="AO224" s="268"/>
      <c r="AP224" s="397"/>
      <c r="AQ224" s="509"/>
      <c r="AR224" s="397"/>
      <c r="AS224" s="93"/>
      <c r="AT224" s="359"/>
      <c r="AU224" s="518"/>
      <c r="AV224" s="524"/>
      <c r="AW224" s="518"/>
      <c r="AX224" s="93"/>
      <c r="AY224" s="364"/>
      <c r="AZ224" s="480"/>
      <c r="BA224" s="525"/>
      <c r="BB224" s="480"/>
      <c r="BC224" s="93"/>
      <c r="BD224" s="368"/>
      <c r="BE224" s="477"/>
      <c r="BF224" s="560"/>
      <c r="BG224" s="477"/>
      <c r="BH224" s="93"/>
      <c r="BI224" s="402"/>
      <c r="BJ224" s="478"/>
      <c r="BK224" s="609"/>
      <c r="BL224" s="478"/>
      <c r="BM224" s="93"/>
      <c r="BN224" s="372"/>
      <c r="BO224" s="455"/>
      <c r="BP224" s="557"/>
      <c r="BQ224" s="455"/>
      <c r="BR224" s="93"/>
      <c r="BS224" s="380"/>
      <c r="BT224" s="492"/>
      <c r="BU224" s="566"/>
      <c r="BV224" s="492"/>
      <c r="BW224" s="93"/>
      <c r="BX224" s="385"/>
      <c r="BY224" s="490"/>
      <c r="BZ224" s="605"/>
      <c r="CA224" s="490"/>
      <c r="CB224" s="93"/>
      <c r="CC224" s="387"/>
      <c r="CD224" s="404"/>
      <c r="CE224" s="535"/>
      <c r="CF224" s="404"/>
      <c r="CG224" s="93"/>
      <c r="CH224" s="387"/>
      <c r="CI224" s="404"/>
      <c r="CJ224" s="535"/>
      <c r="CK224" s="520"/>
      <c r="CL224" s="93"/>
      <c r="CM224" s="390" t="str">
        <f>IFERROR(__xludf.DUMMYFUNCTION("""COMPUTED_VALUE"""),"")</f>
        <v/>
      </c>
      <c r="CN224" s="489" t="str">
        <f>IFERROR(__xludf.DUMMYFUNCTION("""COMPUTED_VALUE"""),"Slowpoke")</f>
        <v>Slowpoke</v>
      </c>
      <c r="CO224" s="532" t="s">
        <v>158</v>
      </c>
      <c r="CP224" s="523"/>
      <c r="CQ224" s="93"/>
      <c r="CR224" s="413"/>
      <c r="CS224" s="414"/>
      <c r="CT224" s="632"/>
      <c r="CU224" s="414"/>
      <c r="CV224" s="93"/>
      <c r="CW224" s="415"/>
      <c r="CX224" s="468"/>
      <c r="CY224" s="633"/>
      <c r="CZ224" s="468"/>
      <c r="DA224" s="93"/>
      <c r="DB224" s="423"/>
      <c r="DC224" s="424"/>
      <c r="DD224" s="634"/>
      <c r="DE224" s="424"/>
      <c r="DF224" s="93"/>
      <c r="DG224" s="628"/>
      <c r="DH224" s="641"/>
      <c r="DI224" s="641"/>
      <c r="DJ224" s="641"/>
      <c r="DK224" s="93"/>
      <c r="DL224" s="429"/>
      <c r="DM224" s="430"/>
      <c r="DN224" s="430"/>
      <c r="DO224" s="430"/>
      <c r="DP224" s="93"/>
      <c r="DQ224" s="439"/>
      <c r="DR224" s="441"/>
      <c r="DS224" s="441"/>
      <c r="DT224" s="441"/>
      <c r="DU224" s="93"/>
      <c r="DV224" s="442"/>
      <c r="DW224" s="443"/>
      <c r="DX224" s="363"/>
      <c r="DY224" s="345"/>
      <c r="DZ224" s="87"/>
      <c r="EA224" s="10"/>
    </row>
    <row r="225" ht="17.25" customHeight="1">
      <c r="A225" s="10"/>
      <c r="B225" s="87"/>
      <c r="C225" s="234"/>
      <c r="D225" s="235"/>
      <c r="E225" s="93"/>
      <c r="F225" s="268"/>
      <c r="G225" s="268"/>
      <c r="H225" s="268"/>
      <c r="I225" s="268"/>
      <c r="J225" s="268"/>
      <c r="K225" s="268"/>
      <c r="L225" s="450"/>
      <c r="M225" s="268"/>
      <c r="N225" s="268"/>
      <c r="O225" s="268"/>
      <c r="P225" s="268"/>
      <c r="Q225" s="450"/>
      <c r="R225" s="268"/>
      <c r="S225" s="268"/>
      <c r="T225" s="268"/>
      <c r="U225" s="268"/>
      <c r="V225" s="450"/>
      <c r="W225" s="268"/>
      <c r="X225" s="268"/>
      <c r="Y225" s="268"/>
      <c r="Z225" s="268"/>
      <c r="AA225" s="450"/>
      <c r="AB225" s="268"/>
      <c r="AC225" s="268"/>
      <c r="AD225" s="268"/>
      <c r="AE225" s="268"/>
      <c r="AF225" s="450"/>
      <c r="AG225" s="268"/>
      <c r="AH225" s="268"/>
      <c r="AI225" s="268"/>
      <c r="AJ225" s="268"/>
      <c r="AK225" s="450"/>
      <c r="AL225" s="268"/>
      <c r="AM225" s="268"/>
      <c r="AN225" s="268"/>
      <c r="AO225" s="268"/>
      <c r="AP225" s="397"/>
      <c r="AQ225" s="509"/>
      <c r="AR225" s="397"/>
      <c r="AS225" s="93"/>
      <c r="AT225" s="359"/>
      <c r="AU225" s="518"/>
      <c r="AV225" s="524"/>
      <c r="AW225" s="518"/>
      <c r="AX225" s="93"/>
      <c r="AY225" s="364"/>
      <c r="AZ225" s="480"/>
      <c r="BA225" s="525"/>
      <c r="BB225" s="480"/>
      <c r="BC225" s="93"/>
      <c r="BD225" s="368"/>
      <c r="BE225" s="477"/>
      <c r="BF225" s="560"/>
      <c r="BG225" s="477"/>
      <c r="BH225" s="93"/>
      <c r="BI225" s="402"/>
      <c r="BJ225" s="478"/>
      <c r="BK225" s="609"/>
      <c r="BL225" s="478"/>
      <c r="BM225" s="93"/>
      <c r="BN225" s="372"/>
      <c r="BO225" s="455"/>
      <c r="BP225" s="557"/>
      <c r="BQ225" s="455"/>
      <c r="BR225" s="93"/>
      <c r="BS225" s="380"/>
      <c r="BT225" s="492"/>
      <c r="BU225" s="566"/>
      <c r="BV225" s="492"/>
      <c r="BW225" s="93"/>
      <c r="BX225" s="385"/>
      <c r="BY225" s="490"/>
      <c r="BZ225" s="605"/>
      <c r="CA225" s="490"/>
      <c r="CB225" s="93"/>
      <c r="CC225" s="387"/>
      <c r="CD225" s="404"/>
      <c r="CE225" s="535"/>
      <c r="CF225" s="404"/>
      <c r="CG225" s="93"/>
      <c r="CH225" s="387"/>
      <c r="CI225" s="404"/>
      <c r="CJ225" s="535"/>
      <c r="CK225" s="520"/>
      <c r="CL225" s="93"/>
      <c r="CM225" s="390" t="str">
        <f>IFERROR(__xludf.DUMMYFUNCTION("""COMPUTED_VALUE"""),"")</f>
        <v/>
      </c>
      <c r="CN225" s="489" t="str">
        <f>IFERROR(__xludf.DUMMYFUNCTION("""COMPUTED_VALUE"""),"Smoliv")</f>
        <v>Smoliv</v>
      </c>
      <c r="CO225" s="532" t="s">
        <v>158</v>
      </c>
      <c r="CP225" s="523"/>
      <c r="CQ225" s="93"/>
      <c r="CR225" s="413"/>
      <c r="CS225" s="414"/>
      <c r="CT225" s="632"/>
      <c r="CU225" s="414"/>
      <c r="CV225" s="93"/>
      <c r="CW225" s="415"/>
      <c r="CX225" s="468"/>
      <c r="CY225" s="633"/>
      <c r="CZ225" s="468"/>
      <c r="DA225" s="93"/>
      <c r="DB225" s="423"/>
      <c r="DC225" s="424"/>
      <c r="DD225" s="634"/>
      <c r="DE225" s="424"/>
      <c r="DF225" s="93"/>
      <c r="DG225" s="628"/>
      <c r="DH225" s="641"/>
      <c r="DI225" s="641"/>
      <c r="DJ225" s="641"/>
      <c r="DK225" s="93"/>
      <c r="DL225" s="429"/>
      <c r="DM225" s="430"/>
      <c r="DN225" s="430"/>
      <c r="DO225" s="430"/>
      <c r="DP225" s="93"/>
      <c r="DQ225" s="439"/>
      <c r="DR225" s="441"/>
      <c r="DS225" s="441"/>
      <c r="DT225" s="441"/>
      <c r="DU225" s="93"/>
      <c r="DV225" s="442"/>
      <c r="DW225" s="443"/>
      <c r="DX225" s="363"/>
      <c r="DY225" s="345"/>
      <c r="DZ225" s="87"/>
      <c r="EA225" s="10"/>
    </row>
    <row r="226" ht="17.25" customHeight="1">
      <c r="A226" s="10"/>
      <c r="B226" s="87"/>
      <c r="C226" s="234"/>
      <c r="D226" s="235"/>
      <c r="E226" s="93"/>
      <c r="F226" s="268"/>
      <c r="G226" s="268"/>
      <c r="H226" s="268"/>
      <c r="I226" s="268"/>
      <c r="J226" s="268"/>
      <c r="K226" s="268"/>
      <c r="L226" s="450"/>
      <c r="M226" s="268"/>
      <c r="N226" s="268"/>
      <c r="O226" s="268"/>
      <c r="P226" s="268"/>
      <c r="Q226" s="450"/>
      <c r="R226" s="268"/>
      <c r="S226" s="268"/>
      <c r="T226" s="268"/>
      <c r="U226" s="268"/>
      <c r="V226" s="450"/>
      <c r="W226" s="268"/>
      <c r="X226" s="268"/>
      <c r="Y226" s="268"/>
      <c r="Z226" s="268"/>
      <c r="AA226" s="450"/>
      <c r="AB226" s="268"/>
      <c r="AC226" s="268"/>
      <c r="AD226" s="268"/>
      <c r="AE226" s="268"/>
      <c r="AF226" s="450"/>
      <c r="AG226" s="268"/>
      <c r="AH226" s="268"/>
      <c r="AI226" s="268"/>
      <c r="AJ226" s="268"/>
      <c r="AK226" s="450"/>
      <c r="AL226" s="268"/>
      <c r="AM226" s="268"/>
      <c r="AN226" s="268"/>
      <c r="AO226" s="268"/>
      <c r="AP226" s="397"/>
      <c r="AQ226" s="509"/>
      <c r="AR226" s="397"/>
      <c r="AS226" s="93"/>
      <c r="AT226" s="359"/>
      <c r="AU226" s="518"/>
      <c r="AV226" s="524"/>
      <c r="AW226" s="518"/>
      <c r="AX226" s="93"/>
      <c r="AY226" s="364"/>
      <c r="AZ226" s="480"/>
      <c r="BA226" s="525"/>
      <c r="BB226" s="480"/>
      <c r="BC226" s="93"/>
      <c r="BD226" s="368"/>
      <c r="BE226" s="477"/>
      <c r="BF226" s="560"/>
      <c r="BG226" s="477"/>
      <c r="BH226" s="93"/>
      <c r="BI226" s="402"/>
      <c r="BJ226" s="478"/>
      <c r="BK226" s="609"/>
      <c r="BL226" s="478"/>
      <c r="BM226" s="93"/>
      <c r="BN226" s="372"/>
      <c r="BO226" s="455"/>
      <c r="BP226" s="557"/>
      <c r="BQ226" s="455"/>
      <c r="BR226" s="93"/>
      <c r="BS226" s="380"/>
      <c r="BT226" s="492"/>
      <c r="BU226" s="566"/>
      <c r="BV226" s="492"/>
      <c r="BW226" s="93"/>
      <c r="BX226" s="385"/>
      <c r="BY226" s="490"/>
      <c r="BZ226" s="605"/>
      <c r="CA226" s="490"/>
      <c r="CB226" s="93"/>
      <c r="CC226" s="387"/>
      <c r="CD226" s="404"/>
      <c r="CE226" s="535"/>
      <c r="CF226" s="404"/>
      <c r="CG226" s="93"/>
      <c r="CH226" s="387"/>
      <c r="CI226" s="404"/>
      <c r="CJ226" s="535"/>
      <c r="CK226" s="520"/>
      <c r="CL226" s="93"/>
      <c r="CM226" s="390" t="str">
        <f>IFERROR(__xludf.DUMMYFUNCTION("""COMPUTED_VALUE"""),"")</f>
        <v/>
      </c>
      <c r="CN226" s="489" t="str">
        <f>IFERROR(__xludf.DUMMYFUNCTION("""COMPUTED_VALUE"""),"Sneasel")</f>
        <v>Sneasel</v>
      </c>
      <c r="CO226" s="532" t="s">
        <v>158</v>
      </c>
      <c r="CP226" s="523"/>
      <c r="CQ226" s="93"/>
      <c r="CR226" s="413"/>
      <c r="CS226" s="414"/>
      <c r="CT226" s="632"/>
      <c r="CU226" s="414"/>
      <c r="CV226" s="93"/>
      <c r="CW226" s="415"/>
      <c r="CX226" s="468"/>
      <c r="CY226" s="633"/>
      <c r="CZ226" s="468"/>
      <c r="DA226" s="93"/>
      <c r="DB226" s="423"/>
      <c r="DC226" s="424"/>
      <c r="DD226" s="634"/>
      <c r="DE226" s="424"/>
      <c r="DF226" s="93"/>
      <c r="DG226" s="628"/>
      <c r="DH226" s="641"/>
      <c r="DI226" s="641"/>
      <c r="DJ226" s="641"/>
      <c r="DK226" s="93"/>
      <c r="DL226" s="429"/>
      <c r="DM226" s="430"/>
      <c r="DN226" s="430"/>
      <c r="DO226" s="430"/>
      <c r="DP226" s="93"/>
      <c r="DQ226" s="439"/>
      <c r="DR226" s="441"/>
      <c r="DS226" s="441"/>
      <c r="DT226" s="441"/>
      <c r="DU226" s="93"/>
      <c r="DV226" s="442"/>
      <c r="DW226" s="443"/>
      <c r="DX226" s="363"/>
      <c r="DY226" s="345"/>
      <c r="DZ226" s="87"/>
      <c r="EA226" s="10"/>
    </row>
    <row r="227" ht="17.25" customHeight="1">
      <c r="A227" s="10"/>
      <c r="B227" s="87"/>
      <c r="C227" s="234"/>
      <c r="D227" s="235"/>
      <c r="E227" s="93"/>
      <c r="F227" s="268"/>
      <c r="G227" s="268"/>
      <c r="H227" s="268"/>
      <c r="I227" s="268"/>
      <c r="J227" s="268"/>
      <c r="K227" s="268"/>
      <c r="L227" s="450"/>
      <c r="M227" s="268"/>
      <c r="N227" s="268"/>
      <c r="O227" s="268"/>
      <c r="P227" s="268"/>
      <c r="Q227" s="450"/>
      <c r="R227" s="268"/>
      <c r="S227" s="268"/>
      <c r="T227" s="268"/>
      <c r="U227" s="268"/>
      <c r="V227" s="450"/>
      <c r="W227" s="268"/>
      <c r="X227" s="268"/>
      <c r="Y227" s="268"/>
      <c r="Z227" s="268"/>
      <c r="AA227" s="450"/>
      <c r="AB227" s="268"/>
      <c r="AC227" s="268"/>
      <c r="AD227" s="268"/>
      <c r="AE227" s="268"/>
      <c r="AF227" s="450"/>
      <c r="AG227" s="268"/>
      <c r="AH227" s="268"/>
      <c r="AI227" s="268"/>
      <c r="AJ227" s="268"/>
      <c r="AK227" s="450"/>
      <c r="AL227" s="268"/>
      <c r="AM227" s="268"/>
      <c r="AN227" s="268"/>
      <c r="AO227" s="268"/>
      <c r="AP227" s="397"/>
      <c r="AQ227" s="509"/>
      <c r="AR227" s="397"/>
      <c r="AS227" s="93"/>
      <c r="AT227" s="359"/>
      <c r="AU227" s="518"/>
      <c r="AV227" s="524"/>
      <c r="AW227" s="518"/>
      <c r="AX227" s="93"/>
      <c r="AY227" s="364"/>
      <c r="AZ227" s="480"/>
      <c r="BA227" s="525"/>
      <c r="BB227" s="480"/>
      <c r="BC227" s="93"/>
      <c r="BD227" s="368"/>
      <c r="BE227" s="477"/>
      <c r="BF227" s="560"/>
      <c r="BG227" s="477"/>
      <c r="BH227" s="93"/>
      <c r="BI227" s="402"/>
      <c r="BJ227" s="478"/>
      <c r="BK227" s="609"/>
      <c r="BL227" s="478"/>
      <c r="BM227" s="93"/>
      <c r="BN227" s="372"/>
      <c r="BO227" s="455"/>
      <c r="BP227" s="557"/>
      <c r="BQ227" s="455"/>
      <c r="BR227" s="93"/>
      <c r="BS227" s="380"/>
      <c r="BT227" s="492"/>
      <c r="BU227" s="566"/>
      <c r="BV227" s="492"/>
      <c r="BW227" s="93"/>
      <c r="BX227" s="385"/>
      <c r="BY227" s="490"/>
      <c r="BZ227" s="605"/>
      <c r="CA227" s="490"/>
      <c r="CB227" s="93"/>
      <c r="CC227" s="387"/>
      <c r="CD227" s="404"/>
      <c r="CE227" s="535"/>
      <c r="CF227" s="404"/>
      <c r="CG227" s="93"/>
      <c r="CH227" s="387"/>
      <c r="CI227" s="404"/>
      <c r="CJ227" s="535"/>
      <c r="CK227" s="520"/>
      <c r="CL227" s="93"/>
      <c r="CM227" s="390" t="str">
        <f>IFERROR(__xludf.DUMMYFUNCTION("""COMPUTED_VALUE"""),"")</f>
        <v/>
      </c>
      <c r="CN227" s="489" t="str">
        <f>IFERROR(__xludf.DUMMYFUNCTION("""COMPUTED_VALUE"""),"Snom")</f>
        <v>Snom</v>
      </c>
      <c r="CO227" s="532" t="s">
        <v>158</v>
      </c>
      <c r="CP227" s="523"/>
      <c r="CQ227" s="93"/>
      <c r="CR227" s="413"/>
      <c r="CS227" s="414"/>
      <c r="CT227" s="632"/>
      <c r="CU227" s="414"/>
      <c r="CV227" s="93"/>
      <c r="CW227" s="415"/>
      <c r="CX227" s="468"/>
      <c r="CY227" s="633"/>
      <c r="CZ227" s="468"/>
      <c r="DA227" s="93"/>
      <c r="DB227" s="423"/>
      <c r="DC227" s="424"/>
      <c r="DD227" s="634"/>
      <c r="DE227" s="424"/>
      <c r="DF227" s="93"/>
      <c r="DG227" s="628"/>
      <c r="DH227" s="641"/>
      <c r="DI227" s="641"/>
      <c r="DJ227" s="641"/>
      <c r="DK227" s="93"/>
      <c r="DL227" s="429"/>
      <c r="DM227" s="430"/>
      <c r="DN227" s="430"/>
      <c r="DO227" s="430"/>
      <c r="DP227" s="93"/>
      <c r="DQ227" s="439"/>
      <c r="DR227" s="441"/>
      <c r="DS227" s="441"/>
      <c r="DT227" s="441"/>
      <c r="DU227" s="93"/>
      <c r="DV227" s="442"/>
      <c r="DW227" s="443"/>
      <c r="DX227" s="363"/>
      <c r="DY227" s="345"/>
      <c r="DZ227" s="87"/>
      <c r="EA227" s="10"/>
    </row>
    <row r="228" ht="17.25" customHeight="1">
      <c r="A228" s="10"/>
      <c r="B228" s="87"/>
      <c r="C228" s="234"/>
      <c r="D228" s="235"/>
      <c r="E228" s="93"/>
      <c r="F228" s="268"/>
      <c r="G228" s="268"/>
      <c r="H228" s="268"/>
      <c r="I228" s="268"/>
      <c r="J228" s="268"/>
      <c r="K228" s="268"/>
      <c r="L228" s="450"/>
      <c r="M228" s="268"/>
      <c r="N228" s="268"/>
      <c r="O228" s="268"/>
      <c r="P228" s="268"/>
      <c r="Q228" s="450"/>
      <c r="R228" s="268"/>
      <c r="S228" s="268"/>
      <c r="T228" s="268"/>
      <c r="U228" s="268"/>
      <c r="V228" s="450"/>
      <c r="W228" s="268"/>
      <c r="X228" s="268"/>
      <c r="Y228" s="268"/>
      <c r="Z228" s="268"/>
      <c r="AA228" s="450"/>
      <c r="AB228" s="268"/>
      <c r="AC228" s="268"/>
      <c r="AD228" s="268"/>
      <c r="AE228" s="268"/>
      <c r="AF228" s="450"/>
      <c r="AG228" s="268"/>
      <c r="AH228" s="268"/>
      <c r="AI228" s="268"/>
      <c r="AJ228" s="268"/>
      <c r="AK228" s="450"/>
      <c r="AL228" s="268"/>
      <c r="AM228" s="268"/>
      <c r="AN228" s="268"/>
      <c r="AO228" s="268"/>
      <c r="AP228" s="397"/>
      <c r="AQ228" s="509"/>
      <c r="AR228" s="397"/>
      <c r="AS228" s="93"/>
      <c r="AT228" s="359"/>
      <c r="AU228" s="518"/>
      <c r="AV228" s="524"/>
      <c r="AW228" s="518"/>
      <c r="AX228" s="93"/>
      <c r="AY228" s="364"/>
      <c r="AZ228" s="480"/>
      <c r="BA228" s="525"/>
      <c r="BB228" s="480"/>
      <c r="BC228" s="93"/>
      <c r="BD228" s="368"/>
      <c r="BE228" s="477"/>
      <c r="BF228" s="560"/>
      <c r="BG228" s="477"/>
      <c r="BH228" s="93"/>
      <c r="BI228" s="402"/>
      <c r="BJ228" s="478"/>
      <c r="BK228" s="609"/>
      <c r="BL228" s="478"/>
      <c r="BM228" s="93"/>
      <c r="BN228" s="372"/>
      <c r="BO228" s="455"/>
      <c r="BP228" s="557"/>
      <c r="BQ228" s="455"/>
      <c r="BR228" s="93"/>
      <c r="BS228" s="380"/>
      <c r="BT228" s="492"/>
      <c r="BU228" s="566"/>
      <c r="BV228" s="492"/>
      <c r="BW228" s="93"/>
      <c r="BX228" s="385"/>
      <c r="BY228" s="490"/>
      <c r="BZ228" s="605"/>
      <c r="CA228" s="490"/>
      <c r="CB228" s="93"/>
      <c r="CC228" s="387"/>
      <c r="CD228" s="404"/>
      <c r="CE228" s="535"/>
      <c r="CF228" s="404"/>
      <c r="CG228" s="93"/>
      <c r="CH228" s="387"/>
      <c r="CI228" s="404"/>
      <c r="CJ228" s="535"/>
      <c r="CK228" s="520"/>
      <c r="CL228" s="93"/>
      <c r="CM228" s="390" t="str">
        <f>IFERROR(__xludf.DUMMYFUNCTION("""COMPUTED_VALUE"""),"")</f>
        <v/>
      </c>
      <c r="CN228" s="489" t="str">
        <f>IFERROR(__xludf.DUMMYFUNCTION("""COMPUTED_VALUE"""),"Snorunt")</f>
        <v>Snorunt</v>
      </c>
      <c r="CO228" s="532" t="s">
        <v>158</v>
      </c>
      <c r="CP228" s="523"/>
      <c r="CQ228" s="93"/>
      <c r="CR228" s="413"/>
      <c r="CS228" s="414"/>
      <c r="CT228" s="632"/>
      <c r="CU228" s="414"/>
      <c r="CV228" s="93"/>
      <c r="CW228" s="415"/>
      <c r="CX228" s="468"/>
      <c r="CY228" s="633"/>
      <c r="CZ228" s="468"/>
      <c r="DA228" s="93"/>
      <c r="DB228" s="423"/>
      <c r="DC228" s="424"/>
      <c r="DD228" s="634"/>
      <c r="DE228" s="424"/>
      <c r="DF228" s="93"/>
      <c r="DG228" s="628"/>
      <c r="DH228" s="641"/>
      <c r="DI228" s="641"/>
      <c r="DJ228" s="641"/>
      <c r="DK228" s="93"/>
      <c r="DL228" s="429"/>
      <c r="DM228" s="430"/>
      <c r="DN228" s="430"/>
      <c r="DO228" s="430"/>
      <c r="DP228" s="93"/>
      <c r="DQ228" s="439"/>
      <c r="DR228" s="441"/>
      <c r="DS228" s="441"/>
      <c r="DT228" s="441"/>
      <c r="DU228" s="93"/>
      <c r="DV228" s="442"/>
      <c r="DW228" s="443"/>
      <c r="DX228" s="363"/>
      <c r="DY228" s="345"/>
      <c r="DZ228" s="87"/>
      <c r="EA228" s="10"/>
    </row>
    <row r="229" ht="17.25" customHeight="1">
      <c r="A229" s="10"/>
      <c r="B229" s="87"/>
      <c r="C229" s="234"/>
      <c r="D229" s="235"/>
      <c r="E229" s="93"/>
      <c r="F229" s="268"/>
      <c r="G229" s="268"/>
      <c r="H229" s="268"/>
      <c r="I229" s="268"/>
      <c r="J229" s="268"/>
      <c r="K229" s="268"/>
      <c r="L229" s="450"/>
      <c r="M229" s="268"/>
      <c r="N229" s="268"/>
      <c r="O229" s="268"/>
      <c r="P229" s="268"/>
      <c r="Q229" s="450"/>
      <c r="R229" s="268"/>
      <c r="S229" s="268"/>
      <c r="T229" s="268"/>
      <c r="U229" s="268"/>
      <c r="V229" s="450"/>
      <c r="W229" s="268"/>
      <c r="X229" s="268"/>
      <c r="Y229" s="268"/>
      <c r="Z229" s="268"/>
      <c r="AA229" s="450"/>
      <c r="AB229" s="268"/>
      <c r="AC229" s="268"/>
      <c r="AD229" s="268"/>
      <c r="AE229" s="268"/>
      <c r="AF229" s="450"/>
      <c r="AG229" s="268"/>
      <c r="AH229" s="268"/>
      <c r="AI229" s="268"/>
      <c r="AJ229" s="268"/>
      <c r="AK229" s="450"/>
      <c r="AL229" s="268"/>
      <c r="AM229" s="268"/>
      <c r="AN229" s="268"/>
      <c r="AO229" s="268"/>
      <c r="AP229" s="397"/>
      <c r="AQ229" s="509"/>
      <c r="AR229" s="397"/>
      <c r="AS229" s="93"/>
      <c r="AT229" s="359"/>
      <c r="AU229" s="518"/>
      <c r="AV229" s="524"/>
      <c r="AW229" s="518"/>
      <c r="AX229" s="93"/>
      <c r="AY229" s="364"/>
      <c r="AZ229" s="480"/>
      <c r="BA229" s="525"/>
      <c r="BB229" s="480"/>
      <c r="BC229" s="93"/>
      <c r="BD229" s="368"/>
      <c r="BE229" s="477"/>
      <c r="BF229" s="560"/>
      <c r="BG229" s="477"/>
      <c r="BH229" s="93"/>
      <c r="BI229" s="402"/>
      <c r="BJ229" s="478"/>
      <c r="BK229" s="609"/>
      <c r="BL229" s="478"/>
      <c r="BM229" s="93"/>
      <c r="BN229" s="372"/>
      <c r="BO229" s="455"/>
      <c r="BP229" s="557"/>
      <c r="BQ229" s="455"/>
      <c r="BR229" s="93"/>
      <c r="BS229" s="380"/>
      <c r="BT229" s="492"/>
      <c r="BU229" s="566"/>
      <c r="BV229" s="492"/>
      <c r="BW229" s="93"/>
      <c r="BX229" s="385"/>
      <c r="BY229" s="490"/>
      <c r="BZ229" s="605"/>
      <c r="CA229" s="490"/>
      <c r="CB229" s="93"/>
      <c r="CC229" s="387"/>
      <c r="CD229" s="404"/>
      <c r="CE229" s="535"/>
      <c r="CF229" s="404"/>
      <c r="CG229" s="93"/>
      <c r="CH229" s="387"/>
      <c r="CI229" s="404"/>
      <c r="CJ229" s="535"/>
      <c r="CK229" s="520"/>
      <c r="CL229" s="93"/>
      <c r="CM229" s="390" t="str">
        <f>IFERROR(__xludf.DUMMYFUNCTION("""COMPUTED_VALUE"""),"")</f>
        <v/>
      </c>
      <c r="CN229" s="489" t="str">
        <f>IFERROR(__xludf.DUMMYFUNCTION("""COMPUTED_VALUE"""),"Snover")</f>
        <v>Snover</v>
      </c>
      <c r="CO229" s="532" t="s">
        <v>158</v>
      </c>
      <c r="CP229" s="523"/>
      <c r="CQ229" s="93"/>
      <c r="CR229" s="413"/>
      <c r="CS229" s="414"/>
      <c r="CT229" s="632"/>
      <c r="CU229" s="414"/>
      <c r="CV229" s="93"/>
      <c r="CW229" s="415"/>
      <c r="CX229" s="468"/>
      <c r="CY229" s="633"/>
      <c r="CZ229" s="468"/>
      <c r="DA229" s="93"/>
      <c r="DB229" s="423"/>
      <c r="DC229" s="424"/>
      <c r="DD229" s="634"/>
      <c r="DE229" s="424"/>
      <c r="DF229" s="93"/>
      <c r="DG229" s="628"/>
      <c r="DH229" s="641"/>
      <c r="DI229" s="641"/>
      <c r="DJ229" s="641"/>
      <c r="DK229" s="93"/>
      <c r="DL229" s="429"/>
      <c r="DM229" s="430"/>
      <c r="DN229" s="430"/>
      <c r="DO229" s="430"/>
      <c r="DP229" s="93"/>
      <c r="DQ229" s="439"/>
      <c r="DR229" s="441"/>
      <c r="DS229" s="441"/>
      <c r="DT229" s="441"/>
      <c r="DU229" s="93"/>
      <c r="DV229" s="442"/>
      <c r="DW229" s="443"/>
      <c r="DX229" s="363"/>
      <c r="DY229" s="345"/>
      <c r="DZ229" s="87"/>
      <c r="EA229" s="10"/>
    </row>
    <row r="230" ht="17.25" customHeight="1">
      <c r="A230" s="10"/>
      <c r="B230" s="87"/>
      <c r="C230" s="234"/>
      <c r="D230" s="235"/>
      <c r="E230" s="93"/>
      <c r="F230" s="268"/>
      <c r="G230" s="268"/>
      <c r="H230" s="268"/>
      <c r="I230" s="268"/>
      <c r="J230" s="268"/>
      <c r="K230" s="268"/>
      <c r="L230" s="450"/>
      <c r="M230" s="268"/>
      <c r="N230" s="268"/>
      <c r="O230" s="268"/>
      <c r="P230" s="268"/>
      <c r="Q230" s="450"/>
      <c r="R230" s="268"/>
      <c r="S230" s="268"/>
      <c r="T230" s="268"/>
      <c r="U230" s="268"/>
      <c r="V230" s="450"/>
      <c r="W230" s="268"/>
      <c r="X230" s="268"/>
      <c r="Y230" s="268"/>
      <c r="Z230" s="268"/>
      <c r="AA230" s="450"/>
      <c r="AB230" s="268"/>
      <c r="AC230" s="268"/>
      <c r="AD230" s="268"/>
      <c r="AE230" s="268"/>
      <c r="AF230" s="450"/>
      <c r="AG230" s="268"/>
      <c r="AH230" s="268"/>
      <c r="AI230" s="268"/>
      <c r="AJ230" s="268"/>
      <c r="AK230" s="450"/>
      <c r="AL230" s="268"/>
      <c r="AM230" s="268"/>
      <c r="AN230" s="268"/>
      <c r="AO230" s="268"/>
      <c r="AP230" s="397"/>
      <c r="AQ230" s="509"/>
      <c r="AR230" s="397"/>
      <c r="AS230" s="93"/>
      <c r="AT230" s="359"/>
      <c r="AU230" s="518"/>
      <c r="AV230" s="524"/>
      <c r="AW230" s="518"/>
      <c r="AX230" s="93"/>
      <c r="AY230" s="364"/>
      <c r="AZ230" s="480"/>
      <c r="BA230" s="525"/>
      <c r="BB230" s="480"/>
      <c r="BC230" s="93"/>
      <c r="BD230" s="368"/>
      <c r="BE230" s="477"/>
      <c r="BF230" s="560"/>
      <c r="BG230" s="477"/>
      <c r="BH230" s="93"/>
      <c r="BI230" s="402"/>
      <c r="BJ230" s="478"/>
      <c r="BK230" s="609"/>
      <c r="BL230" s="478"/>
      <c r="BM230" s="93"/>
      <c r="BN230" s="372"/>
      <c r="BO230" s="455"/>
      <c r="BP230" s="557"/>
      <c r="BQ230" s="455"/>
      <c r="BR230" s="93"/>
      <c r="BS230" s="380"/>
      <c r="BT230" s="492"/>
      <c r="BU230" s="566"/>
      <c r="BV230" s="492"/>
      <c r="BW230" s="93"/>
      <c r="BX230" s="385"/>
      <c r="BY230" s="490"/>
      <c r="BZ230" s="605"/>
      <c r="CA230" s="490"/>
      <c r="CB230" s="93"/>
      <c r="CC230" s="387"/>
      <c r="CD230" s="404"/>
      <c r="CE230" s="535"/>
      <c r="CF230" s="404"/>
      <c r="CG230" s="93"/>
      <c r="CH230" s="387"/>
      <c r="CI230" s="404"/>
      <c r="CJ230" s="535"/>
      <c r="CK230" s="520"/>
      <c r="CL230" s="93"/>
      <c r="CM230" s="390" t="str">
        <f>IFERROR(__xludf.DUMMYFUNCTION("""COMPUTED_VALUE"""),"")</f>
        <v/>
      </c>
      <c r="CN230" s="489" t="str">
        <f>IFERROR(__xludf.DUMMYFUNCTION("""COMPUTED_VALUE"""),"Spewpa")</f>
        <v>Spewpa</v>
      </c>
      <c r="CO230" s="532" t="s">
        <v>158</v>
      </c>
      <c r="CP230" s="523"/>
      <c r="CQ230" s="93"/>
      <c r="CR230" s="413"/>
      <c r="CS230" s="414"/>
      <c r="CT230" s="632"/>
      <c r="CU230" s="414"/>
      <c r="CV230" s="93"/>
      <c r="CW230" s="415"/>
      <c r="CX230" s="468"/>
      <c r="CY230" s="633"/>
      <c r="CZ230" s="468"/>
      <c r="DA230" s="93"/>
      <c r="DB230" s="423"/>
      <c r="DC230" s="424"/>
      <c r="DD230" s="634"/>
      <c r="DE230" s="424"/>
      <c r="DF230" s="93"/>
      <c r="DG230" s="628"/>
      <c r="DH230" s="641"/>
      <c r="DI230" s="641"/>
      <c r="DJ230" s="641"/>
      <c r="DK230" s="93"/>
      <c r="DL230" s="429"/>
      <c r="DM230" s="430"/>
      <c r="DN230" s="430"/>
      <c r="DO230" s="430"/>
      <c r="DP230" s="93"/>
      <c r="DQ230" s="439"/>
      <c r="DR230" s="441"/>
      <c r="DS230" s="441"/>
      <c r="DT230" s="441"/>
      <c r="DU230" s="93"/>
      <c r="DV230" s="442"/>
      <c r="DW230" s="443"/>
      <c r="DX230" s="363"/>
      <c r="DY230" s="345"/>
      <c r="DZ230" s="87"/>
      <c r="EA230" s="10"/>
    </row>
    <row r="231" ht="17.25" customHeight="1">
      <c r="A231" s="10"/>
      <c r="B231" s="87"/>
      <c r="C231" s="234"/>
      <c r="D231" s="235"/>
      <c r="E231" s="93"/>
      <c r="F231" s="268"/>
      <c r="G231" s="268"/>
      <c r="H231" s="268"/>
      <c r="I231" s="268"/>
      <c r="J231" s="268"/>
      <c r="K231" s="268"/>
      <c r="L231" s="450"/>
      <c r="M231" s="268"/>
      <c r="N231" s="268"/>
      <c r="O231" s="268"/>
      <c r="P231" s="268"/>
      <c r="Q231" s="450"/>
      <c r="R231" s="268"/>
      <c r="S231" s="268"/>
      <c r="T231" s="268"/>
      <c r="U231" s="268"/>
      <c r="V231" s="450"/>
      <c r="W231" s="268"/>
      <c r="X231" s="268"/>
      <c r="Y231" s="268"/>
      <c r="Z231" s="268"/>
      <c r="AA231" s="450"/>
      <c r="AB231" s="268"/>
      <c r="AC231" s="268"/>
      <c r="AD231" s="268"/>
      <c r="AE231" s="268"/>
      <c r="AF231" s="450"/>
      <c r="AG231" s="268"/>
      <c r="AH231" s="268"/>
      <c r="AI231" s="268"/>
      <c r="AJ231" s="268"/>
      <c r="AK231" s="450"/>
      <c r="AL231" s="268"/>
      <c r="AM231" s="268"/>
      <c r="AN231" s="268"/>
      <c r="AO231" s="268"/>
      <c r="AP231" s="397"/>
      <c r="AQ231" s="509"/>
      <c r="AR231" s="397"/>
      <c r="AS231" s="93"/>
      <c r="AT231" s="359"/>
      <c r="AU231" s="518"/>
      <c r="AV231" s="524"/>
      <c r="AW231" s="518"/>
      <c r="AX231" s="93"/>
      <c r="AY231" s="364"/>
      <c r="AZ231" s="480"/>
      <c r="BA231" s="525"/>
      <c r="BB231" s="480"/>
      <c r="BC231" s="93"/>
      <c r="BD231" s="368"/>
      <c r="BE231" s="477"/>
      <c r="BF231" s="560"/>
      <c r="BG231" s="477"/>
      <c r="BH231" s="93"/>
      <c r="BI231" s="402"/>
      <c r="BJ231" s="478"/>
      <c r="BK231" s="609"/>
      <c r="BL231" s="478"/>
      <c r="BM231" s="93"/>
      <c r="BN231" s="372"/>
      <c r="BO231" s="455"/>
      <c r="BP231" s="557"/>
      <c r="BQ231" s="455"/>
      <c r="BR231" s="93"/>
      <c r="BS231" s="380"/>
      <c r="BT231" s="492"/>
      <c r="BU231" s="566"/>
      <c r="BV231" s="492"/>
      <c r="BW231" s="93"/>
      <c r="BX231" s="385"/>
      <c r="BY231" s="490"/>
      <c r="BZ231" s="605"/>
      <c r="CA231" s="490"/>
      <c r="CB231" s="93"/>
      <c r="CC231" s="387"/>
      <c r="CD231" s="404"/>
      <c r="CE231" s="535"/>
      <c r="CF231" s="404"/>
      <c r="CG231" s="93"/>
      <c r="CH231" s="387"/>
      <c r="CI231" s="404"/>
      <c r="CJ231" s="535"/>
      <c r="CK231" s="520"/>
      <c r="CL231" s="93"/>
      <c r="CM231" s="390" t="str">
        <f>IFERROR(__xludf.DUMMYFUNCTION("""COMPUTED_VALUE"""),"")</f>
        <v/>
      </c>
      <c r="CN231" s="489" t="str">
        <f>IFERROR(__xludf.DUMMYFUNCTION("""COMPUTED_VALUE"""),"Spidops")</f>
        <v>Spidops</v>
      </c>
      <c r="CO231" s="532" t="s">
        <v>158</v>
      </c>
      <c r="CP231" s="523"/>
      <c r="CQ231" s="93"/>
      <c r="CR231" s="413"/>
      <c r="CS231" s="414"/>
      <c r="CT231" s="632"/>
      <c r="CU231" s="414"/>
      <c r="CV231" s="93"/>
      <c r="CW231" s="415"/>
      <c r="CX231" s="468"/>
      <c r="CY231" s="633"/>
      <c r="CZ231" s="468"/>
      <c r="DA231" s="93"/>
      <c r="DB231" s="423"/>
      <c r="DC231" s="424"/>
      <c r="DD231" s="634"/>
      <c r="DE231" s="424"/>
      <c r="DF231" s="93"/>
      <c r="DG231" s="628"/>
      <c r="DH231" s="641"/>
      <c r="DI231" s="641"/>
      <c r="DJ231" s="641"/>
      <c r="DK231" s="93"/>
      <c r="DL231" s="429"/>
      <c r="DM231" s="430"/>
      <c r="DN231" s="430"/>
      <c r="DO231" s="430"/>
      <c r="DP231" s="93"/>
      <c r="DQ231" s="439"/>
      <c r="DR231" s="441"/>
      <c r="DS231" s="441"/>
      <c r="DT231" s="441"/>
      <c r="DU231" s="93"/>
      <c r="DV231" s="442"/>
      <c r="DW231" s="443"/>
      <c r="DX231" s="363"/>
      <c r="DY231" s="345"/>
      <c r="DZ231" s="87"/>
      <c r="EA231" s="10"/>
    </row>
    <row r="232" ht="17.25" customHeight="1">
      <c r="A232" s="10"/>
      <c r="B232" s="87"/>
      <c r="C232" s="234"/>
      <c r="D232" s="235"/>
      <c r="E232" s="93"/>
      <c r="F232" s="268"/>
      <c r="G232" s="268"/>
      <c r="H232" s="268"/>
      <c r="I232" s="268"/>
      <c r="J232" s="268"/>
      <c r="K232" s="268"/>
      <c r="L232" s="450"/>
      <c r="M232" s="268"/>
      <c r="N232" s="268"/>
      <c r="O232" s="268"/>
      <c r="P232" s="268"/>
      <c r="Q232" s="450"/>
      <c r="R232" s="268"/>
      <c r="S232" s="268"/>
      <c r="T232" s="268"/>
      <c r="U232" s="268"/>
      <c r="V232" s="450"/>
      <c r="W232" s="268"/>
      <c r="X232" s="268"/>
      <c r="Y232" s="268"/>
      <c r="Z232" s="268"/>
      <c r="AA232" s="450"/>
      <c r="AB232" s="268"/>
      <c r="AC232" s="268"/>
      <c r="AD232" s="268"/>
      <c r="AE232" s="268"/>
      <c r="AF232" s="450"/>
      <c r="AG232" s="268"/>
      <c r="AH232" s="268"/>
      <c r="AI232" s="268"/>
      <c r="AJ232" s="268"/>
      <c r="AK232" s="450"/>
      <c r="AL232" s="268"/>
      <c r="AM232" s="268"/>
      <c r="AN232" s="268"/>
      <c r="AO232" s="268"/>
      <c r="AP232" s="397"/>
      <c r="AQ232" s="509"/>
      <c r="AR232" s="397"/>
      <c r="AS232" s="93"/>
      <c r="AT232" s="359"/>
      <c r="AU232" s="518"/>
      <c r="AV232" s="524"/>
      <c r="AW232" s="518"/>
      <c r="AX232" s="93"/>
      <c r="AY232" s="364"/>
      <c r="AZ232" s="480"/>
      <c r="BA232" s="525"/>
      <c r="BB232" s="480"/>
      <c r="BC232" s="93"/>
      <c r="BD232" s="368"/>
      <c r="BE232" s="477"/>
      <c r="BF232" s="560"/>
      <c r="BG232" s="477"/>
      <c r="BH232" s="93"/>
      <c r="BI232" s="402"/>
      <c r="BJ232" s="478"/>
      <c r="BK232" s="609"/>
      <c r="BL232" s="478"/>
      <c r="BM232" s="93"/>
      <c r="BN232" s="372"/>
      <c r="BO232" s="455"/>
      <c r="BP232" s="557"/>
      <c r="BQ232" s="455"/>
      <c r="BR232" s="93"/>
      <c r="BS232" s="380"/>
      <c r="BT232" s="492"/>
      <c r="BU232" s="566"/>
      <c r="BV232" s="492"/>
      <c r="BW232" s="93"/>
      <c r="BX232" s="385"/>
      <c r="BY232" s="490"/>
      <c r="BZ232" s="605"/>
      <c r="CA232" s="490"/>
      <c r="CB232" s="93"/>
      <c r="CC232" s="387"/>
      <c r="CD232" s="404"/>
      <c r="CE232" s="535"/>
      <c r="CF232" s="404"/>
      <c r="CG232" s="93"/>
      <c r="CH232" s="387"/>
      <c r="CI232" s="404"/>
      <c r="CJ232" s="535"/>
      <c r="CK232" s="520"/>
      <c r="CL232" s="93"/>
      <c r="CM232" s="390" t="str">
        <f>IFERROR(__xludf.DUMMYFUNCTION("""COMPUTED_VALUE"""),"")</f>
        <v/>
      </c>
      <c r="CN232" s="489" t="str">
        <f>IFERROR(__xludf.DUMMYFUNCTION("""COMPUTED_VALUE"""),"Spoink")</f>
        <v>Spoink</v>
      </c>
      <c r="CO232" s="532" t="s">
        <v>158</v>
      </c>
      <c r="CP232" s="523"/>
      <c r="CQ232" s="93"/>
      <c r="CR232" s="413"/>
      <c r="CS232" s="414"/>
      <c r="CT232" s="632"/>
      <c r="CU232" s="414"/>
      <c r="CV232" s="93"/>
      <c r="CW232" s="415"/>
      <c r="CX232" s="468"/>
      <c r="CY232" s="633"/>
      <c r="CZ232" s="468"/>
      <c r="DA232" s="93"/>
      <c r="DB232" s="423"/>
      <c r="DC232" s="424"/>
      <c r="DD232" s="634"/>
      <c r="DE232" s="424"/>
      <c r="DF232" s="93"/>
      <c r="DG232" s="628"/>
      <c r="DH232" s="641"/>
      <c r="DI232" s="641"/>
      <c r="DJ232" s="641"/>
      <c r="DK232" s="93"/>
      <c r="DL232" s="429"/>
      <c r="DM232" s="430"/>
      <c r="DN232" s="430"/>
      <c r="DO232" s="430"/>
      <c r="DP232" s="93"/>
      <c r="DQ232" s="439"/>
      <c r="DR232" s="441"/>
      <c r="DS232" s="441"/>
      <c r="DT232" s="441"/>
      <c r="DU232" s="93"/>
      <c r="DV232" s="442"/>
      <c r="DW232" s="443"/>
      <c r="DX232" s="363"/>
      <c r="DY232" s="345"/>
      <c r="DZ232" s="87"/>
      <c r="EA232" s="10"/>
    </row>
    <row r="233" ht="17.25" customHeight="1">
      <c r="A233" s="10"/>
      <c r="B233" s="87"/>
      <c r="C233" s="234"/>
      <c r="D233" s="235"/>
      <c r="E233" s="93"/>
      <c r="F233" s="268"/>
      <c r="G233" s="268"/>
      <c r="H233" s="268"/>
      <c r="I233" s="268"/>
      <c r="J233" s="268"/>
      <c r="K233" s="268"/>
      <c r="L233" s="450"/>
      <c r="M233" s="268"/>
      <c r="N233" s="268"/>
      <c r="O233" s="268"/>
      <c r="P233" s="268"/>
      <c r="Q233" s="450"/>
      <c r="R233" s="268"/>
      <c r="S233" s="268"/>
      <c r="T233" s="268"/>
      <c r="U233" s="268"/>
      <c r="V233" s="450"/>
      <c r="W233" s="268"/>
      <c r="X233" s="268"/>
      <c r="Y233" s="268"/>
      <c r="Z233" s="268"/>
      <c r="AA233" s="450"/>
      <c r="AB233" s="268"/>
      <c r="AC233" s="268"/>
      <c r="AD233" s="268"/>
      <c r="AE233" s="268"/>
      <c r="AF233" s="450"/>
      <c r="AG233" s="268"/>
      <c r="AH233" s="268"/>
      <c r="AI233" s="268"/>
      <c r="AJ233" s="268"/>
      <c r="AK233" s="450"/>
      <c r="AL233" s="268"/>
      <c r="AM233" s="268"/>
      <c r="AN233" s="268"/>
      <c r="AO233" s="268"/>
      <c r="AP233" s="397"/>
      <c r="AQ233" s="509"/>
      <c r="AR233" s="397"/>
      <c r="AS233" s="93"/>
      <c r="AT233" s="359"/>
      <c r="AU233" s="518"/>
      <c r="AV233" s="524"/>
      <c r="AW233" s="518"/>
      <c r="AX233" s="93"/>
      <c r="AY233" s="364"/>
      <c r="AZ233" s="480"/>
      <c r="BA233" s="525"/>
      <c r="BB233" s="480"/>
      <c r="BC233" s="93"/>
      <c r="BD233" s="368"/>
      <c r="BE233" s="477"/>
      <c r="BF233" s="560"/>
      <c r="BG233" s="477"/>
      <c r="BH233" s="93"/>
      <c r="BI233" s="402"/>
      <c r="BJ233" s="478"/>
      <c r="BK233" s="609"/>
      <c r="BL233" s="478"/>
      <c r="BM233" s="93"/>
      <c r="BN233" s="372"/>
      <c r="BO233" s="455"/>
      <c r="BP233" s="557"/>
      <c r="BQ233" s="455"/>
      <c r="BR233" s="93"/>
      <c r="BS233" s="380"/>
      <c r="BT233" s="492"/>
      <c r="BU233" s="566"/>
      <c r="BV233" s="492"/>
      <c r="BW233" s="93"/>
      <c r="BX233" s="385"/>
      <c r="BY233" s="490"/>
      <c r="BZ233" s="605"/>
      <c r="CA233" s="490"/>
      <c r="CB233" s="93"/>
      <c r="CC233" s="387"/>
      <c r="CD233" s="404"/>
      <c r="CE233" s="535"/>
      <c r="CF233" s="404"/>
      <c r="CG233" s="93"/>
      <c r="CH233" s="387"/>
      <c r="CI233" s="404"/>
      <c r="CJ233" s="535"/>
      <c r="CK233" s="520"/>
      <c r="CL233" s="93"/>
      <c r="CM233" s="390" t="str">
        <f>IFERROR(__xludf.DUMMYFUNCTION("""COMPUTED_VALUE"""),"")</f>
        <v/>
      </c>
      <c r="CN233" s="489" t="str">
        <f>IFERROR(__xludf.DUMMYFUNCTION("""COMPUTED_VALUE"""),"Sprigatito")</f>
        <v>Sprigatito</v>
      </c>
      <c r="CO233" s="532" t="s">
        <v>158</v>
      </c>
      <c r="CP233" s="523"/>
      <c r="CQ233" s="93"/>
      <c r="CR233" s="413"/>
      <c r="CS233" s="414"/>
      <c r="CT233" s="632"/>
      <c r="CU233" s="414"/>
      <c r="CV233" s="93"/>
      <c r="CW233" s="415"/>
      <c r="CX233" s="468"/>
      <c r="CY233" s="633"/>
      <c r="CZ233" s="468"/>
      <c r="DA233" s="93"/>
      <c r="DB233" s="423"/>
      <c r="DC233" s="424"/>
      <c r="DD233" s="634"/>
      <c r="DE233" s="424"/>
      <c r="DF233" s="93"/>
      <c r="DG233" s="628"/>
      <c r="DH233" s="641"/>
      <c r="DI233" s="641"/>
      <c r="DJ233" s="641"/>
      <c r="DK233" s="93"/>
      <c r="DL233" s="429"/>
      <c r="DM233" s="430"/>
      <c r="DN233" s="430"/>
      <c r="DO233" s="430"/>
      <c r="DP233" s="93"/>
      <c r="DQ233" s="439"/>
      <c r="DR233" s="441"/>
      <c r="DS233" s="441"/>
      <c r="DT233" s="441"/>
      <c r="DU233" s="93"/>
      <c r="DV233" s="442"/>
      <c r="DW233" s="443"/>
      <c r="DX233" s="363"/>
      <c r="DY233" s="345"/>
      <c r="DZ233" s="87"/>
      <c r="EA233" s="10"/>
    </row>
    <row r="234" ht="17.25" customHeight="1">
      <c r="A234" s="10"/>
      <c r="B234" s="87"/>
      <c r="C234" s="234"/>
      <c r="D234" s="235"/>
      <c r="E234" s="93"/>
      <c r="F234" s="268"/>
      <c r="G234" s="268"/>
      <c r="H234" s="268"/>
      <c r="I234" s="268"/>
      <c r="J234" s="268"/>
      <c r="K234" s="268"/>
      <c r="L234" s="450"/>
      <c r="M234" s="268"/>
      <c r="N234" s="268"/>
      <c r="O234" s="268"/>
      <c r="P234" s="268"/>
      <c r="Q234" s="450"/>
      <c r="R234" s="268"/>
      <c r="S234" s="268"/>
      <c r="T234" s="268"/>
      <c r="U234" s="268"/>
      <c r="V234" s="450"/>
      <c r="W234" s="268"/>
      <c r="X234" s="268"/>
      <c r="Y234" s="268"/>
      <c r="Z234" s="268"/>
      <c r="AA234" s="450"/>
      <c r="AB234" s="268"/>
      <c r="AC234" s="268"/>
      <c r="AD234" s="268"/>
      <c r="AE234" s="268"/>
      <c r="AF234" s="450"/>
      <c r="AG234" s="268"/>
      <c r="AH234" s="268"/>
      <c r="AI234" s="268"/>
      <c r="AJ234" s="268"/>
      <c r="AK234" s="450"/>
      <c r="AL234" s="268"/>
      <c r="AM234" s="268"/>
      <c r="AN234" s="268"/>
      <c r="AO234" s="268"/>
      <c r="AP234" s="397"/>
      <c r="AQ234" s="509"/>
      <c r="AR234" s="397"/>
      <c r="AS234" s="93"/>
      <c r="AT234" s="359"/>
      <c r="AU234" s="518"/>
      <c r="AV234" s="524"/>
      <c r="AW234" s="518"/>
      <c r="AX234" s="93"/>
      <c r="AY234" s="364"/>
      <c r="AZ234" s="480"/>
      <c r="BA234" s="525"/>
      <c r="BB234" s="480"/>
      <c r="BC234" s="93"/>
      <c r="BD234" s="368"/>
      <c r="BE234" s="477"/>
      <c r="BF234" s="560"/>
      <c r="BG234" s="477"/>
      <c r="BH234" s="93"/>
      <c r="BI234" s="402"/>
      <c r="BJ234" s="478"/>
      <c r="BK234" s="609"/>
      <c r="BL234" s="478"/>
      <c r="BM234" s="93"/>
      <c r="BN234" s="372"/>
      <c r="BO234" s="455"/>
      <c r="BP234" s="557"/>
      <c r="BQ234" s="455"/>
      <c r="BR234" s="93"/>
      <c r="BS234" s="380"/>
      <c r="BT234" s="492"/>
      <c r="BU234" s="566"/>
      <c r="BV234" s="492"/>
      <c r="BW234" s="93"/>
      <c r="BX234" s="385"/>
      <c r="BY234" s="490"/>
      <c r="BZ234" s="605"/>
      <c r="CA234" s="490"/>
      <c r="CB234" s="93"/>
      <c r="CC234" s="387"/>
      <c r="CD234" s="404"/>
      <c r="CE234" s="535"/>
      <c r="CF234" s="404"/>
      <c r="CG234" s="93"/>
      <c r="CH234" s="387"/>
      <c r="CI234" s="404"/>
      <c r="CJ234" s="535"/>
      <c r="CK234" s="520"/>
      <c r="CL234" s="93"/>
      <c r="CM234" s="390" t="str">
        <f>IFERROR(__xludf.DUMMYFUNCTION("""COMPUTED_VALUE"""),"")</f>
        <v/>
      </c>
      <c r="CN234" s="489" t="str">
        <f>IFERROR(__xludf.DUMMYFUNCTION("""COMPUTED_VALUE"""),"Squawkabilly")</f>
        <v>Squawkabilly</v>
      </c>
      <c r="CO234" s="532" t="s">
        <v>158</v>
      </c>
      <c r="CP234" s="523"/>
      <c r="CQ234" s="93"/>
      <c r="CR234" s="413"/>
      <c r="CS234" s="414"/>
      <c r="CT234" s="632"/>
      <c r="CU234" s="414"/>
      <c r="CV234" s="93"/>
      <c r="CW234" s="415"/>
      <c r="CX234" s="468"/>
      <c r="CY234" s="633"/>
      <c r="CZ234" s="468"/>
      <c r="DA234" s="93"/>
      <c r="DB234" s="423"/>
      <c r="DC234" s="424"/>
      <c r="DD234" s="634"/>
      <c r="DE234" s="424"/>
      <c r="DF234" s="93"/>
      <c r="DG234" s="628"/>
      <c r="DH234" s="641"/>
      <c r="DI234" s="641"/>
      <c r="DJ234" s="641"/>
      <c r="DK234" s="93"/>
      <c r="DL234" s="429"/>
      <c r="DM234" s="430"/>
      <c r="DN234" s="430"/>
      <c r="DO234" s="430"/>
      <c r="DP234" s="93"/>
      <c r="DQ234" s="439"/>
      <c r="DR234" s="441"/>
      <c r="DS234" s="441"/>
      <c r="DT234" s="441"/>
      <c r="DU234" s="93"/>
      <c r="DV234" s="442"/>
      <c r="DW234" s="443"/>
      <c r="DX234" s="363"/>
      <c r="DY234" s="345"/>
      <c r="DZ234" s="87"/>
      <c r="EA234" s="10"/>
    </row>
    <row r="235" ht="17.25" customHeight="1">
      <c r="A235" s="10"/>
      <c r="B235" s="87"/>
      <c r="C235" s="234"/>
      <c r="D235" s="235"/>
      <c r="E235" s="93"/>
      <c r="F235" s="268"/>
      <c r="G235" s="268"/>
      <c r="H235" s="268"/>
      <c r="I235" s="268"/>
      <c r="J235" s="268"/>
      <c r="K235" s="268"/>
      <c r="L235" s="450"/>
      <c r="M235" s="268"/>
      <c r="N235" s="268"/>
      <c r="O235" s="268"/>
      <c r="P235" s="268"/>
      <c r="Q235" s="450"/>
      <c r="R235" s="268"/>
      <c r="S235" s="268"/>
      <c r="T235" s="268"/>
      <c r="U235" s="268"/>
      <c r="V235" s="450"/>
      <c r="W235" s="268"/>
      <c r="X235" s="268"/>
      <c r="Y235" s="268"/>
      <c r="Z235" s="268"/>
      <c r="AA235" s="450"/>
      <c r="AB235" s="268"/>
      <c r="AC235" s="268"/>
      <c r="AD235" s="268"/>
      <c r="AE235" s="268"/>
      <c r="AF235" s="450"/>
      <c r="AG235" s="268"/>
      <c r="AH235" s="268"/>
      <c r="AI235" s="268"/>
      <c r="AJ235" s="268"/>
      <c r="AK235" s="450"/>
      <c r="AL235" s="268"/>
      <c r="AM235" s="268"/>
      <c r="AN235" s="268"/>
      <c r="AO235" s="268"/>
      <c r="AP235" s="397"/>
      <c r="AQ235" s="509"/>
      <c r="AR235" s="397"/>
      <c r="AS235" s="93"/>
      <c r="AT235" s="359"/>
      <c r="AU235" s="518"/>
      <c r="AV235" s="524"/>
      <c r="AW235" s="518"/>
      <c r="AX235" s="93"/>
      <c r="AY235" s="364"/>
      <c r="AZ235" s="480"/>
      <c r="BA235" s="525"/>
      <c r="BB235" s="480"/>
      <c r="BC235" s="93"/>
      <c r="BD235" s="368"/>
      <c r="BE235" s="477"/>
      <c r="BF235" s="560"/>
      <c r="BG235" s="477"/>
      <c r="BH235" s="93"/>
      <c r="BI235" s="402"/>
      <c r="BJ235" s="478"/>
      <c r="BK235" s="609"/>
      <c r="BL235" s="478"/>
      <c r="BM235" s="93"/>
      <c r="BN235" s="372"/>
      <c r="BO235" s="455"/>
      <c r="BP235" s="557"/>
      <c r="BQ235" s="455"/>
      <c r="BR235" s="93"/>
      <c r="BS235" s="380"/>
      <c r="BT235" s="492"/>
      <c r="BU235" s="566"/>
      <c r="BV235" s="492"/>
      <c r="BW235" s="93"/>
      <c r="BX235" s="385"/>
      <c r="BY235" s="490"/>
      <c r="BZ235" s="605"/>
      <c r="CA235" s="490"/>
      <c r="CB235" s="93"/>
      <c r="CC235" s="387"/>
      <c r="CD235" s="404"/>
      <c r="CE235" s="535"/>
      <c r="CF235" s="404"/>
      <c r="CG235" s="93"/>
      <c r="CH235" s="387"/>
      <c r="CI235" s="404"/>
      <c r="CJ235" s="535"/>
      <c r="CK235" s="520"/>
      <c r="CL235" s="93"/>
      <c r="CM235" s="390" t="str">
        <f>IFERROR(__xludf.DUMMYFUNCTION("""COMPUTED_VALUE"""),"")</f>
        <v/>
      </c>
      <c r="CN235" s="489" t="str">
        <f>IFERROR(__xludf.DUMMYFUNCTION("""COMPUTED_VALUE"""),"Stantler")</f>
        <v>Stantler</v>
      </c>
      <c r="CO235" s="532" t="s">
        <v>158</v>
      </c>
      <c r="CP235" s="523"/>
      <c r="CQ235" s="93"/>
      <c r="CR235" s="413"/>
      <c r="CS235" s="414"/>
      <c r="CT235" s="632"/>
      <c r="CU235" s="414"/>
      <c r="CV235" s="93"/>
      <c r="CW235" s="415"/>
      <c r="CX235" s="468"/>
      <c r="CY235" s="633"/>
      <c r="CZ235" s="468"/>
      <c r="DA235" s="93"/>
      <c r="DB235" s="423"/>
      <c r="DC235" s="424"/>
      <c r="DD235" s="634"/>
      <c r="DE235" s="424"/>
      <c r="DF235" s="93"/>
      <c r="DG235" s="628"/>
      <c r="DH235" s="641"/>
      <c r="DI235" s="641"/>
      <c r="DJ235" s="641"/>
      <c r="DK235" s="93"/>
      <c r="DL235" s="429"/>
      <c r="DM235" s="430"/>
      <c r="DN235" s="430"/>
      <c r="DO235" s="430"/>
      <c r="DP235" s="93"/>
      <c r="DQ235" s="439"/>
      <c r="DR235" s="441"/>
      <c r="DS235" s="441"/>
      <c r="DT235" s="441"/>
      <c r="DU235" s="93"/>
      <c r="DV235" s="442"/>
      <c r="DW235" s="443"/>
      <c r="DX235" s="363"/>
      <c r="DY235" s="345"/>
      <c r="DZ235" s="87"/>
      <c r="EA235" s="10"/>
    </row>
    <row r="236" ht="17.25" customHeight="1">
      <c r="A236" s="10"/>
      <c r="B236" s="87"/>
      <c r="C236" s="234"/>
      <c r="D236" s="235"/>
      <c r="E236" s="93"/>
      <c r="F236" s="268"/>
      <c r="G236" s="268"/>
      <c r="H236" s="268"/>
      <c r="I236" s="268"/>
      <c r="J236" s="268"/>
      <c r="K236" s="268"/>
      <c r="L236" s="450"/>
      <c r="M236" s="268"/>
      <c r="N236" s="268"/>
      <c r="O236" s="268"/>
      <c r="P236" s="268"/>
      <c r="Q236" s="450"/>
      <c r="R236" s="268"/>
      <c r="S236" s="268"/>
      <c r="T236" s="268"/>
      <c r="U236" s="268"/>
      <c r="V236" s="450"/>
      <c r="W236" s="268"/>
      <c r="X236" s="268"/>
      <c r="Y236" s="268"/>
      <c r="Z236" s="268"/>
      <c r="AA236" s="450"/>
      <c r="AB236" s="268"/>
      <c r="AC236" s="268"/>
      <c r="AD236" s="268"/>
      <c r="AE236" s="268"/>
      <c r="AF236" s="450"/>
      <c r="AG236" s="268"/>
      <c r="AH236" s="268"/>
      <c r="AI236" s="268"/>
      <c r="AJ236" s="268"/>
      <c r="AK236" s="450"/>
      <c r="AL236" s="268"/>
      <c r="AM236" s="268"/>
      <c r="AN236" s="268"/>
      <c r="AO236" s="268"/>
      <c r="AP236" s="397"/>
      <c r="AQ236" s="509"/>
      <c r="AR236" s="397"/>
      <c r="AS236" s="93"/>
      <c r="AT236" s="359"/>
      <c r="AU236" s="518"/>
      <c r="AV236" s="524"/>
      <c r="AW236" s="518"/>
      <c r="AX236" s="93"/>
      <c r="AY236" s="364"/>
      <c r="AZ236" s="480"/>
      <c r="BA236" s="525"/>
      <c r="BB236" s="480"/>
      <c r="BC236" s="93"/>
      <c r="BD236" s="368"/>
      <c r="BE236" s="477"/>
      <c r="BF236" s="560"/>
      <c r="BG236" s="477"/>
      <c r="BH236" s="93"/>
      <c r="BI236" s="402"/>
      <c r="BJ236" s="478"/>
      <c r="BK236" s="609"/>
      <c r="BL236" s="478"/>
      <c r="BM236" s="93"/>
      <c r="BN236" s="372"/>
      <c r="BO236" s="455"/>
      <c r="BP236" s="557"/>
      <c r="BQ236" s="455"/>
      <c r="BR236" s="93"/>
      <c r="BS236" s="380"/>
      <c r="BT236" s="492"/>
      <c r="BU236" s="566"/>
      <c r="BV236" s="492"/>
      <c r="BW236" s="93"/>
      <c r="BX236" s="385"/>
      <c r="BY236" s="490"/>
      <c r="BZ236" s="605"/>
      <c r="CA236" s="490"/>
      <c r="CB236" s="93"/>
      <c r="CC236" s="387"/>
      <c r="CD236" s="404"/>
      <c r="CE236" s="535"/>
      <c r="CF236" s="404"/>
      <c r="CG236" s="93"/>
      <c r="CH236" s="387"/>
      <c r="CI236" s="404"/>
      <c r="CJ236" s="535"/>
      <c r="CK236" s="520"/>
      <c r="CL236" s="93"/>
      <c r="CM236" s="390" t="str">
        <f>IFERROR(__xludf.DUMMYFUNCTION("""COMPUTED_VALUE"""),"")</f>
        <v/>
      </c>
      <c r="CN236" s="489" t="str">
        <f>IFERROR(__xludf.DUMMYFUNCTION("""COMPUTED_VALUE"""),"Staraptor")</f>
        <v>Staraptor</v>
      </c>
      <c r="CO236" s="532" t="s">
        <v>159</v>
      </c>
      <c r="CP236" s="523"/>
      <c r="CQ236" s="93"/>
      <c r="CR236" s="413"/>
      <c r="CS236" s="414"/>
      <c r="CT236" s="632"/>
      <c r="CU236" s="414"/>
      <c r="CV236" s="93"/>
      <c r="CW236" s="415"/>
      <c r="CX236" s="468"/>
      <c r="CY236" s="633"/>
      <c r="CZ236" s="468"/>
      <c r="DA236" s="93"/>
      <c r="DB236" s="423"/>
      <c r="DC236" s="424"/>
      <c r="DD236" s="634"/>
      <c r="DE236" s="424"/>
      <c r="DF236" s="93"/>
      <c r="DG236" s="628"/>
      <c r="DH236" s="641"/>
      <c r="DI236" s="641"/>
      <c r="DJ236" s="641"/>
      <c r="DK236" s="93"/>
      <c r="DL236" s="429"/>
      <c r="DM236" s="430"/>
      <c r="DN236" s="430"/>
      <c r="DO236" s="430"/>
      <c r="DP236" s="93"/>
      <c r="DQ236" s="439"/>
      <c r="DR236" s="441"/>
      <c r="DS236" s="441"/>
      <c r="DT236" s="441"/>
      <c r="DU236" s="93"/>
      <c r="DV236" s="442"/>
      <c r="DW236" s="443"/>
      <c r="DX236" s="363"/>
      <c r="DY236" s="345"/>
      <c r="DZ236" s="87"/>
      <c r="EA236" s="10"/>
    </row>
    <row r="237" ht="17.25" customHeight="1">
      <c r="A237" s="10"/>
      <c r="B237" s="87"/>
      <c r="C237" s="234"/>
      <c r="D237" s="235"/>
      <c r="E237" s="93"/>
      <c r="F237" s="268"/>
      <c r="G237" s="268"/>
      <c r="H237" s="268"/>
      <c r="I237" s="268"/>
      <c r="J237" s="268"/>
      <c r="K237" s="268"/>
      <c r="L237" s="450"/>
      <c r="M237" s="268"/>
      <c r="N237" s="268"/>
      <c r="O237" s="268"/>
      <c r="P237" s="268"/>
      <c r="Q237" s="450"/>
      <c r="R237" s="268"/>
      <c r="S237" s="268"/>
      <c r="T237" s="268"/>
      <c r="U237" s="268"/>
      <c r="V237" s="450"/>
      <c r="W237" s="268"/>
      <c r="X237" s="268"/>
      <c r="Y237" s="268"/>
      <c r="Z237" s="268"/>
      <c r="AA237" s="450"/>
      <c r="AB237" s="268"/>
      <c r="AC237" s="268"/>
      <c r="AD237" s="268"/>
      <c r="AE237" s="268"/>
      <c r="AF237" s="450"/>
      <c r="AG237" s="268"/>
      <c r="AH237" s="268"/>
      <c r="AI237" s="268"/>
      <c r="AJ237" s="268"/>
      <c r="AK237" s="450"/>
      <c r="AL237" s="268"/>
      <c r="AM237" s="268"/>
      <c r="AN237" s="268"/>
      <c r="AO237" s="268"/>
      <c r="AP237" s="397"/>
      <c r="AQ237" s="509"/>
      <c r="AR237" s="397"/>
      <c r="AS237" s="93"/>
      <c r="AT237" s="359"/>
      <c r="AU237" s="518"/>
      <c r="AV237" s="524"/>
      <c r="AW237" s="518"/>
      <c r="AX237" s="93"/>
      <c r="AY237" s="364"/>
      <c r="AZ237" s="480"/>
      <c r="BA237" s="525"/>
      <c r="BB237" s="480"/>
      <c r="BC237" s="93"/>
      <c r="BD237" s="368"/>
      <c r="BE237" s="477"/>
      <c r="BF237" s="560"/>
      <c r="BG237" s="477"/>
      <c r="BH237" s="93"/>
      <c r="BI237" s="402"/>
      <c r="BJ237" s="478"/>
      <c r="BK237" s="609"/>
      <c r="BL237" s="478"/>
      <c r="BM237" s="93"/>
      <c r="BN237" s="372"/>
      <c r="BO237" s="455"/>
      <c r="BP237" s="557"/>
      <c r="BQ237" s="455"/>
      <c r="BR237" s="93"/>
      <c r="BS237" s="380"/>
      <c r="BT237" s="492"/>
      <c r="BU237" s="566"/>
      <c r="BV237" s="492"/>
      <c r="BW237" s="93"/>
      <c r="BX237" s="385"/>
      <c r="BY237" s="490"/>
      <c r="BZ237" s="605"/>
      <c r="CA237" s="490"/>
      <c r="CB237" s="93"/>
      <c r="CC237" s="387"/>
      <c r="CD237" s="404"/>
      <c r="CE237" s="535"/>
      <c r="CF237" s="404"/>
      <c r="CG237" s="93"/>
      <c r="CH237" s="387"/>
      <c r="CI237" s="404"/>
      <c r="CJ237" s="535"/>
      <c r="CK237" s="520"/>
      <c r="CL237" s="93"/>
      <c r="CM237" s="390" t="str">
        <f>IFERROR(__xludf.DUMMYFUNCTION("""COMPUTED_VALUE"""),"")</f>
        <v/>
      </c>
      <c r="CN237" s="489" t="str">
        <f>IFERROR(__xludf.DUMMYFUNCTION("""COMPUTED_VALUE"""),"Staravia")</f>
        <v>Staravia</v>
      </c>
      <c r="CO237" s="532" t="s">
        <v>158</v>
      </c>
      <c r="CP237" s="523"/>
      <c r="CQ237" s="93"/>
      <c r="CR237" s="413"/>
      <c r="CS237" s="414"/>
      <c r="CT237" s="632"/>
      <c r="CU237" s="414"/>
      <c r="CV237" s="93"/>
      <c r="CW237" s="415"/>
      <c r="CX237" s="468"/>
      <c r="CY237" s="633"/>
      <c r="CZ237" s="468"/>
      <c r="DA237" s="93"/>
      <c r="DB237" s="423"/>
      <c r="DC237" s="424"/>
      <c r="DD237" s="634"/>
      <c r="DE237" s="424"/>
      <c r="DF237" s="93"/>
      <c r="DG237" s="628"/>
      <c r="DH237" s="641"/>
      <c r="DI237" s="641"/>
      <c r="DJ237" s="641"/>
      <c r="DK237" s="93"/>
      <c r="DL237" s="429"/>
      <c r="DM237" s="430"/>
      <c r="DN237" s="430"/>
      <c r="DO237" s="430"/>
      <c r="DP237" s="93"/>
      <c r="DQ237" s="439"/>
      <c r="DR237" s="441"/>
      <c r="DS237" s="441"/>
      <c r="DT237" s="441"/>
      <c r="DU237" s="93"/>
      <c r="DV237" s="442"/>
      <c r="DW237" s="443"/>
      <c r="DX237" s="363"/>
      <c r="DY237" s="345"/>
      <c r="DZ237" s="87"/>
      <c r="EA237" s="10"/>
    </row>
    <row r="238" ht="17.25" customHeight="1">
      <c r="A238" s="10"/>
      <c r="B238" s="87"/>
      <c r="C238" s="234"/>
      <c r="D238" s="235"/>
      <c r="E238" s="93"/>
      <c r="F238" s="268"/>
      <c r="G238" s="268"/>
      <c r="H238" s="268"/>
      <c r="I238" s="268"/>
      <c r="J238" s="268"/>
      <c r="K238" s="268"/>
      <c r="L238" s="450"/>
      <c r="M238" s="268"/>
      <c r="N238" s="268"/>
      <c r="O238" s="268"/>
      <c r="P238" s="268"/>
      <c r="Q238" s="450"/>
      <c r="R238" s="268"/>
      <c r="S238" s="268"/>
      <c r="T238" s="268"/>
      <c r="U238" s="268"/>
      <c r="V238" s="450"/>
      <c r="W238" s="268"/>
      <c r="X238" s="268"/>
      <c r="Y238" s="268"/>
      <c r="Z238" s="268"/>
      <c r="AA238" s="450"/>
      <c r="AB238" s="268"/>
      <c r="AC238" s="268"/>
      <c r="AD238" s="268"/>
      <c r="AE238" s="268"/>
      <c r="AF238" s="450"/>
      <c r="AG238" s="268"/>
      <c r="AH238" s="268"/>
      <c r="AI238" s="268"/>
      <c r="AJ238" s="268"/>
      <c r="AK238" s="450"/>
      <c r="AL238" s="268"/>
      <c r="AM238" s="268"/>
      <c r="AN238" s="268"/>
      <c r="AO238" s="268"/>
      <c r="AP238" s="397"/>
      <c r="AQ238" s="509"/>
      <c r="AR238" s="397"/>
      <c r="AS238" s="93"/>
      <c r="AT238" s="359"/>
      <c r="AU238" s="518"/>
      <c r="AV238" s="524"/>
      <c r="AW238" s="518"/>
      <c r="AX238" s="93"/>
      <c r="AY238" s="364"/>
      <c r="AZ238" s="480"/>
      <c r="BA238" s="525"/>
      <c r="BB238" s="480"/>
      <c r="BC238" s="93"/>
      <c r="BD238" s="368"/>
      <c r="BE238" s="477"/>
      <c r="BF238" s="560"/>
      <c r="BG238" s="477"/>
      <c r="BH238" s="93"/>
      <c r="BI238" s="402"/>
      <c r="BJ238" s="478"/>
      <c r="BK238" s="609"/>
      <c r="BL238" s="478"/>
      <c r="BM238" s="93"/>
      <c r="BN238" s="372"/>
      <c r="BO238" s="455"/>
      <c r="BP238" s="557"/>
      <c r="BQ238" s="455"/>
      <c r="BR238" s="93"/>
      <c r="BS238" s="380"/>
      <c r="BT238" s="492"/>
      <c r="BU238" s="566"/>
      <c r="BV238" s="492"/>
      <c r="BW238" s="93"/>
      <c r="BX238" s="385"/>
      <c r="BY238" s="490"/>
      <c r="BZ238" s="605"/>
      <c r="CA238" s="490"/>
      <c r="CB238" s="93"/>
      <c r="CC238" s="387"/>
      <c r="CD238" s="404"/>
      <c r="CE238" s="535"/>
      <c r="CF238" s="404"/>
      <c r="CG238" s="93"/>
      <c r="CH238" s="387"/>
      <c r="CI238" s="404"/>
      <c r="CJ238" s="535"/>
      <c r="CK238" s="520"/>
      <c r="CL238" s="93"/>
      <c r="CM238" s="390" t="str">
        <f>IFERROR(__xludf.DUMMYFUNCTION("""COMPUTED_VALUE"""),"")</f>
        <v/>
      </c>
      <c r="CN238" s="489" t="str">
        <f>IFERROR(__xludf.DUMMYFUNCTION("""COMPUTED_VALUE"""),"Starly")</f>
        <v>Starly</v>
      </c>
      <c r="CO238" s="532" t="s">
        <v>158</v>
      </c>
      <c r="CP238" s="523"/>
      <c r="CQ238" s="93"/>
      <c r="CR238" s="413"/>
      <c r="CS238" s="414"/>
      <c r="CT238" s="632"/>
      <c r="CU238" s="414"/>
      <c r="CV238" s="93"/>
      <c r="CW238" s="415"/>
      <c r="CX238" s="468"/>
      <c r="CY238" s="633"/>
      <c r="CZ238" s="468"/>
      <c r="DA238" s="93"/>
      <c r="DB238" s="423"/>
      <c r="DC238" s="424"/>
      <c r="DD238" s="634"/>
      <c r="DE238" s="424"/>
      <c r="DF238" s="93"/>
      <c r="DG238" s="628"/>
      <c r="DH238" s="641"/>
      <c r="DI238" s="641"/>
      <c r="DJ238" s="641"/>
      <c r="DK238" s="93"/>
      <c r="DL238" s="429"/>
      <c r="DM238" s="430"/>
      <c r="DN238" s="430"/>
      <c r="DO238" s="430"/>
      <c r="DP238" s="93"/>
      <c r="DQ238" s="439"/>
      <c r="DR238" s="441"/>
      <c r="DS238" s="441"/>
      <c r="DT238" s="441"/>
      <c r="DU238" s="93"/>
      <c r="DV238" s="442"/>
      <c r="DW238" s="443"/>
      <c r="DX238" s="363"/>
      <c r="DY238" s="345"/>
      <c r="DZ238" s="87"/>
      <c r="EA238" s="10"/>
    </row>
    <row r="239" ht="17.25" customHeight="1">
      <c r="A239" s="10"/>
      <c r="B239" s="87"/>
      <c r="C239" s="234"/>
      <c r="D239" s="235"/>
      <c r="E239" s="93"/>
      <c r="F239" s="268"/>
      <c r="G239" s="268"/>
      <c r="H239" s="268"/>
      <c r="I239" s="268"/>
      <c r="J239" s="268"/>
      <c r="K239" s="268"/>
      <c r="L239" s="450"/>
      <c r="M239" s="268"/>
      <c r="N239" s="268"/>
      <c r="O239" s="268"/>
      <c r="P239" s="268"/>
      <c r="Q239" s="450"/>
      <c r="R239" s="268"/>
      <c r="S239" s="268"/>
      <c r="T239" s="268"/>
      <c r="U239" s="268"/>
      <c r="V239" s="450"/>
      <c r="W239" s="268"/>
      <c r="X239" s="268"/>
      <c r="Y239" s="268"/>
      <c r="Z239" s="268"/>
      <c r="AA239" s="450"/>
      <c r="AB239" s="268"/>
      <c r="AC239" s="268"/>
      <c r="AD239" s="268"/>
      <c r="AE239" s="268"/>
      <c r="AF239" s="450"/>
      <c r="AG239" s="268"/>
      <c r="AH239" s="268"/>
      <c r="AI239" s="268"/>
      <c r="AJ239" s="268"/>
      <c r="AK239" s="450"/>
      <c r="AL239" s="268"/>
      <c r="AM239" s="268"/>
      <c r="AN239" s="268"/>
      <c r="AO239" s="268"/>
      <c r="AP239" s="397"/>
      <c r="AQ239" s="509"/>
      <c r="AR239" s="397"/>
      <c r="AS239" s="93"/>
      <c r="AT239" s="359"/>
      <c r="AU239" s="518"/>
      <c r="AV239" s="524"/>
      <c r="AW239" s="518"/>
      <c r="AX239" s="93"/>
      <c r="AY239" s="364"/>
      <c r="AZ239" s="480"/>
      <c r="BA239" s="525"/>
      <c r="BB239" s="480"/>
      <c r="BC239" s="93"/>
      <c r="BD239" s="368"/>
      <c r="BE239" s="477"/>
      <c r="BF239" s="560"/>
      <c r="BG239" s="477"/>
      <c r="BH239" s="93"/>
      <c r="BI239" s="402"/>
      <c r="BJ239" s="478"/>
      <c r="BK239" s="609"/>
      <c r="BL239" s="478"/>
      <c r="BM239" s="93"/>
      <c r="BN239" s="372"/>
      <c r="BO239" s="455"/>
      <c r="BP239" s="557"/>
      <c r="BQ239" s="455"/>
      <c r="BR239" s="93"/>
      <c r="BS239" s="380"/>
      <c r="BT239" s="492"/>
      <c r="BU239" s="566"/>
      <c r="BV239" s="492"/>
      <c r="BW239" s="93"/>
      <c r="BX239" s="385"/>
      <c r="BY239" s="490"/>
      <c r="BZ239" s="605"/>
      <c r="CA239" s="490"/>
      <c r="CB239" s="93"/>
      <c r="CC239" s="387"/>
      <c r="CD239" s="404"/>
      <c r="CE239" s="535"/>
      <c r="CF239" s="404"/>
      <c r="CG239" s="93"/>
      <c r="CH239" s="387"/>
      <c r="CI239" s="404"/>
      <c r="CJ239" s="535"/>
      <c r="CK239" s="520"/>
      <c r="CL239" s="93"/>
      <c r="CM239" s="390" t="str">
        <f>IFERROR(__xludf.DUMMYFUNCTION("""COMPUTED_VALUE"""),"")</f>
        <v/>
      </c>
      <c r="CN239" s="489" t="str">
        <f>IFERROR(__xludf.DUMMYFUNCTION("""COMPUTED_VALUE"""),"Steenee")</f>
        <v>Steenee</v>
      </c>
      <c r="CO239" s="532" t="s">
        <v>158</v>
      </c>
      <c r="CP239" s="523"/>
      <c r="CQ239" s="93"/>
      <c r="CR239" s="413"/>
      <c r="CS239" s="414"/>
      <c r="CT239" s="632"/>
      <c r="CU239" s="414"/>
      <c r="CV239" s="93"/>
      <c r="CW239" s="415"/>
      <c r="CX239" s="468"/>
      <c r="CY239" s="633"/>
      <c r="CZ239" s="468"/>
      <c r="DA239" s="93"/>
      <c r="DB239" s="423"/>
      <c r="DC239" s="424"/>
      <c r="DD239" s="634"/>
      <c r="DE239" s="424"/>
      <c r="DF239" s="93"/>
      <c r="DG239" s="628"/>
      <c r="DH239" s="641"/>
      <c r="DI239" s="641"/>
      <c r="DJ239" s="641"/>
      <c r="DK239" s="93"/>
      <c r="DL239" s="429"/>
      <c r="DM239" s="430"/>
      <c r="DN239" s="430"/>
      <c r="DO239" s="430"/>
      <c r="DP239" s="93"/>
      <c r="DQ239" s="439"/>
      <c r="DR239" s="441"/>
      <c r="DS239" s="441"/>
      <c r="DT239" s="441"/>
      <c r="DU239" s="93"/>
      <c r="DV239" s="442"/>
      <c r="DW239" s="443"/>
      <c r="DX239" s="363"/>
      <c r="DY239" s="345"/>
      <c r="DZ239" s="87"/>
      <c r="EA239" s="10"/>
    </row>
    <row r="240" ht="17.25" customHeight="1">
      <c r="A240" s="10"/>
      <c r="B240" s="87"/>
      <c r="C240" s="234"/>
      <c r="D240" s="235"/>
      <c r="E240" s="93"/>
      <c r="F240" s="268"/>
      <c r="G240" s="268"/>
      <c r="H240" s="268"/>
      <c r="I240" s="268"/>
      <c r="J240" s="268"/>
      <c r="K240" s="268"/>
      <c r="L240" s="450"/>
      <c r="M240" s="268"/>
      <c r="N240" s="268"/>
      <c r="O240" s="268"/>
      <c r="P240" s="268"/>
      <c r="Q240" s="450"/>
      <c r="R240" s="268"/>
      <c r="S240" s="268"/>
      <c r="T240" s="268"/>
      <c r="U240" s="268"/>
      <c r="V240" s="450"/>
      <c r="W240" s="268"/>
      <c r="X240" s="268"/>
      <c r="Y240" s="268"/>
      <c r="Z240" s="268"/>
      <c r="AA240" s="450"/>
      <c r="AB240" s="268"/>
      <c r="AC240" s="268"/>
      <c r="AD240" s="268"/>
      <c r="AE240" s="268"/>
      <c r="AF240" s="450"/>
      <c r="AG240" s="268"/>
      <c r="AH240" s="268"/>
      <c r="AI240" s="268"/>
      <c r="AJ240" s="268"/>
      <c r="AK240" s="450"/>
      <c r="AL240" s="268"/>
      <c r="AM240" s="268"/>
      <c r="AN240" s="268"/>
      <c r="AO240" s="268"/>
      <c r="AP240" s="397"/>
      <c r="AQ240" s="509"/>
      <c r="AR240" s="397"/>
      <c r="AS240" s="93"/>
      <c r="AT240" s="359"/>
      <c r="AU240" s="518"/>
      <c r="AV240" s="524"/>
      <c r="AW240" s="518"/>
      <c r="AX240" s="93"/>
      <c r="AY240" s="364"/>
      <c r="AZ240" s="480"/>
      <c r="BA240" s="525"/>
      <c r="BB240" s="480"/>
      <c r="BC240" s="93"/>
      <c r="BD240" s="368"/>
      <c r="BE240" s="477"/>
      <c r="BF240" s="560"/>
      <c r="BG240" s="477"/>
      <c r="BH240" s="93"/>
      <c r="BI240" s="402"/>
      <c r="BJ240" s="478"/>
      <c r="BK240" s="609"/>
      <c r="BL240" s="478"/>
      <c r="BM240" s="93"/>
      <c r="BN240" s="372"/>
      <c r="BO240" s="455"/>
      <c r="BP240" s="557"/>
      <c r="BQ240" s="455"/>
      <c r="BR240" s="93"/>
      <c r="BS240" s="380"/>
      <c r="BT240" s="492"/>
      <c r="BU240" s="566"/>
      <c r="BV240" s="492"/>
      <c r="BW240" s="93"/>
      <c r="BX240" s="385"/>
      <c r="BY240" s="490"/>
      <c r="BZ240" s="605"/>
      <c r="CA240" s="490"/>
      <c r="CB240" s="93"/>
      <c r="CC240" s="387"/>
      <c r="CD240" s="404"/>
      <c r="CE240" s="535"/>
      <c r="CF240" s="404"/>
      <c r="CG240" s="93"/>
      <c r="CH240" s="387"/>
      <c r="CI240" s="404"/>
      <c r="CJ240" s="535"/>
      <c r="CK240" s="520"/>
      <c r="CL240" s="93"/>
      <c r="CM240" s="390" t="str">
        <f>IFERROR(__xludf.DUMMYFUNCTION("""COMPUTED_VALUE"""),"")</f>
        <v/>
      </c>
      <c r="CN240" s="489" t="str">
        <f>IFERROR(__xludf.DUMMYFUNCTION("""COMPUTED_VALUE"""),"Stonjourner")</f>
        <v>Stonjourner</v>
      </c>
      <c r="CO240" s="532" t="s">
        <v>158</v>
      </c>
      <c r="CP240" s="523"/>
      <c r="CQ240" s="93"/>
      <c r="CR240" s="413"/>
      <c r="CS240" s="414"/>
      <c r="CT240" s="632"/>
      <c r="CU240" s="414"/>
      <c r="CV240" s="93"/>
      <c r="CW240" s="415"/>
      <c r="CX240" s="468"/>
      <c r="CY240" s="633"/>
      <c r="CZ240" s="468"/>
      <c r="DA240" s="93"/>
      <c r="DB240" s="423"/>
      <c r="DC240" s="424"/>
      <c r="DD240" s="634"/>
      <c r="DE240" s="424"/>
      <c r="DF240" s="93"/>
      <c r="DG240" s="628"/>
      <c r="DH240" s="641"/>
      <c r="DI240" s="641"/>
      <c r="DJ240" s="641"/>
      <c r="DK240" s="93"/>
      <c r="DL240" s="429"/>
      <c r="DM240" s="430"/>
      <c r="DN240" s="430"/>
      <c r="DO240" s="430"/>
      <c r="DP240" s="93"/>
      <c r="DQ240" s="439"/>
      <c r="DR240" s="441"/>
      <c r="DS240" s="441"/>
      <c r="DT240" s="441"/>
      <c r="DU240" s="93"/>
      <c r="DV240" s="442"/>
      <c r="DW240" s="443"/>
      <c r="DX240" s="363"/>
      <c r="DY240" s="345"/>
      <c r="DZ240" s="87"/>
      <c r="EA240" s="10"/>
    </row>
    <row r="241" ht="17.25" customHeight="1">
      <c r="A241" s="10"/>
      <c r="B241" s="87"/>
      <c r="C241" s="234"/>
      <c r="D241" s="235"/>
      <c r="E241" s="93"/>
      <c r="F241" s="268"/>
      <c r="G241" s="268"/>
      <c r="H241" s="268"/>
      <c r="I241" s="268"/>
      <c r="J241" s="268"/>
      <c r="K241" s="268"/>
      <c r="L241" s="450"/>
      <c r="M241" s="268"/>
      <c r="N241" s="268"/>
      <c r="O241" s="268"/>
      <c r="P241" s="268"/>
      <c r="Q241" s="450"/>
      <c r="R241" s="268"/>
      <c r="S241" s="268"/>
      <c r="T241" s="268"/>
      <c r="U241" s="268"/>
      <c r="V241" s="450"/>
      <c r="W241" s="268"/>
      <c r="X241" s="268"/>
      <c r="Y241" s="268"/>
      <c r="Z241" s="268"/>
      <c r="AA241" s="450"/>
      <c r="AB241" s="268"/>
      <c r="AC241" s="268"/>
      <c r="AD241" s="268"/>
      <c r="AE241" s="268"/>
      <c r="AF241" s="450"/>
      <c r="AG241" s="268"/>
      <c r="AH241" s="268"/>
      <c r="AI241" s="268"/>
      <c r="AJ241" s="268"/>
      <c r="AK241" s="450"/>
      <c r="AL241" s="268"/>
      <c r="AM241" s="268"/>
      <c r="AN241" s="268"/>
      <c r="AO241" s="268"/>
      <c r="AP241" s="397"/>
      <c r="AQ241" s="509"/>
      <c r="AR241" s="397"/>
      <c r="AS241" s="93"/>
      <c r="AT241" s="359"/>
      <c r="AU241" s="518"/>
      <c r="AV241" s="524"/>
      <c r="AW241" s="518"/>
      <c r="AX241" s="93"/>
      <c r="AY241" s="364"/>
      <c r="AZ241" s="480"/>
      <c r="BA241" s="525"/>
      <c r="BB241" s="480"/>
      <c r="BC241" s="93"/>
      <c r="BD241" s="368"/>
      <c r="BE241" s="477"/>
      <c r="BF241" s="560"/>
      <c r="BG241" s="477"/>
      <c r="BH241" s="93"/>
      <c r="BI241" s="402"/>
      <c r="BJ241" s="478"/>
      <c r="BK241" s="609"/>
      <c r="BL241" s="478"/>
      <c r="BM241" s="93"/>
      <c r="BN241" s="372"/>
      <c r="BO241" s="455"/>
      <c r="BP241" s="557"/>
      <c r="BQ241" s="455"/>
      <c r="BR241" s="93"/>
      <c r="BS241" s="380"/>
      <c r="BT241" s="492"/>
      <c r="BU241" s="566"/>
      <c r="BV241" s="492"/>
      <c r="BW241" s="93"/>
      <c r="BX241" s="385"/>
      <c r="BY241" s="490"/>
      <c r="BZ241" s="605"/>
      <c r="CA241" s="490"/>
      <c r="CB241" s="93"/>
      <c r="CC241" s="387"/>
      <c r="CD241" s="404"/>
      <c r="CE241" s="535"/>
      <c r="CF241" s="404"/>
      <c r="CG241" s="93"/>
      <c r="CH241" s="387"/>
      <c r="CI241" s="404"/>
      <c r="CJ241" s="535"/>
      <c r="CK241" s="520"/>
      <c r="CL241" s="93"/>
      <c r="CM241" s="390" t="str">
        <f>IFERROR(__xludf.DUMMYFUNCTION("""COMPUTED_VALUE"""),"")</f>
        <v/>
      </c>
      <c r="CN241" s="489" t="str">
        <f>IFERROR(__xludf.DUMMYFUNCTION("""COMPUTED_VALUE"""),"Stunky")</f>
        <v>Stunky</v>
      </c>
      <c r="CO241" s="532" t="s">
        <v>158</v>
      </c>
      <c r="CP241" s="523"/>
      <c r="CQ241" s="93"/>
      <c r="CR241" s="413"/>
      <c r="CS241" s="414"/>
      <c r="CT241" s="632"/>
      <c r="CU241" s="414"/>
      <c r="CV241" s="93"/>
      <c r="CW241" s="415"/>
      <c r="CX241" s="468"/>
      <c r="CY241" s="633"/>
      <c r="CZ241" s="468"/>
      <c r="DA241" s="93"/>
      <c r="DB241" s="423"/>
      <c r="DC241" s="424"/>
      <c r="DD241" s="634"/>
      <c r="DE241" s="424"/>
      <c r="DF241" s="93"/>
      <c r="DG241" s="628"/>
      <c r="DH241" s="641"/>
      <c r="DI241" s="641"/>
      <c r="DJ241" s="641"/>
      <c r="DK241" s="93"/>
      <c r="DL241" s="429"/>
      <c r="DM241" s="430"/>
      <c r="DN241" s="430"/>
      <c r="DO241" s="430"/>
      <c r="DP241" s="93"/>
      <c r="DQ241" s="439"/>
      <c r="DR241" s="441"/>
      <c r="DS241" s="441"/>
      <c r="DT241" s="441"/>
      <c r="DU241" s="93"/>
      <c r="DV241" s="442"/>
      <c r="DW241" s="443"/>
      <c r="DX241" s="363"/>
      <c r="DY241" s="345"/>
      <c r="DZ241" s="408"/>
      <c r="EA241" s="10"/>
    </row>
    <row r="242" ht="17.25" customHeight="1">
      <c r="A242" s="10"/>
      <c r="B242" s="87"/>
      <c r="C242" s="234"/>
      <c r="D242" s="235"/>
      <c r="E242" s="93"/>
      <c r="F242" s="268"/>
      <c r="G242" s="268"/>
      <c r="H242" s="268"/>
      <c r="I242" s="268"/>
      <c r="J242" s="268"/>
      <c r="K242" s="268"/>
      <c r="L242" s="450"/>
      <c r="M242" s="268"/>
      <c r="N242" s="268"/>
      <c r="O242" s="268"/>
      <c r="P242" s="268"/>
      <c r="Q242" s="450"/>
      <c r="R242" s="268"/>
      <c r="S242" s="268"/>
      <c r="T242" s="268"/>
      <c r="U242" s="268"/>
      <c r="V242" s="450"/>
      <c r="W242" s="268"/>
      <c r="X242" s="268"/>
      <c r="Y242" s="268"/>
      <c r="Z242" s="268"/>
      <c r="AA242" s="450"/>
      <c r="AB242" s="268"/>
      <c r="AC242" s="268"/>
      <c r="AD242" s="268"/>
      <c r="AE242" s="268"/>
      <c r="AF242" s="450"/>
      <c r="AG242" s="268"/>
      <c r="AH242" s="268"/>
      <c r="AI242" s="268"/>
      <c r="AJ242" s="268"/>
      <c r="AK242" s="450"/>
      <c r="AL242" s="268"/>
      <c r="AM242" s="268"/>
      <c r="AN242" s="268"/>
      <c r="AO242" s="268"/>
      <c r="AP242" s="397"/>
      <c r="AQ242" s="509"/>
      <c r="AR242" s="397"/>
      <c r="AS242" s="93"/>
      <c r="AT242" s="359"/>
      <c r="AU242" s="518"/>
      <c r="AV242" s="524"/>
      <c r="AW242" s="518"/>
      <c r="AX242" s="93"/>
      <c r="AY242" s="364"/>
      <c r="AZ242" s="480"/>
      <c r="BA242" s="525"/>
      <c r="BB242" s="480"/>
      <c r="BC242" s="93"/>
      <c r="BD242" s="368"/>
      <c r="BE242" s="477"/>
      <c r="BF242" s="560"/>
      <c r="BG242" s="477"/>
      <c r="BH242" s="93"/>
      <c r="BI242" s="402"/>
      <c r="BJ242" s="478"/>
      <c r="BK242" s="609"/>
      <c r="BL242" s="478"/>
      <c r="BM242" s="93"/>
      <c r="BN242" s="372"/>
      <c r="BO242" s="455"/>
      <c r="BP242" s="557"/>
      <c r="BQ242" s="455"/>
      <c r="BR242" s="93"/>
      <c r="BS242" s="380"/>
      <c r="BT242" s="492"/>
      <c r="BU242" s="566"/>
      <c r="BV242" s="492"/>
      <c r="BW242" s="93"/>
      <c r="BX242" s="385"/>
      <c r="BY242" s="490"/>
      <c r="BZ242" s="605"/>
      <c r="CA242" s="490"/>
      <c r="CB242" s="93"/>
      <c r="CC242" s="387"/>
      <c r="CD242" s="404"/>
      <c r="CE242" s="535"/>
      <c r="CF242" s="404"/>
      <c r="CG242" s="93"/>
      <c r="CH242" s="387"/>
      <c r="CI242" s="404"/>
      <c r="CJ242" s="535"/>
      <c r="CK242" s="520"/>
      <c r="CL242" s="93"/>
      <c r="CM242" s="390" t="str">
        <f>IFERROR(__xludf.DUMMYFUNCTION("""COMPUTED_VALUE"""),"")</f>
        <v/>
      </c>
      <c r="CN242" s="489" t="str">
        <f>IFERROR(__xludf.DUMMYFUNCTION("""COMPUTED_VALUE"""),"Sudowoodo")</f>
        <v>Sudowoodo</v>
      </c>
      <c r="CO242" s="532" t="s">
        <v>158</v>
      </c>
      <c r="CP242" s="523"/>
      <c r="CQ242" s="93"/>
      <c r="CR242" s="413"/>
      <c r="CS242" s="414"/>
      <c r="CT242" s="632"/>
      <c r="CU242" s="414"/>
      <c r="CV242" s="93"/>
      <c r="CW242" s="415"/>
      <c r="CX242" s="468"/>
      <c r="CY242" s="633"/>
      <c r="CZ242" s="468"/>
      <c r="DA242" s="93"/>
      <c r="DB242" s="423"/>
      <c r="DC242" s="424"/>
      <c r="DD242" s="634"/>
      <c r="DE242" s="424"/>
      <c r="DF242" s="93"/>
      <c r="DG242" s="628"/>
      <c r="DH242" s="641"/>
      <c r="DI242" s="641"/>
      <c r="DJ242" s="641"/>
      <c r="DK242" s="93"/>
      <c r="DL242" s="429"/>
      <c r="DM242" s="430"/>
      <c r="DN242" s="430"/>
      <c r="DO242" s="430"/>
      <c r="DP242" s="93"/>
      <c r="DQ242" s="439"/>
      <c r="DR242" s="441"/>
      <c r="DS242" s="441"/>
      <c r="DT242" s="441"/>
      <c r="DU242" s="93"/>
      <c r="DV242" s="442"/>
      <c r="DW242" s="443"/>
      <c r="DX242" s="363"/>
      <c r="DY242" s="345"/>
      <c r="DZ242" s="408"/>
      <c r="EA242" s="10"/>
    </row>
    <row r="243" ht="17.25" customHeight="1">
      <c r="A243" s="3"/>
      <c r="B243" s="3"/>
      <c r="C243" s="74"/>
      <c r="D243" s="74"/>
      <c r="E243" s="74"/>
      <c r="F243" s="74"/>
      <c r="G243" s="74"/>
      <c r="H243" s="74"/>
      <c r="I243" s="74"/>
      <c r="J243" s="74"/>
      <c r="K243" s="74"/>
      <c r="L243" s="80"/>
      <c r="M243" s="74"/>
      <c r="N243" s="74"/>
      <c r="O243" s="74"/>
      <c r="P243" s="74"/>
      <c r="Q243" s="80"/>
      <c r="R243" s="74"/>
      <c r="S243" s="74"/>
      <c r="T243" s="74"/>
      <c r="U243" s="74"/>
      <c r="V243" s="80"/>
      <c r="W243" s="74"/>
      <c r="X243" s="74"/>
      <c r="Y243" s="74"/>
      <c r="Z243" s="74"/>
      <c r="AA243" s="80"/>
      <c r="AB243" s="74"/>
      <c r="AC243" s="74"/>
      <c r="AD243" s="74"/>
      <c r="AE243" s="74"/>
      <c r="AF243" s="80"/>
      <c r="AG243" s="74"/>
      <c r="AH243" s="74"/>
      <c r="AI243" s="74"/>
      <c r="AJ243" s="74"/>
      <c r="AK243" s="80"/>
      <c r="AL243" s="74"/>
      <c r="AM243" s="74"/>
      <c r="AN243" s="74"/>
      <c r="AO243" s="74"/>
      <c r="AP243" s="80"/>
      <c r="AQ243" s="74"/>
      <c r="AR243" s="80"/>
      <c r="AS243" s="87"/>
      <c r="AT243" s="93"/>
      <c r="AU243" s="94"/>
      <c r="AV243" s="93"/>
      <c r="AW243" s="94"/>
      <c r="AX243" s="87"/>
      <c r="AY243" s="93"/>
      <c r="AZ243" s="94"/>
      <c r="BA243" s="93"/>
      <c r="BB243" s="94"/>
      <c r="BC243" s="87"/>
      <c r="BD243" s="93"/>
      <c r="BE243" s="94"/>
      <c r="BF243" s="93"/>
      <c r="BG243" s="94"/>
      <c r="BH243" s="87"/>
      <c r="BI243" s="99"/>
      <c r="BJ243" s="104"/>
      <c r="BK243" s="99"/>
      <c r="BL243" s="104"/>
      <c r="BM243" s="99"/>
      <c r="BN243" s="99"/>
      <c r="BO243" s="104"/>
      <c r="BP243" s="99"/>
      <c r="BQ243" s="104"/>
      <c r="BR243" s="99"/>
      <c r="BS243" s="99"/>
      <c r="BT243" s="104"/>
      <c r="BU243" s="99"/>
      <c r="BV243" s="104"/>
      <c r="BW243" s="99"/>
      <c r="BX243" s="99"/>
      <c r="BY243" s="104"/>
      <c r="BZ243" s="99"/>
      <c r="CA243" s="104"/>
      <c r="CB243" s="99"/>
      <c r="CC243" s="99"/>
      <c r="CD243" s="104"/>
      <c r="CE243" s="99"/>
      <c r="CF243" s="104"/>
      <c r="CG243" s="99"/>
      <c r="CH243" s="99"/>
      <c r="CI243" s="104"/>
      <c r="CJ243" s="99"/>
      <c r="CK243" s="104"/>
      <c r="CL243" s="99"/>
      <c r="CM243" s="390" t="str">
        <f>IFERROR(__xludf.DUMMYFUNCTION("""COMPUTED_VALUE"""),"")</f>
        <v/>
      </c>
      <c r="CN243" s="489" t="str">
        <f>IFERROR(__xludf.DUMMYFUNCTION("""COMPUTED_VALUE"""),"Sunflora")</f>
        <v>Sunflora</v>
      </c>
      <c r="CO243" s="532" t="s">
        <v>158</v>
      </c>
      <c r="CP243" s="104"/>
      <c r="CQ243" s="99"/>
      <c r="CR243" s="99"/>
      <c r="CS243" s="104"/>
      <c r="CT243" s="99"/>
      <c r="CU243" s="104"/>
      <c r="CV243" s="99"/>
      <c r="CW243" s="99"/>
      <c r="CX243" s="104"/>
      <c r="CY243" s="99"/>
      <c r="CZ243" s="104"/>
      <c r="DA243" s="99"/>
      <c r="DB243" s="99"/>
      <c r="DC243" s="104"/>
      <c r="DD243" s="99"/>
      <c r="DE243" s="104"/>
      <c r="DF243" s="99"/>
      <c r="DG243" s="99"/>
      <c r="DH243" s="104"/>
      <c r="DI243" s="104"/>
      <c r="DJ243" s="104"/>
      <c r="DK243" s="99"/>
      <c r="DL243" s="99"/>
      <c r="DM243" s="104"/>
      <c r="DN243" s="104"/>
      <c r="DO243" s="104"/>
      <c r="DP243" s="99"/>
      <c r="DQ243" s="99"/>
      <c r="DR243" s="104"/>
      <c r="DS243" s="104"/>
      <c r="DT243" s="104"/>
      <c r="DU243" s="41"/>
      <c r="DV243" s="868"/>
      <c r="DW243" s="869"/>
      <c r="DX243" s="363"/>
      <c r="DY243" s="345"/>
      <c r="DZ243" s="408"/>
      <c r="EA243" s="10"/>
    </row>
    <row r="244" ht="17.25" customHeight="1">
      <c r="A244" s="3"/>
      <c r="B244" s="3"/>
      <c r="C244" s="74"/>
      <c r="D244" s="74"/>
      <c r="E244" s="74"/>
      <c r="F244" s="74"/>
      <c r="G244" s="74"/>
      <c r="H244" s="74"/>
      <c r="I244" s="74"/>
      <c r="J244" s="74"/>
      <c r="K244" s="74"/>
      <c r="L244" s="80"/>
      <c r="M244" s="74"/>
      <c r="N244" s="74"/>
      <c r="O244" s="74"/>
      <c r="P244" s="74"/>
      <c r="Q244" s="80"/>
      <c r="R244" s="74"/>
      <c r="S244" s="74"/>
      <c r="T244" s="74"/>
      <c r="U244" s="74"/>
      <c r="V244" s="80"/>
      <c r="W244" s="74"/>
      <c r="X244" s="74"/>
      <c r="Y244" s="74"/>
      <c r="Z244" s="74"/>
      <c r="AA244" s="80"/>
      <c r="AB244" s="74"/>
      <c r="AC244" s="74"/>
      <c r="AD244" s="74"/>
      <c r="AE244" s="74"/>
      <c r="AF244" s="80"/>
      <c r="AG244" s="74"/>
      <c r="AH244" s="74"/>
      <c r="AI244" s="74"/>
      <c r="AJ244" s="74"/>
      <c r="AK244" s="80"/>
      <c r="AL244" s="74"/>
      <c r="AM244" s="74"/>
      <c r="AN244" s="74"/>
      <c r="AO244" s="74"/>
      <c r="AP244" s="80"/>
      <c r="AQ244" s="74"/>
      <c r="AR244" s="80"/>
      <c r="AS244" s="87"/>
      <c r="AT244" s="93"/>
      <c r="AU244" s="94"/>
      <c r="AV244" s="93"/>
      <c r="AW244" s="94"/>
      <c r="AX244" s="87"/>
      <c r="AY244" s="93"/>
      <c r="AZ244" s="94"/>
      <c r="BA244" s="93"/>
      <c r="BB244" s="94"/>
      <c r="BC244" s="87"/>
      <c r="BD244" s="93"/>
      <c r="BE244" s="94"/>
      <c r="BF244" s="93"/>
      <c r="BG244" s="94"/>
      <c r="BH244" s="87"/>
      <c r="BI244" s="99"/>
      <c r="BJ244" s="104"/>
      <c r="BK244" s="99"/>
      <c r="BL244" s="104"/>
      <c r="BM244" s="99"/>
      <c r="BN244" s="99"/>
      <c r="BO244" s="104"/>
      <c r="BP244" s="99"/>
      <c r="BQ244" s="104"/>
      <c r="BR244" s="99"/>
      <c r="BS244" s="99"/>
      <c r="BT244" s="104"/>
      <c r="BU244" s="99"/>
      <c r="BV244" s="104"/>
      <c r="BW244" s="99"/>
      <c r="BX244" s="99"/>
      <c r="BY244" s="104"/>
      <c r="BZ244" s="99"/>
      <c r="CA244" s="104"/>
      <c r="CB244" s="99"/>
      <c r="CC244" s="99"/>
      <c r="CD244" s="104"/>
      <c r="CE244" s="99"/>
      <c r="CF244" s="104"/>
      <c r="CG244" s="99"/>
      <c r="CH244" s="99"/>
      <c r="CI244" s="104"/>
      <c r="CJ244" s="99"/>
      <c r="CK244" s="104"/>
      <c r="CL244" s="99"/>
      <c r="CM244" s="390" t="str">
        <f>IFERROR(__xludf.DUMMYFUNCTION("""COMPUTED_VALUE"""),"")</f>
        <v/>
      </c>
      <c r="CN244" s="489" t="str">
        <f>IFERROR(__xludf.DUMMYFUNCTION("""COMPUTED_VALUE"""),"Sunkern")</f>
        <v>Sunkern</v>
      </c>
      <c r="CO244" s="532" t="s">
        <v>158</v>
      </c>
      <c r="CP244" s="104"/>
      <c r="CQ244" s="99"/>
      <c r="CR244" s="99"/>
      <c r="CS244" s="104"/>
      <c r="CT244" s="99"/>
      <c r="CU244" s="104"/>
      <c r="CV244" s="99"/>
      <c r="CW244" s="99"/>
      <c r="CX244" s="104"/>
      <c r="CY244" s="99"/>
      <c r="CZ244" s="104"/>
      <c r="DA244" s="99"/>
      <c r="DB244" s="99"/>
      <c r="DC244" s="104"/>
      <c r="DD244" s="99"/>
      <c r="DE244" s="104"/>
      <c r="DF244" s="99"/>
      <c r="DG244" s="99"/>
      <c r="DH244" s="104"/>
      <c r="DI244" s="104"/>
      <c r="DJ244" s="104"/>
      <c r="DK244" s="99"/>
      <c r="DL244" s="99"/>
      <c r="DM244" s="104"/>
      <c r="DN244" s="104"/>
      <c r="DO244" s="104"/>
      <c r="DP244" s="99"/>
      <c r="DQ244" s="99"/>
      <c r="DR244" s="104"/>
      <c r="DS244" s="104"/>
      <c r="DT244" s="104"/>
      <c r="DU244" s="41"/>
      <c r="DV244" s="868"/>
      <c r="DW244" s="869"/>
      <c r="DX244" s="363"/>
      <c r="DY244" s="345"/>
      <c r="DZ244" s="408"/>
      <c r="EA244" s="10"/>
    </row>
    <row r="245" ht="17.25" customHeight="1">
      <c r="A245" s="3"/>
      <c r="B245" s="3"/>
      <c r="C245" s="74"/>
      <c r="D245" s="74"/>
      <c r="E245" s="74"/>
      <c r="F245" s="74"/>
      <c r="G245" s="74"/>
      <c r="H245" s="74"/>
      <c r="I245" s="74"/>
      <c r="J245" s="74"/>
      <c r="K245" s="74"/>
      <c r="L245" s="80"/>
      <c r="M245" s="74"/>
      <c r="N245" s="74"/>
      <c r="O245" s="74"/>
      <c r="P245" s="74"/>
      <c r="Q245" s="80"/>
      <c r="R245" s="74"/>
      <c r="S245" s="74"/>
      <c r="T245" s="74"/>
      <c r="U245" s="74"/>
      <c r="V245" s="80"/>
      <c r="W245" s="74"/>
      <c r="X245" s="74"/>
      <c r="Y245" s="74"/>
      <c r="Z245" s="74"/>
      <c r="AA245" s="80"/>
      <c r="AB245" s="74"/>
      <c r="AC245" s="74"/>
      <c r="AD245" s="74"/>
      <c r="AE245" s="74"/>
      <c r="AF245" s="80"/>
      <c r="AG245" s="74"/>
      <c r="AH245" s="74"/>
      <c r="AI245" s="74"/>
      <c r="AJ245" s="74"/>
      <c r="AK245" s="80"/>
      <c r="AL245" s="74"/>
      <c r="AM245" s="74"/>
      <c r="AN245" s="74"/>
      <c r="AO245" s="74"/>
      <c r="AP245" s="80"/>
      <c r="AQ245" s="74"/>
      <c r="AR245" s="80"/>
      <c r="AS245" s="87"/>
      <c r="AT245" s="93"/>
      <c r="AU245" s="94"/>
      <c r="AV245" s="93"/>
      <c r="AW245" s="94"/>
      <c r="AX245" s="87"/>
      <c r="AY245" s="93"/>
      <c r="AZ245" s="94"/>
      <c r="BA245" s="93"/>
      <c r="BB245" s="94"/>
      <c r="BC245" s="87"/>
      <c r="BD245" s="93"/>
      <c r="BE245" s="94"/>
      <c r="BF245" s="93"/>
      <c r="BG245" s="94"/>
      <c r="BH245" s="87"/>
      <c r="BI245" s="99"/>
      <c r="BJ245" s="104"/>
      <c r="BK245" s="99"/>
      <c r="BL245" s="104"/>
      <c r="BM245" s="99"/>
      <c r="BN245" s="99"/>
      <c r="BO245" s="104"/>
      <c r="BP245" s="99"/>
      <c r="BQ245" s="104"/>
      <c r="BR245" s="99"/>
      <c r="BS245" s="99"/>
      <c r="BT245" s="104"/>
      <c r="BU245" s="99"/>
      <c r="BV245" s="104"/>
      <c r="BW245" s="99"/>
      <c r="BX245" s="99"/>
      <c r="BY245" s="104"/>
      <c r="BZ245" s="99"/>
      <c r="CA245" s="104"/>
      <c r="CB245" s="99"/>
      <c r="CC245" s="99"/>
      <c r="CD245" s="104"/>
      <c r="CE245" s="99"/>
      <c r="CF245" s="104"/>
      <c r="CG245" s="99"/>
      <c r="CH245" s="99"/>
      <c r="CI245" s="104"/>
      <c r="CJ245" s="99"/>
      <c r="CK245" s="104"/>
      <c r="CL245" s="99"/>
      <c r="CM245" s="390" t="str">
        <f>IFERROR(__xludf.DUMMYFUNCTION("""COMPUTED_VALUE"""),"")</f>
        <v/>
      </c>
      <c r="CN245" s="489" t="str">
        <f>IFERROR(__xludf.DUMMYFUNCTION("""COMPUTED_VALUE"""),"Surskit")</f>
        <v>Surskit</v>
      </c>
      <c r="CO245" s="532" t="s">
        <v>158</v>
      </c>
      <c r="CP245" s="104"/>
      <c r="CQ245" s="99"/>
      <c r="CR245" s="99"/>
      <c r="CS245" s="104"/>
      <c r="CT245" s="99"/>
      <c r="CU245" s="104"/>
      <c r="CV245" s="99"/>
      <c r="CW245" s="99"/>
      <c r="CX245" s="104"/>
      <c r="CY245" s="99"/>
      <c r="CZ245" s="104"/>
      <c r="DA245" s="99"/>
      <c r="DB245" s="99"/>
      <c r="DC245" s="104"/>
      <c r="DD245" s="99"/>
      <c r="DE245" s="104"/>
      <c r="DF245" s="99"/>
      <c r="DG245" s="99"/>
      <c r="DH245" s="104"/>
      <c r="DI245" s="104"/>
      <c r="DJ245" s="104"/>
      <c r="DK245" s="99"/>
      <c r="DL245" s="99"/>
      <c r="DM245" s="104"/>
      <c r="DN245" s="104"/>
      <c r="DO245" s="104"/>
      <c r="DP245" s="99"/>
      <c r="DQ245" s="99"/>
      <c r="DR245" s="104"/>
      <c r="DS245" s="104"/>
      <c r="DT245" s="104"/>
      <c r="DU245" s="41"/>
      <c r="DV245" s="868"/>
      <c r="DW245" s="869"/>
      <c r="DX245" s="363"/>
      <c r="DY245" s="345"/>
      <c r="DZ245" s="408"/>
      <c r="EA245" s="10"/>
    </row>
    <row r="246" ht="17.25" customHeight="1">
      <c r="A246" s="3"/>
      <c r="B246" s="3"/>
      <c r="C246" s="74"/>
      <c r="D246" s="74"/>
      <c r="E246" s="74"/>
      <c r="F246" s="74"/>
      <c r="G246" s="74"/>
      <c r="H246" s="74"/>
      <c r="I246" s="74"/>
      <c r="J246" s="74"/>
      <c r="K246" s="74"/>
      <c r="L246" s="80"/>
      <c r="M246" s="74"/>
      <c r="N246" s="74"/>
      <c r="O246" s="74"/>
      <c r="P246" s="74"/>
      <c r="Q246" s="80"/>
      <c r="R246" s="74"/>
      <c r="S246" s="74"/>
      <c r="T246" s="74"/>
      <c r="U246" s="74"/>
      <c r="V246" s="80"/>
      <c r="W246" s="74"/>
      <c r="X246" s="74"/>
      <c r="Y246" s="74"/>
      <c r="Z246" s="74"/>
      <c r="AA246" s="80"/>
      <c r="AB246" s="74"/>
      <c r="AC246" s="74"/>
      <c r="AD246" s="74"/>
      <c r="AE246" s="74"/>
      <c r="AF246" s="80"/>
      <c r="AG246" s="74"/>
      <c r="AH246" s="74"/>
      <c r="AI246" s="74"/>
      <c r="AJ246" s="74"/>
      <c r="AK246" s="80"/>
      <c r="AL246" s="74"/>
      <c r="AM246" s="74"/>
      <c r="AN246" s="74"/>
      <c r="AO246" s="74"/>
      <c r="AP246" s="80"/>
      <c r="AQ246" s="74"/>
      <c r="AR246" s="80"/>
      <c r="AS246" s="87"/>
      <c r="AT246" s="93"/>
      <c r="AU246" s="94"/>
      <c r="AV246" s="93"/>
      <c r="AW246" s="94"/>
      <c r="AX246" s="87"/>
      <c r="AY246" s="93"/>
      <c r="AZ246" s="94"/>
      <c r="BA246" s="93"/>
      <c r="BB246" s="94"/>
      <c r="BC246" s="87"/>
      <c r="BD246" s="93"/>
      <c r="BE246" s="94"/>
      <c r="BF246" s="93"/>
      <c r="BG246" s="94"/>
      <c r="BH246" s="87"/>
      <c r="BI246" s="99"/>
      <c r="BJ246" s="104"/>
      <c r="BK246" s="99"/>
      <c r="BL246" s="104"/>
      <c r="BM246" s="99"/>
      <c r="BN246" s="99"/>
      <c r="BO246" s="104"/>
      <c r="BP246" s="99"/>
      <c r="BQ246" s="104"/>
      <c r="BR246" s="99"/>
      <c r="BS246" s="99"/>
      <c r="BT246" s="104"/>
      <c r="BU246" s="99"/>
      <c r="BV246" s="104"/>
      <c r="BW246" s="99"/>
      <c r="BX246" s="99"/>
      <c r="BY246" s="104"/>
      <c r="BZ246" s="99"/>
      <c r="CA246" s="104"/>
      <c r="CB246" s="99"/>
      <c r="CC246" s="99"/>
      <c r="CD246" s="104"/>
      <c r="CE246" s="99"/>
      <c r="CF246" s="104"/>
      <c r="CG246" s="99"/>
      <c r="CH246" s="99"/>
      <c r="CI246" s="104"/>
      <c r="CJ246" s="99"/>
      <c r="CK246" s="104"/>
      <c r="CL246" s="99"/>
      <c r="CM246" s="390" t="str">
        <f>IFERROR(__xludf.DUMMYFUNCTION("""COMPUTED_VALUE"""),"")</f>
        <v/>
      </c>
      <c r="CN246" s="489" t="str">
        <f>IFERROR(__xludf.DUMMYFUNCTION("""COMPUTED_VALUE"""),"Swablu")</f>
        <v>Swablu</v>
      </c>
      <c r="CO246" s="532" t="s">
        <v>158</v>
      </c>
      <c r="CP246" s="104"/>
      <c r="CQ246" s="99"/>
      <c r="CR246" s="99"/>
      <c r="CS246" s="104"/>
      <c r="CT246" s="99"/>
      <c r="CU246" s="104"/>
      <c r="CV246" s="99"/>
      <c r="CW246" s="99"/>
      <c r="CX246" s="104"/>
      <c r="CY246" s="99"/>
      <c r="CZ246" s="104"/>
      <c r="DA246" s="99"/>
      <c r="DB246" s="99"/>
      <c r="DC246" s="104"/>
      <c r="DD246" s="99"/>
      <c r="DE246" s="104"/>
      <c r="DF246" s="99"/>
      <c r="DG246" s="99"/>
      <c r="DH246" s="104"/>
      <c r="DI246" s="104"/>
      <c r="DJ246" s="104"/>
      <c r="DK246" s="99"/>
      <c r="DL246" s="99"/>
      <c r="DM246" s="104"/>
      <c r="DN246" s="104"/>
      <c r="DO246" s="104"/>
      <c r="DP246" s="99"/>
      <c r="DQ246" s="99"/>
      <c r="DR246" s="104"/>
      <c r="DS246" s="104"/>
      <c r="DT246" s="104"/>
      <c r="DU246" s="41"/>
      <c r="DV246" s="868"/>
      <c r="DW246" s="869"/>
      <c r="DX246" s="363"/>
      <c r="DY246" s="345"/>
      <c r="DZ246" s="408"/>
      <c r="EA246" s="10"/>
    </row>
    <row r="247" ht="17.25" customHeight="1">
      <c r="A247" s="3"/>
      <c r="B247" s="3"/>
      <c r="C247" s="74"/>
      <c r="D247" s="74"/>
      <c r="E247" s="74"/>
      <c r="F247" s="74"/>
      <c r="G247" s="74"/>
      <c r="H247" s="74"/>
      <c r="I247" s="74"/>
      <c r="J247" s="74"/>
      <c r="K247" s="74"/>
      <c r="L247" s="80"/>
      <c r="M247" s="74"/>
      <c r="N247" s="74"/>
      <c r="O247" s="74"/>
      <c r="P247" s="74"/>
      <c r="Q247" s="80"/>
      <c r="R247" s="74"/>
      <c r="S247" s="74"/>
      <c r="T247" s="74"/>
      <c r="U247" s="74"/>
      <c r="V247" s="80"/>
      <c r="W247" s="74"/>
      <c r="X247" s="74"/>
      <c r="Y247" s="74"/>
      <c r="Z247" s="74"/>
      <c r="AA247" s="80"/>
      <c r="AB247" s="74"/>
      <c r="AC247" s="74"/>
      <c r="AD247" s="74"/>
      <c r="AE247" s="74"/>
      <c r="AF247" s="80"/>
      <c r="AG247" s="74"/>
      <c r="AH247" s="74"/>
      <c r="AI247" s="74"/>
      <c r="AJ247" s="74"/>
      <c r="AK247" s="80"/>
      <c r="AL247" s="74"/>
      <c r="AM247" s="74"/>
      <c r="AN247" s="74"/>
      <c r="AO247" s="74"/>
      <c r="AP247" s="80"/>
      <c r="AQ247" s="74"/>
      <c r="AR247" s="80"/>
      <c r="AS247" s="87"/>
      <c r="AT247" s="93"/>
      <c r="AU247" s="94"/>
      <c r="AV247" s="93"/>
      <c r="AW247" s="94"/>
      <c r="AX247" s="87"/>
      <c r="AY247" s="93"/>
      <c r="AZ247" s="94"/>
      <c r="BA247" s="93"/>
      <c r="BB247" s="94"/>
      <c r="BC247" s="87"/>
      <c r="BD247" s="93"/>
      <c r="BE247" s="94"/>
      <c r="BF247" s="93"/>
      <c r="BG247" s="94"/>
      <c r="BH247" s="87"/>
      <c r="BI247" s="99"/>
      <c r="BJ247" s="104"/>
      <c r="BK247" s="99"/>
      <c r="BL247" s="104"/>
      <c r="BM247" s="99"/>
      <c r="BN247" s="99"/>
      <c r="BO247" s="104"/>
      <c r="BP247" s="99"/>
      <c r="BQ247" s="104"/>
      <c r="BR247" s="99"/>
      <c r="BS247" s="99"/>
      <c r="BT247" s="104"/>
      <c r="BU247" s="99"/>
      <c r="BV247" s="104"/>
      <c r="BW247" s="99"/>
      <c r="BX247" s="99"/>
      <c r="BY247" s="104"/>
      <c r="BZ247" s="99"/>
      <c r="CA247" s="104"/>
      <c r="CB247" s="99"/>
      <c r="CC247" s="99"/>
      <c r="CD247" s="104"/>
      <c r="CE247" s="99"/>
      <c r="CF247" s="104"/>
      <c r="CG247" s="99"/>
      <c r="CH247" s="99"/>
      <c r="CI247" s="104"/>
      <c r="CJ247" s="99"/>
      <c r="CK247" s="104"/>
      <c r="CL247" s="99"/>
      <c r="CM247" s="390" t="str">
        <f>IFERROR(__xludf.DUMMYFUNCTION("""COMPUTED_VALUE"""),"")</f>
        <v/>
      </c>
      <c r="CN247" s="489" t="str">
        <f>IFERROR(__xludf.DUMMYFUNCTION("""COMPUTED_VALUE"""),"Swalot")</f>
        <v>Swalot</v>
      </c>
      <c r="CO247" s="532" t="s">
        <v>158</v>
      </c>
      <c r="CP247" s="104"/>
      <c r="CQ247" s="99"/>
      <c r="CR247" s="99"/>
      <c r="CS247" s="104"/>
      <c r="CT247" s="99"/>
      <c r="CU247" s="104"/>
      <c r="CV247" s="99"/>
      <c r="CW247" s="99"/>
      <c r="CX247" s="104"/>
      <c r="CY247" s="99"/>
      <c r="CZ247" s="104"/>
      <c r="DA247" s="99"/>
      <c r="DB247" s="99"/>
      <c r="DC247" s="104"/>
      <c r="DD247" s="99"/>
      <c r="DE247" s="104"/>
      <c r="DF247" s="99"/>
      <c r="DG247" s="99"/>
      <c r="DH247" s="104"/>
      <c r="DI247" s="104"/>
      <c r="DJ247" s="104"/>
      <c r="DK247" s="99"/>
      <c r="DL247" s="99"/>
      <c r="DM247" s="104"/>
      <c r="DN247" s="104"/>
      <c r="DO247" s="104"/>
      <c r="DP247" s="99"/>
      <c r="DQ247" s="99"/>
      <c r="DR247" s="104"/>
      <c r="DS247" s="104"/>
      <c r="DT247" s="104"/>
      <c r="DU247" s="41"/>
      <c r="DV247" s="868"/>
      <c r="DW247" s="869"/>
      <c r="DX247" s="363"/>
      <c r="DY247" s="345"/>
      <c r="DZ247" s="408"/>
      <c r="EA247" s="10"/>
    </row>
    <row r="248" ht="17.25" customHeight="1">
      <c r="A248" s="3"/>
      <c r="B248" s="3"/>
      <c r="C248" s="74"/>
      <c r="D248" s="74"/>
      <c r="E248" s="74"/>
      <c r="F248" s="74"/>
      <c r="G248" s="74"/>
      <c r="H248" s="74"/>
      <c r="I248" s="74"/>
      <c r="J248" s="74"/>
      <c r="K248" s="74"/>
      <c r="L248" s="80"/>
      <c r="M248" s="74"/>
      <c r="N248" s="74"/>
      <c r="O248" s="74"/>
      <c r="P248" s="74"/>
      <c r="Q248" s="80"/>
      <c r="R248" s="74"/>
      <c r="S248" s="74"/>
      <c r="T248" s="74"/>
      <c r="U248" s="74"/>
      <c r="V248" s="80"/>
      <c r="W248" s="74"/>
      <c r="X248" s="74"/>
      <c r="Y248" s="74"/>
      <c r="Z248" s="74"/>
      <c r="AA248" s="80"/>
      <c r="AB248" s="74"/>
      <c r="AC248" s="74"/>
      <c r="AD248" s="74"/>
      <c r="AE248" s="74"/>
      <c r="AF248" s="80"/>
      <c r="AG248" s="74"/>
      <c r="AH248" s="74"/>
      <c r="AI248" s="74"/>
      <c r="AJ248" s="74"/>
      <c r="AK248" s="80"/>
      <c r="AL248" s="74"/>
      <c r="AM248" s="74"/>
      <c r="AN248" s="74"/>
      <c r="AO248" s="74"/>
      <c r="AP248" s="80"/>
      <c r="AQ248" s="74"/>
      <c r="AR248" s="80"/>
      <c r="AS248" s="87"/>
      <c r="AT248" s="93"/>
      <c r="AU248" s="94"/>
      <c r="AV248" s="93"/>
      <c r="AW248" s="94"/>
      <c r="AX248" s="87"/>
      <c r="AY248" s="93"/>
      <c r="AZ248" s="94"/>
      <c r="BA248" s="93"/>
      <c r="BB248" s="94"/>
      <c r="BC248" s="87"/>
      <c r="BD248" s="93"/>
      <c r="BE248" s="94"/>
      <c r="BF248" s="93"/>
      <c r="BG248" s="94"/>
      <c r="BH248" s="87"/>
      <c r="BI248" s="99"/>
      <c r="BJ248" s="104"/>
      <c r="BK248" s="99"/>
      <c r="BL248" s="104"/>
      <c r="BM248" s="99"/>
      <c r="BN248" s="99"/>
      <c r="BO248" s="104"/>
      <c r="BP248" s="99"/>
      <c r="BQ248" s="104"/>
      <c r="BR248" s="99"/>
      <c r="BS248" s="99"/>
      <c r="BT248" s="104"/>
      <c r="BU248" s="99"/>
      <c r="BV248" s="104"/>
      <c r="BW248" s="99"/>
      <c r="BX248" s="99"/>
      <c r="BY248" s="104"/>
      <c r="BZ248" s="99"/>
      <c r="CA248" s="104"/>
      <c r="CB248" s="99"/>
      <c r="CC248" s="99"/>
      <c r="CD248" s="104"/>
      <c r="CE248" s="99"/>
      <c r="CF248" s="104"/>
      <c r="CG248" s="99"/>
      <c r="CH248" s="99"/>
      <c r="CI248" s="104"/>
      <c r="CJ248" s="99"/>
      <c r="CK248" s="104"/>
      <c r="CL248" s="99"/>
      <c r="CM248" s="390" t="str">
        <f>IFERROR(__xludf.DUMMYFUNCTION("""COMPUTED_VALUE"""),"")</f>
        <v/>
      </c>
      <c r="CN248" s="489" t="str">
        <f>IFERROR(__xludf.DUMMYFUNCTION("""COMPUTED_VALUE"""),"Tadbulb")</f>
        <v>Tadbulb</v>
      </c>
      <c r="CO248" s="532" t="s">
        <v>158</v>
      </c>
      <c r="CP248" s="104"/>
      <c r="CQ248" s="99"/>
      <c r="CR248" s="99"/>
      <c r="CS248" s="104"/>
      <c r="CT248" s="99"/>
      <c r="CU248" s="104"/>
      <c r="CV248" s="99"/>
      <c r="CW248" s="99"/>
      <c r="CX248" s="104"/>
      <c r="CY248" s="99"/>
      <c r="CZ248" s="104"/>
      <c r="DA248" s="99"/>
      <c r="DB248" s="99"/>
      <c r="DC248" s="104"/>
      <c r="DD248" s="99"/>
      <c r="DE248" s="104"/>
      <c r="DF248" s="99"/>
      <c r="DG248" s="99"/>
      <c r="DH248" s="104"/>
      <c r="DI248" s="104"/>
      <c r="DJ248" s="104"/>
      <c r="DK248" s="99"/>
      <c r="DL248" s="99"/>
      <c r="DM248" s="104"/>
      <c r="DN248" s="104"/>
      <c r="DO248" s="104"/>
      <c r="DP248" s="99"/>
      <c r="DQ248" s="99"/>
      <c r="DR248" s="104"/>
      <c r="DS248" s="104"/>
      <c r="DT248" s="104"/>
      <c r="DU248" s="41"/>
      <c r="DV248" s="868"/>
      <c r="DW248" s="869"/>
      <c r="DX248" s="363"/>
      <c r="DY248" s="345"/>
      <c r="DZ248" s="408"/>
      <c r="EA248" s="10"/>
    </row>
    <row r="249" ht="17.25" customHeight="1">
      <c r="A249" s="3"/>
      <c r="B249" s="3"/>
      <c r="C249" s="74"/>
      <c r="D249" s="74"/>
      <c r="E249" s="74"/>
      <c r="F249" s="74"/>
      <c r="G249" s="74"/>
      <c r="H249" s="74"/>
      <c r="I249" s="74"/>
      <c r="J249" s="74"/>
      <c r="K249" s="74"/>
      <c r="L249" s="80"/>
      <c r="M249" s="74"/>
      <c r="N249" s="74"/>
      <c r="O249" s="74"/>
      <c r="P249" s="74"/>
      <c r="Q249" s="80"/>
      <c r="R249" s="74"/>
      <c r="S249" s="74"/>
      <c r="T249" s="74"/>
      <c r="U249" s="74"/>
      <c r="V249" s="80"/>
      <c r="W249" s="74"/>
      <c r="X249" s="74"/>
      <c r="Y249" s="74"/>
      <c r="Z249" s="74"/>
      <c r="AA249" s="80"/>
      <c r="AB249" s="74"/>
      <c r="AC249" s="74"/>
      <c r="AD249" s="74"/>
      <c r="AE249" s="74"/>
      <c r="AF249" s="80"/>
      <c r="AG249" s="74"/>
      <c r="AH249" s="74"/>
      <c r="AI249" s="74"/>
      <c r="AJ249" s="74"/>
      <c r="AK249" s="80"/>
      <c r="AL249" s="74"/>
      <c r="AM249" s="74"/>
      <c r="AN249" s="74"/>
      <c r="AO249" s="74"/>
      <c r="AP249" s="80"/>
      <c r="AQ249" s="74"/>
      <c r="AR249" s="80"/>
      <c r="AS249" s="87"/>
      <c r="AT249" s="93"/>
      <c r="AU249" s="94"/>
      <c r="AV249" s="93"/>
      <c r="AW249" s="94"/>
      <c r="AX249" s="87"/>
      <c r="AY249" s="93"/>
      <c r="AZ249" s="94"/>
      <c r="BA249" s="93"/>
      <c r="BB249" s="94"/>
      <c r="BC249" s="87"/>
      <c r="BD249" s="93"/>
      <c r="BE249" s="94"/>
      <c r="BF249" s="93"/>
      <c r="BG249" s="94"/>
      <c r="BH249" s="87"/>
      <c r="BI249" s="99"/>
      <c r="BJ249" s="104"/>
      <c r="BK249" s="99"/>
      <c r="BL249" s="104"/>
      <c r="BM249" s="99"/>
      <c r="BN249" s="99"/>
      <c r="BO249" s="104"/>
      <c r="BP249" s="99"/>
      <c r="BQ249" s="104"/>
      <c r="BR249" s="99"/>
      <c r="BS249" s="99"/>
      <c r="BT249" s="104"/>
      <c r="BU249" s="99"/>
      <c r="BV249" s="104"/>
      <c r="BW249" s="99"/>
      <c r="BX249" s="99"/>
      <c r="BY249" s="104"/>
      <c r="BZ249" s="99"/>
      <c r="CA249" s="104"/>
      <c r="CB249" s="99"/>
      <c r="CC249" s="99"/>
      <c r="CD249" s="104"/>
      <c r="CE249" s="99"/>
      <c r="CF249" s="104"/>
      <c r="CG249" s="99"/>
      <c r="CH249" s="99"/>
      <c r="CI249" s="104"/>
      <c r="CJ249" s="99"/>
      <c r="CK249" s="104"/>
      <c r="CL249" s="99"/>
      <c r="CM249" s="390" t="str">
        <f>IFERROR(__xludf.DUMMYFUNCTION("""COMPUTED_VALUE"""),"")</f>
        <v/>
      </c>
      <c r="CN249" s="489" t="str">
        <f>IFERROR(__xludf.DUMMYFUNCTION("""COMPUTED_VALUE"""),"Tandemaus")</f>
        <v>Tandemaus</v>
      </c>
      <c r="CO249" s="532" t="s">
        <v>158</v>
      </c>
      <c r="CP249" s="104"/>
      <c r="CQ249" s="99"/>
      <c r="CR249" s="99"/>
      <c r="CS249" s="104"/>
      <c r="CT249" s="99"/>
      <c r="CU249" s="104"/>
      <c r="CV249" s="99"/>
      <c r="CW249" s="99"/>
      <c r="CX249" s="104"/>
      <c r="CY249" s="99"/>
      <c r="CZ249" s="104"/>
      <c r="DA249" s="99"/>
      <c r="DB249" s="99"/>
      <c r="DC249" s="104"/>
      <c r="DD249" s="99"/>
      <c r="DE249" s="104"/>
      <c r="DF249" s="99"/>
      <c r="DG249" s="99"/>
      <c r="DH249" s="104"/>
      <c r="DI249" s="104"/>
      <c r="DJ249" s="104"/>
      <c r="DK249" s="99"/>
      <c r="DL249" s="99"/>
      <c r="DM249" s="104"/>
      <c r="DN249" s="104"/>
      <c r="DO249" s="104"/>
      <c r="DP249" s="99"/>
      <c r="DQ249" s="99"/>
      <c r="DR249" s="104"/>
      <c r="DS249" s="104"/>
      <c r="DT249" s="104"/>
      <c r="DU249" s="41"/>
      <c r="DV249" s="868"/>
      <c r="DW249" s="869"/>
      <c r="DX249" s="363"/>
      <c r="DY249" s="345"/>
      <c r="DZ249" s="408"/>
      <c r="EA249" s="10"/>
    </row>
    <row r="250" ht="17.25" customHeight="1">
      <c r="A250" s="3"/>
      <c r="B250" s="3"/>
      <c r="C250" s="74"/>
      <c r="D250" s="74"/>
      <c r="E250" s="74"/>
      <c r="F250" s="74"/>
      <c r="G250" s="74"/>
      <c r="H250" s="74"/>
      <c r="I250" s="74"/>
      <c r="J250" s="74"/>
      <c r="K250" s="74"/>
      <c r="L250" s="80"/>
      <c r="M250" s="74"/>
      <c r="N250" s="74"/>
      <c r="O250" s="74"/>
      <c r="P250" s="74"/>
      <c r="Q250" s="80"/>
      <c r="R250" s="74"/>
      <c r="S250" s="74"/>
      <c r="T250" s="74"/>
      <c r="U250" s="74"/>
      <c r="V250" s="80"/>
      <c r="W250" s="74"/>
      <c r="X250" s="74"/>
      <c r="Y250" s="74"/>
      <c r="Z250" s="74"/>
      <c r="AA250" s="80"/>
      <c r="AB250" s="74"/>
      <c r="AC250" s="74"/>
      <c r="AD250" s="74"/>
      <c r="AE250" s="74"/>
      <c r="AF250" s="80"/>
      <c r="AG250" s="74"/>
      <c r="AH250" s="74"/>
      <c r="AI250" s="74"/>
      <c r="AJ250" s="74"/>
      <c r="AK250" s="80"/>
      <c r="AL250" s="74"/>
      <c r="AM250" s="74"/>
      <c r="AN250" s="74"/>
      <c r="AO250" s="74"/>
      <c r="AP250" s="80"/>
      <c r="AQ250" s="74"/>
      <c r="AR250" s="80"/>
      <c r="AS250" s="87"/>
      <c r="AT250" s="93"/>
      <c r="AU250" s="94"/>
      <c r="AV250" s="93"/>
      <c r="AW250" s="94"/>
      <c r="AX250" s="87"/>
      <c r="AY250" s="93"/>
      <c r="AZ250" s="94"/>
      <c r="BA250" s="93"/>
      <c r="BB250" s="94"/>
      <c r="BC250" s="87"/>
      <c r="BD250" s="93"/>
      <c r="BE250" s="94"/>
      <c r="BF250" s="93"/>
      <c r="BG250" s="94"/>
      <c r="BH250" s="87"/>
      <c r="BI250" s="99"/>
      <c r="BJ250" s="104"/>
      <c r="BK250" s="99"/>
      <c r="BL250" s="104"/>
      <c r="BM250" s="99"/>
      <c r="BN250" s="99"/>
      <c r="BO250" s="104"/>
      <c r="BP250" s="99"/>
      <c r="BQ250" s="104"/>
      <c r="BR250" s="99"/>
      <c r="BS250" s="99"/>
      <c r="BT250" s="104"/>
      <c r="BU250" s="99"/>
      <c r="BV250" s="104"/>
      <c r="BW250" s="99"/>
      <c r="BX250" s="99"/>
      <c r="BY250" s="104"/>
      <c r="BZ250" s="99"/>
      <c r="CA250" s="104"/>
      <c r="CB250" s="99"/>
      <c r="CC250" s="99"/>
      <c r="CD250" s="104"/>
      <c r="CE250" s="99"/>
      <c r="CF250" s="104"/>
      <c r="CG250" s="99"/>
      <c r="CH250" s="99"/>
      <c r="CI250" s="104"/>
      <c r="CJ250" s="99"/>
      <c r="CK250" s="104"/>
      <c r="CL250" s="99"/>
      <c r="CM250" s="390" t="str">
        <f>IFERROR(__xludf.DUMMYFUNCTION("""COMPUTED_VALUE"""),"")</f>
        <v/>
      </c>
      <c r="CN250" s="489" t="str">
        <f>IFERROR(__xludf.DUMMYFUNCTION("""COMPUTED_VALUE"""),"Tarountula")</f>
        <v>Tarountula</v>
      </c>
      <c r="CO250" s="532" t="s">
        <v>158</v>
      </c>
      <c r="CP250" s="104"/>
      <c r="CQ250" s="99"/>
      <c r="CR250" s="99"/>
      <c r="CS250" s="104"/>
      <c r="CT250" s="99"/>
      <c r="CU250" s="104"/>
      <c r="CV250" s="99"/>
      <c r="CW250" s="99"/>
      <c r="CX250" s="104"/>
      <c r="CY250" s="99"/>
      <c r="CZ250" s="104"/>
      <c r="DA250" s="99"/>
      <c r="DB250" s="99"/>
      <c r="DC250" s="104"/>
      <c r="DD250" s="99"/>
      <c r="DE250" s="104"/>
      <c r="DF250" s="99"/>
      <c r="DG250" s="99"/>
      <c r="DH250" s="104"/>
      <c r="DI250" s="104"/>
      <c r="DJ250" s="104"/>
      <c r="DK250" s="99"/>
      <c r="DL250" s="99"/>
      <c r="DM250" s="104"/>
      <c r="DN250" s="104"/>
      <c r="DO250" s="104"/>
      <c r="DP250" s="99"/>
      <c r="DQ250" s="99"/>
      <c r="DR250" s="104"/>
      <c r="DS250" s="104"/>
      <c r="DT250" s="873"/>
      <c r="DU250" s="874"/>
      <c r="DV250" s="868"/>
      <c r="DW250" s="869"/>
      <c r="DX250" s="363"/>
      <c r="DY250" s="345"/>
      <c r="DZ250" s="408"/>
      <c r="EA250" s="10"/>
    </row>
    <row r="251" ht="17.25" customHeight="1">
      <c r="A251" s="3"/>
      <c r="B251" s="3"/>
      <c r="C251" s="74"/>
      <c r="D251" s="74"/>
      <c r="E251" s="74"/>
      <c r="F251" s="74"/>
      <c r="G251" s="74"/>
      <c r="H251" s="74"/>
      <c r="I251" s="74"/>
      <c r="J251" s="74"/>
      <c r="K251" s="74"/>
      <c r="L251" s="80"/>
      <c r="M251" s="74"/>
      <c r="N251" s="74"/>
      <c r="O251" s="74"/>
      <c r="P251" s="74"/>
      <c r="Q251" s="80"/>
      <c r="R251" s="74"/>
      <c r="S251" s="74"/>
      <c r="T251" s="74"/>
      <c r="U251" s="74"/>
      <c r="V251" s="80"/>
      <c r="W251" s="74"/>
      <c r="X251" s="74"/>
      <c r="Y251" s="74"/>
      <c r="Z251" s="74"/>
      <c r="AA251" s="80"/>
      <c r="AB251" s="74"/>
      <c r="AC251" s="74"/>
      <c r="AD251" s="74"/>
      <c r="AE251" s="74"/>
      <c r="AF251" s="80"/>
      <c r="AG251" s="74"/>
      <c r="AH251" s="74"/>
      <c r="AI251" s="74"/>
      <c r="AJ251" s="74"/>
      <c r="AK251" s="80"/>
      <c r="AL251" s="74"/>
      <c r="AM251" s="74"/>
      <c r="AN251" s="74"/>
      <c r="AO251" s="74"/>
      <c r="AP251" s="80"/>
      <c r="AQ251" s="74"/>
      <c r="AR251" s="80"/>
      <c r="AS251" s="87"/>
      <c r="AT251" s="93"/>
      <c r="AU251" s="94"/>
      <c r="AV251" s="93"/>
      <c r="AW251" s="94"/>
      <c r="AX251" s="87"/>
      <c r="AY251" s="93"/>
      <c r="AZ251" s="94"/>
      <c r="BA251" s="93"/>
      <c r="BB251" s="94"/>
      <c r="BC251" s="87"/>
      <c r="BD251" s="93"/>
      <c r="BE251" s="94"/>
      <c r="BF251" s="93"/>
      <c r="BG251" s="94"/>
      <c r="BH251" s="87"/>
      <c r="BI251" s="99"/>
      <c r="BJ251" s="104"/>
      <c r="BK251" s="99"/>
      <c r="BL251" s="104"/>
      <c r="BM251" s="99"/>
      <c r="BN251" s="99"/>
      <c r="BO251" s="104"/>
      <c r="BP251" s="99"/>
      <c r="BQ251" s="104"/>
      <c r="BR251" s="99"/>
      <c r="BS251" s="99"/>
      <c r="BT251" s="104"/>
      <c r="BU251" s="99"/>
      <c r="BV251" s="104"/>
      <c r="BW251" s="99"/>
      <c r="BX251" s="99"/>
      <c r="BY251" s="104"/>
      <c r="BZ251" s="99"/>
      <c r="CA251" s="104"/>
      <c r="CB251" s="99"/>
      <c r="CC251" s="99"/>
      <c r="CD251" s="104"/>
      <c r="CE251" s="99"/>
      <c r="CF251" s="104"/>
      <c r="CG251" s="99"/>
      <c r="CH251" s="99"/>
      <c r="CI251" s="104"/>
      <c r="CJ251" s="99"/>
      <c r="CK251" s="104"/>
      <c r="CL251" s="99"/>
      <c r="CM251" s="390" t="str">
        <f>IFERROR(__xludf.DUMMYFUNCTION("""COMPUTED_VALUE"""),"")</f>
        <v/>
      </c>
      <c r="CN251" s="489" t="str">
        <f>IFERROR(__xludf.DUMMYFUNCTION("""COMPUTED_VALUE"""),"Teddiursa")</f>
        <v>Teddiursa</v>
      </c>
      <c r="CO251" s="532" t="s">
        <v>158</v>
      </c>
      <c r="CP251" s="104"/>
      <c r="CQ251" s="99"/>
      <c r="CR251" s="99"/>
      <c r="CS251" s="104"/>
      <c r="CT251" s="99"/>
      <c r="CU251" s="104"/>
      <c r="CV251" s="99"/>
      <c r="CW251" s="99"/>
      <c r="CX251" s="104"/>
      <c r="CY251" s="99"/>
      <c r="CZ251" s="104"/>
      <c r="DA251" s="99"/>
      <c r="DB251" s="99"/>
      <c r="DC251" s="104"/>
      <c r="DD251" s="99"/>
      <c r="DE251" s="104"/>
      <c r="DF251" s="99"/>
      <c r="DG251" s="99"/>
      <c r="DH251" s="104"/>
      <c r="DI251" s="104"/>
      <c r="DJ251" s="104"/>
      <c r="DK251" s="99"/>
      <c r="DL251" s="99"/>
      <c r="DM251" s="104"/>
      <c r="DN251" s="104"/>
      <c r="DO251" s="104"/>
      <c r="DP251" s="99"/>
      <c r="DQ251" s="99"/>
      <c r="DR251" s="104"/>
      <c r="DS251" s="104"/>
      <c r="DT251" s="873"/>
      <c r="DU251" s="874"/>
      <c r="DV251" s="868"/>
      <c r="DW251" s="869"/>
      <c r="DX251" s="363"/>
      <c r="DY251" s="345"/>
      <c r="DZ251" s="408"/>
      <c r="EA251" s="10"/>
    </row>
    <row r="252" ht="17.25" customHeight="1">
      <c r="A252" s="3"/>
      <c r="B252" s="3"/>
      <c r="C252" s="74"/>
      <c r="D252" s="74"/>
      <c r="E252" s="74"/>
      <c r="F252" s="74"/>
      <c r="G252" s="74"/>
      <c r="H252" s="74"/>
      <c r="I252" s="74"/>
      <c r="J252" s="74"/>
      <c r="K252" s="74"/>
      <c r="L252" s="80"/>
      <c r="M252" s="74"/>
      <c r="N252" s="74"/>
      <c r="O252" s="74"/>
      <c r="P252" s="74"/>
      <c r="Q252" s="80"/>
      <c r="R252" s="74"/>
      <c r="S252" s="74"/>
      <c r="T252" s="74"/>
      <c r="U252" s="74"/>
      <c r="V252" s="80"/>
      <c r="W252" s="74"/>
      <c r="X252" s="74"/>
      <c r="Y252" s="74"/>
      <c r="Z252" s="74"/>
      <c r="AA252" s="80"/>
      <c r="AB252" s="74"/>
      <c r="AC252" s="74"/>
      <c r="AD252" s="74"/>
      <c r="AE252" s="74"/>
      <c r="AF252" s="80"/>
      <c r="AG252" s="74"/>
      <c r="AH252" s="74"/>
      <c r="AI252" s="74"/>
      <c r="AJ252" s="74"/>
      <c r="AK252" s="80"/>
      <c r="AL252" s="74"/>
      <c r="AM252" s="74"/>
      <c r="AN252" s="74"/>
      <c r="AO252" s="74"/>
      <c r="AP252" s="80"/>
      <c r="AQ252" s="74"/>
      <c r="AR252" s="80"/>
      <c r="AS252" s="87"/>
      <c r="AT252" s="93"/>
      <c r="AU252" s="94"/>
      <c r="AV252" s="93"/>
      <c r="AW252" s="94"/>
      <c r="AX252" s="87"/>
      <c r="AY252" s="93"/>
      <c r="AZ252" s="94"/>
      <c r="BA252" s="93"/>
      <c r="BB252" s="94"/>
      <c r="BC252" s="87"/>
      <c r="BD252" s="93"/>
      <c r="BE252" s="94"/>
      <c r="BF252" s="93"/>
      <c r="BG252" s="94"/>
      <c r="BH252" s="87"/>
      <c r="BI252" s="99"/>
      <c r="BJ252" s="104"/>
      <c r="BK252" s="99"/>
      <c r="BL252" s="104"/>
      <c r="BM252" s="99"/>
      <c r="BN252" s="99"/>
      <c r="BO252" s="104"/>
      <c r="BP252" s="99"/>
      <c r="BQ252" s="104"/>
      <c r="BR252" s="99"/>
      <c r="BS252" s="99"/>
      <c r="BT252" s="104"/>
      <c r="BU252" s="99"/>
      <c r="BV252" s="104"/>
      <c r="BW252" s="99"/>
      <c r="BX252" s="99"/>
      <c r="BY252" s="104"/>
      <c r="BZ252" s="99"/>
      <c r="CA252" s="104"/>
      <c r="CB252" s="99"/>
      <c r="CC252" s="99"/>
      <c r="CD252" s="104"/>
      <c r="CE252" s="99"/>
      <c r="CF252" s="104"/>
      <c r="CG252" s="99"/>
      <c r="CH252" s="99"/>
      <c r="CI252" s="104"/>
      <c r="CJ252" s="99"/>
      <c r="CK252" s="104"/>
      <c r="CL252" s="99"/>
      <c r="CM252" s="390" t="str">
        <f>IFERROR(__xludf.DUMMYFUNCTION("""COMPUTED_VALUE"""),"")</f>
        <v/>
      </c>
      <c r="CN252" s="489" t="str">
        <f>IFERROR(__xludf.DUMMYFUNCTION("""COMPUTED_VALUE"""),"Tinkatink")</f>
        <v>Tinkatink</v>
      </c>
      <c r="CO252" s="532" t="s">
        <v>158</v>
      </c>
      <c r="CP252" s="104"/>
      <c r="CQ252" s="99"/>
      <c r="CR252" s="99"/>
      <c r="CS252" s="104"/>
      <c r="CT252" s="99"/>
      <c r="CU252" s="104"/>
      <c r="CV252" s="99"/>
      <c r="CW252" s="99"/>
      <c r="CX252" s="104"/>
      <c r="CY252" s="99"/>
      <c r="CZ252" s="104"/>
      <c r="DA252" s="99"/>
      <c r="DB252" s="99"/>
      <c r="DC252" s="104"/>
      <c r="DD252" s="99"/>
      <c r="DE252" s="104"/>
      <c r="DF252" s="99"/>
      <c r="DG252" s="99"/>
      <c r="DH252" s="104"/>
      <c r="DI252" s="104"/>
      <c r="DJ252" s="104"/>
      <c r="DK252" s="99"/>
      <c r="DL252" s="99"/>
      <c r="DM252" s="104"/>
      <c r="DN252" s="104"/>
      <c r="DO252" s="104"/>
      <c r="DP252" s="99"/>
      <c r="DQ252" s="99"/>
      <c r="DR252" s="104"/>
      <c r="DS252" s="104"/>
      <c r="DT252" s="873"/>
      <c r="DU252" s="874"/>
      <c r="DV252" s="868"/>
      <c r="DW252" s="869"/>
      <c r="DX252" s="363"/>
      <c r="DY252" s="345"/>
      <c r="DZ252" s="408"/>
      <c r="EA252" s="10"/>
    </row>
    <row r="253" ht="17.25" customHeight="1">
      <c r="A253" s="3"/>
      <c r="B253" s="3"/>
      <c r="C253" s="74"/>
      <c r="D253" s="74"/>
      <c r="E253" s="74"/>
      <c r="F253" s="74"/>
      <c r="G253" s="74"/>
      <c r="H253" s="74"/>
      <c r="I253" s="74"/>
      <c r="J253" s="74"/>
      <c r="K253" s="74"/>
      <c r="L253" s="80"/>
      <c r="M253" s="74"/>
      <c r="N253" s="74"/>
      <c r="O253" s="74"/>
      <c r="P253" s="74"/>
      <c r="Q253" s="80"/>
      <c r="R253" s="74"/>
      <c r="S253" s="74"/>
      <c r="T253" s="74"/>
      <c r="U253" s="74"/>
      <c r="V253" s="80"/>
      <c r="W253" s="74"/>
      <c r="X253" s="74"/>
      <c r="Y253" s="74"/>
      <c r="Z253" s="74"/>
      <c r="AA253" s="80"/>
      <c r="AB253" s="74"/>
      <c r="AC253" s="74"/>
      <c r="AD253" s="74"/>
      <c r="AE253" s="74"/>
      <c r="AF253" s="80"/>
      <c r="AG253" s="74"/>
      <c r="AH253" s="74"/>
      <c r="AI253" s="74"/>
      <c r="AJ253" s="74"/>
      <c r="AK253" s="80"/>
      <c r="AL253" s="74"/>
      <c r="AM253" s="74"/>
      <c r="AN253" s="74"/>
      <c r="AO253" s="74"/>
      <c r="AP253" s="80"/>
      <c r="AQ253" s="74"/>
      <c r="AR253" s="80"/>
      <c r="AS253" s="87"/>
      <c r="AT253" s="93"/>
      <c r="AU253" s="94"/>
      <c r="AV253" s="93"/>
      <c r="AW253" s="94"/>
      <c r="AX253" s="87"/>
      <c r="AY253" s="93"/>
      <c r="AZ253" s="94"/>
      <c r="BA253" s="93"/>
      <c r="BB253" s="94"/>
      <c r="BC253" s="87"/>
      <c r="BD253" s="93"/>
      <c r="BE253" s="94"/>
      <c r="BF253" s="93"/>
      <c r="BG253" s="94"/>
      <c r="BH253" s="87"/>
      <c r="BI253" s="99"/>
      <c r="BJ253" s="104"/>
      <c r="BK253" s="99"/>
      <c r="BL253" s="104"/>
      <c r="BM253" s="99"/>
      <c r="BN253" s="99"/>
      <c r="BO253" s="104"/>
      <c r="BP253" s="99"/>
      <c r="BQ253" s="104"/>
      <c r="BR253" s="99"/>
      <c r="BS253" s="99"/>
      <c r="BT253" s="104"/>
      <c r="BU253" s="99"/>
      <c r="BV253" s="104"/>
      <c r="BW253" s="99"/>
      <c r="BX253" s="99"/>
      <c r="BY253" s="104"/>
      <c r="BZ253" s="99"/>
      <c r="CA253" s="104"/>
      <c r="CB253" s="99"/>
      <c r="CC253" s="99"/>
      <c r="CD253" s="104"/>
      <c r="CE253" s="99"/>
      <c r="CF253" s="104"/>
      <c r="CG253" s="99"/>
      <c r="CH253" s="99"/>
      <c r="CI253" s="104"/>
      <c r="CJ253" s="99"/>
      <c r="CK253" s="104"/>
      <c r="CL253" s="99"/>
      <c r="CM253" s="390" t="str">
        <f>IFERROR(__xludf.DUMMYFUNCTION("""COMPUTED_VALUE"""),"")</f>
        <v/>
      </c>
      <c r="CN253" s="489" t="str">
        <f>IFERROR(__xludf.DUMMYFUNCTION("""COMPUTED_VALUE"""),"Tinkatuff")</f>
        <v>Tinkatuff</v>
      </c>
      <c r="CO253" s="532" t="s">
        <v>158</v>
      </c>
      <c r="CP253" s="104"/>
      <c r="CQ253" s="99"/>
      <c r="CR253" s="99"/>
      <c r="CS253" s="104"/>
      <c r="CT253" s="99"/>
      <c r="CU253" s="104"/>
      <c r="CV253" s="99"/>
      <c r="CW253" s="99"/>
      <c r="CX253" s="104"/>
      <c r="CY253" s="99"/>
      <c r="CZ253" s="104"/>
      <c r="DA253" s="99"/>
      <c r="DB253" s="99"/>
      <c r="DC253" s="104"/>
      <c r="DD253" s="99"/>
      <c r="DE253" s="104"/>
      <c r="DF253" s="99"/>
      <c r="DG253" s="99"/>
      <c r="DH253" s="104"/>
      <c r="DI253" s="104"/>
      <c r="DJ253" s="104"/>
      <c r="DK253" s="99"/>
      <c r="DL253" s="99"/>
      <c r="DM253" s="104"/>
      <c r="DN253" s="104"/>
      <c r="DO253" s="104"/>
      <c r="DP253" s="99"/>
      <c r="DQ253" s="99"/>
      <c r="DR253" s="104"/>
      <c r="DS253" s="104"/>
      <c r="DT253" s="873"/>
      <c r="DU253" s="874"/>
      <c r="DV253" s="868"/>
      <c r="DW253" s="869"/>
      <c r="DX253" s="363"/>
      <c r="DY253" s="345"/>
      <c r="DZ253" s="408"/>
      <c r="EA253" s="10"/>
    </row>
    <row r="254" ht="17.25" customHeight="1">
      <c r="A254" s="3"/>
      <c r="B254" s="3"/>
      <c r="C254" s="74"/>
      <c r="D254" s="74"/>
      <c r="E254" s="74"/>
      <c r="F254" s="74"/>
      <c r="G254" s="74"/>
      <c r="H254" s="74"/>
      <c r="I254" s="74"/>
      <c r="J254" s="74"/>
      <c r="K254" s="74"/>
      <c r="L254" s="80"/>
      <c r="M254" s="74"/>
      <c r="N254" s="74"/>
      <c r="O254" s="74"/>
      <c r="P254" s="74"/>
      <c r="Q254" s="80"/>
      <c r="R254" s="74"/>
      <c r="S254" s="74"/>
      <c r="T254" s="74"/>
      <c r="U254" s="74"/>
      <c r="V254" s="80"/>
      <c r="W254" s="74"/>
      <c r="X254" s="74"/>
      <c r="Y254" s="74"/>
      <c r="Z254" s="74"/>
      <c r="AA254" s="80"/>
      <c r="AB254" s="74"/>
      <c r="AC254" s="74"/>
      <c r="AD254" s="74"/>
      <c r="AE254" s="74"/>
      <c r="AF254" s="80"/>
      <c r="AG254" s="74"/>
      <c r="AH254" s="74"/>
      <c r="AI254" s="74"/>
      <c r="AJ254" s="74"/>
      <c r="AK254" s="80"/>
      <c r="AL254" s="74"/>
      <c r="AM254" s="74"/>
      <c r="AN254" s="74"/>
      <c r="AO254" s="74"/>
      <c r="AP254" s="80"/>
      <c r="AQ254" s="74"/>
      <c r="AR254" s="80"/>
      <c r="AS254" s="87"/>
      <c r="AT254" s="93"/>
      <c r="AU254" s="94"/>
      <c r="AV254" s="93"/>
      <c r="AW254" s="94"/>
      <c r="AX254" s="87"/>
      <c r="AY254" s="93"/>
      <c r="AZ254" s="94"/>
      <c r="BA254" s="93"/>
      <c r="BB254" s="94"/>
      <c r="BC254" s="87"/>
      <c r="BD254" s="93"/>
      <c r="BE254" s="94"/>
      <c r="BF254" s="93"/>
      <c r="BG254" s="94"/>
      <c r="BH254" s="87"/>
      <c r="BI254" s="99"/>
      <c r="BJ254" s="104"/>
      <c r="BK254" s="99"/>
      <c r="BL254" s="104"/>
      <c r="BM254" s="99"/>
      <c r="BN254" s="99"/>
      <c r="BO254" s="104"/>
      <c r="BP254" s="99"/>
      <c r="BQ254" s="104"/>
      <c r="BR254" s="99"/>
      <c r="BS254" s="99"/>
      <c r="BT254" s="104"/>
      <c r="BU254" s="99"/>
      <c r="BV254" s="104"/>
      <c r="BW254" s="99"/>
      <c r="BX254" s="99"/>
      <c r="BY254" s="104"/>
      <c r="BZ254" s="99"/>
      <c r="CA254" s="104"/>
      <c r="CB254" s="99"/>
      <c r="CC254" s="99"/>
      <c r="CD254" s="104"/>
      <c r="CE254" s="99"/>
      <c r="CF254" s="104"/>
      <c r="CG254" s="99"/>
      <c r="CH254" s="99"/>
      <c r="CI254" s="104"/>
      <c r="CJ254" s="99"/>
      <c r="CK254" s="104"/>
      <c r="CL254" s="99"/>
      <c r="CM254" s="390" t="str">
        <f>IFERROR(__xludf.DUMMYFUNCTION("""COMPUTED_VALUE"""),"")</f>
        <v/>
      </c>
      <c r="CN254" s="489" t="str">
        <f>IFERROR(__xludf.DUMMYFUNCTION("""COMPUTED_VALUE"""),"Toedscool")</f>
        <v>Toedscool</v>
      </c>
      <c r="CO254" s="532" t="s">
        <v>158</v>
      </c>
      <c r="CP254" s="104"/>
      <c r="CQ254" s="99"/>
      <c r="CR254" s="99"/>
      <c r="CS254" s="104"/>
      <c r="CT254" s="99"/>
      <c r="CU254" s="104"/>
      <c r="CV254" s="99"/>
      <c r="CW254" s="99"/>
      <c r="CX254" s="104"/>
      <c r="CY254" s="99"/>
      <c r="CZ254" s="104"/>
      <c r="DA254" s="99"/>
      <c r="DB254" s="99"/>
      <c r="DC254" s="104"/>
      <c r="DD254" s="99"/>
      <c r="DE254" s="104"/>
      <c r="DF254" s="99"/>
      <c r="DG254" s="99"/>
      <c r="DH254" s="104"/>
      <c r="DI254" s="104"/>
      <c r="DJ254" s="104"/>
      <c r="DK254" s="99"/>
      <c r="DL254" s="99"/>
      <c r="DM254" s="104"/>
      <c r="DN254" s="104"/>
      <c r="DO254" s="104"/>
      <c r="DP254" s="99"/>
      <c r="DQ254" s="99"/>
      <c r="DR254" s="104"/>
      <c r="DS254" s="104"/>
      <c r="DT254" s="873"/>
      <c r="DU254" s="874"/>
      <c r="DV254" s="868"/>
      <c r="DW254" s="869"/>
      <c r="DX254" s="363"/>
      <c r="DY254" s="345"/>
      <c r="DZ254" s="408"/>
      <c r="EA254" s="10"/>
    </row>
    <row r="255" ht="17.25" customHeight="1">
      <c r="A255" s="3"/>
      <c r="B255" s="3"/>
      <c r="C255" s="74"/>
      <c r="D255" s="74"/>
      <c r="E255" s="74"/>
      <c r="F255" s="74"/>
      <c r="G255" s="74"/>
      <c r="H255" s="74"/>
      <c r="I255" s="74"/>
      <c r="J255" s="74"/>
      <c r="K255" s="74"/>
      <c r="L255" s="80"/>
      <c r="M255" s="74"/>
      <c r="N255" s="74"/>
      <c r="O255" s="74"/>
      <c r="P255" s="74"/>
      <c r="Q255" s="80"/>
      <c r="R255" s="74"/>
      <c r="S255" s="74"/>
      <c r="T255" s="74"/>
      <c r="U255" s="74"/>
      <c r="V255" s="80"/>
      <c r="W255" s="74"/>
      <c r="X255" s="74"/>
      <c r="Y255" s="74"/>
      <c r="Z255" s="74"/>
      <c r="AA255" s="80"/>
      <c r="AB255" s="74"/>
      <c r="AC255" s="74"/>
      <c r="AD255" s="74"/>
      <c r="AE255" s="74"/>
      <c r="AF255" s="80"/>
      <c r="AG255" s="74"/>
      <c r="AH255" s="74"/>
      <c r="AI255" s="74"/>
      <c r="AJ255" s="74"/>
      <c r="AK255" s="80"/>
      <c r="AL255" s="74"/>
      <c r="AM255" s="74"/>
      <c r="AN255" s="74"/>
      <c r="AO255" s="74"/>
      <c r="AP255" s="80"/>
      <c r="AQ255" s="74"/>
      <c r="AR255" s="80"/>
      <c r="AS255" s="87"/>
      <c r="AT255" s="93"/>
      <c r="AU255" s="94"/>
      <c r="AV255" s="93"/>
      <c r="AW255" s="94"/>
      <c r="AX255" s="87"/>
      <c r="AY255" s="93"/>
      <c r="AZ255" s="94"/>
      <c r="BA255" s="93"/>
      <c r="BB255" s="94"/>
      <c r="BC255" s="87"/>
      <c r="BD255" s="93"/>
      <c r="BE255" s="94"/>
      <c r="BF255" s="93"/>
      <c r="BG255" s="94"/>
      <c r="BH255" s="87"/>
      <c r="BI255" s="99"/>
      <c r="BJ255" s="104"/>
      <c r="BK255" s="99"/>
      <c r="BL255" s="104"/>
      <c r="BM255" s="99"/>
      <c r="BN255" s="99"/>
      <c r="BO255" s="104"/>
      <c r="BP255" s="99"/>
      <c r="BQ255" s="104"/>
      <c r="BR255" s="99"/>
      <c r="BS255" s="99"/>
      <c r="BT255" s="104"/>
      <c r="BU255" s="99"/>
      <c r="BV255" s="104"/>
      <c r="BW255" s="99"/>
      <c r="BX255" s="99"/>
      <c r="BY255" s="104"/>
      <c r="BZ255" s="99"/>
      <c r="CA255" s="104"/>
      <c r="CB255" s="99"/>
      <c r="CC255" s="99"/>
      <c r="CD255" s="104"/>
      <c r="CE255" s="99"/>
      <c r="CF255" s="104"/>
      <c r="CG255" s="99"/>
      <c r="CH255" s="99"/>
      <c r="CI255" s="104"/>
      <c r="CJ255" s="99"/>
      <c r="CK255" s="104"/>
      <c r="CL255" s="99"/>
      <c r="CM255" s="390" t="str">
        <f>IFERROR(__xludf.DUMMYFUNCTION("""COMPUTED_VALUE"""),"")</f>
        <v/>
      </c>
      <c r="CN255" s="489" t="str">
        <f>IFERROR(__xludf.DUMMYFUNCTION("""COMPUTED_VALUE"""),"Toxel")</f>
        <v>Toxel</v>
      </c>
      <c r="CO255" s="532" t="s">
        <v>158</v>
      </c>
      <c r="CP255" s="104"/>
      <c r="CQ255" s="99"/>
      <c r="CR255" s="99"/>
      <c r="CS255" s="104"/>
      <c r="CT255" s="99"/>
      <c r="CU255" s="104"/>
      <c r="CV255" s="99"/>
      <c r="CW255" s="99"/>
      <c r="CX255" s="104"/>
      <c r="CY255" s="99"/>
      <c r="CZ255" s="104"/>
      <c r="DA255" s="99"/>
      <c r="DB255" s="99"/>
      <c r="DC255" s="104"/>
      <c r="DD255" s="99"/>
      <c r="DE255" s="104"/>
      <c r="DF255" s="99"/>
      <c r="DG255" s="99"/>
      <c r="DH255" s="104"/>
      <c r="DI255" s="104"/>
      <c r="DJ255" s="104"/>
      <c r="DK255" s="99"/>
      <c r="DL255" s="99"/>
      <c r="DM255" s="104"/>
      <c r="DN255" s="104"/>
      <c r="DO255" s="104"/>
      <c r="DP255" s="99"/>
      <c r="DQ255" s="99"/>
      <c r="DR255" s="104"/>
      <c r="DS255" s="104"/>
      <c r="DT255" s="873"/>
      <c r="DU255" s="874"/>
      <c r="DV255" s="868"/>
      <c r="DW255" s="869"/>
      <c r="DX255" s="363"/>
      <c r="DY255" s="345"/>
      <c r="DZ255" s="408"/>
      <c r="EA255" s="10"/>
    </row>
    <row r="256" ht="17.25" customHeight="1">
      <c r="A256" s="3"/>
      <c r="B256" s="3"/>
      <c r="C256" s="74"/>
      <c r="D256" s="74"/>
      <c r="E256" s="74"/>
      <c r="F256" s="74"/>
      <c r="G256" s="74"/>
      <c r="H256" s="74"/>
      <c r="I256" s="74"/>
      <c r="J256" s="74"/>
      <c r="K256" s="74"/>
      <c r="L256" s="80"/>
      <c r="M256" s="74"/>
      <c r="N256" s="74"/>
      <c r="O256" s="74"/>
      <c r="P256" s="74"/>
      <c r="Q256" s="80"/>
      <c r="R256" s="74"/>
      <c r="S256" s="74"/>
      <c r="T256" s="74"/>
      <c r="U256" s="74"/>
      <c r="V256" s="80"/>
      <c r="W256" s="74"/>
      <c r="X256" s="74"/>
      <c r="Y256" s="74"/>
      <c r="Z256" s="74"/>
      <c r="AA256" s="80"/>
      <c r="AB256" s="74"/>
      <c r="AC256" s="74"/>
      <c r="AD256" s="74"/>
      <c r="AE256" s="74"/>
      <c r="AF256" s="80"/>
      <c r="AG256" s="74"/>
      <c r="AH256" s="74"/>
      <c r="AI256" s="74"/>
      <c r="AJ256" s="74"/>
      <c r="AK256" s="80"/>
      <c r="AL256" s="74"/>
      <c r="AM256" s="74"/>
      <c r="AN256" s="74"/>
      <c r="AO256" s="74"/>
      <c r="AP256" s="80"/>
      <c r="AQ256" s="74"/>
      <c r="AR256" s="80"/>
      <c r="AS256" s="87"/>
      <c r="AT256" s="93"/>
      <c r="AU256" s="94"/>
      <c r="AV256" s="93"/>
      <c r="AW256" s="94"/>
      <c r="AX256" s="87"/>
      <c r="AY256" s="93"/>
      <c r="AZ256" s="94"/>
      <c r="BA256" s="93"/>
      <c r="BB256" s="94"/>
      <c r="BC256" s="87"/>
      <c r="BD256" s="93"/>
      <c r="BE256" s="94"/>
      <c r="BF256" s="93"/>
      <c r="BG256" s="94"/>
      <c r="BH256" s="87"/>
      <c r="BI256" s="99"/>
      <c r="BJ256" s="104"/>
      <c r="BK256" s="99"/>
      <c r="BL256" s="104"/>
      <c r="BM256" s="99"/>
      <c r="BN256" s="99"/>
      <c r="BO256" s="104"/>
      <c r="BP256" s="99"/>
      <c r="BQ256" s="104"/>
      <c r="BR256" s="99"/>
      <c r="BS256" s="99"/>
      <c r="BT256" s="104"/>
      <c r="BU256" s="99"/>
      <c r="BV256" s="104"/>
      <c r="BW256" s="99"/>
      <c r="BX256" s="99"/>
      <c r="BY256" s="104"/>
      <c r="BZ256" s="99"/>
      <c r="CA256" s="104"/>
      <c r="CB256" s="99"/>
      <c r="CC256" s="99"/>
      <c r="CD256" s="104"/>
      <c r="CE256" s="99"/>
      <c r="CF256" s="104"/>
      <c r="CG256" s="99"/>
      <c r="CH256" s="99"/>
      <c r="CI256" s="104"/>
      <c r="CJ256" s="99"/>
      <c r="CK256" s="104"/>
      <c r="CL256" s="99"/>
      <c r="CM256" s="390" t="str">
        <f>IFERROR(__xludf.DUMMYFUNCTION("""COMPUTED_VALUE"""),"")</f>
        <v/>
      </c>
      <c r="CN256" s="489" t="str">
        <f>IFERROR(__xludf.DUMMYFUNCTION("""COMPUTED_VALUE"""),"Toxicroak")</f>
        <v>Toxicroak</v>
      </c>
      <c r="CO256" s="532" t="s">
        <v>158</v>
      </c>
      <c r="CP256" s="104"/>
      <c r="CQ256" s="99"/>
      <c r="CR256" s="99"/>
      <c r="CS256" s="104"/>
      <c r="CT256" s="99"/>
      <c r="CU256" s="104"/>
      <c r="CV256" s="99"/>
      <c r="CW256" s="99"/>
      <c r="CX256" s="104"/>
      <c r="CY256" s="99"/>
      <c r="CZ256" s="104"/>
      <c r="DA256" s="99"/>
      <c r="DB256" s="99"/>
      <c r="DC256" s="104"/>
      <c r="DD256" s="99"/>
      <c r="DE256" s="104"/>
      <c r="DF256" s="99"/>
      <c r="DG256" s="99"/>
      <c r="DH256" s="104"/>
      <c r="DI256" s="104"/>
      <c r="DJ256" s="104"/>
      <c r="DK256" s="99"/>
      <c r="DL256" s="99"/>
      <c r="DM256" s="104"/>
      <c r="DN256" s="104"/>
      <c r="DO256" s="104"/>
      <c r="DP256" s="99"/>
      <c r="DQ256" s="99"/>
      <c r="DR256" s="104"/>
      <c r="DS256" s="104"/>
      <c r="DT256" s="873"/>
      <c r="DU256" s="874"/>
      <c r="DV256" s="868"/>
      <c r="DW256" s="869"/>
      <c r="DX256" s="363"/>
      <c r="DY256" s="345"/>
      <c r="DZ256" s="408"/>
      <c r="EA256" s="10"/>
    </row>
    <row r="257" ht="17.25" customHeight="1">
      <c r="A257" s="3"/>
      <c r="B257" s="3"/>
      <c r="C257" s="74"/>
      <c r="D257" s="74"/>
      <c r="E257" s="74"/>
      <c r="F257" s="74"/>
      <c r="G257" s="74"/>
      <c r="H257" s="74"/>
      <c r="I257" s="74"/>
      <c r="J257" s="74"/>
      <c r="K257" s="74"/>
      <c r="L257" s="80"/>
      <c r="M257" s="74"/>
      <c r="N257" s="74"/>
      <c r="O257" s="74"/>
      <c r="P257" s="74"/>
      <c r="Q257" s="80"/>
      <c r="R257" s="74"/>
      <c r="S257" s="74"/>
      <c r="T257" s="74"/>
      <c r="U257" s="74"/>
      <c r="V257" s="80"/>
      <c r="W257" s="74"/>
      <c r="X257" s="74"/>
      <c r="Y257" s="74"/>
      <c r="Z257" s="74"/>
      <c r="AA257" s="80"/>
      <c r="AB257" s="74"/>
      <c r="AC257" s="74"/>
      <c r="AD257" s="74"/>
      <c r="AE257" s="74"/>
      <c r="AF257" s="80"/>
      <c r="AG257" s="74"/>
      <c r="AH257" s="74"/>
      <c r="AI257" s="74"/>
      <c r="AJ257" s="74"/>
      <c r="AK257" s="80"/>
      <c r="AL257" s="74"/>
      <c r="AM257" s="74"/>
      <c r="AN257" s="74"/>
      <c r="AO257" s="74"/>
      <c r="AP257" s="80"/>
      <c r="AQ257" s="74"/>
      <c r="AR257" s="80"/>
      <c r="AS257" s="87"/>
      <c r="AT257" s="93"/>
      <c r="AU257" s="94"/>
      <c r="AV257" s="93"/>
      <c r="AW257" s="94"/>
      <c r="AX257" s="87"/>
      <c r="AY257" s="93"/>
      <c r="AZ257" s="94"/>
      <c r="BA257" s="93"/>
      <c r="BB257" s="94"/>
      <c r="BC257" s="87"/>
      <c r="BD257" s="93"/>
      <c r="BE257" s="94"/>
      <c r="BF257" s="93"/>
      <c r="BG257" s="94"/>
      <c r="BH257" s="87"/>
      <c r="BI257" s="99"/>
      <c r="BJ257" s="104"/>
      <c r="BK257" s="99"/>
      <c r="BL257" s="104"/>
      <c r="BM257" s="99"/>
      <c r="BN257" s="99"/>
      <c r="BO257" s="104"/>
      <c r="BP257" s="99"/>
      <c r="BQ257" s="104"/>
      <c r="BR257" s="99"/>
      <c r="BS257" s="99"/>
      <c r="BT257" s="104"/>
      <c r="BU257" s="99"/>
      <c r="BV257" s="104"/>
      <c r="BW257" s="99"/>
      <c r="BX257" s="99"/>
      <c r="BY257" s="104"/>
      <c r="BZ257" s="99"/>
      <c r="CA257" s="104"/>
      <c r="CB257" s="99"/>
      <c r="CC257" s="99"/>
      <c r="CD257" s="104"/>
      <c r="CE257" s="99"/>
      <c r="CF257" s="104"/>
      <c r="CG257" s="99"/>
      <c r="CH257" s="99"/>
      <c r="CI257" s="104"/>
      <c r="CJ257" s="99"/>
      <c r="CK257" s="104"/>
      <c r="CL257" s="99"/>
      <c r="CM257" s="390" t="str">
        <f>IFERROR(__xludf.DUMMYFUNCTION("""COMPUTED_VALUE"""),"")</f>
        <v/>
      </c>
      <c r="CN257" s="489" t="str">
        <f>IFERROR(__xludf.DUMMYFUNCTION("""COMPUTED_VALUE"""),"Tropius")</f>
        <v>Tropius</v>
      </c>
      <c r="CO257" s="532" t="s">
        <v>158</v>
      </c>
      <c r="CP257" s="104"/>
      <c r="CQ257" s="99"/>
      <c r="CR257" s="99"/>
      <c r="CS257" s="104"/>
      <c r="CT257" s="99"/>
      <c r="CU257" s="104"/>
      <c r="CV257" s="99"/>
      <c r="CW257" s="99"/>
      <c r="CX257" s="104"/>
      <c r="CY257" s="99"/>
      <c r="CZ257" s="104"/>
      <c r="DA257" s="99"/>
      <c r="DB257" s="99"/>
      <c r="DC257" s="104"/>
      <c r="DD257" s="99"/>
      <c r="DE257" s="104"/>
      <c r="DF257" s="99"/>
      <c r="DG257" s="99"/>
      <c r="DH257" s="104"/>
      <c r="DI257" s="104"/>
      <c r="DJ257" s="104"/>
      <c r="DK257" s="99"/>
      <c r="DL257" s="99"/>
      <c r="DM257" s="104"/>
      <c r="DN257" s="104"/>
      <c r="DO257" s="104"/>
      <c r="DP257" s="99"/>
      <c r="DQ257" s="99"/>
      <c r="DR257" s="104"/>
      <c r="DS257" s="104"/>
      <c r="DT257" s="873"/>
      <c r="DU257" s="874"/>
      <c r="DV257" s="868"/>
      <c r="DW257" s="869"/>
      <c r="DX257" s="363"/>
      <c r="DY257" s="345"/>
      <c r="DZ257" s="408"/>
      <c r="EA257" s="10"/>
    </row>
    <row r="258" ht="17.25" customHeight="1">
      <c r="A258" s="3"/>
      <c r="B258" s="3"/>
      <c r="C258" s="74"/>
      <c r="D258" s="74"/>
      <c r="E258" s="74"/>
      <c r="F258" s="74"/>
      <c r="G258" s="74"/>
      <c r="H258" s="74"/>
      <c r="I258" s="74"/>
      <c r="J258" s="74"/>
      <c r="K258" s="74"/>
      <c r="L258" s="80"/>
      <c r="M258" s="74"/>
      <c r="N258" s="74"/>
      <c r="O258" s="74"/>
      <c r="P258" s="74"/>
      <c r="Q258" s="80"/>
      <c r="R258" s="74"/>
      <c r="S258" s="74"/>
      <c r="T258" s="74"/>
      <c r="U258" s="74"/>
      <c r="V258" s="80"/>
      <c r="W258" s="74"/>
      <c r="X258" s="74"/>
      <c r="Y258" s="74"/>
      <c r="Z258" s="74"/>
      <c r="AA258" s="80"/>
      <c r="AB258" s="74"/>
      <c r="AC258" s="74"/>
      <c r="AD258" s="74"/>
      <c r="AE258" s="74"/>
      <c r="AF258" s="80"/>
      <c r="AG258" s="74"/>
      <c r="AH258" s="74"/>
      <c r="AI258" s="74"/>
      <c r="AJ258" s="74"/>
      <c r="AK258" s="80"/>
      <c r="AL258" s="74"/>
      <c r="AM258" s="74"/>
      <c r="AN258" s="74"/>
      <c r="AO258" s="74"/>
      <c r="AP258" s="80"/>
      <c r="AQ258" s="74"/>
      <c r="AR258" s="80"/>
      <c r="AS258" s="87"/>
      <c r="AT258" s="93"/>
      <c r="AU258" s="94"/>
      <c r="AV258" s="93"/>
      <c r="AW258" s="94"/>
      <c r="AX258" s="87"/>
      <c r="AY258" s="93"/>
      <c r="AZ258" s="94"/>
      <c r="BA258" s="93"/>
      <c r="BB258" s="94"/>
      <c r="BC258" s="87"/>
      <c r="BD258" s="93"/>
      <c r="BE258" s="94"/>
      <c r="BF258" s="93"/>
      <c r="BG258" s="94"/>
      <c r="BH258" s="87"/>
      <c r="BI258" s="99"/>
      <c r="BJ258" s="104"/>
      <c r="BK258" s="99"/>
      <c r="BL258" s="104"/>
      <c r="BM258" s="99"/>
      <c r="BN258" s="99"/>
      <c r="BO258" s="104"/>
      <c r="BP258" s="99"/>
      <c r="BQ258" s="104"/>
      <c r="BR258" s="99"/>
      <c r="BS258" s="99"/>
      <c r="BT258" s="104"/>
      <c r="BU258" s="99"/>
      <c r="BV258" s="104"/>
      <c r="BW258" s="99"/>
      <c r="BX258" s="99"/>
      <c r="BY258" s="104"/>
      <c r="BZ258" s="99"/>
      <c r="CA258" s="104"/>
      <c r="CB258" s="99"/>
      <c r="CC258" s="99"/>
      <c r="CD258" s="104"/>
      <c r="CE258" s="99"/>
      <c r="CF258" s="104"/>
      <c r="CG258" s="99"/>
      <c r="CH258" s="99"/>
      <c r="CI258" s="104"/>
      <c r="CJ258" s="99"/>
      <c r="CK258" s="104"/>
      <c r="CL258" s="99"/>
      <c r="CM258" s="390" t="str">
        <f>IFERROR(__xludf.DUMMYFUNCTION("""COMPUTED_VALUE"""),"")</f>
        <v/>
      </c>
      <c r="CN258" s="489" t="str">
        <f>IFERROR(__xludf.DUMMYFUNCTION("""COMPUTED_VALUE"""),"Tynamo")</f>
        <v>Tynamo</v>
      </c>
      <c r="CO258" s="532" t="s">
        <v>158</v>
      </c>
      <c r="CP258" s="104"/>
      <c r="CQ258" s="99"/>
      <c r="CR258" s="99"/>
      <c r="CS258" s="104"/>
      <c r="CT258" s="99"/>
      <c r="CU258" s="104"/>
      <c r="CV258" s="99"/>
      <c r="CW258" s="99"/>
      <c r="CX258" s="104"/>
      <c r="CY258" s="99"/>
      <c r="CZ258" s="104"/>
      <c r="DA258" s="99"/>
      <c r="DB258" s="99"/>
      <c r="DC258" s="104"/>
      <c r="DD258" s="99"/>
      <c r="DE258" s="104"/>
      <c r="DF258" s="99"/>
      <c r="DG258" s="99"/>
      <c r="DH258" s="104"/>
      <c r="DI258" s="104"/>
      <c r="DJ258" s="104"/>
      <c r="DK258" s="99"/>
      <c r="DL258" s="99"/>
      <c r="DM258" s="104"/>
      <c r="DN258" s="104"/>
      <c r="DO258" s="104"/>
      <c r="DP258" s="99"/>
      <c r="DQ258" s="99"/>
      <c r="DR258" s="104"/>
      <c r="DS258" s="104"/>
      <c r="DT258" s="873"/>
      <c r="DU258" s="874"/>
      <c r="DV258" s="868"/>
      <c r="DW258" s="869"/>
      <c r="DX258" s="363"/>
      <c r="DY258" s="345"/>
      <c r="DZ258" s="408"/>
      <c r="EA258" s="10"/>
    </row>
    <row r="259" ht="17.25" customHeight="1">
      <c r="A259" s="3"/>
      <c r="B259" s="3"/>
      <c r="C259" s="74"/>
      <c r="D259" s="74"/>
      <c r="E259" s="74"/>
      <c r="F259" s="74"/>
      <c r="G259" s="74"/>
      <c r="H259" s="74"/>
      <c r="I259" s="74"/>
      <c r="J259" s="74"/>
      <c r="K259" s="74"/>
      <c r="L259" s="80"/>
      <c r="M259" s="74"/>
      <c r="N259" s="74"/>
      <c r="O259" s="74"/>
      <c r="P259" s="74"/>
      <c r="Q259" s="80"/>
      <c r="R259" s="74"/>
      <c r="S259" s="74"/>
      <c r="T259" s="74"/>
      <c r="U259" s="74"/>
      <c r="V259" s="80"/>
      <c r="W259" s="74"/>
      <c r="X259" s="74"/>
      <c r="Y259" s="74"/>
      <c r="Z259" s="74"/>
      <c r="AA259" s="80"/>
      <c r="AB259" s="74"/>
      <c r="AC259" s="74"/>
      <c r="AD259" s="74"/>
      <c r="AE259" s="74"/>
      <c r="AF259" s="80"/>
      <c r="AG259" s="74"/>
      <c r="AH259" s="74"/>
      <c r="AI259" s="74"/>
      <c r="AJ259" s="74"/>
      <c r="AK259" s="80"/>
      <c r="AL259" s="74"/>
      <c r="AM259" s="74"/>
      <c r="AN259" s="74"/>
      <c r="AO259" s="74"/>
      <c r="AP259" s="80"/>
      <c r="AQ259" s="74"/>
      <c r="AR259" s="80"/>
      <c r="AS259" s="87"/>
      <c r="AT259" s="93"/>
      <c r="AU259" s="94"/>
      <c r="AV259" s="93"/>
      <c r="AW259" s="94"/>
      <c r="AX259" s="87"/>
      <c r="AY259" s="93"/>
      <c r="AZ259" s="94"/>
      <c r="BA259" s="93"/>
      <c r="BB259" s="94"/>
      <c r="BC259" s="87"/>
      <c r="BD259" s="93"/>
      <c r="BE259" s="94"/>
      <c r="BF259" s="93"/>
      <c r="BG259" s="94"/>
      <c r="BH259" s="87"/>
      <c r="BI259" s="99"/>
      <c r="BJ259" s="104"/>
      <c r="BK259" s="99"/>
      <c r="BL259" s="104"/>
      <c r="BM259" s="99"/>
      <c r="BN259" s="99"/>
      <c r="BO259" s="104"/>
      <c r="BP259" s="99"/>
      <c r="BQ259" s="104"/>
      <c r="BR259" s="99"/>
      <c r="BS259" s="99"/>
      <c r="BT259" s="104"/>
      <c r="BU259" s="99"/>
      <c r="BV259" s="104"/>
      <c r="BW259" s="99"/>
      <c r="BX259" s="99"/>
      <c r="BY259" s="104"/>
      <c r="BZ259" s="99"/>
      <c r="CA259" s="104"/>
      <c r="CB259" s="99"/>
      <c r="CC259" s="99"/>
      <c r="CD259" s="104"/>
      <c r="CE259" s="99"/>
      <c r="CF259" s="104"/>
      <c r="CG259" s="99"/>
      <c r="CH259" s="99"/>
      <c r="CI259" s="104"/>
      <c r="CJ259" s="99"/>
      <c r="CK259" s="104"/>
      <c r="CL259" s="99"/>
      <c r="CM259" s="390" t="str">
        <f>IFERROR(__xludf.DUMMYFUNCTION("""COMPUTED_VALUE"""),"")</f>
        <v/>
      </c>
      <c r="CN259" s="489" t="str">
        <f>IFERROR(__xludf.DUMMYFUNCTION("""COMPUTED_VALUE"""),"Umbreon")</f>
        <v>Umbreon</v>
      </c>
      <c r="CO259" s="532" t="s">
        <v>158</v>
      </c>
      <c r="CP259" s="104"/>
      <c r="CQ259" s="99"/>
      <c r="CR259" s="99"/>
      <c r="CS259" s="104"/>
      <c r="CT259" s="99"/>
      <c r="CU259" s="104"/>
      <c r="CV259" s="99"/>
      <c r="CW259" s="99"/>
      <c r="CX259" s="104"/>
      <c r="CY259" s="99"/>
      <c r="CZ259" s="104"/>
      <c r="DA259" s="99"/>
      <c r="DB259" s="99"/>
      <c r="DC259" s="104"/>
      <c r="DD259" s="99"/>
      <c r="DE259" s="104"/>
      <c r="DF259" s="99"/>
      <c r="DG259" s="99"/>
      <c r="DH259" s="104"/>
      <c r="DI259" s="104"/>
      <c r="DJ259" s="104"/>
      <c r="DK259" s="99"/>
      <c r="DL259" s="99"/>
      <c r="DM259" s="104"/>
      <c r="DN259" s="104"/>
      <c r="DO259" s="104"/>
      <c r="DP259" s="99"/>
      <c r="DQ259" s="99"/>
      <c r="DR259" s="104"/>
      <c r="DS259" s="104"/>
      <c r="DT259" s="873"/>
      <c r="DU259" s="874"/>
      <c r="DV259" s="868"/>
      <c r="DW259" s="869"/>
      <c r="DX259" s="363"/>
      <c r="DY259" s="345"/>
      <c r="DZ259" s="408"/>
      <c r="EA259" s="10"/>
    </row>
    <row r="260" ht="17.25" customHeight="1">
      <c r="A260" s="3"/>
      <c r="B260" s="3"/>
      <c r="C260" s="74"/>
      <c r="D260" s="74"/>
      <c r="E260" s="74"/>
      <c r="F260" s="74"/>
      <c r="G260" s="74"/>
      <c r="H260" s="74"/>
      <c r="I260" s="74"/>
      <c r="J260" s="74"/>
      <c r="K260" s="74"/>
      <c r="L260" s="80"/>
      <c r="M260" s="74"/>
      <c r="N260" s="74"/>
      <c r="O260" s="74"/>
      <c r="P260" s="74"/>
      <c r="Q260" s="80"/>
      <c r="R260" s="74"/>
      <c r="S260" s="74"/>
      <c r="T260" s="74"/>
      <c r="U260" s="74"/>
      <c r="V260" s="80"/>
      <c r="W260" s="74"/>
      <c r="X260" s="74"/>
      <c r="Y260" s="74"/>
      <c r="Z260" s="74"/>
      <c r="AA260" s="80"/>
      <c r="AB260" s="74"/>
      <c r="AC260" s="74"/>
      <c r="AD260" s="74"/>
      <c r="AE260" s="74"/>
      <c r="AF260" s="80"/>
      <c r="AG260" s="74"/>
      <c r="AH260" s="74"/>
      <c r="AI260" s="74"/>
      <c r="AJ260" s="74"/>
      <c r="AK260" s="80"/>
      <c r="AL260" s="74"/>
      <c r="AM260" s="74"/>
      <c r="AN260" s="74"/>
      <c r="AO260" s="74"/>
      <c r="AP260" s="80"/>
      <c r="AQ260" s="74"/>
      <c r="AR260" s="80"/>
      <c r="AS260" s="87"/>
      <c r="AT260" s="93"/>
      <c r="AU260" s="94"/>
      <c r="AV260" s="93"/>
      <c r="AW260" s="94"/>
      <c r="AX260" s="87"/>
      <c r="AY260" s="93"/>
      <c r="AZ260" s="94"/>
      <c r="BA260" s="93"/>
      <c r="BB260" s="94"/>
      <c r="BC260" s="87"/>
      <c r="BD260" s="93"/>
      <c r="BE260" s="94"/>
      <c r="BF260" s="93"/>
      <c r="BG260" s="94"/>
      <c r="BH260" s="87"/>
      <c r="BI260" s="99"/>
      <c r="BJ260" s="104"/>
      <c r="BK260" s="99"/>
      <c r="BL260" s="104"/>
      <c r="BM260" s="99"/>
      <c r="BN260" s="99"/>
      <c r="BO260" s="104"/>
      <c r="BP260" s="99"/>
      <c r="BQ260" s="104"/>
      <c r="BR260" s="99"/>
      <c r="BS260" s="99"/>
      <c r="BT260" s="104"/>
      <c r="BU260" s="99"/>
      <c r="BV260" s="104"/>
      <c r="BW260" s="99"/>
      <c r="BX260" s="99"/>
      <c r="BY260" s="104"/>
      <c r="BZ260" s="99"/>
      <c r="CA260" s="104"/>
      <c r="CB260" s="99"/>
      <c r="CC260" s="99"/>
      <c r="CD260" s="104"/>
      <c r="CE260" s="99"/>
      <c r="CF260" s="104"/>
      <c r="CG260" s="99"/>
      <c r="CH260" s="99"/>
      <c r="CI260" s="104"/>
      <c r="CJ260" s="99"/>
      <c r="CK260" s="104"/>
      <c r="CL260" s="99"/>
      <c r="CM260" s="390" t="str">
        <f>IFERROR(__xludf.DUMMYFUNCTION("""COMPUTED_VALUE"""),"")</f>
        <v/>
      </c>
      <c r="CN260" s="489" t="str">
        <f>IFERROR(__xludf.DUMMYFUNCTION("""COMPUTED_VALUE"""),"Ursaring")</f>
        <v>Ursaring</v>
      </c>
      <c r="CO260" s="532" t="s">
        <v>158</v>
      </c>
      <c r="CP260" s="104"/>
      <c r="CQ260" s="99"/>
      <c r="CR260" s="99"/>
      <c r="CS260" s="104"/>
      <c r="CT260" s="99"/>
      <c r="CU260" s="104"/>
      <c r="CV260" s="99"/>
      <c r="CW260" s="99"/>
      <c r="CX260" s="104"/>
      <c r="CY260" s="99"/>
      <c r="CZ260" s="104"/>
      <c r="DA260" s="99"/>
      <c r="DB260" s="99"/>
      <c r="DC260" s="104"/>
      <c r="DD260" s="99"/>
      <c r="DE260" s="104"/>
      <c r="DF260" s="99"/>
      <c r="DG260" s="99"/>
      <c r="DH260" s="104"/>
      <c r="DI260" s="104"/>
      <c r="DJ260" s="104"/>
      <c r="DK260" s="99"/>
      <c r="DL260" s="99"/>
      <c r="DM260" s="104"/>
      <c r="DN260" s="104"/>
      <c r="DO260" s="104"/>
      <c r="DP260" s="99"/>
      <c r="DQ260" s="99"/>
      <c r="DR260" s="104"/>
      <c r="DS260" s="104"/>
      <c r="DT260" s="873"/>
      <c r="DU260" s="874"/>
      <c r="DV260" s="868"/>
      <c r="DW260" s="869"/>
      <c r="DX260" s="363"/>
      <c r="DY260" s="345"/>
      <c r="DZ260" s="408"/>
      <c r="EA260" s="10"/>
    </row>
    <row r="261" ht="17.25" customHeight="1">
      <c r="A261" s="3"/>
      <c r="B261" s="3"/>
      <c r="C261" s="74"/>
      <c r="D261" s="74"/>
      <c r="E261" s="74"/>
      <c r="F261" s="74"/>
      <c r="G261" s="74"/>
      <c r="H261" s="74"/>
      <c r="I261" s="74"/>
      <c r="J261" s="74"/>
      <c r="K261" s="74"/>
      <c r="L261" s="80"/>
      <c r="M261" s="74"/>
      <c r="N261" s="74"/>
      <c r="O261" s="74"/>
      <c r="P261" s="74"/>
      <c r="Q261" s="80"/>
      <c r="R261" s="74"/>
      <c r="S261" s="74"/>
      <c r="T261" s="74"/>
      <c r="U261" s="74"/>
      <c r="V261" s="80"/>
      <c r="W261" s="74"/>
      <c r="X261" s="74"/>
      <c r="Y261" s="74"/>
      <c r="Z261" s="74"/>
      <c r="AA261" s="80"/>
      <c r="AB261" s="74"/>
      <c r="AC261" s="74"/>
      <c r="AD261" s="74"/>
      <c r="AE261" s="74"/>
      <c r="AF261" s="80"/>
      <c r="AG261" s="74"/>
      <c r="AH261" s="74"/>
      <c r="AI261" s="74"/>
      <c r="AJ261" s="74"/>
      <c r="AK261" s="80"/>
      <c r="AL261" s="74"/>
      <c r="AM261" s="74"/>
      <c r="AN261" s="74"/>
      <c r="AO261" s="74"/>
      <c r="AP261" s="80"/>
      <c r="AQ261" s="74"/>
      <c r="AR261" s="80"/>
      <c r="AS261" s="87"/>
      <c r="AT261" s="93"/>
      <c r="AU261" s="94"/>
      <c r="AV261" s="93"/>
      <c r="AW261" s="94"/>
      <c r="AX261" s="87"/>
      <c r="AY261" s="93"/>
      <c r="AZ261" s="94"/>
      <c r="BA261" s="93"/>
      <c r="BB261" s="94"/>
      <c r="BC261" s="87"/>
      <c r="BD261" s="93"/>
      <c r="BE261" s="94"/>
      <c r="BF261" s="93"/>
      <c r="BG261" s="94"/>
      <c r="BH261" s="87"/>
      <c r="BI261" s="99"/>
      <c r="BJ261" s="104"/>
      <c r="BK261" s="99"/>
      <c r="BL261" s="104"/>
      <c r="BM261" s="99"/>
      <c r="BN261" s="99"/>
      <c r="BO261" s="104"/>
      <c r="BP261" s="99"/>
      <c r="BQ261" s="104"/>
      <c r="BR261" s="99"/>
      <c r="BS261" s="99"/>
      <c r="BT261" s="104"/>
      <c r="BU261" s="99"/>
      <c r="BV261" s="104"/>
      <c r="BW261" s="99"/>
      <c r="BX261" s="99"/>
      <c r="BY261" s="104"/>
      <c r="BZ261" s="99"/>
      <c r="CA261" s="104"/>
      <c r="CB261" s="99"/>
      <c r="CC261" s="99"/>
      <c r="CD261" s="104"/>
      <c r="CE261" s="99"/>
      <c r="CF261" s="104"/>
      <c r="CG261" s="99"/>
      <c r="CH261" s="99"/>
      <c r="CI261" s="104"/>
      <c r="CJ261" s="99"/>
      <c r="CK261" s="104"/>
      <c r="CL261" s="99"/>
      <c r="CM261" s="390" t="str">
        <f>IFERROR(__xludf.DUMMYFUNCTION("""COMPUTED_VALUE"""),"")</f>
        <v/>
      </c>
      <c r="CN261" s="489" t="str">
        <f>IFERROR(__xludf.DUMMYFUNCTION("""COMPUTED_VALUE"""),"Varoom")</f>
        <v>Varoom</v>
      </c>
      <c r="CO261" s="532" t="s">
        <v>158</v>
      </c>
      <c r="CP261" s="104"/>
      <c r="CQ261" s="99"/>
      <c r="CR261" s="99"/>
      <c r="CS261" s="104"/>
      <c r="CT261" s="99"/>
      <c r="CU261" s="104"/>
      <c r="CV261" s="99"/>
      <c r="CW261" s="99"/>
      <c r="CX261" s="104"/>
      <c r="CY261" s="99"/>
      <c r="CZ261" s="104"/>
      <c r="DA261" s="99"/>
      <c r="DB261" s="99"/>
      <c r="DC261" s="104"/>
      <c r="DD261" s="99"/>
      <c r="DE261" s="104"/>
      <c r="DF261" s="99"/>
      <c r="DG261" s="99"/>
      <c r="DH261" s="104"/>
      <c r="DI261" s="104"/>
      <c r="DJ261" s="104"/>
      <c r="DK261" s="99"/>
      <c r="DL261" s="99"/>
      <c r="DM261" s="104"/>
      <c r="DN261" s="104"/>
      <c r="DO261" s="104"/>
      <c r="DP261" s="99"/>
      <c r="DQ261" s="99"/>
      <c r="DR261" s="104"/>
      <c r="DS261" s="104"/>
      <c r="DT261" s="873"/>
      <c r="DU261" s="874"/>
      <c r="DV261" s="868"/>
      <c r="DW261" s="869"/>
      <c r="DX261" s="363"/>
      <c r="DY261" s="345"/>
      <c r="DZ261" s="408"/>
      <c r="EA261" s="10"/>
    </row>
    <row r="262" ht="17.25" customHeight="1">
      <c r="A262" s="3"/>
      <c r="B262" s="3"/>
      <c r="C262" s="74"/>
      <c r="D262" s="74"/>
      <c r="E262" s="74"/>
      <c r="F262" s="74"/>
      <c r="G262" s="74"/>
      <c r="H262" s="74"/>
      <c r="I262" s="74"/>
      <c r="J262" s="74"/>
      <c r="K262" s="74"/>
      <c r="L262" s="80"/>
      <c r="M262" s="74"/>
      <c r="N262" s="74"/>
      <c r="O262" s="74"/>
      <c r="P262" s="74"/>
      <c r="Q262" s="80"/>
      <c r="R262" s="74"/>
      <c r="S262" s="74"/>
      <c r="T262" s="74"/>
      <c r="U262" s="74"/>
      <c r="V262" s="80"/>
      <c r="W262" s="74"/>
      <c r="X262" s="74"/>
      <c r="Y262" s="74"/>
      <c r="Z262" s="74"/>
      <c r="AA262" s="80"/>
      <c r="AB262" s="74"/>
      <c r="AC262" s="74"/>
      <c r="AD262" s="74"/>
      <c r="AE262" s="74"/>
      <c r="AF262" s="80"/>
      <c r="AG262" s="74"/>
      <c r="AH262" s="74"/>
      <c r="AI262" s="74"/>
      <c r="AJ262" s="74"/>
      <c r="AK262" s="80"/>
      <c r="AL262" s="74"/>
      <c r="AM262" s="74"/>
      <c r="AN262" s="74"/>
      <c r="AO262" s="74"/>
      <c r="AP262" s="80"/>
      <c r="AQ262" s="74"/>
      <c r="AR262" s="80"/>
      <c r="AS262" s="87"/>
      <c r="AT262" s="93"/>
      <c r="AU262" s="94"/>
      <c r="AV262" s="93"/>
      <c r="AW262" s="94"/>
      <c r="AX262" s="87"/>
      <c r="AY262" s="93"/>
      <c r="AZ262" s="94"/>
      <c r="BA262" s="93"/>
      <c r="BB262" s="94"/>
      <c r="BC262" s="87"/>
      <c r="BD262" s="93"/>
      <c r="BE262" s="94"/>
      <c r="BF262" s="93"/>
      <c r="BG262" s="94"/>
      <c r="BH262" s="87"/>
      <c r="BI262" s="99"/>
      <c r="BJ262" s="104"/>
      <c r="BK262" s="99"/>
      <c r="BL262" s="104"/>
      <c r="BM262" s="99"/>
      <c r="BN262" s="99"/>
      <c r="BO262" s="104"/>
      <c r="BP262" s="99"/>
      <c r="BQ262" s="104"/>
      <c r="BR262" s="99"/>
      <c r="BS262" s="99"/>
      <c r="BT262" s="104"/>
      <c r="BU262" s="99"/>
      <c r="BV262" s="104"/>
      <c r="BW262" s="99"/>
      <c r="BX262" s="99"/>
      <c r="BY262" s="104"/>
      <c r="BZ262" s="99"/>
      <c r="CA262" s="104"/>
      <c r="CB262" s="99"/>
      <c r="CC262" s="99"/>
      <c r="CD262" s="104"/>
      <c r="CE262" s="99"/>
      <c r="CF262" s="104"/>
      <c r="CG262" s="99"/>
      <c r="CH262" s="99"/>
      <c r="CI262" s="104"/>
      <c r="CJ262" s="99"/>
      <c r="CK262" s="104"/>
      <c r="CL262" s="99"/>
      <c r="CM262" s="390" t="str">
        <f>IFERROR(__xludf.DUMMYFUNCTION("""COMPUTED_VALUE"""),"")</f>
        <v/>
      </c>
      <c r="CN262" s="489" t="str">
        <f>IFERROR(__xludf.DUMMYFUNCTION("""COMPUTED_VALUE"""),"Veluza")</f>
        <v>Veluza</v>
      </c>
      <c r="CO262" s="532" t="s">
        <v>158</v>
      </c>
      <c r="CP262" s="104"/>
      <c r="CQ262" s="99"/>
      <c r="CR262" s="99"/>
      <c r="CS262" s="104"/>
      <c r="CT262" s="99"/>
      <c r="CU262" s="104"/>
      <c r="CV262" s="99"/>
      <c r="CW262" s="99"/>
      <c r="CX262" s="104"/>
      <c r="CY262" s="99"/>
      <c r="CZ262" s="104"/>
      <c r="DA262" s="99"/>
      <c r="DB262" s="99"/>
      <c r="DC262" s="104"/>
      <c r="DD262" s="99"/>
      <c r="DE262" s="104"/>
      <c r="DF262" s="99"/>
      <c r="DG262" s="99"/>
      <c r="DH262" s="104"/>
      <c r="DI262" s="104"/>
      <c r="DJ262" s="104"/>
      <c r="DK262" s="99"/>
      <c r="DL262" s="99"/>
      <c r="DM262" s="104"/>
      <c r="DN262" s="104"/>
      <c r="DO262" s="104"/>
      <c r="DP262" s="99"/>
      <c r="DQ262" s="99"/>
      <c r="DR262" s="104"/>
      <c r="DS262" s="104"/>
      <c r="DT262" s="873"/>
      <c r="DU262" s="874"/>
      <c r="DV262" s="868"/>
      <c r="DW262" s="869"/>
      <c r="DX262" s="363"/>
      <c r="DY262" s="345"/>
      <c r="DZ262" s="408"/>
      <c r="EA262" s="10"/>
    </row>
    <row r="263" ht="17.25" customHeight="1">
      <c r="A263" s="3"/>
      <c r="B263" s="3"/>
      <c r="C263" s="74"/>
      <c r="D263" s="74"/>
      <c r="E263" s="74"/>
      <c r="F263" s="74"/>
      <c r="G263" s="74"/>
      <c r="H263" s="74"/>
      <c r="I263" s="74"/>
      <c r="J263" s="74"/>
      <c r="K263" s="74"/>
      <c r="L263" s="80"/>
      <c r="M263" s="74"/>
      <c r="N263" s="74"/>
      <c r="O263" s="74"/>
      <c r="P263" s="74"/>
      <c r="Q263" s="80"/>
      <c r="R263" s="74"/>
      <c r="S263" s="74"/>
      <c r="T263" s="74"/>
      <c r="U263" s="74"/>
      <c r="V263" s="80"/>
      <c r="W263" s="74"/>
      <c r="X263" s="74"/>
      <c r="Y263" s="74"/>
      <c r="Z263" s="74"/>
      <c r="AA263" s="80"/>
      <c r="AB263" s="74"/>
      <c r="AC263" s="74"/>
      <c r="AD263" s="74"/>
      <c r="AE263" s="74"/>
      <c r="AF263" s="80"/>
      <c r="AG263" s="74"/>
      <c r="AH263" s="74"/>
      <c r="AI263" s="74"/>
      <c r="AJ263" s="74"/>
      <c r="AK263" s="80"/>
      <c r="AL263" s="74"/>
      <c r="AM263" s="74"/>
      <c r="AN263" s="74"/>
      <c r="AO263" s="74"/>
      <c r="AP263" s="80"/>
      <c r="AQ263" s="74"/>
      <c r="AR263" s="80"/>
      <c r="AS263" s="87"/>
      <c r="AT263" s="93"/>
      <c r="AU263" s="94"/>
      <c r="AV263" s="93"/>
      <c r="AW263" s="94"/>
      <c r="AX263" s="87"/>
      <c r="AY263" s="93"/>
      <c r="AZ263" s="94"/>
      <c r="BA263" s="93"/>
      <c r="BB263" s="94"/>
      <c r="BC263" s="87"/>
      <c r="BD263" s="93"/>
      <c r="BE263" s="94"/>
      <c r="BF263" s="93"/>
      <c r="BG263" s="94"/>
      <c r="BH263" s="87"/>
      <c r="BI263" s="99"/>
      <c r="BJ263" s="104"/>
      <c r="BK263" s="99"/>
      <c r="BL263" s="104"/>
      <c r="BM263" s="99"/>
      <c r="BN263" s="99"/>
      <c r="BO263" s="104"/>
      <c r="BP263" s="99"/>
      <c r="BQ263" s="104"/>
      <c r="BR263" s="99"/>
      <c r="BS263" s="99"/>
      <c r="BT263" s="104"/>
      <c r="BU263" s="99"/>
      <c r="BV263" s="104"/>
      <c r="BW263" s="99"/>
      <c r="BX263" s="99"/>
      <c r="BY263" s="104"/>
      <c r="BZ263" s="99"/>
      <c r="CA263" s="104"/>
      <c r="CB263" s="99"/>
      <c r="CC263" s="99"/>
      <c r="CD263" s="104"/>
      <c r="CE263" s="99"/>
      <c r="CF263" s="104"/>
      <c r="CG263" s="99"/>
      <c r="CH263" s="99"/>
      <c r="CI263" s="104"/>
      <c r="CJ263" s="99"/>
      <c r="CK263" s="104"/>
      <c r="CL263" s="99"/>
      <c r="CM263" s="390" t="str">
        <f>IFERROR(__xludf.DUMMYFUNCTION("""COMPUTED_VALUE"""),"")</f>
        <v/>
      </c>
      <c r="CN263" s="489" t="str">
        <f>IFERROR(__xludf.DUMMYFUNCTION("""COMPUTED_VALUE"""),"Venomoth")</f>
        <v>Venomoth</v>
      </c>
      <c r="CO263" s="532" t="s">
        <v>158</v>
      </c>
      <c r="CP263" s="104"/>
      <c r="CQ263" s="99"/>
      <c r="CR263" s="99"/>
      <c r="CS263" s="104"/>
      <c r="CT263" s="99"/>
      <c r="CU263" s="104"/>
      <c r="CV263" s="99"/>
      <c r="CW263" s="99"/>
      <c r="CX263" s="104"/>
      <c r="CY263" s="99"/>
      <c r="CZ263" s="104"/>
      <c r="DA263" s="99"/>
      <c r="DB263" s="99"/>
      <c r="DC263" s="104"/>
      <c r="DD263" s="99"/>
      <c r="DE263" s="104"/>
      <c r="DF263" s="99"/>
      <c r="DG263" s="99"/>
      <c r="DH263" s="104"/>
      <c r="DI263" s="104"/>
      <c r="DJ263" s="104"/>
      <c r="DK263" s="99"/>
      <c r="DL263" s="99"/>
      <c r="DM263" s="104"/>
      <c r="DN263" s="104"/>
      <c r="DO263" s="104"/>
      <c r="DP263" s="99"/>
      <c r="DQ263" s="99"/>
      <c r="DR263" s="104"/>
      <c r="DS263" s="104"/>
      <c r="DT263" s="873"/>
      <c r="DU263" s="874"/>
      <c r="DV263" s="868"/>
      <c r="DW263" s="869"/>
      <c r="DX263" s="363"/>
      <c r="DY263" s="345"/>
      <c r="DZ263" s="408"/>
      <c r="EA263" s="10"/>
    </row>
    <row r="264" ht="17.25" customHeight="1">
      <c r="A264" s="3"/>
      <c r="B264" s="3"/>
      <c r="C264" s="74"/>
      <c r="D264" s="74"/>
      <c r="E264" s="74"/>
      <c r="F264" s="74"/>
      <c r="G264" s="74"/>
      <c r="H264" s="74"/>
      <c r="I264" s="74"/>
      <c r="J264" s="74"/>
      <c r="K264" s="74"/>
      <c r="L264" s="80"/>
      <c r="M264" s="74"/>
      <c r="N264" s="74"/>
      <c r="O264" s="74"/>
      <c r="P264" s="74"/>
      <c r="Q264" s="80"/>
      <c r="R264" s="74"/>
      <c r="S264" s="74"/>
      <c r="T264" s="74"/>
      <c r="U264" s="74"/>
      <c r="V264" s="80"/>
      <c r="W264" s="74"/>
      <c r="X264" s="74"/>
      <c r="Y264" s="74"/>
      <c r="Z264" s="74"/>
      <c r="AA264" s="80"/>
      <c r="AB264" s="74"/>
      <c r="AC264" s="74"/>
      <c r="AD264" s="74"/>
      <c r="AE264" s="74"/>
      <c r="AF264" s="80"/>
      <c r="AG264" s="74"/>
      <c r="AH264" s="74"/>
      <c r="AI264" s="74"/>
      <c r="AJ264" s="74"/>
      <c r="AK264" s="80"/>
      <c r="AL264" s="74"/>
      <c r="AM264" s="74"/>
      <c r="AN264" s="74"/>
      <c r="AO264" s="74"/>
      <c r="AP264" s="80"/>
      <c r="AQ264" s="74"/>
      <c r="AR264" s="80"/>
      <c r="AS264" s="87"/>
      <c r="AT264" s="93"/>
      <c r="AU264" s="94"/>
      <c r="AV264" s="93"/>
      <c r="AW264" s="94"/>
      <c r="AX264" s="87"/>
      <c r="AY264" s="93"/>
      <c r="AZ264" s="94"/>
      <c r="BA264" s="93"/>
      <c r="BB264" s="94"/>
      <c r="BC264" s="87"/>
      <c r="BD264" s="93"/>
      <c r="BE264" s="94"/>
      <c r="BF264" s="93"/>
      <c r="BG264" s="94"/>
      <c r="BH264" s="87"/>
      <c r="BI264" s="99"/>
      <c r="BJ264" s="104"/>
      <c r="BK264" s="99"/>
      <c r="BL264" s="104"/>
      <c r="BM264" s="99"/>
      <c r="BN264" s="99"/>
      <c r="BO264" s="104"/>
      <c r="BP264" s="99"/>
      <c r="BQ264" s="104"/>
      <c r="BR264" s="99"/>
      <c r="BS264" s="99"/>
      <c r="BT264" s="104"/>
      <c r="BU264" s="99"/>
      <c r="BV264" s="104"/>
      <c r="BW264" s="99"/>
      <c r="BX264" s="99"/>
      <c r="BY264" s="104"/>
      <c r="BZ264" s="99"/>
      <c r="CA264" s="104"/>
      <c r="CB264" s="99"/>
      <c r="CC264" s="99"/>
      <c r="CD264" s="104"/>
      <c r="CE264" s="99"/>
      <c r="CF264" s="104"/>
      <c r="CG264" s="99"/>
      <c r="CH264" s="99"/>
      <c r="CI264" s="104"/>
      <c r="CJ264" s="99"/>
      <c r="CK264" s="104"/>
      <c r="CL264" s="99"/>
      <c r="CM264" s="390" t="str">
        <f>IFERROR(__xludf.DUMMYFUNCTION("""COMPUTED_VALUE"""),"")</f>
        <v/>
      </c>
      <c r="CN264" s="489" t="str">
        <f>IFERROR(__xludf.DUMMYFUNCTION("""COMPUTED_VALUE"""),"Venonat")</f>
        <v>Venonat</v>
      </c>
      <c r="CO264" s="532" t="s">
        <v>158</v>
      </c>
      <c r="CP264" s="104"/>
      <c r="CQ264" s="99"/>
      <c r="CR264" s="99"/>
      <c r="CS264" s="104"/>
      <c r="CT264" s="99"/>
      <c r="CU264" s="104"/>
      <c r="CV264" s="99"/>
      <c r="CW264" s="99"/>
      <c r="CX264" s="104"/>
      <c r="CY264" s="99"/>
      <c r="CZ264" s="104"/>
      <c r="DA264" s="99"/>
      <c r="DB264" s="99"/>
      <c r="DC264" s="104"/>
      <c r="DD264" s="99"/>
      <c r="DE264" s="104"/>
      <c r="DF264" s="99"/>
      <c r="DG264" s="99"/>
      <c r="DH264" s="104"/>
      <c r="DI264" s="104"/>
      <c r="DJ264" s="104"/>
      <c r="DK264" s="99"/>
      <c r="DL264" s="99"/>
      <c r="DM264" s="104"/>
      <c r="DN264" s="104"/>
      <c r="DO264" s="104"/>
      <c r="DP264" s="99"/>
      <c r="DQ264" s="99"/>
      <c r="DR264" s="104"/>
      <c r="DS264" s="104"/>
      <c r="DT264" s="873"/>
      <c r="DU264" s="874"/>
      <c r="DV264" s="868"/>
      <c r="DW264" s="869"/>
      <c r="DX264" s="363"/>
      <c r="DY264" s="345"/>
      <c r="DZ264" s="408"/>
      <c r="EA264" s="10"/>
    </row>
    <row r="265" ht="17.25" customHeight="1">
      <c r="A265" s="3"/>
      <c r="B265" s="3"/>
      <c r="C265" s="74"/>
      <c r="D265" s="74"/>
      <c r="E265" s="74"/>
      <c r="F265" s="74"/>
      <c r="G265" s="74"/>
      <c r="H265" s="74"/>
      <c r="I265" s="74"/>
      <c r="J265" s="74"/>
      <c r="K265" s="74"/>
      <c r="L265" s="80"/>
      <c r="M265" s="74"/>
      <c r="N265" s="74"/>
      <c r="O265" s="74"/>
      <c r="P265" s="74"/>
      <c r="Q265" s="80"/>
      <c r="R265" s="74"/>
      <c r="S265" s="74"/>
      <c r="T265" s="74"/>
      <c r="U265" s="74"/>
      <c r="V265" s="80"/>
      <c r="W265" s="74"/>
      <c r="X265" s="74"/>
      <c r="Y265" s="74"/>
      <c r="Z265" s="74"/>
      <c r="AA265" s="80"/>
      <c r="AB265" s="74"/>
      <c r="AC265" s="74"/>
      <c r="AD265" s="74"/>
      <c r="AE265" s="74"/>
      <c r="AF265" s="80"/>
      <c r="AG265" s="74"/>
      <c r="AH265" s="74"/>
      <c r="AI265" s="74"/>
      <c r="AJ265" s="74"/>
      <c r="AK265" s="80"/>
      <c r="AL265" s="74"/>
      <c r="AM265" s="74"/>
      <c r="AN265" s="74"/>
      <c r="AO265" s="74"/>
      <c r="AP265" s="80"/>
      <c r="AQ265" s="74"/>
      <c r="AR265" s="80"/>
      <c r="AS265" s="87"/>
      <c r="AT265" s="93"/>
      <c r="AU265" s="94"/>
      <c r="AV265" s="93"/>
      <c r="AW265" s="94"/>
      <c r="AX265" s="87"/>
      <c r="AY265" s="93"/>
      <c r="AZ265" s="94"/>
      <c r="BA265" s="93"/>
      <c r="BB265" s="94"/>
      <c r="BC265" s="87"/>
      <c r="BD265" s="93"/>
      <c r="BE265" s="94"/>
      <c r="BF265" s="93"/>
      <c r="BG265" s="94"/>
      <c r="BH265" s="87"/>
      <c r="BI265" s="99"/>
      <c r="BJ265" s="104"/>
      <c r="BK265" s="99"/>
      <c r="BL265" s="104"/>
      <c r="BM265" s="99"/>
      <c r="BN265" s="99"/>
      <c r="BO265" s="104"/>
      <c r="BP265" s="99"/>
      <c r="BQ265" s="104"/>
      <c r="BR265" s="99"/>
      <c r="BS265" s="99"/>
      <c r="BT265" s="104"/>
      <c r="BU265" s="99"/>
      <c r="BV265" s="104"/>
      <c r="BW265" s="99"/>
      <c r="BX265" s="99"/>
      <c r="BY265" s="104"/>
      <c r="BZ265" s="99"/>
      <c r="CA265" s="104"/>
      <c r="CB265" s="99"/>
      <c r="CC265" s="99"/>
      <c r="CD265" s="104"/>
      <c r="CE265" s="99"/>
      <c r="CF265" s="104"/>
      <c r="CG265" s="99"/>
      <c r="CH265" s="99"/>
      <c r="CI265" s="104"/>
      <c r="CJ265" s="99"/>
      <c r="CK265" s="104"/>
      <c r="CL265" s="99"/>
      <c r="CM265" s="390" t="str">
        <f>IFERROR(__xludf.DUMMYFUNCTION("""COMPUTED_VALUE"""),"")</f>
        <v/>
      </c>
      <c r="CN265" s="489" t="str">
        <f>IFERROR(__xludf.DUMMYFUNCTION("""COMPUTED_VALUE"""),"Vespiquen")</f>
        <v>Vespiquen</v>
      </c>
      <c r="CO265" s="532" t="s">
        <v>158</v>
      </c>
      <c r="CP265" s="104"/>
      <c r="CQ265" s="99"/>
      <c r="CR265" s="99"/>
      <c r="CS265" s="104"/>
      <c r="CT265" s="99"/>
      <c r="CU265" s="104"/>
      <c r="CV265" s="99"/>
      <c r="CW265" s="99"/>
      <c r="CX265" s="104"/>
      <c r="CY265" s="99"/>
      <c r="CZ265" s="104"/>
      <c r="DA265" s="99"/>
      <c r="DB265" s="99"/>
      <c r="DC265" s="104"/>
      <c r="DD265" s="99"/>
      <c r="DE265" s="104"/>
      <c r="DF265" s="99"/>
      <c r="DG265" s="99"/>
      <c r="DH265" s="104"/>
      <c r="DI265" s="104"/>
      <c r="DJ265" s="104"/>
      <c r="DK265" s="99"/>
      <c r="DL265" s="99"/>
      <c r="DM265" s="104"/>
      <c r="DN265" s="104"/>
      <c r="DO265" s="104"/>
      <c r="DP265" s="99"/>
      <c r="DQ265" s="99"/>
      <c r="DR265" s="104"/>
      <c r="DS265" s="104"/>
      <c r="DT265" s="873"/>
      <c r="DU265" s="874"/>
      <c r="DV265" s="868"/>
      <c r="DW265" s="869"/>
      <c r="DX265" s="363"/>
      <c r="DY265" s="345"/>
      <c r="DZ265" s="408"/>
      <c r="EA265" s="10"/>
    </row>
    <row r="266" ht="17.25" customHeight="1">
      <c r="A266" s="3"/>
      <c r="B266" s="3"/>
      <c r="C266" s="74"/>
      <c r="D266" s="74"/>
      <c r="E266" s="74"/>
      <c r="F266" s="74"/>
      <c r="G266" s="74"/>
      <c r="H266" s="74"/>
      <c r="I266" s="74"/>
      <c r="J266" s="74"/>
      <c r="K266" s="74"/>
      <c r="L266" s="80"/>
      <c r="M266" s="74"/>
      <c r="N266" s="74"/>
      <c r="O266" s="74"/>
      <c r="P266" s="74"/>
      <c r="Q266" s="80"/>
      <c r="R266" s="74"/>
      <c r="S266" s="74"/>
      <c r="T266" s="74"/>
      <c r="U266" s="74"/>
      <c r="V266" s="80"/>
      <c r="W266" s="74"/>
      <c r="X266" s="74"/>
      <c r="Y266" s="74"/>
      <c r="Z266" s="74"/>
      <c r="AA266" s="80"/>
      <c r="AB266" s="74"/>
      <c r="AC266" s="74"/>
      <c r="AD266" s="74"/>
      <c r="AE266" s="74"/>
      <c r="AF266" s="80"/>
      <c r="AG266" s="74"/>
      <c r="AH266" s="74"/>
      <c r="AI266" s="74"/>
      <c r="AJ266" s="74"/>
      <c r="AK266" s="80"/>
      <c r="AL266" s="74"/>
      <c r="AM266" s="74"/>
      <c r="AN266" s="74"/>
      <c r="AO266" s="74"/>
      <c r="AP266" s="80"/>
      <c r="AQ266" s="74"/>
      <c r="AR266" s="80"/>
      <c r="AS266" s="87"/>
      <c r="AT266" s="93"/>
      <c r="AU266" s="94"/>
      <c r="AV266" s="93"/>
      <c r="AW266" s="94"/>
      <c r="AX266" s="87"/>
      <c r="AY266" s="93"/>
      <c r="AZ266" s="94"/>
      <c r="BA266" s="93"/>
      <c r="BB266" s="94"/>
      <c r="BC266" s="87"/>
      <c r="BD266" s="93"/>
      <c r="BE266" s="94"/>
      <c r="BF266" s="93"/>
      <c r="BG266" s="94"/>
      <c r="BH266" s="87"/>
      <c r="BI266" s="99"/>
      <c r="BJ266" s="104"/>
      <c r="BK266" s="99"/>
      <c r="BL266" s="104"/>
      <c r="BM266" s="99"/>
      <c r="BN266" s="99"/>
      <c r="BO266" s="104"/>
      <c r="BP266" s="99"/>
      <c r="BQ266" s="104"/>
      <c r="BR266" s="99"/>
      <c r="BS266" s="99"/>
      <c r="BT266" s="104"/>
      <c r="BU266" s="99"/>
      <c r="BV266" s="104"/>
      <c r="BW266" s="99"/>
      <c r="BX266" s="99"/>
      <c r="BY266" s="104"/>
      <c r="BZ266" s="99"/>
      <c r="CA266" s="104"/>
      <c r="CB266" s="99"/>
      <c r="CC266" s="99"/>
      <c r="CD266" s="104"/>
      <c r="CE266" s="99"/>
      <c r="CF266" s="104"/>
      <c r="CG266" s="99"/>
      <c r="CH266" s="99"/>
      <c r="CI266" s="104"/>
      <c r="CJ266" s="99"/>
      <c r="CK266" s="104"/>
      <c r="CL266" s="99"/>
      <c r="CM266" s="390" t="str">
        <f>IFERROR(__xludf.DUMMYFUNCTION("""COMPUTED_VALUE"""),"")</f>
        <v/>
      </c>
      <c r="CN266" s="489" t="str">
        <f>IFERROR(__xludf.DUMMYFUNCTION("""COMPUTED_VALUE"""),"Vigoroth")</f>
        <v>Vigoroth</v>
      </c>
      <c r="CO266" s="532" t="s">
        <v>158</v>
      </c>
      <c r="CP266" s="104"/>
      <c r="CQ266" s="99"/>
      <c r="CR266" s="99"/>
      <c r="CS266" s="104"/>
      <c r="CT266" s="99"/>
      <c r="CU266" s="104"/>
      <c r="CV266" s="99"/>
      <c r="CW266" s="99"/>
      <c r="CX266" s="104"/>
      <c r="CY266" s="99"/>
      <c r="CZ266" s="104"/>
      <c r="DA266" s="99"/>
      <c r="DB266" s="99"/>
      <c r="DC266" s="104"/>
      <c r="DD266" s="99"/>
      <c r="DE266" s="104"/>
      <c r="DF266" s="99"/>
      <c r="DG266" s="99"/>
      <c r="DH266" s="104"/>
      <c r="DI266" s="104"/>
      <c r="DJ266" s="104"/>
      <c r="DK266" s="99"/>
      <c r="DL266" s="99"/>
      <c r="DM266" s="104"/>
      <c r="DN266" s="104"/>
      <c r="DO266" s="104"/>
      <c r="DP266" s="99"/>
      <c r="DQ266" s="99"/>
      <c r="DR266" s="104"/>
      <c r="DS266" s="104"/>
      <c r="DT266" s="873"/>
      <c r="DU266" s="874"/>
      <c r="DV266" s="868"/>
      <c r="DW266" s="869"/>
      <c r="DX266" s="363"/>
      <c r="DY266" s="345"/>
      <c r="DZ266" s="408"/>
      <c r="EA266" s="10"/>
    </row>
    <row r="267" ht="17.25" customHeight="1">
      <c r="A267" s="3"/>
      <c r="B267" s="3"/>
      <c r="C267" s="74"/>
      <c r="D267" s="74"/>
      <c r="E267" s="74"/>
      <c r="F267" s="74"/>
      <c r="G267" s="74"/>
      <c r="H267" s="74"/>
      <c r="I267" s="74"/>
      <c r="J267" s="74"/>
      <c r="K267" s="74"/>
      <c r="L267" s="80"/>
      <c r="M267" s="74"/>
      <c r="N267" s="74"/>
      <c r="O267" s="74"/>
      <c r="P267" s="74"/>
      <c r="Q267" s="80"/>
      <c r="R267" s="74"/>
      <c r="S267" s="74"/>
      <c r="T267" s="74"/>
      <c r="U267" s="74"/>
      <c r="V267" s="80"/>
      <c r="W267" s="74"/>
      <c r="X267" s="74"/>
      <c r="Y267" s="74"/>
      <c r="Z267" s="74"/>
      <c r="AA267" s="80"/>
      <c r="AB267" s="74"/>
      <c r="AC267" s="74"/>
      <c r="AD267" s="74"/>
      <c r="AE267" s="74"/>
      <c r="AF267" s="80"/>
      <c r="AG267" s="74"/>
      <c r="AH267" s="74"/>
      <c r="AI267" s="74"/>
      <c r="AJ267" s="74"/>
      <c r="AK267" s="80"/>
      <c r="AL267" s="74"/>
      <c r="AM267" s="74"/>
      <c r="AN267" s="74"/>
      <c r="AO267" s="74"/>
      <c r="AP267" s="80"/>
      <c r="AQ267" s="74"/>
      <c r="AR267" s="80"/>
      <c r="AS267" s="87"/>
      <c r="AT267" s="93"/>
      <c r="AU267" s="94"/>
      <c r="AV267" s="93"/>
      <c r="AW267" s="94"/>
      <c r="AX267" s="87"/>
      <c r="AY267" s="93"/>
      <c r="AZ267" s="94"/>
      <c r="BA267" s="93"/>
      <c r="BB267" s="94"/>
      <c r="BC267" s="87"/>
      <c r="BD267" s="93"/>
      <c r="BE267" s="94"/>
      <c r="BF267" s="93"/>
      <c r="BG267" s="94"/>
      <c r="BH267" s="87"/>
      <c r="BI267" s="99"/>
      <c r="BJ267" s="104"/>
      <c r="BK267" s="99"/>
      <c r="BL267" s="104"/>
      <c r="BM267" s="99"/>
      <c r="BN267" s="99"/>
      <c r="BO267" s="104"/>
      <c r="BP267" s="99"/>
      <c r="BQ267" s="104"/>
      <c r="BR267" s="99"/>
      <c r="BS267" s="99"/>
      <c r="BT267" s="104"/>
      <c r="BU267" s="99"/>
      <c r="BV267" s="104"/>
      <c r="BW267" s="99"/>
      <c r="BX267" s="99"/>
      <c r="BY267" s="104"/>
      <c r="BZ267" s="99"/>
      <c r="CA267" s="104"/>
      <c r="CB267" s="99"/>
      <c r="CC267" s="99"/>
      <c r="CD267" s="104"/>
      <c r="CE267" s="99"/>
      <c r="CF267" s="104"/>
      <c r="CG267" s="99"/>
      <c r="CH267" s="99"/>
      <c r="CI267" s="104"/>
      <c r="CJ267" s="99"/>
      <c r="CK267" s="104"/>
      <c r="CL267" s="99"/>
      <c r="CM267" s="390" t="str">
        <f>IFERROR(__xludf.DUMMYFUNCTION("""COMPUTED_VALUE"""),"")</f>
        <v/>
      </c>
      <c r="CN267" s="489" t="str">
        <f>IFERROR(__xludf.DUMMYFUNCTION("""COMPUTED_VALUE"""),"Vivillon")</f>
        <v>Vivillon</v>
      </c>
      <c r="CO267" s="532" t="s">
        <v>158</v>
      </c>
      <c r="CP267" s="104"/>
      <c r="CQ267" s="99"/>
      <c r="CR267" s="99"/>
      <c r="CS267" s="104"/>
      <c r="CT267" s="99"/>
      <c r="CU267" s="104"/>
      <c r="CV267" s="99"/>
      <c r="CW267" s="99"/>
      <c r="CX267" s="104"/>
      <c r="CY267" s="99"/>
      <c r="CZ267" s="104"/>
      <c r="DA267" s="99"/>
      <c r="DB267" s="99"/>
      <c r="DC267" s="104"/>
      <c r="DD267" s="99"/>
      <c r="DE267" s="104"/>
      <c r="DF267" s="99"/>
      <c r="DG267" s="99"/>
      <c r="DH267" s="104"/>
      <c r="DI267" s="104"/>
      <c r="DJ267" s="104"/>
      <c r="DK267" s="99"/>
      <c r="DL267" s="99"/>
      <c r="DM267" s="104"/>
      <c r="DN267" s="104"/>
      <c r="DO267" s="104"/>
      <c r="DP267" s="99"/>
      <c r="DQ267" s="99"/>
      <c r="DR267" s="104"/>
      <c r="DS267" s="104"/>
      <c r="DT267" s="873"/>
      <c r="DU267" s="874"/>
      <c r="DV267" s="868"/>
      <c r="DW267" s="869"/>
      <c r="DX267" s="363"/>
      <c r="DY267" s="345"/>
      <c r="DZ267" s="408"/>
      <c r="EA267" s="10"/>
    </row>
    <row r="268" ht="17.25" customHeight="1">
      <c r="A268" s="3"/>
      <c r="B268" s="3"/>
      <c r="C268" s="74"/>
      <c r="D268" s="74"/>
      <c r="E268" s="74"/>
      <c r="F268" s="74"/>
      <c r="G268" s="74"/>
      <c r="H268" s="74"/>
      <c r="I268" s="74"/>
      <c r="J268" s="74"/>
      <c r="K268" s="74"/>
      <c r="L268" s="80"/>
      <c r="M268" s="74"/>
      <c r="N268" s="74"/>
      <c r="O268" s="74"/>
      <c r="P268" s="74"/>
      <c r="Q268" s="80"/>
      <c r="R268" s="74"/>
      <c r="S268" s="74"/>
      <c r="T268" s="74"/>
      <c r="U268" s="74"/>
      <c r="V268" s="80"/>
      <c r="W268" s="74"/>
      <c r="X268" s="74"/>
      <c r="Y268" s="74"/>
      <c r="Z268" s="74"/>
      <c r="AA268" s="80"/>
      <c r="AB268" s="74"/>
      <c r="AC268" s="74"/>
      <c r="AD268" s="74"/>
      <c r="AE268" s="74"/>
      <c r="AF268" s="80"/>
      <c r="AG268" s="74"/>
      <c r="AH268" s="74"/>
      <c r="AI268" s="74"/>
      <c r="AJ268" s="74"/>
      <c r="AK268" s="80"/>
      <c r="AL268" s="74"/>
      <c r="AM268" s="74"/>
      <c r="AN268" s="74"/>
      <c r="AO268" s="74"/>
      <c r="AP268" s="80"/>
      <c r="AQ268" s="74"/>
      <c r="AR268" s="80"/>
      <c r="AS268" s="87"/>
      <c r="AT268" s="93"/>
      <c r="AU268" s="94"/>
      <c r="AV268" s="93"/>
      <c r="AW268" s="94"/>
      <c r="AX268" s="87"/>
      <c r="AY268" s="93"/>
      <c r="AZ268" s="94"/>
      <c r="BA268" s="93"/>
      <c r="BB268" s="94"/>
      <c r="BC268" s="87"/>
      <c r="BD268" s="93"/>
      <c r="BE268" s="94"/>
      <c r="BF268" s="93"/>
      <c r="BG268" s="94"/>
      <c r="BH268" s="87"/>
      <c r="BI268" s="99"/>
      <c r="BJ268" s="104"/>
      <c r="BK268" s="99"/>
      <c r="BL268" s="104"/>
      <c r="BM268" s="99"/>
      <c r="BN268" s="99"/>
      <c r="BO268" s="104"/>
      <c r="BP268" s="99"/>
      <c r="BQ268" s="104"/>
      <c r="BR268" s="99"/>
      <c r="BS268" s="99"/>
      <c r="BT268" s="104"/>
      <c r="BU268" s="99"/>
      <c r="BV268" s="104"/>
      <c r="BW268" s="99"/>
      <c r="BX268" s="99"/>
      <c r="BY268" s="104"/>
      <c r="BZ268" s="99"/>
      <c r="CA268" s="104"/>
      <c r="CB268" s="99"/>
      <c r="CC268" s="99"/>
      <c r="CD268" s="104"/>
      <c r="CE268" s="99"/>
      <c r="CF268" s="104"/>
      <c r="CG268" s="99"/>
      <c r="CH268" s="99"/>
      <c r="CI268" s="104"/>
      <c r="CJ268" s="99"/>
      <c r="CK268" s="104"/>
      <c r="CL268" s="99"/>
      <c r="CM268" s="390" t="str">
        <f>IFERROR(__xludf.DUMMYFUNCTION("""COMPUTED_VALUE"""),"")</f>
        <v/>
      </c>
      <c r="CN268" s="489" t="str">
        <f>IFERROR(__xludf.DUMMYFUNCTION("""COMPUTED_VALUE"""),"Voltorb")</f>
        <v>Voltorb</v>
      </c>
      <c r="CO268" s="532" t="s">
        <v>158</v>
      </c>
      <c r="CP268" s="104"/>
      <c r="CQ268" s="99"/>
      <c r="CR268" s="99"/>
      <c r="CS268" s="104"/>
      <c r="CT268" s="99"/>
      <c r="CU268" s="104"/>
      <c r="CV268" s="99"/>
      <c r="CW268" s="99"/>
      <c r="CX268" s="104"/>
      <c r="CY268" s="99"/>
      <c r="CZ268" s="104"/>
      <c r="DA268" s="99"/>
      <c r="DB268" s="99"/>
      <c r="DC268" s="104"/>
      <c r="DD268" s="99"/>
      <c r="DE268" s="104"/>
      <c r="DF268" s="99"/>
      <c r="DG268" s="99"/>
      <c r="DH268" s="104"/>
      <c r="DI268" s="104"/>
      <c r="DJ268" s="104"/>
      <c r="DK268" s="99"/>
      <c r="DL268" s="99"/>
      <c r="DM268" s="104"/>
      <c r="DN268" s="104"/>
      <c r="DO268" s="104"/>
      <c r="DP268" s="99"/>
      <c r="DQ268" s="99"/>
      <c r="DR268" s="104"/>
      <c r="DS268" s="104"/>
      <c r="DT268" s="873"/>
      <c r="DU268" s="874"/>
      <c r="DV268" s="868"/>
      <c r="DW268" s="869"/>
      <c r="DX268" s="363"/>
      <c r="DY268" s="345"/>
      <c r="DZ268" s="408"/>
      <c r="EA268" s="10"/>
    </row>
    <row r="269" ht="17.25" customHeight="1">
      <c r="A269" s="3"/>
      <c r="B269" s="3"/>
      <c r="C269" s="74"/>
      <c r="D269" s="74"/>
      <c r="E269" s="74"/>
      <c r="F269" s="74"/>
      <c r="G269" s="74"/>
      <c r="H269" s="74"/>
      <c r="I269" s="74"/>
      <c r="J269" s="74"/>
      <c r="K269" s="74"/>
      <c r="L269" s="80"/>
      <c r="M269" s="74"/>
      <c r="N269" s="74"/>
      <c r="O269" s="74"/>
      <c r="P269" s="74"/>
      <c r="Q269" s="80"/>
      <c r="R269" s="74"/>
      <c r="S269" s="74"/>
      <c r="T269" s="74"/>
      <c r="U269" s="74"/>
      <c r="V269" s="80"/>
      <c r="W269" s="74"/>
      <c r="X269" s="74"/>
      <c r="Y269" s="74"/>
      <c r="Z269" s="74"/>
      <c r="AA269" s="80"/>
      <c r="AB269" s="74"/>
      <c r="AC269" s="74"/>
      <c r="AD269" s="74"/>
      <c r="AE269" s="74"/>
      <c r="AF269" s="80"/>
      <c r="AG269" s="74"/>
      <c r="AH269" s="74"/>
      <c r="AI269" s="74"/>
      <c r="AJ269" s="74"/>
      <c r="AK269" s="80"/>
      <c r="AL269" s="74"/>
      <c r="AM269" s="74"/>
      <c r="AN269" s="74"/>
      <c r="AO269" s="74"/>
      <c r="AP269" s="80"/>
      <c r="AQ269" s="74"/>
      <c r="AR269" s="80"/>
      <c r="AS269" s="87"/>
      <c r="AT269" s="93"/>
      <c r="AU269" s="94"/>
      <c r="AV269" s="93"/>
      <c r="AW269" s="94"/>
      <c r="AX269" s="87"/>
      <c r="AY269" s="93"/>
      <c r="AZ269" s="94"/>
      <c r="BA269" s="93"/>
      <c r="BB269" s="94"/>
      <c r="BC269" s="87"/>
      <c r="BD269" s="93"/>
      <c r="BE269" s="94"/>
      <c r="BF269" s="93"/>
      <c r="BG269" s="94"/>
      <c r="BH269" s="87"/>
      <c r="BI269" s="99"/>
      <c r="BJ269" s="104"/>
      <c r="BK269" s="99"/>
      <c r="BL269" s="104"/>
      <c r="BM269" s="99"/>
      <c r="BN269" s="99"/>
      <c r="BO269" s="104"/>
      <c r="BP269" s="99"/>
      <c r="BQ269" s="104"/>
      <c r="BR269" s="99"/>
      <c r="BS269" s="99"/>
      <c r="BT269" s="104"/>
      <c r="BU269" s="99"/>
      <c r="BV269" s="104"/>
      <c r="BW269" s="99"/>
      <c r="BX269" s="99"/>
      <c r="BY269" s="104"/>
      <c r="BZ269" s="99"/>
      <c r="CA269" s="104"/>
      <c r="CB269" s="99"/>
      <c r="CC269" s="99"/>
      <c r="CD269" s="104"/>
      <c r="CE269" s="99"/>
      <c r="CF269" s="104"/>
      <c r="CG269" s="99"/>
      <c r="CH269" s="99"/>
      <c r="CI269" s="104"/>
      <c r="CJ269" s="99"/>
      <c r="CK269" s="104"/>
      <c r="CL269" s="99"/>
      <c r="CM269" s="390" t="str">
        <f>IFERROR(__xludf.DUMMYFUNCTION("""COMPUTED_VALUE"""),"")</f>
        <v/>
      </c>
      <c r="CN269" s="489" t="str">
        <f>IFERROR(__xludf.DUMMYFUNCTION("""COMPUTED_VALUE"""),"Wattrel")</f>
        <v>Wattrel</v>
      </c>
      <c r="CO269" s="532" t="s">
        <v>158</v>
      </c>
      <c r="CP269" s="104"/>
      <c r="CQ269" s="99"/>
      <c r="CR269" s="99"/>
      <c r="CS269" s="104"/>
      <c r="CT269" s="99"/>
      <c r="CU269" s="104"/>
      <c r="CV269" s="99"/>
      <c r="CW269" s="99"/>
      <c r="CX269" s="104"/>
      <c r="CY269" s="99"/>
      <c r="CZ269" s="104"/>
      <c r="DA269" s="99"/>
      <c r="DB269" s="99"/>
      <c r="DC269" s="104"/>
      <c r="DD269" s="99"/>
      <c r="DE269" s="104"/>
      <c r="DF269" s="99"/>
      <c r="DG269" s="99"/>
      <c r="DH269" s="104"/>
      <c r="DI269" s="104"/>
      <c r="DJ269" s="104"/>
      <c r="DK269" s="99"/>
      <c r="DL269" s="99"/>
      <c r="DM269" s="104"/>
      <c r="DN269" s="104"/>
      <c r="DO269" s="104"/>
      <c r="DP269" s="99"/>
      <c r="DQ269" s="99"/>
      <c r="DR269" s="104"/>
      <c r="DS269" s="104"/>
      <c r="DT269" s="873"/>
      <c r="DU269" s="874"/>
      <c r="DV269" s="868"/>
      <c r="DW269" s="869"/>
      <c r="DX269" s="363"/>
      <c r="DY269" s="345"/>
      <c r="DZ269" s="408"/>
      <c r="EA269" s="10"/>
    </row>
    <row r="270" ht="17.25" customHeight="1">
      <c r="A270" s="3"/>
      <c r="B270" s="3"/>
      <c r="C270" s="74"/>
      <c r="D270" s="74"/>
      <c r="E270" s="74"/>
      <c r="F270" s="74"/>
      <c r="G270" s="74"/>
      <c r="H270" s="74"/>
      <c r="I270" s="74"/>
      <c r="J270" s="74"/>
      <c r="K270" s="74"/>
      <c r="L270" s="80"/>
      <c r="M270" s="74"/>
      <c r="N270" s="74"/>
      <c r="O270" s="74"/>
      <c r="P270" s="74"/>
      <c r="Q270" s="80"/>
      <c r="R270" s="74"/>
      <c r="S270" s="74"/>
      <c r="T270" s="74"/>
      <c r="U270" s="74"/>
      <c r="V270" s="80"/>
      <c r="W270" s="74"/>
      <c r="X270" s="74"/>
      <c r="Y270" s="74"/>
      <c r="Z270" s="74"/>
      <c r="AA270" s="80"/>
      <c r="AB270" s="74"/>
      <c r="AC270" s="74"/>
      <c r="AD270" s="74"/>
      <c r="AE270" s="74"/>
      <c r="AF270" s="80"/>
      <c r="AG270" s="74"/>
      <c r="AH270" s="74"/>
      <c r="AI270" s="74"/>
      <c r="AJ270" s="74"/>
      <c r="AK270" s="80"/>
      <c r="AL270" s="74"/>
      <c r="AM270" s="74"/>
      <c r="AN270" s="74"/>
      <c r="AO270" s="74"/>
      <c r="AP270" s="80"/>
      <c r="AQ270" s="74"/>
      <c r="AR270" s="80"/>
      <c r="AS270" s="87"/>
      <c r="AT270" s="93"/>
      <c r="AU270" s="94"/>
      <c r="AV270" s="93"/>
      <c r="AW270" s="94"/>
      <c r="AX270" s="87"/>
      <c r="AY270" s="93"/>
      <c r="AZ270" s="94"/>
      <c r="BA270" s="93"/>
      <c r="BB270" s="94"/>
      <c r="BC270" s="87"/>
      <c r="BD270" s="93"/>
      <c r="BE270" s="94"/>
      <c r="BF270" s="93"/>
      <c r="BG270" s="94"/>
      <c r="BH270" s="87"/>
      <c r="BI270" s="99"/>
      <c r="BJ270" s="104"/>
      <c r="BK270" s="99"/>
      <c r="BL270" s="104"/>
      <c r="BM270" s="99"/>
      <c r="BN270" s="99"/>
      <c r="BO270" s="104"/>
      <c r="BP270" s="99"/>
      <c r="BQ270" s="104"/>
      <c r="BR270" s="99"/>
      <c r="BS270" s="99"/>
      <c r="BT270" s="104"/>
      <c r="BU270" s="99"/>
      <c r="BV270" s="104"/>
      <c r="BW270" s="99"/>
      <c r="BX270" s="99"/>
      <c r="BY270" s="104"/>
      <c r="BZ270" s="99"/>
      <c r="CA270" s="104"/>
      <c r="CB270" s="99"/>
      <c r="CC270" s="99"/>
      <c r="CD270" s="104"/>
      <c r="CE270" s="99"/>
      <c r="CF270" s="104"/>
      <c r="CG270" s="99"/>
      <c r="CH270" s="99"/>
      <c r="CI270" s="104"/>
      <c r="CJ270" s="99"/>
      <c r="CK270" s="104"/>
      <c r="CL270" s="99"/>
      <c r="CM270" s="390" t="str">
        <f>IFERROR(__xludf.DUMMYFUNCTION("""COMPUTED_VALUE"""),"")</f>
        <v/>
      </c>
      <c r="CN270" s="489" t="str">
        <f>IFERROR(__xludf.DUMMYFUNCTION("""COMPUTED_VALUE"""),"Whiscash")</f>
        <v>Whiscash</v>
      </c>
      <c r="CO270" s="532" t="s">
        <v>158</v>
      </c>
      <c r="CP270" s="104"/>
      <c r="CQ270" s="99"/>
      <c r="CR270" s="99"/>
      <c r="CS270" s="104"/>
      <c r="CT270" s="99"/>
      <c r="CU270" s="104"/>
      <c r="CV270" s="99"/>
      <c r="CW270" s="99"/>
      <c r="CX270" s="104"/>
      <c r="CY270" s="99"/>
      <c r="CZ270" s="104"/>
      <c r="DA270" s="99"/>
      <c r="DB270" s="99"/>
      <c r="DC270" s="104"/>
      <c r="DD270" s="99"/>
      <c r="DE270" s="104"/>
      <c r="DF270" s="99"/>
      <c r="DG270" s="99"/>
      <c r="DH270" s="104"/>
      <c r="DI270" s="104"/>
      <c r="DJ270" s="104"/>
      <c r="DK270" s="99"/>
      <c r="DL270" s="99"/>
      <c r="DM270" s="104"/>
      <c r="DN270" s="104"/>
      <c r="DO270" s="104"/>
      <c r="DP270" s="99"/>
      <c r="DQ270" s="99"/>
      <c r="DR270" s="104"/>
      <c r="DS270" s="104"/>
      <c r="DT270" s="873"/>
      <c r="DU270" s="874"/>
      <c r="DV270" s="868"/>
      <c r="DW270" s="869"/>
      <c r="DX270" s="363"/>
      <c r="DY270" s="345"/>
      <c r="DZ270" s="408"/>
      <c r="EA270" s="10"/>
    </row>
    <row r="271" ht="17.25" customHeight="1">
      <c r="A271" s="3"/>
      <c r="B271" s="3"/>
      <c r="C271" s="74"/>
      <c r="D271" s="74"/>
      <c r="E271" s="74"/>
      <c r="F271" s="74"/>
      <c r="G271" s="74"/>
      <c r="H271" s="74"/>
      <c r="I271" s="74"/>
      <c r="J271" s="74"/>
      <c r="K271" s="74"/>
      <c r="L271" s="80"/>
      <c r="M271" s="74"/>
      <c r="N271" s="74"/>
      <c r="O271" s="74"/>
      <c r="P271" s="74"/>
      <c r="Q271" s="80"/>
      <c r="R271" s="74"/>
      <c r="S271" s="74"/>
      <c r="T271" s="74"/>
      <c r="U271" s="74"/>
      <c r="V271" s="80"/>
      <c r="W271" s="74"/>
      <c r="X271" s="74"/>
      <c r="Y271" s="74"/>
      <c r="Z271" s="74"/>
      <c r="AA271" s="80"/>
      <c r="AB271" s="74"/>
      <c r="AC271" s="74"/>
      <c r="AD271" s="74"/>
      <c r="AE271" s="74"/>
      <c r="AF271" s="80"/>
      <c r="AG271" s="74"/>
      <c r="AH271" s="74"/>
      <c r="AI271" s="74"/>
      <c r="AJ271" s="74"/>
      <c r="AK271" s="80"/>
      <c r="AL271" s="74"/>
      <c r="AM271" s="74"/>
      <c r="AN271" s="74"/>
      <c r="AO271" s="74"/>
      <c r="AP271" s="80"/>
      <c r="AQ271" s="74"/>
      <c r="AR271" s="80"/>
      <c r="AS271" s="87"/>
      <c r="AT271" s="93"/>
      <c r="AU271" s="94"/>
      <c r="AV271" s="93"/>
      <c r="AW271" s="94"/>
      <c r="AX271" s="87"/>
      <c r="AY271" s="93"/>
      <c r="AZ271" s="94"/>
      <c r="BA271" s="93"/>
      <c r="BB271" s="94"/>
      <c r="BC271" s="87"/>
      <c r="BD271" s="93"/>
      <c r="BE271" s="94"/>
      <c r="BF271" s="93"/>
      <c r="BG271" s="94"/>
      <c r="BH271" s="87"/>
      <c r="BI271" s="99"/>
      <c r="BJ271" s="104"/>
      <c r="BK271" s="99"/>
      <c r="BL271" s="104"/>
      <c r="BM271" s="99"/>
      <c r="BN271" s="99"/>
      <c r="BO271" s="104"/>
      <c r="BP271" s="99"/>
      <c r="BQ271" s="104"/>
      <c r="BR271" s="99"/>
      <c r="BS271" s="99"/>
      <c r="BT271" s="104"/>
      <c r="BU271" s="99"/>
      <c r="BV271" s="104"/>
      <c r="BW271" s="99"/>
      <c r="BX271" s="99"/>
      <c r="BY271" s="104"/>
      <c r="BZ271" s="99"/>
      <c r="CA271" s="104"/>
      <c r="CB271" s="99"/>
      <c r="CC271" s="99"/>
      <c r="CD271" s="104"/>
      <c r="CE271" s="99"/>
      <c r="CF271" s="104"/>
      <c r="CG271" s="99"/>
      <c r="CH271" s="99"/>
      <c r="CI271" s="104"/>
      <c r="CJ271" s="99"/>
      <c r="CK271" s="104"/>
      <c r="CL271" s="99"/>
      <c r="CM271" s="390" t="str">
        <f>IFERROR(__xludf.DUMMYFUNCTION("""COMPUTED_VALUE"""),"")</f>
        <v/>
      </c>
      <c r="CN271" s="489" t="str">
        <f>IFERROR(__xludf.DUMMYFUNCTION("""COMPUTED_VALUE"""),"Wigglytuff")</f>
        <v>Wigglytuff</v>
      </c>
      <c r="CO271" s="532" t="s">
        <v>158</v>
      </c>
      <c r="CP271" s="104"/>
      <c r="CQ271" s="99"/>
      <c r="CR271" s="99"/>
      <c r="CS271" s="104"/>
      <c r="CT271" s="99"/>
      <c r="CU271" s="104"/>
      <c r="CV271" s="99"/>
      <c r="CW271" s="99"/>
      <c r="CX271" s="104"/>
      <c r="CY271" s="99"/>
      <c r="CZ271" s="104"/>
      <c r="DA271" s="99"/>
      <c r="DB271" s="99"/>
      <c r="DC271" s="104"/>
      <c r="DD271" s="99"/>
      <c r="DE271" s="104"/>
      <c r="DF271" s="99"/>
      <c r="DG271" s="99"/>
      <c r="DH271" s="104"/>
      <c r="DI271" s="104"/>
      <c r="DJ271" s="104"/>
      <c r="DK271" s="99"/>
      <c r="DL271" s="99"/>
      <c r="DM271" s="104"/>
      <c r="DN271" s="104"/>
      <c r="DO271" s="104"/>
      <c r="DP271" s="99"/>
      <c r="DQ271" s="99"/>
      <c r="DR271" s="104"/>
      <c r="DS271" s="104"/>
      <c r="DT271" s="873"/>
      <c r="DU271" s="874"/>
      <c r="DV271" s="868"/>
      <c r="DW271" s="869"/>
      <c r="DX271" s="363"/>
      <c r="DY271" s="345"/>
      <c r="DZ271" s="408"/>
      <c r="EA271" s="10"/>
    </row>
    <row r="272" ht="17.25" customHeight="1">
      <c r="A272" s="3"/>
      <c r="B272" s="3"/>
      <c r="C272" s="74"/>
      <c r="D272" s="74"/>
      <c r="E272" s="74"/>
      <c r="F272" s="74"/>
      <c r="G272" s="74"/>
      <c r="H272" s="74"/>
      <c r="I272" s="74"/>
      <c r="J272" s="74"/>
      <c r="K272" s="74"/>
      <c r="L272" s="80"/>
      <c r="M272" s="74"/>
      <c r="N272" s="74"/>
      <c r="O272" s="74"/>
      <c r="P272" s="74"/>
      <c r="Q272" s="80"/>
      <c r="R272" s="74"/>
      <c r="S272" s="74"/>
      <c r="T272" s="74"/>
      <c r="U272" s="74"/>
      <c r="V272" s="80"/>
      <c r="W272" s="74"/>
      <c r="X272" s="74"/>
      <c r="Y272" s="74"/>
      <c r="Z272" s="74"/>
      <c r="AA272" s="80"/>
      <c r="AB272" s="74"/>
      <c r="AC272" s="74"/>
      <c r="AD272" s="74"/>
      <c r="AE272" s="74"/>
      <c r="AF272" s="80"/>
      <c r="AG272" s="74"/>
      <c r="AH272" s="74"/>
      <c r="AI272" s="74"/>
      <c r="AJ272" s="74"/>
      <c r="AK272" s="80"/>
      <c r="AL272" s="74"/>
      <c r="AM272" s="74"/>
      <c r="AN272" s="74"/>
      <c r="AO272" s="74"/>
      <c r="AP272" s="80"/>
      <c r="AQ272" s="74"/>
      <c r="AR272" s="80"/>
      <c r="AS272" s="87"/>
      <c r="AT272" s="93"/>
      <c r="AU272" s="94"/>
      <c r="AV272" s="93"/>
      <c r="AW272" s="94"/>
      <c r="AX272" s="87"/>
      <c r="AY272" s="93"/>
      <c r="AZ272" s="94"/>
      <c r="BA272" s="93"/>
      <c r="BB272" s="94"/>
      <c r="BC272" s="87"/>
      <c r="BD272" s="93"/>
      <c r="BE272" s="94"/>
      <c r="BF272" s="93"/>
      <c r="BG272" s="94"/>
      <c r="BH272" s="87"/>
      <c r="BI272" s="99"/>
      <c r="BJ272" s="104"/>
      <c r="BK272" s="99"/>
      <c r="BL272" s="104"/>
      <c r="BM272" s="99"/>
      <c r="BN272" s="99"/>
      <c r="BO272" s="104"/>
      <c r="BP272" s="99"/>
      <c r="BQ272" s="104"/>
      <c r="BR272" s="99"/>
      <c r="BS272" s="99"/>
      <c r="BT272" s="104"/>
      <c r="BU272" s="99"/>
      <c r="BV272" s="104"/>
      <c r="BW272" s="99"/>
      <c r="BX272" s="99"/>
      <c r="BY272" s="104"/>
      <c r="BZ272" s="99"/>
      <c r="CA272" s="104"/>
      <c r="CB272" s="99"/>
      <c r="CC272" s="99"/>
      <c r="CD272" s="104"/>
      <c r="CE272" s="99"/>
      <c r="CF272" s="104"/>
      <c r="CG272" s="99"/>
      <c r="CH272" s="99"/>
      <c r="CI272" s="104"/>
      <c r="CJ272" s="99"/>
      <c r="CK272" s="104"/>
      <c r="CL272" s="99"/>
      <c r="CM272" s="390" t="str">
        <f>IFERROR(__xludf.DUMMYFUNCTION("""COMPUTED_VALUE"""),"")</f>
        <v/>
      </c>
      <c r="CN272" s="489" t="str">
        <f>IFERROR(__xludf.DUMMYFUNCTION("""COMPUTED_VALUE"""),"Wiglett")</f>
        <v>Wiglett</v>
      </c>
      <c r="CO272" s="532" t="s">
        <v>158</v>
      </c>
      <c r="CP272" s="104"/>
      <c r="CQ272" s="99"/>
      <c r="CR272" s="99"/>
      <c r="CS272" s="104"/>
      <c r="CT272" s="99"/>
      <c r="CU272" s="104"/>
      <c r="CV272" s="99"/>
      <c r="CW272" s="99"/>
      <c r="CX272" s="104"/>
      <c r="CY272" s="99"/>
      <c r="CZ272" s="104"/>
      <c r="DA272" s="99"/>
      <c r="DB272" s="99"/>
      <c r="DC272" s="104"/>
      <c r="DD272" s="99"/>
      <c r="DE272" s="104"/>
      <c r="DF272" s="99"/>
      <c r="DG272" s="99"/>
      <c r="DH272" s="104"/>
      <c r="DI272" s="104"/>
      <c r="DJ272" s="104"/>
      <c r="DK272" s="99"/>
      <c r="DL272" s="99"/>
      <c r="DM272" s="104"/>
      <c r="DN272" s="104"/>
      <c r="DO272" s="104"/>
      <c r="DP272" s="99"/>
      <c r="DQ272" s="99"/>
      <c r="DR272" s="104"/>
      <c r="DS272" s="104"/>
      <c r="DT272" s="873"/>
      <c r="DU272" s="874"/>
      <c r="DV272" s="868"/>
      <c r="DW272" s="869"/>
      <c r="DX272" s="363"/>
      <c r="DY272" s="345"/>
      <c r="DZ272" s="408"/>
      <c r="EA272" s="10"/>
    </row>
    <row r="273" ht="17.25" customHeight="1">
      <c r="A273" s="3"/>
      <c r="B273" s="3"/>
      <c r="C273" s="74"/>
      <c r="D273" s="74"/>
      <c r="E273" s="74"/>
      <c r="F273" s="74"/>
      <c r="G273" s="74"/>
      <c r="H273" s="74"/>
      <c r="I273" s="74"/>
      <c r="J273" s="74"/>
      <c r="K273" s="74"/>
      <c r="L273" s="80"/>
      <c r="M273" s="74"/>
      <c r="N273" s="74"/>
      <c r="O273" s="74"/>
      <c r="P273" s="74"/>
      <c r="Q273" s="80"/>
      <c r="R273" s="74"/>
      <c r="S273" s="74"/>
      <c r="T273" s="74"/>
      <c r="U273" s="74"/>
      <c r="V273" s="80"/>
      <c r="W273" s="74"/>
      <c r="X273" s="74"/>
      <c r="Y273" s="74"/>
      <c r="Z273" s="74"/>
      <c r="AA273" s="80"/>
      <c r="AB273" s="74"/>
      <c r="AC273" s="74"/>
      <c r="AD273" s="74"/>
      <c r="AE273" s="74"/>
      <c r="AF273" s="80"/>
      <c r="AG273" s="74"/>
      <c r="AH273" s="74"/>
      <c r="AI273" s="74"/>
      <c r="AJ273" s="74"/>
      <c r="AK273" s="80"/>
      <c r="AL273" s="74"/>
      <c r="AM273" s="74"/>
      <c r="AN273" s="74"/>
      <c r="AO273" s="74"/>
      <c r="AP273" s="80"/>
      <c r="AQ273" s="74"/>
      <c r="AR273" s="80"/>
      <c r="AS273" s="87"/>
      <c r="AT273" s="93"/>
      <c r="AU273" s="94"/>
      <c r="AV273" s="93"/>
      <c r="AW273" s="94"/>
      <c r="AX273" s="87"/>
      <c r="AY273" s="93"/>
      <c r="AZ273" s="94"/>
      <c r="BA273" s="93"/>
      <c r="BB273" s="94"/>
      <c r="BC273" s="87"/>
      <c r="BD273" s="93"/>
      <c r="BE273" s="94"/>
      <c r="BF273" s="93"/>
      <c r="BG273" s="94"/>
      <c r="BH273" s="87"/>
      <c r="BI273" s="99"/>
      <c r="BJ273" s="104"/>
      <c r="BK273" s="99"/>
      <c r="BL273" s="104"/>
      <c r="BM273" s="99"/>
      <c r="BN273" s="99"/>
      <c r="BO273" s="104"/>
      <c r="BP273" s="99"/>
      <c r="BQ273" s="104"/>
      <c r="BR273" s="99"/>
      <c r="BS273" s="99"/>
      <c r="BT273" s="104"/>
      <c r="BU273" s="99"/>
      <c r="BV273" s="104"/>
      <c r="BW273" s="99"/>
      <c r="BX273" s="99"/>
      <c r="BY273" s="104"/>
      <c r="BZ273" s="99"/>
      <c r="CA273" s="104"/>
      <c r="CB273" s="99"/>
      <c r="CC273" s="99"/>
      <c r="CD273" s="104"/>
      <c r="CE273" s="99"/>
      <c r="CF273" s="104"/>
      <c r="CG273" s="99"/>
      <c r="CH273" s="99"/>
      <c r="CI273" s="104"/>
      <c r="CJ273" s="99"/>
      <c r="CK273" s="104"/>
      <c r="CL273" s="99"/>
      <c r="CM273" s="390" t="str">
        <f>IFERROR(__xludf.DUMMYFUNCTION("""COMPUTED_VALUE"""),"")</f>
        <v/>
      </c>
      <c r="CN273" s="489" t="str">
        <f>IFERROR(__xludf.DUMMYFUNCTION("""COMPUTED_VALUE"""),"Wingull")</f>
        <v>Wingull</v>
      </c>
      <c r="CO273" s="532" t="s">
        <v>158</v>
      </c>
      <c r="CP273" s="104"/>
      <c r="CQ273" s="99"/>
      <c r="CR273" s="99"/>
      <c r="CS273" s="104"/>
      <c r="CT273" s="99"/>
      <c r="CU273" s="104"/>
      <c r="CV273" s="99"/>
      <c r="CW273" s="99"/>
      <c r="CX273" s="104"/>
      <c r="CY273" s="99"/>
      <c r="CZ273" s="104"/>
      <c r="DA273" s="99"/>
      <c r="DB273" s="99"/>
      <c r="DC273" s="104"/>
      <c r="DD273" s="99"/>
      <c r="DE273" s="104"/>
      <c r="DF273" s="99"/>
      <c r="DG273" s="99"/>
      <c r="DH273" s="104"/>
      <c r="DI273" s="104"/>
      <c r="DJ273" s="104"/>
      <c r="DK273" s="99"/>
      <c r="DL273" s="99"/>
      <c r="DM273" s="104"/>
      <c r="DN273" s="104"/>
      <c r="DO273" s="104"/>
      <c r="DP273" s="99"/>
      <c r="DQ273" s="99"/>
      <c r="DR273" s="104"/>
      <c r="DS273" s="104"/>
      <c r="DT273" s="873"/>
      <c r="DU273" s="874"/>
      <c r="DV273" s="868"/>
      <c r="DW273" s="869"/>
      <c r="DX273" s="363"/>
      <c r="DY273" s="345"/>
      <c r="DZ273" s="408"/>
      <c r="EA273" s="10"/>
    </row>
    <row r="274" ht="17.25" customHeight="1">
      <c r="A274" s="3"/>
      <c r="B274" s="3"/>
      <c r="C274" s="74"/>
      <c r="D274" s="74"/>
      <c r="E274" s="74"/>
      <c r="F274" s="74"/>
      <c r="G274" s="74"/>
      <c r="H274" s="74"/>
      <c r="I274" s="74"/>
      <c r="J274" s="74"/>
      <c r="K274" s="74"/>
      <c r="L274" s="80"/>
      <c r="M274" s="74"/>
      <c r="N274" s="74"/>
      <c r="O274" s="74"/>
      <c r="P274" s="74"/>
      <c r="Q274" s="80"/>
      <c r="R274" s="74"/>
      <c r="S274" s="74"/>
      <c r="T274" s="74"/>
      <c r="U274" s="74"/>
      <c r="V274" s="80"/>
      <c r="W274" s="74"/>
      <c r="X274" s="74"/>
      <c r="Y274" s="74"/>
      <c r="Z274" s="74"/>
      <c r="AA274" s="80"/>
      <c r="AB274" s="74"/>
      <c r="AC274" s="74"/>
      <c r="AD274" s="74"/>
      <c r="AE274" s="74"/>
      <c r="AF274" s="80"/>
      <c r="AG274" s="74"/>
      <c r="AH274" s="74"/>
      <c r="AI274" s="74"/>
      <c r="AJ274" s="74"/>
      <c r="AK274" s="80"/>
      <c r="AL274" s="74"/>
      <c r="AM274" s="74"/>
      <c r="AN274" s="74"/>
      <c r="AO274" s="74"/>
      <c r="AP274" s="80"/>
      <c r="AQ274" s="74"/>
      <c r="AR274" s="80"/>
      <c r="AS274" s="87"/>
      <c r="AT274" s="93"/>
      <c r="AU274" s="94"/>
      <c r="AV274" s="93"/>
      <c r="AW274" s="94"/>
      <c r="AX274" s="87"/>
      <c r="AY274" s="93"/>
      <c r="AZ274" s="94"/>
      <c r="BA274" s="93"/>
      <c r="BB274" s="94"/>
      <c r="BC274" s="87"/>
      <c r="BD274" s="93"/>
      <c r="BE274" s="94"/>
      <c r="BF274" s="93"/>
      <c r="BG274" s="94"/>
      <c r="BH274" s="87"/>
      <c r="BI274" s="99"/>
      <c r="BJ274" s="104"/>
      <c r="BK274" s="99"/>
      <c r="BL274" s="104"/>
      <c r="BM274" s="99"/>
      <c r="BN274" s="99"/>
      <c r="BO274" s="104"/>
      <c r="BP274" s="99"/>
      <c r="BQ274" s="104"/>
      <c r="BR274" s="99"/>
      <c r="BS274" s="99"/>
      <c r="BT274" s="104"/>
      <c r="BU274" s="99"/>
      <c r="BV274" s="104"/>
      <c r="BW274" s="99"/>
      <c r="BX274" s="99"/>
      <c r="BY274" s="104"/>
      <c r="BZ274" s="99"/>
      <c r="CA274" s="104"/>
      <c r="CB274" s="99"/>
      <c r="CC274" s="99"/>
      <c r="CD274" s="104"/>
      <c r="CE274" s="99"/>
      <c r="CF274" s="104"/>
      <c r="CG274" s="99"/>
      <c r="CH274" s="99"/>
      <c r="CI274" s="104"/>
      <c r="CJ274" s="99"/>
      <c r="CK274" s="104"/>
      <c r="CL274" s="99"/>
      <c r="CM274" s="390"/>
      <c r="CN274" s="489" t="str">
        <f>IFERROR(__xludf.DUMMYFUNCTION("""COMPUTED_VALUE"""),"Wooper-Paldea")</f>
        <v>Wooper-Paldea</v>
      </c>
      <c r="CO274" s="532" t="s">
        <v>158</v>
      </c>
      <c r="CP274" s="104"/>
      <c r="CQ274" s="99"/>
      <c r="CR274" s="99"/>
      <c r="CS274" s="104"/>
      <c r="CT274" s="99"/>
      <c r="CU274" s="104"/>
      <c r="CV274" s="99"/>
      <c r="CW274" s="99"/>
      <c r="CX274" s="104"/>
      <c r="CY274" s="99"/>
      <c r="CZ274" s="104"/>
      <c r="DA274" s="99"/>
      <c r="DB274" s="99"/>
      <c r="DC274" s="104"/>
      <c r="DD274" s="99"/>
      <c r="DE274" s="104"/>
      <c r="DF274" s="99"/>
      <c r="DG274" s="99"/>
      <c r="DH274" s="104"/>
      <c r="DI274" s="104"/>
      <c r="DJ274" s="104"/>
      <c r="DK274" s="99"/>
      <c r="DL274" s="99"/>
      <c r="DM274" s="104"/>
      <c r="DN274" s="104"/>
      <c r="DO274" s="104"/>
      <c r="DP274" s="99"/>
      <c r="DQ274" s="99"/>
      <c r="DR274" s="104"/>
      <c r="DS274" s="104"/>
      <c r="DT274" s="873"/>
      <c r="DU274" s="874"/>
      <c r="DV274" s="868"/>
      <c r="DW274" s="869"/>
      <c r="DX274" s="363"/>
      <c r="DY274" s="345"/>
      <c r="DZ274" s="408"/>
      <c r="EA274" s="10"/>
    </row>
    <row r="275" ht="17.25" customHeight="1">
      <c r="A275" s="3"/>
      <c r="B275" s="3"/>
      <c r="C275" s="74"/>
      <c r="D275" s="74"/>
      <c r="E275" s="74"/>
      <c r="F275" s="74"/>
      <c r="G275" s="74"/>
      <c r="H275" s="74"/>
      <c r="I275" s="74"/>
      <c r="J275" s="74"/>
      <c r="K275" s="74"/>
      <c r="L275" s="80"/>
      <c r="M275" s="74"/>
      <c r="N275" s="74"/>
      <c r="O275" s="74"/>
      <c r="P275" s="74"/>
      <c r="Q275" s="80"/>
      <c r="R275" s="74"/>
      <c r="S275" s="74"/>
      <c r="T275" s="74"/>
      <c r="U275" s="74"/>
      <c r="V275" s="80"/>
      <c r="W275" s="74"/>
      <c r="X275" s="74"/>
      <c r="Y275" s="74"/>
      <c r="Z275" s="74"/>
      <c r="AA275" s="80"/>
      <c r="AB275" s="74"/>
      <c r="AC275" s="74"/>
      <c r="AD275" s="74"/>
      <c r="AE275" s="74"/>
      <c r="AF275" s="80"/>
      <c r="AG275" s="74"/>
      <c r="AH275" s="74"/>
      <c r="AI275" s="74"/>
      <c r="AJ275" s="74"/>
      <c r="AK275" s="80"/>
      <c r="AL275" s="74"/>
      <c r="AM275" s="74"/>
      <c r="AN275" s="74"/>
      <c r="AO275" s="74"/>
      <c r="AP275" s="80"/>
      <c r="AQ275" s="74"/>
      <c r="AR275" s="80"/>
      <c r="AS275" s="87"/>
      <c r="AT275" s="93"/>
      <c r="AU275" s="94"/>
      <c r="AV275" s="93"/>
      <c r="AW275" s="94"/>
      <c r="AX275" s="87"/>
      <c r="AY275" s="93"/>
      <c r="AZ275" s="94"/>
      <c r="BA275" s="93"/>
      <c r="BB275" s="94"/>
      <c r="BC275" s="87"/>
      <c r="BD275" s="93"/>
      <c r="BE275" s="94"/>
      <c r="BF275" s="93"/>
      <c r="BG275" s="94"/>
      <c r="BH275" s="87"/>
      <c r="BI275" s="99"/>
      <c r="BJ275" s="104"/>
      <c r="BK275" s="99"/>
      <c r="BL275" s="104"/>
      <c r="BM275" s="99"/>
      <c r="BN275" s="99"/>
      <c r="BO275" s="104"/>
      <c r="BP275" s="99"/>
      <c r="BQ275" s="104"/>
      <c r="BR275" s="99"/>
      <c r="BS275" s="99"/>
      <c r="BT275" s="104"/>
      <c r="BU275" s="99"/>
      <c r="BV275" s="104"/>
      <c r="BW275" s="99"/>
      <c r="BX275" s="99"/>
      <c r="BY275" s="104"/>
      <c r="BZ275" s="99"/>
      <c r="CA275" s="104"/>
      <c r="CB275" s="99"/>
      <c r="CC275" s="99"/>
      <c r="CD275" s="104"/>
      <c r="CE275" s="99"/>
      <c r="CF275" s="104"/>
      <c r="CG275" s="99"/>
      <c r="CH275" s="99"/>
      <c r="CI275" s="104"/>
      <c r="CJ275" s="99"/>
      <c r="CK275" s="104"/>
      <c r="CL275" s="99"/>
      <c r="CM275" s="390" t="str">
        <f>IFERROR(__xludf.DUMMYFUNCTION("""COMPUTED_VALUE"""),"")</f>
        <v/>
      </c>
      <c r="CN275" s="489" t="str">
        <f>IFERROR(__xludf.DUMMYFUNCTION("""COMPUTED_VALUE"""),"Wugtrio")</f>
        <v>Wugtrio</v>
      </c>
      <c r="CO275" s="532" t="s">
        <v>158</v>
      </c>
      <c r="CP275" s="104"/>
      <c r="CQ275" s="99"/>
      <c r="CR275" s="99"/>
      <c r="CS275" s="104"/>
      <c r="CT275" s="99"/>
      <c r="CU275" s="104"/>
      <c r="CV275" s="99"/>
      <c r="CW275" s="99"/>
      <c r="CX275" s="104"/>
      <c r="CY275" s="99"/>
      <c r="CZ275" s="104"/>
      <c r="DA275" s="99"/>
      <c r="DB275" s="99"/>
      <c r="DC275" s="104"/>
      <c r="DD275" s="99"/>
      <c r="DE275" s="104"/>
      <c r="DF275" s="99"/>
      <c r="DG275" s="99"/>
      <c r="DH275" s="104"/>
      <c r="DI275" s="104"/>
      <c r="DJ275" s="104"/>
      <c r="DK275" s="99"/>
      <c r="DL275" s="99"/>
      <c r="DM275" s="104"/>
      <c r="DN275" s="104"/>
      <c r="DO275" s="104"/>
      <c r="DP275" s="99"/>
      <c r="DQ275" s="99"/>
      <c r="DR275" s="104"/>
      <c r="DS275" s="104"/>
      <c r="DT275" s="873"/>
      <c r="DU275" s="874"/>
      <c r="DV275" s="868"/>
      <c r="DW275" s="869"/>
      <c r="DX275" s="363"/>
      <c r="DY275" s="345"/>
      <c r="DZ275" s="408"/>
      <c r="EA275" s="10"/>
    </row>
    <row r="276" ht="17.25" customHeight="1">
      <c r="A276" s="3"/>
      <c r="B276" s="3"/>
      <c r="C276" s="74"/>
      <c r="D276" s="74"/>
      <c r="E276" s="74"/>
      <c r="F276" s="74"/>
      <c r="G276" s="74"/>
      <c r="H276" s="74"/>
      <c r="I276" s="74"/>
      <c r="J276" s="74"/>
      <c r="K276" s="74"/>
      <c r="L276" s="80"/>
      <c r="M276" s="74"/>
      <c r="N276" s="74"/>
      <c r="O276" s="74"/>
      <c r="P276" s="74"/>
      <c r="Q276" s="80"/>
      <c r="R276" s="74"/>
      <c r="S276" s="74"/>
      <c r="T276" s="74"/>
      <c r="U276" s="74"/>
      <c r="V276" s="80"/>
      <c r="W276" s="74"/>
      <c r="X276" s="74"/>
      <c r="Y276" s="74"/>
      <c r="Z276" s="74"/>
      <c r="AA276" s="80"/>
      <c r="AB276" s="74"/>
      <c r="AC276" s="74"/>
      <c r="AD276" s="74"/>
      <c r="AE276" s="74"/>
      <c r="AF276" s="80"/>
      <c r="AG276" s="74"/>
      <c r="AH276" s="74"/>
      <c r="AI276" s="74"/>
      <c r="AJ276" s="74"/>
      <c r="AK276" s="80"/>
      <c r="AL276" s="74"/>
      <c r="AM276" s="74"/>
      <c r="AN276" s="74"/>
      <c r="AO276" s="74"/>
      <c r="AP276" s="80"/>
      <c r="AQ276" s="74"/>
      <c r="AR276" s="80"/>
      <c r="AS276" s="87"/>
      <c r="AT276" s="93"/>
      <c r="AU276" s="94"/>
      <c r="AV276" s="93"/>
      <c r="AW276" s="94"/>
      <c r="AX276" s="87"/>
      <c r="AY276" s="93"/>
      <c r="AZ276" s="94"/>
      <c r="BA276" s="93"/>
      <c r="BB276" s="94"/>
      <c r="BC276" s="87"/>
      <c r="BD276" s="93"/>
      <c r="BE276" s="94"/>
      <c r="BF276" s="93"/>
      <c r="BG276" s="94"/>
      <c r="BH276" s="87"/>
      <c r="BI276" s="99"/>
      <c r="BJ276" s="104"/>
      <c r="BK276" s="99"/>
      <c r="BL276" s="104"/>
      <c r="BM276" s="99"/>
      <c r="BN276" s="99"/>
      <c r="BO276" s="104"/>
      <c r="BP276" s="99"/>
      <c r="BQ276" s="104"/>
      <c r="BR276" s="99"/>
      <c r="BS276" s="99"/>
      <c r="BT276" s="104"/>
      <c r="BU276" s="99"/>
      <c r="BV276" s="104"/>
      <c r="BW276" s="99"/>
      <c r="BX276" s="99"/>
      <c r="BY276" s="104"/>
      <c r="BZ276" s="99"/>
      <c r="CA276" s="104"/>
      <c r="CB276" s="99"/>
      <c r="CC276" s="99"/>
      <c r="CD276" s="104"/>
      <c r="CE276" s="99"/>
      <c r="CF276" s="104"/>
      <c r="CG276" s="99"/>
      <c r="CH276" s="99"/>
      <c r="CI276" s="104"/>
      <c r="CJ276" s="99"/>
      <c r="CK276" s="104"/>
      <c r="CL276" s="99"/>
      <c r="CM276" s="390" t="str">
        <f>IFERROR(__xludf.DUMMYFUNCTION("""COMPUTED_VALUE"""),"")</f>
        <v/>
      </c>
      <c r="CN276" s="489" t="str">
        <f>IFERROR(__xludf.DUMMYFUNCTION("""COMPUTED_VALUE"""),"Yungoos")</f>
        <v>Yungoos</v>
      </c>
      <c r="CO276" s="532" t="s">
        <v>158</v>
      </c>
      <c r="CP276" s="104"/>
      <c r="CQ276" s="99"/>
      <c r="CR276" s="99"/>
      <c r="CS276" s="104"/>
      <c r="CT276" s="99"/>
      <c r="CU276" s="104"/>
      <c r="CV276" s="99"/>
      <c r="CW276" s="99"/>
      <c r="CX276" s="104"/>
      <c r="CY276" s="99"/>
      <c r="CZ276" s="104"/>
      <c r="DA276" s="99"/>
      <c r="DB276" s="99"/>
      <c r="DC276" s="104"/>
      <c r="DD276" s="99"/>
      <c r="DE276" s="104"/>
      <c r="DF276" s="99"/>
      <c r="DG276" s="99"/>
      <c r="DH276" s="104"/>
      <c r="DI276" s="104"/>
      <c r="DJ276" s="104"/>
      <c r="DK276" s="99"/>
      <c r="DL276" s="99"/>
      <c r="DM276" s="104"/>
      <c r="DN276" s="104"/>
      <c r="DO276" s="104"/>
      <c r="DP276" s="99"/>
      <c r="DQ276" s="99"/>
      <c r="DR276" s="104"/>
      <c r="DS276" s="104"/>
      <c r="DT276" s="873"/>
      <c r="DU276" s="874"/>
      <c r="DV276" s="868"/>
      <c r="DW276" s="869"/>
      <c r="DX276" s="363"/>
      <c r="DY276" s="345"/>
      <c r="DZ276" s="408"/>
      <c r="EA276" s="10"/>
    </row>
    <row r="277" ht="17.25" customHeight="1">
      <c r="A277" s="3"/>
      <c r="B277" s="3"/>
      <c r="C277" s="74"/>
      <c r="D277" s="74"/>
      <c r="E277" s="74"/>
      <c r="F277" s="74"/>
      <c r="G277" s="74"/>
      <c r="H277" s="74"/>
      <c r="I277" s="74"/>
      <c r="J277" s="74"/>
      <c r="K277" s="74"/>
      <c r="L277" s="80"/>
      <c r="M277" s="74"/>
      <c r="N277" s="74"/>
      <c r="O277" s="74"/>
      <c r="P277" s="74"/>
      <c r="Q277" s="80"/>
      <c r="R277" s="74"/>
      <c r="S277" s="74"/>
      <c r="T277" s="74"/>
      <c r="U277" s="74"/>
      <c r="V277" s="80"/>
      <c r="W277" s="74"/>
      <c r="X277" s="74"/>
      <c r="Y277" s="74"/>
      <c r="Z277" s="74"/>
      <c r="AA277" s="80"/>
      <c r="AB277" s="74"/>
      <c r="AC277" s="74"/>
      <c r="AD277" s="74"/>
      <c r="AE277" s="74"/>
      <c r="AF277" s="80"/>
      <c r="AG277" s="74"/>
      <c r="AH277" s="74"/>
      <c r="AI277" s="74"/>
      <c r="AJ277" s="74"/>
      <c r="AK277" s="80"/>
      <c r="AL277" s="74"/>
      <c r="AM277" s="74"/>
      <c r="AN277" s="74"/>
      <c r="AO277" s="74"/>
      <c r="AP277" s="80"/>
      <c r="AQ277" s="74"/>
      <c r="AR277" s="80"/>
      <c r="AS277" s="87"/>
      <c r="AT277" s="93"/>
      <c r="AU277" s="94"/>
      <c r="AV277" s="93"/>
      <c r="AW277" s="94"/>
      <c r="AX277" s="87"/>
      <c r="AY277" s="93"/>
      <c r="AZ277" s="94"/>
      <c r="BA277" s="93"/>
      <c r="BB277" s="94"/>
      <c r="BC277" s="87"/>
      <c r="BD277" s="93"/>
      <c r="BE277" s="94"/>
      <c r="BF277" s="93"/>
      <c r="BG277" s="94"/>
      <c r="BH277" s="87"/>
      <c r="BI277" s="99"/>
      <c r="BJ277" s="104"/>
      <c r="BK277" s="99"/>
      <c r="BL277" s="104"/>
      <c r="BM277" s="99"/>
      <c r="BN277" s="99"/>
      <c r="BO277" s="104"/>
      <c r="BP277" s="99"/>
      <c r="BQ277" s="104"/>
      <c r="BR277" s="99"/>
      <c r="BS277" s="99"/>
      <c r="BT277" s="104"/>
      <c r="BU277" s="99"/>
      <c r="BV277" s="104"/>
      <c r="BW277" s="99"/>
      <c r="BX277" s="99"/>
      <c r="BY277" s="104"/>
      <c r="BZ277" s="99"/>
      <c r="CA277" s="104"/>
      <c r="CB277" s="99"/>
      <c r="CC277" s="99"/>
      <c r="CD277" s="104"/>
      <c r="CE277" s="99"/>
      <c r="CF277" s="104"/>
      <c r="CG277" s="99"/>
      <c r="CH277" s="99"/>
      <c r="CI277" s="104"/>
      <c r="CJ277" s="99"/>
      <c r="CK277" s="104"/>
      <c r="CL277" s="99"/>
      <c r="CM277" s="390" t="str">
        <f>IFERROR(__xludf.DUMMYFUNCTION("""COMPUTED_VALUE"""),"")</f>
        <v/>
      </c>
      <c r="CN277" s="489" t="str">
        <f>IFERROR(__xludf.DUMMYFUNCTION("""COMPUTED_VALUE"""),"Zangoose")</f>
        <v>Zangoose</v>
      </c>
      <c r="CO277" s="532" t="s">
        <v>158</v>
      </c>
      <c r="CP277" s="104"/>
      <c r="CQ277" s="99"/>
      <c r="CR277" s="99"/>
      <c r="CS277" s="104"/>
      <c r="CT277" s="99"/>
      <c r="CU277" s="104"/>
      <c r="CV277" s="99"/>
      <c r="CW277" s="99"/>
      <c r="CX277" s="104"/>
      <c r="CY277" s="99"/>
      <c r="CZ277" s="104"/>
      <c r="DA277" s="99"/>
      <c r="DB277" s="99"/>
      <c r="DC277" s="104"/>
      <c r="DD277" s="99"/>
      <c r="DE277" s="104"/>
      <c r="DF277" s="99"/>
      <c r="DG277" s="99"/>
      <c r="DH277" s="104"/>
      <c r="DI277" s="104"/>
      <c r="DJ277" s="104"/>
      <c r="DK277" s="99"/>
      <c r="DL277" s="99"/>
      <c r="DM277" s="104"/>
      <c r="DN277" s="104"/>
      <c r="DO277" s="104"/>
      <c r="DP277" s="99"/>
      <c r="DQ277" s="99"/>
      <c r="DR277" s="104"/>
      <c r="DS277" s="104"/>
      <c r="DT277" s="873"/>
      <c r="DU277" s="874"/>
      <c r="DV277" s="868"/>
      <c r="DW277" s="869"/>
      <c r="DX277" s="363"/>
      <c r="DY277" s="345"/>
      <c r="DZ277" s="408"/>
      <c r="EA277" s="10"/>
    </row>
    <row r="278" ht="17.25" customHeight="1">
      <c r="A278" s="3"/>
      <c r="B278" s="3"/>
      <c r="C278" s="74"/>
      <c r="D278" s="74"/>
      <c r="E278" s="74"/>
      <c r="F278" s="74"/>
      <c r="G278" s="74"/>
      <c r="H278" s="74"/>
      <c r="I278" s="74"/>
      <c r="J278" s="74"/>
      <c r="K278" s="74"/>
      <c r="L278" s="80"/>
      <c r="M278" s="74"/>
      <c r="N278" s="74"/>
      <c r="O278" s="74"/>
      <c r="P278" s="74"/>
      <c r="Q278" s="80"/>
      <c r="R278" s="74"/>
      <c r="S278" s="74"/>
      <c r="T278" s="74"/>
      <c r="U278" s="74"/>
      <c r="V278" s="80"/>
      <c r="W278" s="74"/>
      <c r="X278" s="74"/>
      <c r="Y278" s="74"/>
      <c r="Z278" s="74"/>
      <c r="AA278" s="80"/>
      <c r="AB278" s="74"/>
      <c r="AC278" s="74"/>
      <c r="AD278" s="74"/>
      <c r="AE278" s="74"/>
      <c r="AF278" s="80"/>
      <c r="AG278" s="74"/>
      <c r="AH278" s="74"/>
      <c r="AI278" s="74"/>
      <c r="AJ278" s="74"/>
      <c r="AK278" s="80"/>
      <c r="AL278" s="74"/>
      <c r="AM278" s="74"/>
      <c r="AN278" s="74"/>
      <c r="AO278" s="74"/>
      <c r="AP278" s="80"/>
      <c r="AQ278" s="74"/>
      <c r="AR278" s="80"/>
      <c r="AS278" s="87"/>
      <c r="AT278" s="93"/>
      <c r="AU278" s="94"/>
      <c r="AV278" s="93"/>
      <c r="AW278" s="94"/>
      <c r="AX278" s="87"/>
      <c r="AY278" s="93"/>
      <c r="AZ278" s="94"/>
      <c r="BA278" s="93"/>
      <c r="BB278" s="94"/>
      <c r="BC278" s="87"/>
      <c r="BD278" s="93"/>
      <c r="BE278" s="94"/>
      <c r="BF278" s="93"/>
      <c r="BG278" s="94"/>
      <c r="BH278" s="87"/>
      <c r="BI278" s="99"/>
      <c r="BJ278" s="104"/>
      <c r="BK278" s="99"/>
      <c r="BL278" s="104"/>
      <c r="BM278" s="99"/>
      <c r="BN278" s="99"/>
      <c r="BO278" s="104"/>
      <c r="BP278" s="99"/>
      <c r="BQ278" s="104"/>
      <c r="BR278" s="99"/>
      <c r="BS278" s="99"/>
      <c r="BT278" s="104"/>
      <c r="BU278" s="99"/>
      <c r="BV278" s="104"/>
      <c r="BW278" s="99"/>
      <c r="BX278" s="99"/>
      <c r="BY278" s="104"/>
      <c r="BZ278" s="99"/>
      <c r="CA278" s="104"/>
      <c r="CB278" s="99"/>
      <c r="CC278" s="99"/>
      <c r="CD278" s="104"/>
      <c r="CE278" s="99"/>
      <c r="CF278" s="104"/>
      <c r="CG278" s="99"/>
      <c r="CH278" s="99"/>
      <c r="CI278" s="104"/>
      <c r="CJ278" s="99"/>
      <c r="CK278" s="104"/>
      <c r="CL278" s="99"/>
      <c r="CM278" s="390" t="str">
        <f>IFERROR(__xludf.DUMMYFUNCTION("""COMPUTED_VALUE"""),"")</f>
        <v/>
      </c>
      <c r="CN278" s="489" t="str">
        <f>IFERROR(__xludf.DUMMYFUNCTION("""COMPUTED_VALUE"""),"Zoroark")</f>
        <v>Zoroark</v>
      </c>
      <c r="CO278" s="532" t="s">
        <v>158</v>
      </c>
      <c r="CP278" s="104"/>
      <c r="CQ278" s="99"/>
      <c r="CR278" s="99"/>
      <c r="CS278" s="104"/>
      <c r="CT278" s="99"/>
      <c r="CU278" s="104"/>
      <c r="CV278" s="99"/>
      <c r="CW278" s="99"/>
      <c r="CX278" s="104"/>
      <c r="CY278" s="99"/>
      <c r="CZ278" s="104"/>
      <c r="DA278" s="99"/>
      <c r="DB278" s="99"/>
      <c r="DC278" s="104"/>
      <c r="DD278" s="99"/>
      <c r="DE278" s="104"/>
      <c r="DF278" s="99"/>
      <c r="DG278" s="99"/>
      <c r="DH278" s="104"/>
      <c r="DI278" s="104"/>
      <c r="DJ278" s="104"/>
      <c r="DK278" s="99"/>
      <c r="DL278" s="99"/>
      <c r="DM278" s="104"/>
      <c r="DN278" s="104"/>
      <c r="DO278" s="104"/>
      <c r="DP278" s="99"/>
      <c r="DQ278" s="99"/>
      <c r="DR278" s="104"/>
      <c r="DS278" s="104"/>
      <c r="DT278" s="873"/>
      <c r="DU278" s="874"/>
      <c r="DV278" s="868"/>
      <c r="DW278" s="869"/>
      <c r="DX278" s="363"/>
      <c r="DY278" s="345"/>
      <c r="DZ278" s="408"/>
      <c r="EA278" s="10"/>
    </row>
    <row r="279" ht="17.25" customHeight="1">
      <c r="A279" s="3"/>
      <c r="B279" s="3"/>
      <c r="C279" s="74"/>
      <c r="D279" s="74"/>
      <c r="E279" s="74"/>
      <c r="F279" s="74"/>
      <c r="G279" s="74"/>
      <c r="H279" s="74"/>
      <c r="I279" s="74"/>
      <c r="J279" s="74"/>
      <c r="K279" s="74"/>
      <c r="L279" s="80"/>
      <c r="M279" s="74"/>
      <c r="N279" s="74"/>
      <c r="O279" s="74"/>
      <c r="P279" s="74"/>
      <c r="Q279" s="80"/>
      <c r="R279" s="74"/>
      <c r="S279" s="74"/>
      <c r="T279" s="74"/>
      <c r="U279" s="74"/>
      <c r="V279" s="80"/>
      <c r="W279" s="74"/>
      <c r="X279" s="74"/>
      <c r="Y279" s="74"/>
      <c r="Z279" s="74"/>
      <c r="AA279" s="80"/>
      <c r="AB279" s="74"/>
      <c r="AC279" s="74"/>
      <c r="AD279" s="74"/>
      <c r="AE279" s="74"/>
      <c r="AF279" s="80"/>
      <c r="AG279" s="74"/>
      <c r="AH279" s="74"/>
      <c r="AI279" s="74"/>
      <c r="AJ279" s="74"/>
      <c r="AK279" s="80"/>
      <c r="AL279" s="74"/>
      <c r="AM279" s="74"/>
      <c r="AN279" s="74"/>
      <c r="AO279" s="74"/>
      <c r="AP279" s="80"/>
      <c r="AQ279" s="74"/>
      <c r="AR279" s="80"/>
      <c r="AS279" s="87"/>
      <c r="AT279" s="93"/>
      <c r="AU279" s="94"/>
      <c r="AV279" s="93"/>
      <c r="AW279" s="94"/>
      <c r="AX279" s="87"/>
      <c r="AY279" s="93"/>
      <c r="AZ279" s="94"/>
      <c r="BA279" s="93"/>
      <c r="BB279" s="94"/>
      <c r="BC279" s="87"/>
      <c r="BD279" s="93"/>
      <c r="BE279" s="94"/>
      <c r="BF279" s="93"/>
      <c r="BG279" s="94"/>
      <c r="BH279" s="87"/>
      <c r="BI279" s="99"/>
      <c r="BJ279" s="104"/>
      <c r="BK279" s="99"/>
      <c r="BL279" s="104"/>
      <c r="BM279" s="99"/>
      <c r="BN279" s="99"/>
      <c r="BO279" s="104"/>
      <c r="BP279" s="99"/>
      <c r="BQ279" s="104"/>
      <c r="BR279" s="99"/>
      <c r="BS279" s="99"/>
      <c r="BT279" s="104"/>
      <c r="BU279" s="99"/>
      <c r="BV279" s="104"/>
      <c r="BW279" s="99"/>
      <c r="BX279" s="99"/>
      <c r="BY279" s="104"/>
      <c r="BZ279" s="99"/>
      <c r="CA279" s="104"/>
      <c r="CB279" s="99"/>
      <c r="CC279" s="99"/>
      <c r="CD279" s="104"/>
      <c r="CE279" s="99"/>
      <c r="CF279" s="104"/>
      <c r="CG279" s="99"/>
      <c r="CH279" s="99"/>
      <c r="CI279" s="104"/>
      <c r="CJ279" s="99"/>
      <c r="CK279" s="104"/>
      <c r="CL279" s="99"/>
      <c r="CM279" s="390" t="str">
        <f>IFERROR(__xludf.DUMMYFUNCTION("""COMPUTED_VALUE"""),"")</f>
        <v/>
      </c>
      <c r="CN279" s="489" t="str">
        <f>IFERROR(__xludf.DUMMYFUNCTION("""COMPUTED_VALUE"""),"Zorua")</f>
        <v>Zorua</v>
      </c>
      <c r="CO279" s="532" t="s">
        <v>158</v>
      </c>
      <c r="CP279" s="104"/>
      <c r="CQ279" s="99"/>
      <c r="CR279" s="99"/>
      <c r="CS279" s="104"/>
      <c r="CT279" s="99"/>
      <c r="CU279" s="104"/>
      <c r="CV279" s="99"/>
      <c r="CW279" s="99"/>
      <c r="CX279" s="104"/>
      <c r="CY279" s="99"/>
      <c r="CZ279" s="104"/>
      <c r="DA279" s="99"/>
      <c r="DB279" s="99"/>
      <c r="DC279" s="104"/>
      <c r="DD279" s="99"/>
      <c r="DE279" s="104"/>
      <c r="DF279" s="99"/>
      <c r="DG279" s="99"/>
      <c r="DH279" s="104"/>
      <c r="DI279" s="104"/>
      <c r="DJ279" s="104"/>
      <c r="DK279" s="99"/>
      <c r="DL279" s="99"/>
      <c r="DM279" s="104"/>
      <c r="DN279" s="104"/>
      <c r="DO279" s="104"/>
      <c r="DP279" s="99"/>
      <c r="DQ279" s="99"/>
      <c r="DR279" s="104"/>
      <c r="DS279" s="104"/>
      <c r="DT279" s="873"/>
      <c r="DU279" s="874"/>
      <c r="DV279" s="868"/>
      <c r="DW279" s="869"/>
      <c r="DX279" s="363"/>
      <c r="DY279" s="345"/>
      <c r="DZ279" s="408"/>
      <c r="EA279" s="10"/>
    </row>
    <row r="280" ht="17.25" customHeight="1">
      <c r="A280" s="3"/>
      <c r="B280" s="3"/>
      <c r="C280" s="74"/>
      <c r="D280" s="74"/>
      <c r="E280" s="74"/>
      <c r="F280" s="74"/>
      <c r="G280" s="74"/>
      <c r="H280" s="74"/>
      <c r="I280" s="74"/>
      <c r="J280" s="74"/>
      <c r="K280" s="74"/>
      <c r="L280" s="80"/>
      <c r="M280" s="74"/>
      <c r="N280" s="74"/>
      <c r="O280" s="74"/>
      <c r="P280" s="74"/>
      <c r="Q280" s="80"/>
      <c r="R280" s="74"/>
      <c r="S280" s="74"/>
      <c r="T280" s="74"/>
      <c r="U280" s="74"/>
      <c r="V280" s="80"/>
      <c r="W280" s="74"/>
      <c r="X280" s="74"/>
      <c r="Y280" s="74"/>
      <c r="Z280" s="74"/>
      <c r="AA280" s="80"/>
      <c r="AB280" s="74"/>
      <c r="AC280" s="74"/>
      <c r="AD280" s="74"/>
      <c r="AE280" s="74"/>
      <c r="AF280" s="80"/>
      <c r="AG280" s="74"/>
      <c r="AH280" s="74"/>
      <c r="AI280" s="74"/>
      <c r="AJ280" s="74"/>
      <c r="AK280" s="80"/>
      <c r="AL280" s="74"/>
      <c r="AM280" s="74"/>
      <c r="AN280" s="74"/>
      <c r="AO280" s="74"/>
      <c r="AP280" s="80"/>
      <c r="AQ280" s="74"/>
      <c r="AR280" s="80"/>
      <c r="AS280" s="87"/>
      <c r="AT280" s="93"/>
      <c r="AU280" s="94"/>
      <c r="AV280" s="93"/>
      <c r="AW280" s="94"/>
      <c r="AX280" s="87"/>
      <c r="AY280" s="93"/>
      <c r="AZ280" s="94"/>
      <c r="BA280" s="93"/>
      <c r="BB280" s="94"/>
      <c r="BC280" s="87"/>
      <c r="BD280" s="93"/>
      <c r="BE280" s="94"/>
      <c r="BF280" s="93"/>
      <c r="BG280" s="94"/>
      <c r="BH280" s="87"/>
      <c r="BI280" s="99"/>
      <c r="BJ280" s="104"/>
      <c r="BK280" s="99"/>
      <c r="BL280" s="104"/>
      <c r="BM280" s="99"/>
      <c r="BN280" s="99"/>
      <c r="BO280" s="104"/>
      <c r="BP280" s="99"/>
      <c r="BQ280" s="104"/>
      <c r="BR280" s="99"/>
      <c r="BS280" s="99"/>
      <c r="BT280" s="104"/>
      <c r="BU280" s="99"/>
      <c r="BV280" s="104"/>
      <c r="BW280" s="99"/>
      <c r="BX280" s="99"/>
      <c r="BY280" s="104"/>
      <c r="BZ280" s="99"/>
      <c r="CA280" s="104"/>
      <c r="CB280" s="99"/>
      <c r="CC280" s="99"/>
      <c r="CD280" s="104"/>
      <c r="CE280" s="99"/>
      <c r="CF280" s="104"/>
      <c r="CG280" s="99"/>
      <c r="CH280" s="99"/>
      <c r="CI280" s="104"/>
      <c r="CJ280" s="99"/>
      <c r="CK280" s="104"/>
      <c r="CL280" s="99"/>
      <c r="CM280" s="390" t="str">
        <f>IFERROR(__xludf.DUMMYFUNCTION("""COMPUTED_VALUE"""),"")</f>
        <v/>
      </c>
      <c r="CN280" s="489" t="str">
        <f>IFERROR(__xludf.DUMMYFUNCTION("""COMPUTED_VALUE"""),"Zweilous")</f>
        <v>Zweilous</v>
      </c>
      <c r="CO280" s="532" t="s">
        <v>158</v>
      </c>
      <c r="CP280" s="104"/>
      <c r="CQ280" s="99"/>
      <c r="CR280" s="99"/>
      <c r="CS280" s="104"/>
      <c r="CT280" s="99"/>
      <c r="CU280" s="104"/>
      <c r="CV280" s="99"/>
      <c r="CW280" s="99"/>
      <c r="CX280" s="104"/>
      <c r="CY280" s="99"/>
      <c r="CZ280" s="104"/>
      <c r="DA280" s="99"/>
      <c r="DB280" s="99"/>
      <c r="DC280" s="104"/>
      <c r="DD280" s="99"/>
      <c r="DE280" s="104"/>
      <c r="DF280" s="99"/>
      <c r="DG280" s="99"/>
      <c r="DH280" s="104"/>
      <c r="DI280" s="104"/>
      <c r="DJ280" s="104"/>
      <c r="DK280" s="99"/>
      <c r="DL280" s="99"/>
      <c r="DM280" s="104"/>
      <c r="DN280" s="104"/>
      <c r="DO280" s="104"/>
      <c r="DP280" s="99"/>
      <c r="DQ280" s="99"/>
      <c r="DR280" s="104"/>
      <c r="DS280" s="104"/>
      <c r="DT280" s="873"/>
      <c r="DU280" s="874"/>
      <c r="DV280" s="868"/>
      <c r="DW280" s="869"/>
      <c r="DX280" s="363"/>
      <c r="DY280" s="345"/>
      <c r="DZ280" s="408"/>
      <c r="EA280" s="10"/>
    </row>
    <row r="281" ht="17.25" customHeight="1">
      <c r="A281" s="3"/>
      <c r="B281" s="3"/>
      <c r="C281" s="74"/>
      <c r="D281" s="74"/>
      <c r="E281" s="74"/>
      <c r="F281" s="74"/>
      <c r="G281" s="74"/>
      <c r="H281" s="74"/>
      <c r="I281" s="74"/>
      <c r="J281" s="74"/>
      <c r="K281" s="74"/>
      <c r="L281" s="80"/>
      <c r="M281" s="74"/>
      <c r="N281" s="74"/>
      <c r="O281" s="74"/>
      <c r="P281" s="74"/>
      <c r="Q281" s="80"/>
      <c r="R281" s="74"/>
      <c r="S281" s="74"/>
      <c r="T281" s="74"/>
      <c r="U281" s="74"/>
      <c r="V281" s="80"/>
      <c r="W281" s="74"/>
      <c r="X281" s="74"/>
      <c r="Y281" s="74"/>
      <c r="Z281" s="74"/>
      <c r="AA281" s="80"/>
      <c r="AB281" s="74"/>
      <c r="AC281" s="74"/>
      <c r="AD281" s="74"/>
      <c r="AE281" s="74"/>
      <c r="AF281" s="80"/>
      <c r="AG281" s="74"/>
      <c r="AH281" s="74"/>
      <c r="AI281" s="74"/>
      <c r="AJ281" s="74"/>
      <c r="AK281" s="80"/>
      <c r="AL281" s="74"/>
      <c r="AM281" s="74"/>
      <c r="AN281" s="74"/>
      <c r="AO281" s="74"/>
      <c r="AP281" s="80"/>
      <c r="AQ281" s="74"/>
      <c r="AR281" s="80"/>
      <c r="AS281" s="87"/>
      <c r="AT281" s="93"/>
      <c r="AU281" s="94"/>
      <c r="AV281" s="93"/>
      <c r="AW281" s="94"/>
      <c r="AX281" s="87"/>
      <c r="AY281" s="93"/>
      <c r="AZ281" s="94"/>
      <c r="BA281" s="93"/>
      <c r="BB281" s="94"/>
      <c r="BC281" s="87"/>
      <c r="BD281" s="93"/>
      <c r="BE281" s="94"/>
      <c r="BF281" s="93"/>
      <c r="BG281" s="94"/>
      <c r="BH281" s="87"/>
      <c r="BI281" s="99"/>
      <c r="BJ281" s="104"/>
      <c r="BK281" s="99"/>
      <c r="BL281" s="104"/>
      <c r="BM281" s="99"/>
      <c r="BN281" s="99"/>
      <c r="BO281" s="104"/>
      <c r="BP281" s="99"/>
      <c r="BQ281" s="104"/>
      <c r="BR281" s="99"/>
      <c r="BS281" s="99"/>
      <c r="BT281" s="104"/>
      <c r="BU281" s="99"/>
      <c r="BV281" s="104"/>
      <c r="BW281" s="99"/>
      <c r="BX281" s="99"/>
      <c r="BY281" s="104"/>
      <c r="BZ281" s="99"/>
      <c r="CA281" s="104"/>
      <c r="CB281" s="99"/>
      <c r="CC281" s="99"/>
      <c r="CD281" s="104"/>
      <c r="CE281" s="99"/>
      <c r="CF281" s="104"/>
      <c r="CG281" s="99"/>
      <c r="CH281" s="99"/>
      <c r="CI281" s="104"/>
      <c r="CJ281" s="99"/>
      <c r="CK281" s="104"/>
      <c r="CL281" s="99"/>
      <c r="CM281" s="390"/>
      <c r="CN281" s="489"/>
      <c r="CO281" s="532" t="s">
        <v>158</v>
      </c>
      <c r="CP281" s="104"/>
      <c r="CQ281" s="99"/>
      <c r="CR281" s="99"/>
      <c r="CS281" s="104"/>
      <c r="CT281" s="99"/>
      <c r="CU281" s="104"/>
      <c r="CV281" s="99"/>
      <c r="CW281" s="99"/>
      <c r="CX281" s="104"/>
      <c r="CY281" s="99"/>
      <c r="CZ281" s="104"/>
      <c r="DA281" s="99"/>
      <c r="DB281" s="99"/>
      <c r="DC281" s="104"/>
      <c r="DD281" s="99"/>
      <c r="DE281" s="104"/>
      <c r="DF281" s="99"/>
      <c r="DG281" s="99"/>
      <c r="DH281" s="104"/>
      <c r="DI281" s="104"/>
      <c r="DJ281" s="104"/>
      <c r="DK281" s="99"/>
      <c r="DL281" s="99"/>
      <c r="DM281" s="104"/>
      <c r="DN281" s="104"/>
      <c r="DO281" s="104"/>
      <c r="DP281" s="99"/>
      <c r="DQ281" s="99"/>
      <c r="DR281" s="104"/>
      <c r="DS281" s="104"/>
      <c r="DT281" s="873"/>
      <c r="DU281" s="874"/>
      <c r="DV281" s="868"/>
      <c r="DW281" s="869"/>
      <c r="DX281" s="363"/>
      <c r="DY281" s="345"/>
      <c r="DZ281" s="408"/>
      <c r="EA281" s="10"/>
    </row>
    <row r="282" ht="17.25" customHeight="1">
      <c r="A282" s="3"/>
      <c r="B282" s="3"/>
      <c r="C282" s="74"/>
      <c r="D282" s="74"/>
      <c r="E282" s="74"/>
      <c r="F282" s="74"/>
      <c r="G282" s="74"/>
      <c r="H282" s="74"/>
      <c r="I282" s="74"/>
      <c r="J282" s="74"/>
      <c r="K282" s="74"/>
      <c r="L282" s="80"/>
      <c r="M282" s="74"/>
      <c r="N282" s="74"/>
      <c r="O282" s="74"/>
      <c r="P282" s="74"/>
      <c r="Q282" s="80"/>
      <c r="R282" s="74"/>
      <c r="S282" s="74"/>
      <c r="T282" s="74"/>
      <c r="U282" s="74"/>
      <c r="V282" s="80"/>
      <c r="W282" s="74"/>
      <c r="X282" s="74"/>
      <c r="Y282" s="74"/>
      <c r="Z282" s="74"/>
      <c r="AA282" s="80"/>
      <c r="AB282" s="74"/>
      <c r="AC282" s="74"/>
      <c r="AD282" s="74"/>
      <c r="AE282" s="74"/>
      <c r="AF282" s="80"/>
      <c r="AG282" s="74"/>
      <c r="AH282" s="74"/>
      <c r="AI282" s="74"/>
      <c r="AJ282" s="74"/>
      <c r="AK282" s="80"/>
      <c r="AL282" s="74"/>
      <c r="AM282" s="74"/>
      <c r="AN282" s="74"/>
      <c r="AO282" s="74"/>
      <c r="AP282" s="80"/>
      <c r="AQ282" s="74"/>
      <c r="AR282" s="80"/>
      <c r="AS282" s="87"/>
      <c r="AT282" s="93"/>
      <c r="AU282" s="94"/>
      <c r="AV282" s="93"/>
      <c r="AW282" s="94"/>
      <c r="AX282" s="87"/>
      <c r="AY282" s="93"/>
      <c r="AZ282" s="94"/>
      <c r="BA282" s="93"/>
      <c r="BB282" s="94"/>
      <c r="BC282" s="87"/>
      <c r="BD282" s="93"/>
      <c r="BE282" s="94"/>
      <c r="BF282" s="93"/>
      <c r="BG282" s="94"/>
      <c r="BH282" s="87"/>
      <c r="BI282" s="99"/>
      <c r="BJ282" s="104"/>
      <c r="BK282" s="99"/>
      <c r="BL282" s="104"/>
      <c r="BM282" s="99"/>
      <c r="BN282" s="99"/>
      <c r="BO282" s="104"/>
      <c r="BP282" s="99"/>
      <c r="BQ282" s="104"/>
      <c r="BR282" s="99"/>
      <c r="BS282" s="99"/>
      <c r="BT282" s="104"/>
      <c r="BU282" s="99"/>
      <c r="BV282" s="104"/>
      <c r="BW282" s="99"/>
      <c r="BX282" s="99"/>
      <c r="BY282" s="104"/>
      <c r="BZ282" s="99"/>
      <c r="CA282" s="104"/>
      <c r="CB282" s="99"/>
      <c r="CC282" s="99"/>
      <c r="CD282" s="104"/>
      <c r="CE282" s="99"/>
      <c r="CF282" s="104"/>
      <c r="CG282" s="99"/>
      <c r="CH282" s="99"/>
      <c r="CI282" s="104"/>
      <c r="CJ282" s="99"/>
      <c r="CK282" s="104"/>
      <c r="CL282" s="99"/>
      <c r="CM282" s="118"/>
      <c r="CN282" s="891"/>
      <c r="CO282" s="118"/>
      <c r="CP282" s="104"/>
      <c r="CQ282" s="99"/>
      <c r="CR282" s="99"/>
      <c r="CS282" s="104"/>
      <c r="CT282" s="99"/>
      <c r="CU282" s="104"/>
      <c r="CV282" s="99"/>
      <c r="CW282" s="99"/>
      <c r="CX282" s="104"/>
      <c r="CY282" s="99"/>
      <c r="CZ282" s="104"/>
      <c r="DA282" s="99"/>
      <c r="DB282" s="99"/>
      <c r="DC282" s="104"/>
      <c r="DD282" s="99"/>
      <c r="DE282" s="104"/>
      <c r="DF282" s="99"/>
      <c r="DG282" s="99"/>
      <c r="DH282" s="104"/>
      <c r="DI282" s="104"/>
      <c r="DJ282" s="104"/>
      <c r="DK282" s="99"/>
      <c r="DL282" s="99"/>
      <c r="DM282" s="104"/>
      <c r="DN282" s="104"/>
      <c r="DO282" s="104"/>
      <c r="DP282" s="99"/>
      <c r="DQ282" s="99"/>
      <c r="DR282" s="104"/>
      <c r="DS282" s="104"/>
      <c r="DT282" s="873"/>
      <c r="DU282" s="874"/>
      <c r="DV282" s="868"/>
      <c r="DW282" s="869"/>
      <c r="DX282" s="363"/>
      <c r="DY282" s="345"/>
      <c r="DZ282" s="408"/>
      <c r="EA282" s="10"/>
    </row>
    <row r="283" ht="17.25" customHeight="1">
      <c r="A283" s="3"/>
      <c r="B283" s="3"/>
      <c r="C283" s="74"/>
      <c r="D283" s="74"/>
      <c r="E283" s="74"/>
      <c r="F283" s="74"/>
      <c r="G283" s="74"/>
      <c r="H283" s="74"/>
      <c r="I283" s="74"/>
      <c r="J283" s="74"/>
      <c r="K283" s="74"/>
      <c r="L283" s="80"/>
      <c r="M283" s="74"/>
      <c r="N283" s="74"/>
      <c r="O283" s="74"/>
      <c r="P283" s="74"/>
      <c r="Q283" s="80"/>
      <c r="R283" s="74"/>
      <c r="S283" s="74"/>
      <c r="T283" s="74"/>
      <c r="U283" s="74"/>
      <c r="V283" s="80"/>
      <c r="W283" s="74"/>
      <c r="X283" s="74"/>
      <c r="Y283" s="74"/>
      <c r="Z283" s="74"/>
      <c r="AA283" s="80"/>
      <c r="AB283" s="74"/>
      <c r="AC283" s="74"/>
      <c r="AD283" s="74"/>
      <c r="AE283" s="74"/>
      <c r="AF283" s="80"/>
      <c r="AG283" s="74"/>
      <c r="AH283" s="74"/>
      <c r="AI283" s="74"/>
      <c r="AJ283" s="74"/>
      <c r="AK283" s="80"/>
      <c r="AL283" s="74"/>
      <c r="AM283" s="74"/>
      <c r="AN283" s="74"/>
      <c r="AO283" s="74"/>
      <c r="AP283" s="80"/>
      <c r="AQ283" s="74"/>
      <c r="AR283" s="80"/>
      <c r="AS283" s="87"/>
      <c r="AT283" s="93"/>
      <c r="AU283" s="94"/>
      <c r="AV283" s="93"/>
      <c r="AW283" s="94"/>
      <c r="AX283" s="87"/>
      <c r="AY283" s="93"/>
      <c r="AZ283" s="94"/>
      <c r="BA283" s="93"/>
      <c r="BB283" s="94"/>
      <c r="BC283" s="87"/>
      <c r="BD283" s="93"/>
      <c r="BE283" s="94"/>
      <c r="BF283" s="93"/>
      <c r="BG283" s="94"/>
      <c r="BH283" s="87"/>
      <c r="BI283" s="99"/>
      <c r="BJ283" s="104"/>
      <c r="BK283" s="99"/>
      <c r="BL283" s="104"/>
      <c r="BM283" s="99"/>
      <c r="BN283" s="99"/>
      <c r="BO283" s="104"/>
      <c r="BP283" s="99"/>
      <c r="BQ283" s="104"/>
      <c r="BR283" s="99"/>
      <c r="BS283" s="99"/>
      <c r="BT283" s="104"/>
      <c r="BU283" s="99"/>
      <c r="BV283" s="104"/>
      <c r="BW283" s="99"/>
      <c r="BX283" s="99"/>
      <c r="BY283" s="104"/>
      <c r="BZ283" s="99"/>
      <c r="CA283" s="104"/>
      <c r="CB283" s="99"/>
      <c r="CC283" s="99"/>
      <c r="CD283" s="104"/>
      <c r="CE283" s="99"/>
      <c r="CF283" s="104"/>
      <c r="CG283" s="99"/>
      <c r="CH283" s="99"/>
      <c r="CI283" s="104"/>
      <c r="CJ283" s="99"/>
      <c r="CK283" s="104"/>
      <c r="CL283" s="99"/>
      <c r="CM283" s="118"/>
      <c r="CN283" s="891"/>
      <c r="CO283" s="118"/>
      <c r="CP283" s="104"/>
      <c r="CQ283" s="99"/>
      <c r="CR283" s="99"/>
      <c r="CS283" s="104"/>
      <c r="CT283" s="99"/>
      <c r="CU283" s="104"/>
      <c r="CV283" s="99"/>
      <c r="CW283" s="99"/>
      <c r="CX283" s="104"/>
      <c r="CY283" s="99"/>
      <c r="CZ283" s="104"/>
      <c r="DA283" s="99"/>
      <c r="DB283" s="99"/>
      <c r="DC283" s="104"/>
      <c r="DD283" s="99"/>
      <c r="DE283" s="104"/>
      <c r="DF283" s="99"/>
      <c r="DG283" s="99"/>
      <c r="DH283" s="104"/>
      <c r="DI283" s="104"/>
      <c r="DJ283" s="104"/>
      <c r="DK283" s="99"/>
      <c r="DL283" s="99"/>
      <c r="DM283" s="104"/>
      <c r="DN283" s="104"/>
      <c r="DO283" s="104"/>
      <c r="DP283" s="99"/>
      <c r="DQ283" s="99"/>
      <c r="DR283" s="104"/>
      <c r="DS283" s="104"/>
      <c r="DT283" s="873"/>
      <c r="DU283" s="874"/>
      <c r="DV283" s="868"/>
      <c r="DW283" s="869"/>
      <c r="DX283" s="363"/>
      <c r="DY283" s="345"/>
      <c r="DZ283" s="408"/>
      <c r="EA283" s="10"/>
    </row>
    <row r="284" ht="17.25" customHeight="1">
      <c r="A284" s="3"/>
      <c r="B284" s="3"/>
      <c r="C284" s="74"/>
      <c r="D284" s="74"/>
      <c r="E284" s="74"/>
      <c r="F284" s="74"/>
      <c r="G284" s="74"/>
      <c r="H284" s="74"/>
      <c r="I284" s="74"/>
      <c r="J284" s="74"/>
      <c r="K284" s="74"/>
      <c r="L284" s="80"/>
      <c r="M284" s="74"/>
      <c r="N284" s="74"/>
      <c r="O284" s="74"/>
      <c r="P284" s="74"/>
      <c r="Q284" s="80"/>
      <c r="R284" s="74"/>
      <c r="S284" s="74"/>
      <c r="T284" s="74"/>
      <c r="U284" s="74"/>
      <c r="V284" s="80"/>
      <c r="W284" s="74"/>
      <c r="X284" s="74"/>
      <c r="Y284" s="74"/>
      <c r="Z284" s="74"/>
      <c r="AA284" s="80"/>
      <c r="AB284" s="74"/>
      <c r="AC284" s="74"/>
      <c r="AD284" s="74"/>
      <c r="AE284" s="74"/>
      <c r="AF284" s="80"/>
      <c r="AG284" s="74"/>
      <c r="AH284" s="74"/>
      <c r="AI284" s="74"/>
      <c r="AJ284" s="74"/>
      <c r="AK284" s="80"/>
      <c r="AL284" s="74"/>
      <c r="AM284" s="74"/>
      <c r="AN284" s="74"/>
      <c r="AO284" s="74"/>
      <c r="AP284" s="80"/>
      <c r="AQ284" s="74"/>
      <c r="AR284" s="80"/>
      <c r="AS284" s="87"/>
      <c r="AT284" s="93"/>
      <c r="AU284" s="94"/>
      <c r="AV284" s="93"/>
      <c r="AW284" s="94"/>
      <c r="AX284" s="87"/>
      <c r="AY284" s="93"/>
      <c r="AZ284" s="94"/>
      <c r="BA284" s="93"/>
      <c r="BB284" s="94"/>
      <c r="BC284" s="87"/>
      <c r="BD284" s="93"/>
      <c r="BE284" s="94"/>
      <c r="BF284" s="93"/>
      <c r="BG284" s="94"/>
      <c r="BH284" s="87"/>
      <c r="BI284" s="99"/>
      <c r="BJ284" s="104"/>
      <c r="BK284" s="99"/>
      <c r="BL284" s="104"/>
      <c r="BM284" s="99"/>
      <c r="BN284" s="99"/>
      <c r="BO284" s="104"/>
      <c r="BP284" s="99"/>
      <c r="BQ284" s="104"/>
      <c r="BR284" s="99"/>
      <c r="BS284" s="99"/>
      <c r="BT284" s="104"/>
      <c r="BU284" s="99"/>
      <c r="BV284" s="104"/>
      <c r="BW284" s="99"/>
      <c r="BX284" s="99"/>
      <c r="BY284" s="104"/>
      <c r="BZ284" s="99"/>
      <c r="CA284" s="104"/>
      <c r="CB284" s="99"/>
      <c r="CC284" s="99"/>
      <c r="CD284" s="104"/>
      <c r="CE284" s="99"/>
      <c r="CF284" s="104"/>
      <c r="CG284" s="99"/>
      <c r="CH284" s="99"/>
      <c r="CI284" s="104"/>
      <c r="CJ284" s="99"/>
      <c r="CK284" s="104"/>
      <c r="CL284" s="99"/>
      <c r="CM284" s="118"/>
      <c r="CN284" s="893"/>
      <c r="CO284" s="118"/>
      <c r="CP284" s="104"/>
      <c r="CQ284" s="99"/>
      <c r="CR284" s="99"/>
      <c r="CS284" s="104"/>
      <c r="CT284" s="99"/>
      <c r="CU284" s="104"/>
      <c r="CV284" s="99"/>
      <c r="CW284" s="99"/>
      <c r="CX284" s="104"/>
      <c r="CY284" s="99"/>
      <c r="CZ284" s="104"/>
      <c r="DA284" s="99"/>
      <c r="DB284" s="99"/>
      <c r="DC284" s="104"/>
      <c r="DD284" s="99"/>
      <c r="DE284" s="104"/>
      <c r="DF284" s="99"/>
      <c r="DG284" s="99"/>
      <c r="DH284" s="104"/>
      <c r="DI284" s="104"/>
      <c r="DJ284" s="104"/>
      <c r="DK284" s="99"/>
      <c r="DL284" s="99"/>
      <c r="DM284" s="104"/>
      <c r="DN284" s="104"/>
      <c r="DO284" s="104"/>
      <c r="DP284" s="99"/>
      <c r="DQ284" s="99"/>
      <c r="DR284" s="104"/>
      <c r="DS284" s="104"/>
      <c r="DT284" s="873"/>
      <c r="DU284" s="874"/>
      <c r="DV284" s="868"/>
      <c r="DW284" s="869"/>
      <c r="DX284" s="363"/>
      <c r="DY284" s="345"/>
      <c r="DZ284" s="408"/>
      <c r="EA284" s="10"/>
    </row>
    <row r="285" ht="17.25" customHeight="1">
      <c r="A285" s="3"/>
      <c r="B285" s="3"/>
      <c r="C285" s="74"/>
      <c r="D285" s="74"/>
      <c r="E285" s="74"/>
      <c r="F285" s="74"/>
      <c r="G285" s="74"/>
      <c r="H285" s="74"/>
      <c r="I285" s="74"/>
      <c r="J285" s="74"/>
      <c r="K285" s="74"/>
      <c r="L285" s="80"/>
      <c r="M285" s="74"/>
      <c r="N285" s="74"/>
      <c r="O285" s="74"/>
      <c r="P285" s="74"/>
      <c r="Q285" s="80"/>
      <c r="R285" s="74"/>
      <c r="S285" s="74"/>
      <c r="T285" s="74"/>
      <c r="U285" s="74"/>
      <c r="V285" s="80"/>
      <c r="W285" s="74"/>
      <c r="X285" s="74"/>
      <c r="Y285" s="74"/>
      <c r="Z285" s="74"/>
      <c r="AA285" s="80"/>
      <c r="AB285" s="74"/>
      <c r="AC285" s="74"/>
      <c r="AD285" s="74"/>
      <c r="AE285" s="74"/>
      <c r="AF285" s="80"/>
      <c r="AG285" s="74"/>
      <c r="AH285" s="74"/>
      <c r="AI285" s="74"/>
      <c r="AJ285" s="74"/>
      <c r="AK285" s="80"/>
      <c r="AL285" s="74"/>
      <c r="AM285" s="74"/>
      <c r="AN285" s="74"/>
      <c r="AO285" s="74"/>
      <c r="AP285" s="80"/>
      <c r="AQ285" s="74"/>
      <c r="AR285" s="80"/>
      <c r="AS285" s="87"/>
      <c r="AT285" s="93"/>
      <c r="AU285" s="94"/>
      <c r="AV285" s="93"/>
      <c r="AW285" s="94"/>
      <c r="AX285" s="87"/>
      <c r="AY285" s="93"/>
      <c r="AZ285" s="94"/>
      <c r="BA285" s="93"/>
      <c r="BB285" s="94"/>
      <c r="BC285" s="87"/>
      <c r="BD285" s="93"/>
      <c r="BE285" s="94"/>
      <c r="BF285" s="93"/>
      <c r="BG285" s="94"/>
      <c r="BH285" s="87"/>
      <c r="BI285" s="99"/>
      <c r="BJ285" s="104"/>
      <c r="BK285" s="99"/>
      <c r="BL285" s="104"/>
      <c r="BM285" s="99"/>
      <c r="BN285" s="99"/>
      <c r="BO285" s="104"/>
      <c r="BP285" s="99"/>
      <c r="BQ285" s="104"/>
      <c r="BR285" s="99"/>
      <c r="BS285" s="99"/>
      <c r="BT285" s="104"/>
      <c r="BU285" s="99"/>
      <c r="BV285" s="104"/>
      <c r="BW285" s="99"/>
      <c r="BX285" s="99"/>
      <c r="BY285" s="104"/>
      <c r="BZ285" s="99"/>
      <c r="CA285" s="104"/>
      <c r="CB285" s="99"/>
      <c r="CC285" s="99"/>
      <c r="CD285" s="104"/>
      <c r="CE285" s="99"/>
      <c r="CF285" s="104"/>
      <c r="CG285" s="99"/>
      <c r="CH285" s="99"/>
      <c r="CI285" s="104"/>
      <c r="CJ285" s="99"/>
      <c r="CK285" s="104"/>
      <c r="CL285" s="99"/>
      <c r="CM285" s="118"/>
      <c r="CN285" s="893"/>
      <c r="CO285" s="118"/>
      <c r="CP285" s="104"/>
      <c r="CQ285" s="99"/>
      <c r="CR285" s="99"/>
      <c r="CS285" s="104"/>
      <c r="CT285" s="99"/>
      <c r="CU285" s="104"/>
      <c r="CV285" s="99"/>
      <c r="CW285" s="99"/>
      <c r="CX285" s="104"/>
      <c r="CY285" s="99"/>
      <c r="CZ285" s="104"/>
      <c r="DA285" s="99"/>
      <c r="DB285" s="99"/>
      <c r="DC285" s="104"/>
      <c r="DD285" s="99"/>
      <c r="DE285" s="104"/>
      <c r="DF285" s="99"/>
      <c r="DG285" s="99"/>
      <c r="DH285" s="104"/>
      <c r="DI285" s="104"/>
      <c r="DJ285" s="104"/>
      <c r="DK285" s="99"/>
      <c r="DL285" s="99"/>
      <c r="DM285" s="104"/>
      <c r="DN285" s="104"/>
      <c r="DO285" s="104"/>
      <c r="DP285" s="99"/>
      <c r="DQ285" s="99"/>
      <c r="DR285" s="104"/>
      <c r="DS285" s="104"/>
      <c r="DT285" s="873"/>
      <c r="DU285" s="874"/>
      <c r="DV285" s="868"/>
      <c r="DW285" s="869"/>
      <c r="DX285" s="363"/>
      <c r="DY285" s="345"/>
      <c r="DZ285" s="408"/>
      <c r="EA285" s="10"/>
    </row>
    <row r="286" ht="17.25" customHeight="1">
      <c r="A286" s="3"/>
      <c r="B286" s="3"/>
      <c r="C286" s="74"/>
      <c r="D286" s="74"/>
      <c r="E286" s="74"/>
      <c r="F286" s="74"/>
      <c r="G286" s="74"/>
      <c r="H286" s="74"/>
      <c r="I286" s="74"/>
      <c r="J286" s="74"/>
      <c r="K286" s="74"/>
      <c r="L286" s="80"/>
      <c r="M286" s="74"/>
      <c r="N286" s="74"/>
      <c r="O286" s="74"/>
      <c r="P286" s="74"/>
      <c r="Q286" s="80"/>
      <c r="R286" s="74"/>
      <c r="S286" s="74"/>
      <c r="T286" s="74"/>
      <c r="U286" s="74"/>
      <c r="V286" s="80"/>
      <c r="W286" s="74"/>
      <c r="X286" s="74"/>
      <c r="Y286" s="74"/>
      <c r="Z286" s="74"/>
      <c r="AA286" s="80"/>
      <c r="AB286" s="74"/>
      <c r="AC286" s="74"/>
      <c r="AD286" s="74"/>
      <c r="AE286" s="74"/>
      <c r="AF286" s="80"/>
      <c r="AG286" s="74"/>
      <c r="AH286" s="74"/>
      <c r="AI286" s="74"/>
      <c r="AJ286" s="74"/>
      <c r="AK286" s="80"/>
      <c r="AL286" s="74"/>
      <c r="AM286" s="74"/>
      <c r="AN286" s="74"/>
      <c r="AO286" s="74"/>
      <c r="AP286" s="80"/>
      <c r="AQ286" s="74"/>
      <c r="AR286" s="80"/>
      <c r="AS286" s="87"/>
      <c r="AT286" s="93"/>
      <c r="AU286" s="94"/>
      <c r="AV286" s="93"/>
      <c r="AW286" s="94"/>
      <c r="AX286" s="87"/>
      <c r="AY286" s="93"/>
      <c r="AZ286" s="94"/>
      <c r="BA286" s="93"/>
      <c r="BB286" s="94"/>
      <c r="BC286" s="87"/>
      <c r="BD286" s="93"/>
      <c r="BE286" s="94"/>
      <c r="BF286" s="93"/>
      <c r="BG286" s="94"/>
      <c r="BH286" s="87"/>
      <c r="BI286" s="99"/>
      <c r="BJ286" s="104"/>
      <c r="BK286" s="99"/>
      <c r="BL286" s="104"/>
      <c r="BM286" s="99"/>
      <c r="BN286" s="99"/>
      <c r="BO286" s="104"/>
      <c r="BP286" s="99"/>
      <c r="BQ286" s="104"/>
      <c r="BR286" s="99"/>
      <c r="BS286" s="99"/>
      <c r="BT286" s="104"/>
      <c r="BU286" s="99"/>
      <c r="BV286" s="104"/>
      <c r="BW286" s="99"/>
      <c r="BX286" s="99"/>
      <c r="BY286" s="104"/>
      <c r="BZ286" s="99"/>
      <c r="CA286" s="104"/>
      <c r="CB286" s="99"/>
      <c r="CC286" s="99"/>
      <c r="CD286" s="104"/>
      <c r="CE286" s="99"/>
      <c r="CF286" s="104"/>
      <c r="CG286" s="99"/>
      <c r="CH286" s="99"/>
      <c r="CI286" s="104"/>
      <c r="CJ286" s="99"/>
      <c r="CK286" s="104"/>
      <c r="CL286" s="99"/>
      <c r="CM286" s="118"/>
      <c r="CN286" s="893"/>
      <c r="CO286" s="118"/>
      <c r="CP286" s="104"/>
      <c r="CQ286" s="99"/>
      <c r="CR286" s="99"/>
      <c r="CS286" s="104"/>
      <c r="CT286" s="99"/>
      <c r="CU286" s="104"/>
      <c r="CV286" s="99"/>
      <c r="CW286" s="99"/>
      <c r="CX286" s="104"/>
      <c r="CY286" s="99"/>
      <c r="CZ286" s="104"/>
      <c r="DA286" s="99"/>
      <c r="DB286" s="99"/>
      <c r="DC286" s="104"/>
      <c r="DD286" s="99"/>
      <c r="DE286" s="104"/>
      <c r="DF286" s="99"/>
      <c r="DG286" s="99"/>
      <c r="DH286" s="104"/>
      <c r="DI286" s="104"/>
      <c r="DJ286" s="104"/>
      <c r="DK286" s="99"/>
      <c r="DL286" s="99"/>
      <c r="DM286" s="104"/>
      <c r="DN286" s="104"/>
      <c r="DO286" s="104"/>
      <c r="DP286" s="99"/>
      <c r="DQ286" s="99"/>
      <c r="DR286" s="104"/>
      <c r="DS286" s="104"/>
      <c r="DT286" s="873"/>
      <c r="DU286" s="874"/>
      <c r="DV286" s="868"/>
      <c r="DW286" s="869"/>
      <c r="DX286" s="363"/>
      <c r="DY286" s="345"/>
      <c r="DZ286" s="408"/>
      <c r="EA286" s="10"/>
    </row>
    <row r="287" ht="17.25" customHeight="1">
      <c r="A287" s="3"/>
      <c r="B287" s="3"/>
      <c r="C287" s="74"/>
      <c r="D287" s="74"/>
      <c r="E287" s="74"/>
      <c r="F287" s="74"/>
      <c r="G287" s="74"/>
      <c r="H287" s="74"/>
      <c r="I287" s="74"/>
      <c r="J287" s="74"/>
      <c r="K287" s="74"/>
      <c r="L287" s="80"/>
      <c r="M287" s="74"/>
      <c r="N287" s="74"/>
      <c r="O287" s="74"/>
      <c r="P287" s="74"/>
      <c r="Q287" s="80"/>
      <c r="R287" s="74"/>
      <c r="S287" s="74"/>
      <c r="T287" s="74"/>
      <c r="U287" s="74"/>
      <c r="V287" s="80"/>
      <c r="W287" s="74"/>
      <c r="X287" s="74"/>
      <c r="Y287" s="74"/>
      <c r="Z287" s="74"/>
      <c r="AA287" s="80"/>
      <c r="AB287" s="74"/>
      <c r="AC287" s="74"/>
      <c r="AD287" s="74"/>
      <c r="AE287" s="74"/>
      <c r="AF287" s="80"/>
      <c r="AG287" s="74"/>
      <c r="AH287" s="74"/>
      <c r="AI287" s="74"/>
      <c r="AJ287" s="74"/>
      <c r="AK287" s="80"/>
      <c r="AL287" s="74"/>
      <c r="AM287" s="74"/>
      <c r="AN287" s="74"/>
      <c r="AO287" s="74"/>
      <c r="AP287" s="80"/>
      <c r="AQ287" s="74"/>
      <c r="AR287" s="80"/>
      <c r="AS287" s="87"/>
      <c r="AT287" s="93"/>
      <c r="AU287" s="94"/>
      <c r="AV287" s="93"/>
      <c r="AW287" s="94"/>
      <c r="AX287" s="87"/>
      <c r="AY287" s="93"/>
      <c r="AZ287" s="94"/>
      <c r="BA287" s="93"/>
      <c r="BB287" s="94"/>
      <c r="BC287" s="87"/>
      <c r="BD287" s="93"/>
      <c r="BE287" s="94"/>
      <c r="BF287" s="93"/>
      <c r="BG287" s="94"/>
      <c r="BH287" s="87"/>
      <c r="BI287" s="99"/>
      <c r="BJ287" s="104"/>
      <c r="BK287" s="99"/>
      <c r="BL287" s="104"/>
      <c r="BM287" s="99"/>
      <c r="BN287" s="99"/>
      <c r="BO287" s="104"/>
      <c r="BP287" s="99"/>
      <c r="BQ287" s="104"/>
      <c r="BR287" s="99"/>
      <c r="BS287" s="99"/>
      <c r="BT287" s="104"/>
      <c r="BU287" s="99"/>
      <c r="BV287" s="104"/>
      <c r="BW287" s="99"/>
      <c r="BX287" s="99"/>
      <c r="BY287" s="104"/>
      <c r="BZ287" s="99"/>
      <c r="CA287" s="104"/>
      <c r="CB287" s="99"/>
      <c r="CC287" s="99"/>
      <c r="CD287" s="104"/>
      <c r="CE287" s="99"/>
      <c r="CF287" s="104"/>
      <c r="CG287" s="99"/>
      <c r="CH287" s="99"/>
      <c r="CI287" s="104"/>
      <c r="CJ287" s="99"/>
      <c r="CK287" s="104"/>
      <c r="CL287" s="99"/>
      <c r="CM287" s="118"/>
      <c r="CN287" s="893"/>
      <c r="CO287" s="118"/>
      <c r="CP287" s="104"/>
      <c r="CQ287" s="99"/>
      <c r="CR287" s="99"/>
      <c r="CS287" s="104"/>
      <c r="CT287" s="99"/>
      <c r="CU287" s="104"/>
      <c r="CV287" s="99"/>
      <c r="CW287" s="99"/>
      <c r="CX287" s="104"/>
      <c r="CY287" s="99"/>
      <c r="CZ287" s="104"/>
      <c r="DA287" s="99"/>
      <c r="DB287" s="99"/>
      <c r="DC287" s="104"/>
      <c r="DD287" s="99"/>
      <c r="DE287" s="104"/>
      <c r="DF287" s="99"/>
      <c r="DG287" s="99"/>
      <c r="DH287" s="104"/>
      <c r="DI287" s="104"/>
      <c r="DJ287" s="104"/>
      <c r="DK287" s="99"/>
      <c r="DL287" s="99"/>
      <c r="DM287" s="104"/>
      <c r="DN287" s="104"/>
      <c r="DO287" s="104"/>
      <c r="DP287" s="99"/>
      <c r="DQ287" s="99"/>
      <c r="DR287" s="104"/>
      <c r="DS287" s="104"/>
      <c r="DT287" s="873"/>
      <c r="DU287" s="874"/>
      <c r="DV287" s="868"/>
      <c r="DW287" s="869"/>
      <c r="DX287" s="363"/>
      <c r="DY287" s="345"/>
      <c r="DZ287" s="408"/>
      <c r="EA287" s="10"/>
    </row>
    <row r="288" ht="17.25" customHeight="1">
      <c r="A288" s="3"/>
      <c r="B288" s="3"/>
      <c r="C288" s="74"/>
      <c r="D288" s="74"/>
      <c r="E288" s="74"/>
      <c r="F288" s="74"/>
      <c r="G288" s="74"/>
      <c r="H288" s="74"/>
      <c r="I288" s="74"/>
      <c r="J288" s="74"/>
      <c r="K288" s="74"/>
      <c r="L288" s="80"/>
      <c r="M288" s="74"/>
      <c r="N288" s="74"/>
      <c r="O288" s="74"/>
      <c r="P288" s="74"/>
      <c r="Q288" s="80"/>
      <c r="R288" s="74"/>
      <c r="S288" s="74"/>
      <c r="T288" s="74"/>
      <c r="U288" s="74"/>
      <c r="V288" s="80"/>
      <c r="W288" s="74"/>
      <c r="X288" s="74"/>
      <c r="Y288" s="74"/>
      <c r="Z288" s="74"/>
      <c r="AA288" s="80"/>
      <c r="AB288" s="74"/>
      <c r="AC288" s="74"/>
      <c r="AD288" s="74"/>
      <c r="AE288" s="74"/>
      <c r="AF288" s="80"/>
      <c r="AG288" s="74"/>
      <c r="AH288" s="74"/>
      <c r="AI288" s="74"/>
      <c r="AJ288" s="74"/>
      <c r="AK288" s="80"/>
      <c r="AL288" s="74"/>
      <c r="AM288" s="74"/>
      <c r="AN288" s="74"/>
      <c r="AO288" s="74"/>
      <c r="AP288" s="80"/>
      <c r="AQ288" s="74"/>
      <c r="AR288" s="80"/>
      <c r="AS288" s="87"/>
      <c r="AT288" s="93"/>
      <c r="AU288" s="94"/>
      <c r="AV288" s="93"/>
      <c r="AW288" s="94"/>
      <c r="AX288" s="87"/>
      <c r="AY288" s="93"/>
      <c r="AZ288" s="94"/>
      <c r="BA288" s="93"/>
      <c r="BB288" s="94"/>
      <c r="BC288" s="87"/>
      <c r="BD288" s="93"/>
      <c r="BE288" s="94"/>
      <c r="BF288" s="93"/>
      <c r="BG288" s="94"/>
      <c r="BH288" s="87"/>
      <c r="BI288" s="99"/>
      <c r="BJ288" s="104"/>
      <c r="BK288" s="99"/>
      <c r="BL288" s="104"/>
      <c r="BM288" s="99"/>
      <c r="BN288" s="99"/>
      <c r="BO288" s="104"/>
      <c r="BP288" s="99"/>
      <c r="BQ288" s="104"/>
      <c r="BR288" s="99"/>
      <c r="BS288" s="99"/>
      <c r="BT288" s="104"/>
      <c r="BU288" s="99"/>
      <c r="BV288" s="104"/>
      <c r="BW288" s="99"/>
      <c r="BX288" s="99"/>
      <c r="BY288" s="104"/>
      <c r="BZ288" s="99"/>
      <c r="CA288" s="104"/>
      <c r="CB288" s="99"/>
      <c r="CC288" s="99"/>
      <c r="CD288" s="104"/>
      <c r="CE288" s="99"/>
      <c r="CF288" s="104"/>
      <c r="CG288" s="99"/>
      <c r="CH288" s="99"/>
      <c r="CI288" s="104"/>
      <c r="CJ288" s="99"/>
      <c r="CK288" s="104"/>
      <c r="CL288" s="99"/>
      <c r="CM288" s="118"/>
      <c r="CN288" s="893"/>
      <c r="CO288" s="118"/>
      <c r="CP288" s="104"/>
      <c r="CQ288" s="99"/>
      <c r="CR288" s="99"/>
      <c r="CS288" s="104"/>
      <c r="CT288" s="99"/>
      <c r="CU288" s="104"/>
      <c r="CV288" s="99"/>
      <c r="CW288" s="99"/>
      <c r="CX288" s="104"/>
      <c r="CY288" s="99"/>
      <c r="CZ288" s="104"/>
      <c r="DA288" s="99"/>
      <c r="DB288" s="99"/>
      <c r="DC288" s="104"/>
      <c r="DD288" s="99"/>
      <c r="DE288" s="104"/>
      <c r="DF288" s="99"/>
      <c r="DG288" s="99"/>
      <c r="DH288" s="104"/>
      <c r="DI288" s="104"/>
      <c r="DJ288" s="104"/>
      <c r="DK288" s="99"/>
      <c r="DL288" s="99"/>
      <c r="DM288" s="104"/>
      <c r="DN288" s="104"/>
      <c r="DO288" s="104"/>
      <c r="DP288" s="99"/>
      <c r="DQ288" s="99"/>
      <c r="DR288" s="104"/>
      <c r="DS288" s="104"/>
      <c r="DT288" s="873"/>
      <c r="DU288" s="874"/>
      <c r="DV288" s="868"/>
      <c r="DW288" s="869"/>
      <c r="DX288" s="363"/>
      <c r="DY288" s="345"/>
      <c r="DZ288" s="408"/>
      <c r="EA288" s="10"/>
    </row>
    <row r="289" ht="17.25" customHeight="1">
      <c r="A289" s="3"/>
      <c r="B289" s="3"/>
      <c r="C289" s="74"/>
      <c r="D289" s="74"/>
      <c r="E289" s="74"/>
      <c r="F289" s="74"/>
      <c r="G289" s="74"/>
      <c r="H289" s="74"/>
      <c r="I289" s="74"/>
      <c r="J289" s="74"/>
      <c r="K289" s="74"/>
      <c r="L289" s="80"/>
      <c r="M289" s="74"/>
      <c r="N289" s="74"/>
      <c r="O289" s="74"/>
      <c r="P289" s="74"/>
      <c r="Q289" s="80"/>
      <c r="R289" s="74"/>
      <c r="S289" s="74"/>
      <c r="T289" s="74"/>
      <c r="U289" s="74"/>
      <c r="V289" s="80"/>
      <c r="W289" s="74"/>
      <c r="X289" s="74"/>
      <c r="Y289" s="74"/>
      <c r="Z289" s="74"/>
      <c r="AA289" s="80"/>
      <c r="AB289" s="74"/>
      <c r="AC289" s="74"/>
      <c r="AD289" s="74"/>
      <c r="AE289" s="74"/>
      <c r="AF289" s="80"/>
      <c r="AG289" s="74"/>
      <c r="AH289" s="74"/>
      <c r="AI289" s="74"/>
      <c r="AJ289" s="74"/>
      <c r="AK289" s="80"/>
      <c r="AL289" s="74"/>
      <c r="AM289" s="74"/>
      <c r="AN289" s="74"/>
      <c r="AO289" s="74"/>
      <c r="AP289" s="80"/>
      <c r="AQ289" s="74"/>
      <c r="AR289" s="80"/>
      <c r="AS289" s="87"/>
      <c r="AT289" s="93"/>
      <c r="AU289" s="94"/>
      <c r="AV289" s="93"/>
      <c r="AW289" s="94"/>
      <c r="AX289" s="87"/>
      <c r="AY289" s="93"/>
      <c r="AZ289" s="94"/>
      <c r="BA289" s="93"/>
      <c r="BB289" s="94"/>
      <c r="BC289" s="87"/>
      <c r="BD289" s="93"/>
      <c r="BE289" s="94"/>
      <c r="BF289" s="93"/>
      <c r="BG289" s="94"/>
      <c r="BH289" s="87"/>
      <c r="BI289" s="99"/>
      <c r="BJ289" s="104"/>
      <c r="BK289" s="99"/>
      <c r="BL289" s="104"/>
      <c r="BM289" s="99"/>
      <c r="BN289" s="99"/>
      <c r="BO289" s="104"/>
      <c r="BP289" s="99"/>
      <c r="BQ289" s="104"/>
      <c r="BR289" s="99"/>
      <c r="BS289" s="99"/>
      <c r="BT289" s="104"/>
      <c r="BU289" s="99"/>
      <c r="BV289" s="104"/>
      <c r="BW289" s="99"/>
      <c r="BX289" s="99"/>
      <c r="BY289" s="104"/>
      <c r="BZ289" s="99"/>
      <c r="CA289" s="104"/>
      <c r="CB289" s="99"/>
      <c r="CC289" s="99"/>
      <c r="CD289" s="104"/>
      <c r="CE289" s="99"/>
      <c r="CF289" s="104"/>
      <c r="CG289" s="99"/>
      <c r="CH289" s="99"/>
      <c r="CI289" s="104"/>
      <c r="CJ289" s="99"/>
      <c r="CK289" s="104"/>
      <c r="CL289" s="99"/>
      <c r="CM289" s="118"/>
      <c r="CN289" s="893"/>
      <c r="CO289" s="118"/>
      <c r="CP289" s="104"/>
      <c r="CQ289" s="99"/>
      <c r="CR289" s="99"/>
      <c r="CS289" s="104"/>
      <c r="CT289" s="99"/>
      <c r="CU289" s="104"/>
      <c r="CV289" s="99"/>
      <c r="CW289" s="99"/>
      <c r="CX289" s="104"/>
      <c r="CY289" s="99"/>
      <c r="CZ289" s="104"/>
      <c r="DA289" s="99"/>
      <c r="DB289" s="99"/>
      <c r="DC289" s="104"/>
      <c r="DD289" s="99"/>
      <c r="DE289" s="104"/>
      <c r="DF289" s="99"/>
      <c r="DG289" s="99"/>
      <c r="DH289" s="104"/>
      <c r="DI289" s="104"/>
      <c r="DJ289" s="104"/>
      <c r="DK289" s="99"/>
      <c r="DL289" s="99"/>
      <c r="DM289" s="104"/>
      <c r="DN289" s="104"/>
      <c r="DO289" s="104"/>
      <c r="DP289" s="99"/>
      <c r="DQ289" s="99"/>
      <c r="DR289" s="104"/>
      <c r="DS289" s="104"/>
      <c r="DT289" s="873"/>
      <c r="DU289" s="874"/>
      <c r="DV289" s="868"/>
      <c r="DW289" s="869"/>
      <c r="DX289" s="363"/>
      <c r="DY289" s="345"/>
      <c r="DZ289" s="408"/>
      <c r="EA289" s="10"/>
    </row>
    <row r="290" ht="17.25" customHeight="1">
      <c r="A290" s="3"/>
      <c r="B290" s="3"/>
      <c r="C290" s="74"/>
      <c r="D290" s="74"/>
      <c r="E290" s="74"/>
      <c r="F290" s="74"/>
      <c r="G290" s="74"/>
      <c r="H290" s="74"/>
      <c r="I290" s="74"/>
      <c r="J290" s="74"/>
      <c r="K290" s="74"/>
      <c r="L290" s="80"/>
      <c r="M290" s="74"/>
      <c r="N290" s="74"/>
      <c r="O290" s="74"/>
      <c r="P290" s="74"/>
      <c r="Q290" s="80"/>
      <c r="R290" s="74"/>
      <c r="S290" s="74"/>
      <c r="T290" s="74"/>
      <c r="U290" s="74"/>
      <c r="V290" s="80"/>
      <c r="W290" s="74"/>
      <c r="X290" s="74"/>
      <c r="Y290" s="74"/>
      <c r="Z290" s="74"/>
      <c r="AA290" s="80"/>
      <c r="AB290" s="74"/>
      <c r="AC290" s="74"/>
      <c r="AD290" s="74"/>
      <c r="AE290" s="74"/>
      <c r="AF290" s="80"/>
      <c r="AG290" s="74"/>
      <c r="AH290" s="74"/>
      <c r="AI290" s="74"/>
      <c r="AJ290" s="74"/>
      <c r="AK290" s="80"/>
      <c r="AL290" s="74"/>
      <c r="AM290" s="74"/>
      <c r="AN290" s="74"/>
      <c r="AO290" s="74"/>
      <c r="AP290" s="80"/>
      <c r="AQ290" s="74"/>
      <c r="AR290" s="80"/>
      <c r="AS290" s="87"/>
      <c r="AT290" s="93"/>
      <c r="AU290" s="94"/>
      <c r="AV290" s="93"/>
      <c r="AW290" s="94"/>
      <c r="AX290" s="87"/>
      <c r="AY290" s="93"/>
      <c r="AZ290" s="94"/>
      <c r="BA290" s="93"/>
      <c r="BB290" s="94"/>
      <c r="BC290" s="87"/>
      <c r="BD290" s="93"/>
      <c r="BE290" s="94"/>
      <c r="BF290" s="93"/>
      <c r="BG290" s="94"/>
      <c r="BH290" s="87"/>
      <c r="BI290" s="99"/>
      <c r="BJ290" s="104"/>
      <c r="BK290" s="99"/>
      <c r="BL290" s="104"/>
      <c r="BM290" s="99"/>
      <c r="BN290" s="99"/>
      <c r="BO290" s="104"/>
      <c r="BP290" s="99"/>
      <c r="BQ290" s="104"/>
      <c r="BR290" s="99"/>
      <c r="BS290" s="99"/>
      <c r="BT290" s="104"/>
      <c r="BU290" s="99"/>
      <c r="BV290" s="104"/>
      <c r="BW290" s="99"/>
      <c r="BX290" s="99"/>
      <c r="BY290" s="104"/>
      <c r="BZ290" s="99"/>
      <c r="CA290" s="104"/>
      <c r="CB290" s="99"/>
      <c r="CC290" s="99"/>
      <c r="CD290" s="104"/>
      <c r="CE290" s="99"/>
      <c r="CF290" s="104"/>
      <c r="CG290" s="99"/>
      <c r="CH290" s="99"/>
      <c r="CI290" s="104"/>
      <c r="CJ290" s="99"/>
      <c r="CK290" s="104"/>
      <c r="CL290" s="99"/>
      <c r="CM290" s="118"/>
      <c r="CN290" s="893"/>
      <c r="CO290" s="118"/>
      <c r="CP290" s="104"/>
      <c r="CQ290" s="99"/>
      <c r="CR290" s="99"/>
      <c r="CS290" s="104"/>
      <c r="CT290" s="99"/>
      <c r="CU290" s="104"/>
      <c r="CV290" s="99"/>
      <c r="CW290" s="99"/>
      <c r="CX290" s="104"/>
      <c r="CY290" s="99"/>
      <c r="CZ290" s="104"/>
      <c r="DA290" s="99"/>
      <c r="DB290" s="99"/>
      <c r="DC290" s="104"/>
      <c r="DD290" s="99"/>
      <c r="DE290" s="104"/>
      <c r="DF290" s="99"/>
      <c r="DG290" s="99"/>
      <c r="DH290" s="104"/>
      <c r="DI290" s="104"/>
      <c r="DJ290" s="104"/>
      <c r="DK290" s="99"/>
      <c r="DL290" s="99"/>
      <c r="DM290" s="104"/>
      <c r="DN290" s="104"/>
      <c r="DO290" s="104"/>
      <c r="DP290" s="99"/>
      <c r="DQ290" s="99"/>
      <c r="DR290" s="104"/>
      <c r="DS290" s="104"/>
      <c r="DT290" s="873"/>
      <c r="DU290" s="874"/>
      <c r="DV290" s="868"/>
      <c r="DW290" s="869"/>
      <c r="DX290" s="363"/>
      <c r="DY290" s="345"/>
      <c r="DZ290" s="408"/>
      <c r="EA290" s="10"/>
    </row>
    <row r="291" ht="17.25" customHeight="1">
      <c r="A291" s="3"/>
      <c r="B291" s="3"/>
      <c r="C291" s="74"/>
      <c r="D291" s="74"/>
      <c r="E291" s="74"/>
      <c r="F291" s="74"/>
      <c r="G291" s="74"/>
      <c r="H291" s="74"/>
      <c r="I291" s="74"/>
      <c r="J291" s="74"/>
      <c r="K291" s="74"/>
      <c r="L291" s="80"/>
      <c r="M291" s="74"/>
      <c r="N291" s="74"/>
      <c r="O291" s="74"/>
      <c r="P291" s="74"/>
      <c r="Q291" s="80"/>
      <c r="R291" s="74"/>
      <c r="S291" s="74"/>
      <c r="T291" s="74"/>
      <c r="U291" s="74"/>
      <c r="V291" s="80"/>
      <c r="W291" s="74"/>
      <c r="X291" s="74"/>
      <c r="Y291" s="74"/>
      <c r="Z291" s="74"/>
      <c r="AA291" s="80"/>
      <c r="AB291" s="74"/>
      <c r="AC291" s="74"/>
      <c r="AD291" s="74"/>
      <c r="AE291" s="74"/>
      <c r="AF291" s="80"/>
      <c r="AG291" s="74"/>
      <c r="AH291" s="74"/>
      <c r="AI291" s="74"/>
      <c r="AJ291" s="74"/>
      <c r="AK291" s="80"/>
      <c r="AL291" s="74"/>
      <c r="AM291" s="74"/>
      <c r="AN291" s="74"/>
      <c r="AO291" s="74"/>
      <c r="AP291" s="80"/>
      <c r="AQ291" s="74"/>
      <c r="AR291" s="80"/>
      <c r="AS291" s="87"/>
      <c r="AT291" s="93"/>
      <c r="AU291" s="94"/>
      <c r="AV291" s="93"/>
      <c r="AW291" s="94"/>
      <c r="AX291" s="87"/>
      <c r="AY291" s="93"/>
      <c r="AZ291" s="94"/>
      <c r="BA291" s="93"/>
      <c r="BB291" s="94"/>
      <c r="BC291" s="87"/>
      <c r="BD291" s="93"/>
      <c r="BE291" s="94"/>
      <c r="BF291" s="93"/>
      <c r="BG291" s="94"/>
      <c r="BH291" s="87"/>
      <c r="BI291" s="99"/>
      <c r="BJ291" s="104"/>
      <c r="BK291" s="99"/>
      <c r="BL291" s="104"/>
      <c r="BM291" s="99"/>
      <c r="BN291" s="99"/>
      <c r="BO291" s="104"/>
      <c r="BP291" s="99"/>
      <c r="BQ291" s="104"/>
      <c r="BR291" s="99"/>
      <c r="BS291" s="99"/>
      <c r="BT291" s="104"/>
      <c r="BU291" s="99"/>
      <c r="BV291" s="104"/>
      <c r="BW291" s="99"/>
      <c r="BX291" s="99"/>
      <c r="BY291" s="104"/>
      <c r="BZ291" s="99"/>
      <c r="CA291" s="104"/>
      <c r="CB291" s="99"/>
      <c r="CC291" s="99"/>
      <c r="CD291" s="104"/>
      <c r="CE291" s="99"/>
      <c r="CF291" s="104"/>
      <c r="CG291" s="99"/>
      <c r="CH291" s="99"/>
      <c r="CI291" s="104"/>
      <c r="CJ291" s="99"/>
      <c r="CK291" s="104"/>
      <c r="CL291" s="99"/>
      <c r="CM291" s="118"/>
      <c r="CN291" s="893"/>
      <c r="CO291" s="118"/>
      <c r="CP291" s="104"/>
      <c r="CQ291" s="99"/>
      <c r="CR291" s="99"/>
      <c r="CS291" s="104"/>
      <c r="CT291" s="99"/>
      <c r="CU291" s="104"/>
      <c r="CV291" s="99"/>
      <c r="CW291" s="99"/>
      <c r="CX291" s="104"/>
      <c r="CY291" s="99"/>
      <c r="CZ291" s="104"/>
      <c r="DA291" s="99"/>
      <c r="DB291" s="99"/>
      <c r="DC291" s="104"/>
      <c r="DD291" s="99"/>
      <c r="DE291" s="104"/>
      <c r="DF291" s="99"/>
      <c r="DG291" s="99"/>
      <c r="DH291" s="104"/>
      <c r="DI291" s="104"/>
      <c r="DJ291" s="104"/>
      <c r="DK291" s="99"/>
      <c r="DL291" s="99"/>
      <c r="DM291" s="104"/>
      <c r="DN291" s="104"/>
      <c r="DO291" s="104"/>
      <c r="DP291" s="99"/>
      <c r="DQ291" s="99"/>
      <c r="DR291" s="104"/>
      <c r="DS291" s="104"/>
      <c r="DT291" s="873"/>
      <c r="DU291" s="874"/>
      <c r="DV291" s="868"/>
      <c r="DW291" s="869"/>
      <c r="DX291" s="363"/>
      <c r="DY291" s="345"/>
      <c r="DZ291" s="408"/>
      <c r="EA291" s="10"/>
    </row>
    <row r="292" ht="17.25" customHeight="1">
      <c r="A292" s="3"/>
      <c r="B292" s="3"/>
      <c r="C292" s="74"/>
      <c r="D292" s="74"/>
      <c r="E292" s="74"/>
      <c r="F292" s="74"/>
      <c r="G292" s="74"/>
      <c r="H292" s="74"/>
      <c r="I292" s="74"/>
      <c r="J292" s="74"/>
      <c r="K292" s="74"/>
      <c r="L292" s="80"/>
      <c r="M292" s="74"/>
      <c r="N292" s="74"/>
      <c r="O292" s="74"/>
      <c r="P292" s="74"/>
      <c r="Q292" s="80"/>
      <c r="R292" s="74"/>
      <c r="S292" s="74"/>
      <c r="T292" s="74"/>
      <c r="U292" s="74"/>
      <c r="V292" s="80"/>
      <c r="W292" s="74"/>
      <c r="X292" s="74"/>
      <c r="Y292" s="74"/>
      <c r="Z292" s="74"/>
      <c r="AA292" s="80"/>
      <c r="AB292" s="74"/>
      <c r="AC292" s="74"/>
      <c r="AD292" s="74"/>
      <c r="AE292" s="74"/>
      <c r="AF292" s="80"/>
      <c r="AG292" s="74"/>
      <c r="AH292" s="74"/>
      <c r="AI292" s="74"/>
      <c r="AJ292" s="74"/>
      <c r="AK292" s="80"/>
      <c r="AL292" s="74"/>
      <c r="AM292" s="74"/>
      <c r="AN292" s="74"/>
      <c r="AO292" s="74"/>
      <c r="AP292" s="80"/>
      <c r="AQ292" s="74"/>
      <c r="AR292" s="80"/>
      <c r="AS292" s="87"/>
      <c r="AT292" s="93"/>
      <c r="AU292" s="94"/>
      <c r="AV292" s="93"/>
      <c r="AW292" s="94"/>
      <c r="AX292" s="87"/>
      <c r="AY292" s="93"/>
      <c r="AZ292" s="94"/>
      <c r="BA292" s="93"/>
      <c r="BB292" s="94"/>
      <c r="BC292" s="87"/>
      <c r="BD292" s="93"/>
      <c r="BE292" s="94"/>
      <c r="BF292" s="93"/>
      <c r="BG292" s="94"/>
      <c r="BH292" s="87"/>
      <c r="BI292" s="99"/>
      <c r="BJ292" s="104"/>
      <c r="BK292" s="99"/>
      <c r="BL292" s="104"/>
      <c r="BM292" s="99"/>
      <c r="BN292" s="99"/>
      <c r="BO292" s="104"/>
      <c r="BP292" s="99"/>
      <c r="BQ292" s="104"/>
      <c r="BR292" s="99"/>
      <c r="BS292" s="99"/>
      <c r="BT292" s="104"/>
      <c r="BU292" s="99"/>
      <c r="BV292" s="104"/>
      <c r="BW292" s="99"/>
      <c r="BX292" s="99"/>
      <c r="BY292" s="104"/>
      <c r="BZ292" s="99"/>
      <c r="CA292" s="104"/>
      <c r="CB292" s="99"/>
      <c r="CC292" s="99"/>
      <c r="CD292" s="104"/>
      <c r="CE292" s="99"/>
      <c r="CF292" s="104"/>
      <c r="CG292" s="99"/>
      <c r="CH292" s="99"/>
      <c r="CI292" s="104"/>
      <c r="CJ292" s="99"/>
      <c r="CK292" s="104"/>
      <c r="CL292" s="99"/>
      <c r="CM292" s="118"/>
      <c r="CN292" s="893"/>
      <c r="CO292" s="118"/>
      <c r="CP292" s="104"/>
      <c r="CQ292" s="99"/>
      <c r="CR292" s="99"/>
      <c r="CS292" s="104"/>
      <c r="CT292" s="99"/>
      <c r="CU292" s="104"/>
      <c r="CV292" s="99"/>
      <c r="CW292" s="99"/>
      <c r="CX292" s="104"/>
      <c r="CY292" s="99"/>
      <c r="CZ292" s="104"/>
      <c r="DA292" s="99"/>
      <c r="DB292" s="99"/>
      <c r="DC292" s="104"/>
      <c r="DD292" s="99"/>
      <c r="DE292" s="104"/>
      <c r="DF292" s="99"/>
      <c r="DG292" s="99"/>
      <c r="DH292" s="104"/>
      <c r="DI292" s="104"/>
      <c r="DJ292" s="104"/>
      <c r="DK292" s="99"/>
      <c r="DL292" s="99"/>
      <c r="DM292" s="104"/>
      <c r="DN292" s="104"/>
      <c r="DO292" s="104"/>
      <c r="DP292" s="99"/>
      <c r="DQ292" s="99"/>
      <c r="DR292" s="104"/>
      <c r="DS292" s="104"/>
      <c r="DT292" s="873"/>
      <c r="DU292" s="874"/>
      <c r="DV292" s="868"/>
      <c r="DW292" s="869"/>
      <c r="DX292" s="363"/>
      <c r="DY292" s="345"/>
      <c r="DZ292" s="408"/>
      <c r="EA292" s="10"/>
    </row>
    <row r="293" ht="17.25" customHeight="1">
      <c r="A293" s="3"/>
      <c r="B293" s="3"/>
      <c r="C293" s="74"/>
      <c r="D293" s="74"/>
      <c r="E293" s="74"/>
      <c r="F293" s="74"/>
      <c r="G293" s="74"/>
      <c r="H293" s="74"/>
      <c r="I293" s="74"/>
      <c r="J293" s="74"/>
      <c r="K293" s="74"/>
      <c r="L293" s="80"/>
      <c r="M293" s="74"/>
      <c r="N293" s="74"/>
      <c r="O293" s="74"/>
      <c r="P293" s="74"/>
      <c r="Q293" s="80"/>
      <c r="R293" s="74"/>
      <c r="S293" s="74"/>
      <c r="T293" s="74"/>
      <c r="U293" s="74"/>
      <c r="V293" s="80"/>
      <c r="W293" s="74"/>
      <c r="X293" s="74"/>
      <c r="Y293" s="74"/>
      <c r="Z293" s="74"/>
      <c r="AA293" s="80"/>
      <c r="AB293" s="74"/>
      <c r="AC293" s="74"/>
      <c r="AD293" s="74"/>
      <c r="AE293" s="74"/>
      <c r="AF293" s="80"/>
      <c r="AG293" s="74"/>
      <c r="AH293" s="74"/>
      <c r="AI293" s="74"/>
      <c r="AJ293" s="74"/>
      <c r="AK293" s="80"/>
      <c r="AL293" s="74"/>
      <c r="AM293" s="74"/>
      <c r="AN293" s="74"/>
      <c r="AO293" s="74"/>
      <c r="AP293" s="80"/>
      <c r="AQ293" s="74"/>
      <c r="AR293" s="80"/>
      <c r="AS293" s="87"/>
      <c r="AT293" s="93"/>
      <c r="AU293" s="94"/>
      <c r="AV293" s="93"/>
      <c r="AW293" s="94"/>
      <c r="AX293" s="87"/>
      <c r="AY293" s="93"/>
      <c r="AZ293" s="94"/>
      <c r="BA293" s="93"/>
      <c r="BB293" s="94"/>
      <c r="BC293" s="87"/>
      <c r="BD293" s="93"/>
      <c r="BE293" s="94"/>
      <c r="BF293" s="93"/>
      <c r="BG293" s="94"/>
      <c r="BH293" s="87"/>
      <c r="BI293" s="99"/>
      <c r="BJ293" s="104"/>
      <c r="BK293" s="99"/>
      <c r="BL293" s="104"/>
      <c r="BM293" s="99"/>
      <c r="BN293" s="99"/>
      <c r="BO293" s="104"/>
      <c r="BP293" s="99"/>
      <c r="BQ293" s="104"/>
      <c r="BR293" s="99"/>
      <c r="BS293" s="99"/>
      <c r="BT293" s="104"/>
      <c r="BU293" s="99"/>
      <c r="BV293" s="104"/>
      <c r="BW293" s="99"/>
      <c r="BX293" s="99"/>
      <c r="BY293" s="104"/>
      <c r="BZ293" s="99"/>
      <c r="CA293" s="104"/>
      <c r="CB293" s="99"/>
      <c r="CC293" s="99"/>
      <c r="CD293" s="104"/>
      <c r="CE293" s="99"/>
      <c r="CF293" s="104"/>
      <c r="CG293" s="99"/>
      <c r="CH293" s="99"/>
      <c r="CI293" s="104"/>
      <c r="CJ293" s="99"/>
      <c r="CK293" s="104"/>
      <c r="CL293" s="99"/>
      <c r="CM293" s="118"/>
      <c r="CN293" s="893"/>
      <c r="CO293" s="118"/>
      <c r="CP293" s="104"/>
      <c r="CQ293" s="99"/>
      <c r="CR293" s="99"/>
      <c r="CS293" s="104"/>
      <c r="CT293" s="99"/>
      <c r="CU293" s="104"/>
      <c r="CV293" s="99"/>
      <c r="CW293" s="99"/>
      <c r="CX293" s="104"/>
      <c r="CY293" s="99"/>
      <c r="CZ293" s="104"/>
      <c r="DA293" s="99"/>
      <c r="DB293" s="99"/>
      <c r="DC293" s="104"/>
      <c r="DD293" s="99"/>
      <c r="DE293" s="104"/>
      <c r="DF293" s="99"/>
      <c r="DG293" s="99"/>
      <c r="DH293" s="104"/>
      <c r="DI293" s="104"/>
      <c r="DJ293" s="104"/>
      <c r="DK293" s="99"/>
      <c r="DL293" s="99"/>
      <c r="DM293" s="104"/>
      <c r="DN293" s="104"/>
      <c r="DO293" s="104"/>
      <c r="DP293" s="99"/>
      <c r="DQ293" s="99"/>
      <c r="DR293" s="104"/>
      <c r="DS293" s="104"/>
      <c r="DT293" s="873"/>
      <c r="DU293" s="874"/>
      <c r="DV293" s="868"/>
      <c r="DW293" s="869"/>
      <c r="DX293" s="363"/>
      <c r="DY293" s="345"/>
      <c r="DZ293" s="408"/>
      <c r="EA293" s="10"/>
    </row>
    <row r="294" ht="17.25" customHeight="1">
      <c r="A294" s="3"/>
      <c r="B294" s="3"/>
      <c r="C294" s="74"/>
      <c r="D294" s="74"/>
      <c r="E294" s="74"/>
      <c r="F294" s="74"/>
      <c r="G294" s="74"/>
      <c r="H294" s="74"/>
      <c r="I294" s="74"/>
      <c r="J294" s="74"/>
      <c r="K294" s="74"/>
      <c r="L294" s="80"/>
      <c r="M294" s="74"/>
      <c r="N294" s="74"/>
      <c r="O294" s="74"/>
      <c r="P294" s="74"/>
      <c r="Q294" s="80"/>
      <c r="R294" s="74"/>
      <c r="S294" s="74"/>
      <c r="T294" s="74"/>
      <c r="U294" s="74"/>
      <c r="V294" s="80"/>
      <c r="W294" s="74"/>
      <c r="X294" s="74"/>
      <c r="Y294" s="74"/>
      <c r="Z294" s="74"/>
      <c r="AA294" s="80"/>
      <c r="AB294" s="74"/>
      <c r="AC294" s="74"/>
      <c r="AD294" s="74"/>
      <c r="AE294" s="74"/>
      <c r="AF294" s="80"/>
      <c r="AG294" s="74"/>
      <c r="AH294" s="74"/>
      <c r="AI294" s="74"/>
      <c r="AJ294" s="74"/>
      <c r="AK294" s="80"/>
      <c r="AL294" s="74"/>
      <c r="AM294" s="74"/>
      <c r="AN294" s="74"/>
      <c r="AO294" s="74"/>
      <c r="AP294" s="80"/>
      <c r="AQ294" s="74"/>
      <c r="AR294" s="80"/>
      <c r="AS294" s="87"/>
      <c r="AT294" s="93"/>
      <c r="AU294" s="94"/>
      <c r="AV294" s="93"/>
      <c r="AW294" s="94"/>
      <c r="AX294" s="87"/>
      <c r="AY294" s="93"/>
      <c r="AZ294" s="94"/>
      <c r="BA294" s="93"/>
      <c r="BB294" s="94"/>
      <c r="BC294" s="87"/>
      <c r="BD294" s="93"/>
      <c r="BE294" s="94"/>
      <c r="BF294" s="93"/>
      <c r="BG294" s="94"/>
      <c r="BH294" s="87"/>
      <c r="BI294" s="99"/>
      <c r="BJ294" s="104"/>
      <c r="BK294" s="99"/>
      <c r="BL294" s="104"/>
      <c r="BM294" s="99"/>
      <c r="BN294" s="99"/>
      <c r="BO294" s="104"/>
      <c r="BP294" s="99"/>
      <c r="BQ294" s="104"/>
      <c r="BR294" s="99"/>
      <c r="BS294" s="99"/>
      <c r="BT294" s="104"/>
      <c r="BU294" s="99"/>
      <c r="BV294" s="104"/>
      <c r="BW294" s="99"/>
      <c r="BX294" s="99"/>
      <c r="BY294" s="104"/>
      <c r="BZ294" s="99"/>
      <c r="CA294" s="104"/>
      <c r="CB294" s="99"/>
      <c r="CC294" s="99"/>
      <c r="CD294" s="104"/>
      <c r="CE294" s="99"/>
      <c r="CF294" s="104"/>
      <c r="CG294" s="99"/>
      <c r="CH294" s="99"/>
      <c r="CI294" s="104"/>
      <c r="CJ294" s="99"/>
      <c r="CK294" s="104"/>
      <c r="CL294" s="99"/>
      <c r="CM294" s="118"/>
      <c r="CN294" s="893"/>
      <c r="CO294" s="118"/>
      <c r="CP294" s="104"/>
      <c r="CQ294" s="99"/>
      <c r="CR294" s="99"/>
      <c r="CS294" s="104"/>
      <c r="CT294" s="99"/>
      <c r="CU294" s="104"/>
      <c r="CV294" s="99"/>
      <c r="CW294" s="99"/>
      <c r="CX294" s="104"/>
      <c r="CY294" s="99"/>
      <c r="CZ294" s="104"/>
      <c r="DA294" s="99"/>
      <c r="DB294" s="99"/>
      <c r="DC294" s="104"/>
      <c r="DD294" s="99"/>
      <c r="DE294" s="104"/>
      <c r="DF294" s="99"/>
      <c r="DG294" s="99"/>
      <c r="DH294" s="104"/>
      <c r="DI294" s="104"/>
      <c r="DJ294" s="104"/>
      <c r="DK294" s="99"/>
      <c r="DL294" s="99"/>
      <c r="DM294" s="104"/>
      <c r="DN294" s="104"/>
      <c r="DO294" s="104"/>
      <c r="DP294" s="99"/>
      <c r="DQ294" s="99"/>
      <c r="DR294" s="104"/>
      <c r="DS294" s="104"/>
      <c r="DT294" s="873"/>
      <c r="DU294" s="874"/>
      <c r="DV294" s="868"/>
      <c r="DW294" s="869"/>
      <c r="DX294" s="363"/>
      <c r="DY294" s="345"/>
      <c r="DZ294" s="408"/>
      <c r="EA294" s="10"/>
    </row>
    <row r="295" ht="17.25" customHeight="1">
      <c r="A295" s="3"/>
      <c r="B295" s="3"/>
      <c r="C295" s="74"/>
      <c r="D295" s="74"/>
      <c r="E295" s="74"/>
      <c r="F295" s="74"/>
      <c r="G295" s="74"/>
      <c r="H295" s="74"/>
      <c r="I295" s="74"/>
      <c r="J295" s="74"/>
      <c r="K295" s="74"/>
      <c r="L295" s="80"/>
      <c r="M295" s="74"/>
      <c r="N295" s="74"/>
      <c r="O295" s="74"/>
      <c r="P295" s="74"/>
      <c r="Q295" s="80"/>
      <c r="R295" s="74"/>
      <c r="S295" s="74"/>
      <c r="T295" s="74"/>
      <c r="U295" s="74"/>
      <c r="V295" s="80"/>
      <c r="W295" s="74"/>
      <c r="X295" s="74"/>
      <c r="Y295" s="74"/>
      <c r="Z295" s="74"/>
      <c r="AA295" s="80"/>
      <c r="AB295" s="74"/>
      <c r="AC295" s="74"/>
      <c r="AD295" s="74"/>
      <c r="AE295" s="74"/>
      <c r="AF295" s="80"/>
      <c r="AG295" s="74"/>
      <c r="AH295" s="74"/>
      <c r="AI295" s="74"/>
      <c r="AJ295" s="74"/>
      <c r="AK295" s="80"/>
      <c r="AL295" s="74"/>
      <c r="AM295" s="74"/>
      <c r="AN295" s="74"/>
      <c r="AO295" s="74"/>
      <c r="AP295" s="80"/>
      <c r="AQ295" s="74"/>
      <c r="AR295" s="80"/>
      <c r="AS295" s="87"/>
      <c r="AT295" s="93"/>
      <c r="AU295" s="94"/>
      <c r="AV295" s="93"/>
      <c r="AW295" s="94"/>
      <c r="AX295" s="87"/>
      <c r="AY295" s="93"/>
      <c r="AZ295" s="94"/>
      <c r="BA295" s="93"/>
      <c r="BB295" s="94"/>
      <c r="BC295" s="87"/>
      <c r="BD295" s="93"/>
      <c r="BE295" s="94"/>
      <c r="BF295" s="93"/>
      <c r="BG295" s="94"/>
      <c r="BH295" s="87"/>
      <c r="BI295" s="99"/>
      <c r="BJ295" s="104"/>
      <c r="BK295" s="99"/>
      <c r="BL295" s="104"/>
      <c r="BM295" s="99"/>
      <c r="BN295" s="99"/>
      <c r="BO295" s="104"/>
      <c r="BP295" s="99"/>
      <c r="BQ295" s="104"/>
      <c r="BR295" s="99"/>
      <c r="BS295" s="99"/>
      <c r="BT295" s="104"/>
      <c r="BU295" s="99"/>
      <c r="BV295" s="104"/>
      <c r="BW295" s="99"/>
      <c r="BX295" s="99"/>
      <c r="BY295" s="104"/>
      <c r="BZ295" s="99"/>
      <c r="CA295" s="104"/>
      <c r="CB295" s="99"/>
      <c r="CC295" s="99"/>
      <c r="CD295" s="104"/>
      <c r="CE295" s="99"/>
      <c r="CF295" s="104"/>
      <c r="CG295" s="99"/>
      <c r="CH295" s="99"/>
      <c r="CI295" s="104"/>
      <c r="CJ295" s="99"/>
      <c r="CK295" s="104"/>
      <c r="CL295" s="99"/>
      <c r="CM295" s="118"/>
      <c r="CN295" s="893"/>
      <c r="CO295" s="118"/>
      <c r="CP295" s="104"/>
      <c r="CQ295" s="99"/>
      <c r="CR295" s="99"/>
      <c r="CS295" s="104"/>
      <c r="CT295" s="99"/>
      <c r="CU295" s="104"/>
      <c r="CV295" s="99"/>
      <c r="CW295" s="99"/>
      <c r="CX295" s="104"/>
      <c r="CY295" s="99"/>
      <c r="CZ295" s="104"/>
      <c r="DA295" s="99"/>
      <c r="DB295" s="99"/>
      <c r="DC295" s="104"/>
      <c r="DD295" s="99"/>
      <c r="DE295" s="104"/>
      <c r="DF295" s="99"/>
      <c r="DG295" s="99"/>
      <c r="DH295" s="104"/>
      <c r="DI295" s="104"/>
      <c r="DJ295" s="104"/>
      <c r="DK295" s="99"/>
      <c r="DL295" s="99"/>
      <c r="DM295" s="104"/>
      <c r="DN295" s="104"/>
      <c r="DO295" s="104"/>
      <c r="DP295" s="99"/>
      <c r="DQ295" s="99"/>
      <c r="DR295" s="104"/>
      <c r="DS295" s="104"/>
      <c r="DT295" s="873"/>
      <c r="DU295" s="874"/>
      <c r="DV295" s="868"/>
      <c r="DW295" s="869"/>
      <c r="DX295" s="363"/>
      <c r="DY295" s="345"/>
      <c r="DZ295" s="408"/>
      <c r="EA295" s="10"/>
    </row>
    <row r="296" ht="17.25" customHeight="1">
      <c r="A296" s="3"/>
      <c r="B296" s="3"/>
      <c r="C296" s="74"/>
      <c r="D296" s="74"/>
      <c r="E296" s="74"/>
      <c r="F296" s="74"/>
      <c r="G296" s="74"/>
      <c r="H296" s="74"/>
      <c r="I296" s="74"/>
      <c r="J296" s="74"/>
      <c r="K296" s="74"/>
      <c r="L296" s="80"/>
      <c r="M296" s="74"/>
      <c r="N296" s="74"/>
      <c r="O296" s="74"/>
      <c r="P296" s="74"/>
      <c r="Q296" s="80"/>
      <c r="R296" s="74"/>
      <c r="S296" s="74"/>
      <c r="T296" s="74"/>
      <c r="U296" s="74"/>
      <c r="V296" s="80"/>
      <c r="W296" s="74"/>
      <c r="X296" s="74"/>
      <c r="Y296" s="74"/>
      <c r="Z296" s="74"/>
      <c r="AA296" s="80"/>
      <c r="AB296" s="74"/>
      <c r="AC296" s="74"/>
      <c r="AD296" s="74"/>
      <c r="AE296" s="74"/>
      <c r="AF296" s="80"/>
      <c r="AG296" s="74"/>
      <c r="AH296" s="74"/>
      <c r="AI296" s="74"/>
      <c r="AJ296" s="74"/>
      <c r="AK296" s="80"/>
      <c r="AL296" s="74"/>
      <c r="AM296" s="74"/>
      <c r="AN296" s="74"/>
      <c r="AO296" s="74"/>
      <c r="AP296" s="80"/>
      <c r="AQ296" s="74"/>
      <c r="AR296" s="80"/>
      <c r="AS296" s="87"/>
      <c r="AT296" s="93"/>
      <c r="AU296" s="94"/>
      <c r="AV296" s="93"/>
      <c r="AW296" s="94"/>
      <c r="AX296" s="87"/>
      <c r="AY296" s="93"/>
      <c r="AZ296" s="94"/>
      <c r="BA296" s="93"/>
      <c r="BB296" s="94"/>
      <c r="BC296" s="87"/>
      <c r="BD296" s="93"/>
      <c r="BE296" s="94"/>
      <c r="BF296" s="93"/>
      <c r="BG296" s="94"/>
      <c r="BH296" s="87"/>
      <c r="BI296" s="99"/>
      <c r="BJ296" s="104"/>
      <c r="BK296" s="99"/>
      <c r="BL296" s="104"/>
      <c r="BM296" s="99"/>
      <c r="BN296" s="99"/>
      <c r="BO296" s="104"/>
      <c r="BP296" s="99"/>
      <c r="BQ296" s="104"/>
      <c r="BR296" s="99"/>
      <c r="BS296" s="99"/>
      <c r="BT296" s="104"/>
      <c r="BU296" s="99"/>
      <c r="BV296" s="104"/>
      <c r="BW296" s="99"/>
      <c r="BX296" s="99"/>
      <c r="BY296" s="104"/>
      <c r="BZ296" s="99"/>
      <c r="CA296" s="104"/>
      <c r="CB296" s="99"/>
      <c r="CC296" s="99"/>
      <c r="CD296" s="104"/>
      <c r="CE296" s="99"/>
      <c r="CF296" s="104"/>
      <c r="CG296" s="99"/>
      <c r="CH296" s="99"/>
      <c r="CI296" s="104"/>
      <c r="CJ296" s="99"/>
      <c r="CK296" s="104"/>
      <c r="CL296" s="99"/>
      <c r="CM296" s="118"/>
      <c r="CN296" s="893"/>
      <c r="CO296" s="118"/>
      <c r="CP296" s="104"/>
      <c r="CQ296" s="99"/>
      <c r="CR296" s="99"/>
      <c r="CS296" s="104"/>
      <c r="CT296" s="99"/>
      <c r="CU296" s="104"/>
      <c r="CV296" s="99"/>
      <c r="CW296" s="99"/>
      <c r="CX296" s="104"/>
      <c r="CY296" s="99"/>
      <c r="CZ296" s="104"/>
      <c r="DA296" s="99"/>
      <c r="DB296" s="99"/>
      <c r="DC296" s="104"/>
      <c r="DD296" s="99"/>
      <c r="DE296" s="104"/>
      <c r="DF296" s="99"/>
      <c r="DG296" s="99"/>
      <c r="DH296" s="104"/>
      <c r="DI296" s="104"/>
      <c r="DJ296" s="104"/>
      <c r="DK296" s="99"/>
      <c r="DL296" s="99"/>
      <c r="DM296" s="104"/>
      <c r="DN296" s="104"/>
      <c r="DO296" s="104"/>
      <c r="DP296" s="99"/>
      <c r="DQ296" s="99"/>
      <c r="DR296" s="104"/>
      <c r="DS296" s="104"/>
      <c r="DT296" s="873"/>
      <c r="DU296" s="874"/>
      <c r="DV296" s="868"/>
      <c r="DW296" s="869"/>
      <c r="DX296" s="363"/>
      <c r="DY296" s="345"/>
      <c r="DZ296" s="408"/>
      <c r="EA296" s="10"/>
    </row>
    <row r="297" ht="17.25" customHeight="1">
      <c r="A297" s="3"/>
      <c r="B297" s="3"/>
      <c r="C297" s="74"/>
      <c r="D297" s="74"/>
      <c r="E297" s="74"/>
      <c r="F297" s="74"/>
      <c r="G297" s="74"/>
      <c r="H297" s="74"/>
      <c r="I297" s="74"/>
      <c r="J297" s="74"/>
      <c r="K297" s="74"/>
      <c r="L297" s="80"/>
      <c r="M297" s="74"/>
      <c r="N297" s="74"/>
      <c r="O297" s="74"/>
      <c r="P297" s="74"/>
      <c r="Q297" s="80"/>
      <c r="R297" s="74"/>
      <c r="S297" s="74"/>
      <c r="T297" s="74"/>
      <c r="U297" s="74"/>
      <c r="V297" s="80"/>
      <c r="W297" s="74"/>
      <c r="X297" s="74"/>
      <c r="Y297" s="74"/>
      <c r="Z297" s="74"/>
      <c r="AA297" s="80"/>
      <c r="AB297" s="74"/>
      <c r="AC297" s="74"/>
      <c r="AD297" s="74"/>
      <c r="AE297" s="74"/>
      <c r="AF297" s="80"/>
      <c r="AG297" s="74"/>
      <c r="AH297" s="74"/>
      <c r="AI297" s="74"/>
      <c r="AJ297" s="74"/>
      <c r="AK297" s="80"/>
      <c r="AL297" s="74"/>
      <c r="AM297" s="74"/>
      <c r="AN297" s="74"/>
      <c r="AO297" s="74"/>
      <c r="AP297" s="80"/>
      <c r="AQ297" s="74"/>
      <c r="AR297" s="80"/>
      <c r="AS297" s="87"/>
      <c r="AT297" s="93"/>
      <c r="AU297" s="94"/>
      <c r="AV297" s="93"/>
      <c r="AW297" s="94"/>
      <c r="AX297" s="87"/>
      <c r="AY297" s="93"/>
      <c r="AZ297" s="94"/>
      <c r="BA297" s="93"/>
      <c r="BB297" s="94"/>
      <c r="BC297" s="87"/>
      <c r="BD297" s="93"/>
      <c r="BE297" s="94"/>
      <c r="BF297" s="93"/>
      <c r="BG297" s="94"/>
      <c r="BH297" s="87"/>
      <c r="BI297" s="99"/>
      <c r="BJ297" s="104"/>
      <c r="BK297" s="99"/>
      <c r="BL297" s="104"/>
      <c r="BM297" s="99"/>
      <c r="BN297" s="99"/>
      <c r="BO297" s="104"/>
      <c r="BP297" s="99"/>
      <c r="BQ297" s="104"/>
      <c r="BR297" s="99"/>
      <c r="BS297" s="99"/>
      <c r="BT297" s="104"/>
      <c r="BU297" s="99"/>
      <c r="BV297" s="104"/>
      <c r="BW297" s="99"/>
      <c r="BX297" s="99"/>
      <c r="BY297" s="104"/>
      <c r="BZ297" s="99"/>
      <c r="CA297" s="104"/>
      <c r="CB297" s="99"/>
      <c r="CC297" s="99"/>
      <c r="CD297" s="104"/>
      <c r="CE297" s="99"/>
      <c r="CF297" s="104"/>
      <c r="CG297" s="99"/>
      <c r="CH297" s="99"/>
      <c r="CI297" s="104"/>
      <c r="CJ297" s="99"/>
      <c r="CK297" s="104"/>
      <c r="CL297" s="99"/>
      <c r="CM297" s="118"/>
      <c r="CN297" s="893"/>
      <c r="CO297" s="118"/>
      <c r="CP297" s="104"/>
      <c r="CQ297" s="99"/>
      <c r="CR297" s="99"/>
      <c r="CS297" s="104"/>
      <c r="CT297" s="99"/>
      <c r="CU297" s="104"/>
      <c r="CV297" s="99"/>
      <c r="CW297" s="99"/>
      <c r="CX297" s="104"/>
      <c r="CY297" s="99"/>
      <c r="CZ297" s="104"/>
      <c r="DA297" s="99"/>
      <c r="DB297" s="99"/>
      <c r="DC297" s="104"/>
      <c r="DD297" s="99"/>
      <c r="DE297" s="104"/>
      <c r="DF297" s="99"/>
      <c r="DG297" s="99"/>
      <c r="DH297" s="104"/>
      <c r="DI297" s="104"/>
      <c r="DJ297" s="104"/>
      <c r="DK297" s="99"/>
      <c r="DL297" s="99"/>
      <c r="DM297" s="104"/>
      <c r="DN297" s="104"/>
      <c r="DO297" s="104"/>
      <c r="DP297" s="99"/>
      <c r="DQ297" s="99"/>
      <c r="DR297" s="104"/>
      <c r="DS297" s="104"/>
      <c r="DT297" s="873"/>
      <c r="DU297" s="874"/>
      <c r="DV297" s="868"/>
      <c r="DW297" s="869"/>
      <c r="DX297" s="363"/>
      <c r="DY297" s="345"/>
      <c r="DZ297" s="408"/>
      <c r="EA297" s="10"/>
    </row>
    <row r="298" ht="17.25" customHeight="1">
      <c r="A298" s="3"/>
      <c r="B298" s="3"/>
      <c r="C298" s="74"/>
      <c r="D298" s="74"/>
      <c r="E298" s="74"/>
      <c r="F298" s="74"/>
      <c r="G298" s="74"/>
      <c r="H298" s="74"/>
      <c r="I298" s="74"/>
      <c r="J298" s="74"/>
      <c r="K298" s="74"/>
      <c r="L298" s="80"/>
      <c r="M298" s="74"/>
      <c r="N298" s="74"/>
      <c r="O298" s="74"/>
      <c r="P298" s="74"/>
      <c r="Q298" s="80"/>
      <c r="R298" s="74"/>
      <c r="S298" s="74"/>
      <c r="T298" s="74"/>
      <c r="U298" s="74"/>
      <c r="V298" s="80"/>
      <c r="W298" s="74"/>
      <c r="X298" s="74"/>
      <c r="Y298" s="74"/>
      <c r="Z298" s="74"/>
      <c r="AA298" s="80"/>
      <c r="AB298" s="74"/>
      <c r="AC298" s="74"/>
      <c r="AD298" s="74"/>
      <c r="AE298" s="74"/>
      <c r="AF298" s="80"/>
      <c r="AG298" s="74"/>
      <c r="AH298" s="74"/>
      <c r="AI298" s="74"/>
      <c r="AJ298" s="74"/>
      <c r="AK298" s="80"/>
      <c r="AL298" s="74"/>
      <c r="AM298" s="74"/>
      <c r="AN298" s="74"/>
      <c r="AO298" s="74"/>
      <c r="AP298" s="80"/>
      <c r="AQ298" s="74"/>
      <c r="AR298" s="80"/>
      <c r="AS298" s="87"/>
      <c r="AT298" s="93"/>
      <c r="AU298" s="94"/>
      <c r="AV298" s="93"/>
      <c r="AW298" s="94"/>
      <c r="AX298" s="87"/>
      <c r="AY298" s="93"/>
      <c r="AZ298" s="94"/>
      <c r="BA298" s="93"/>
      <c r="BB298" s="94"/>
      <c r="BC298" s="87"/>
      <c r="BD298" s="93"/>
      <c r="BE298" s="94"/>
      <c r="BF298" s="93"/>
      <c r="BG298" s="94"/>
      <c r="BH298" s="87"/>
      <c r="BI298" s="99"/>
      <c r="BJ298" s="104"/>
      <c r="BK298" s="99"/>
      <c r="BL298" s="104"/>
      <c r="BM298" s="99"/>
      <c r="BN298" s="99"/>
      <c r="BO298" s="104"/>
      <c r="BP298" s="99"/>
      <c r="BQ298" s="104"/>
      <c r="BR298" s="99"/>
      <c r="BS298" s="99"/>
      <c r="BT298" s="104"/>
      <c r="BU298" s="99"/>
      <c r="BV298" s="104"/>
      <c r="BW298" s="99"/>
      <c r="BX298" s="99"/>
      <c r="BY298" s="104"/>
      <c r="BZ298" s="99"/>
      <c r="CA298" s="104"/>
      <c r="CB298" s="99"/>
      <c r="CC298" s="99"/>
      <c r="CD298" s="104"/>
      <c r="CE298" s="99"/>
      <c r="CF298" s="104"/>
      <c r="CG298" s="99"/>
      <c r="CH298" s="99"/>
      <c r="CI298" s="104"/>
      <c r="CJ298" s="99"/>
      <c r="CK298" s="104"/>
      <c r="CL298" s="99"/>
      <c r="CM298" s="118"/>
      <c r="CN298" s="893"/>
      <c r="CO298" s="118"/>
      <c r="CP298" s="104"/>
      <c r="CQ298" s="99"/>
      <c r="CR298" s="99"/>
      <c r="CS298" s="104"/>
      <c r="CT298" s="99"/>
      <c r="CU298" s="104"/>
      <c r="CV298" s="99"/>
      <c r="CW298" s="99"/>
      <c r="CX298" s="104"/>
      <c r="CY298" s="99"/>
      <c r="CZ298" s="104"/>
      <c r="DA298" s="99"/>
      <c r="DB298" s="99"/>
      <c r="DC298" s="104"/>
      <c r="DD298" s="99"/>
      <c r="DE298" s="104"/>
      <c r="DF298" s="99"/>
      <c r="DG298" s="99"/>
      <c r="DH298" s="104"/>
      <c r="DI298" s="104"/>
      <c r="DJ298" s="104"/>
      <c r="DK298" s="99"/>
      <c r="DL298" s="99"/>
      <c r="DM298" s="104"/>
      <c r="DN298" s="104"/>
      <c r="DO298" s="104"/>
      <c r="DP298" s="99"/>
      <c r="DQ298" s="99"/>
      <c r="DR298" s="104"/>
      <c r="DS298" s="104"/>
      <c r="DT298" s="873"/>
      <c r="DU298" s="874"/>
      <c r="DV298" s="868"/>
      <c r="DW298" s="869"/>
      <c r="DX298" s="363"/>
      <c r="DY298" s="345"/>
      <c r="DZ298" s="408"/>
      <c r="EA298" s="10"/>
    </row>
    <row r="299" ht="17.25" customHeight="1">
      <c r="A299" s="3"/>
      <c r="B299" s="3"/>
      <c r="C299" s="74"/>
      <c r="D299" s="74"/>
      <c r="E299" s="74"/>
      <c r="F299" s="74"/>
      <c r="G299" s="74"/>
      <c r="H299" s="74"/>
      <c r="I299" s="74"/>
      <c r="J299" s="74"/>
      <c r="K299" s="74"/>
      <c r="L299" s="80"/>
      <c r="M299" s="74"/>
      <c r="N299" s="74"/>
      <c r="O299" s="74"/>
      <c r="P299" s="74"/>
      <c r="Q299" s="80"/>
      <c r="R299" s="74"/>
      <c r="S299" s="74"/>
      <c r="T299" s="74"/>
      <c r="U299" s="74"/>
      <c r="V299" s="80"/>
      <c r="W299" s="74"/>
      <c r="X299" s="74"/>
      <c r="Y299" s="74"/>
      <c r="Z299" s="74"/>
      <c r="AA299" s="80"/>
      <c r="AB299" s="74"/>
      <c r="AC299" s="74"/>
      <c r="AD299" s="74"/>
      <c r="AE299" s="74"/>
      <c r="AF299" s="80"/>
      <c r="AG299" s="74"/>
      <c r="AH299" s="74"/>
      <c r="AI299" s="74"/>
      <c r="AJ299" s="74"/>
      <c r="AK299" s="80"/>
      <c r="AL299" s="74"/>
      <c r="AM299" s="74"/>
      <c r="AN299" s="74"/>
      <c r="AO299" s="74"/>
      <c r="AP299" s="80"/>
      <c r="AQ299" s="74"/>
      <c r="AR299" s="80"/>
      <c r="AS299" s="87"/>
      <c r="AT299" s="93"/>
      <c r="AU299" s="94"/>
      <c r="AV299" s="93"/>
      <c r="AW299" s="94"/>
      <c r="AX299" s="87"/>
      <c r="AY299" s="93"/>
      <c r="AZ299" s="94"/>
      <c r="BA299" s="93"/>
      <c r="BB299" s="94"/>
      <c r="BC299" s="87"/>
      <c r="BD299" s="93"/>
      <c r="BE299" s="94"/>
      <c r="BF299" s="93"/>
      <c r="BG299" s="94"/>
      <c r="BH299" s="87"/>
      <c r="BI299" s="99"/>
      <c r="BJ299" s="104"/>
      <c r="BK299" s="99"/>
      <c r="BL299" s="104"/>
      <c r="BM299" s="99"/>
      <c r="BN299" s="99"/>
      <c r="BO299" s="104"/>
      <c r="BP299" s="99"/>
      <c r="BQ299" s="104"/>
      <c r="BR299" s="99"/>
      <c r="BS299" s="99"/>
      <c r="BT299" s="104"/>
      <c r="BU299" s="99"/>
      <c r="BV299" s="104"/>
      <c r="BW299" s="99"/>
      <c r="BX299" s="99"/>
      <c r="BY299" s="104"/>
      <c r="BZ299" s="99"/>
      <c r="CA299" s="104"/>
      <c r="CB299" s="99"/>
      <c r="CC299" s="99"/>
      <c r="CD299" s="104"/>
      <c r="CE299" s="99"/>
      <c r="CF299" s="104"/>
      <c r="CG299" s="99"/>
      <c r="CH299" s="99"/>
      <c r="CI299" s="104"/>
      <c r="CJ299" s="99"/>
      <c r="CK299" s="104"/>
      <c r="CL299" s="99"/>
      <c r="CM299" s="118"/>
      <c r="CN299" s="893"/>
      <c r="CO299" s="118"/>
      <c r="CP299" s="104"/>
      <c r="CQ299" s="99"/>
      <c r="CR299" s="99"/>
      <c r="CS299" s="104"/>
      <c r="CT299" s="99"/>
      <c r="CU299" s="104"/>
      <c r="CV299" s="99"/>
      <c r="CW299" s="99"/>
      <c r="CX299" s="104"/>
      <c r="CY299" s="99"/>
      <c r="CZ299" s="104"/>
      <c r="DA299" s="99"/>
      <c r="DB299" s="99"/>
      <c r="DC299" s="104"/>
      <c r="DD299" s="99"/>
      <c r="DE299" s="104"/>
      <c r="DF299" s="99"/>
      <c r="DG299" s="99"/>
      <c r="DH299" s="104"/>
      <c r="DI299" s="104"/>
      <c r="DJ299" s="104"/>
      <c r="DK299" s="99"/>
      <c r="DL299" s="99"/>
      <c r="DM299" s="104"/>
      <c r="DN299" s="104"/>
      <c r="DO299" s="104"/>
      <c r="DP299" s="99"/>
      <c r="DQ299" s="99"/>
      <c r="DR299" s="104"/>
      <c r="DS299" s="104"/>
      <c r="DT299" s="873"/>
      <c r="DU299" s="874"/>
      <c r="DV299" s="868"/>
      <c r="DW299" s="869"/>
      <c r="DX299" s="363"/>
      <c r="DY299" s="345"/>
      <c r="DZ299" s="408"/>
      <c r="EA299" s="10"/>
    </row>
    <row r="300" ht="17.25" customHeight="1">
      <c r="A300" s="3"/>
      <c r="B300" s="3"/>
      <c r="C300" s="74"/>
      <c r="D300" s="74"/>
      <c r="E300" s="74"/>
      <c r="F300" s="74"/>
      <c r="G300" s="74"/>
      <c r="H300" s="74"/>
      <c r="I300" s="74"/>
      <c r="J300" s="74"/>
      <c r="K300" s="74"/>
      <c r="L300" s="80"/>
      <c r="M300" s="74"/>
      <c r="N300" s="74"/>
      <c r="O300" s="74"/>
      <c r="P300" s="74"/>
      <c r="Q300" s="80"/>
      <c r="R300" s="74"/>
      <c r="S300" s="74"/>
      <c r="T300" s="74"/>
      <c r="U300" s="74"/>
      <c r="V300" s="80"/>
      <c r="W300" s="74"/>
      <c r="X300" s="74"/>
      <c r="Y300" s="74"/>
      <c r="Z300" s="74"/>
      <c r="AA300" s="80"/>
      <c r="AB300" s="74"/>
      <c r="AC300" s="74"/>
      <c r="AD300" s="74"/>
      <c r="AE300" s="74"/>
      <c r="AF300" s="80"/>
      <c r="AG300" s="74"/>
      <c r="AH300" s="74"/>
      <c r="AI300" s="74"/>
      <c r="AJ300" s="74"/>
      <c r="AK300" s="80"/>
      <c r="AL300" s="74"/>
      <c r="AM300" s="74"/>
      <c r="AN300" s="74"/>
      <c r="AO300" s="74"/>
      <c r="AP300" s="80"/>
      <c r="AQ300" s="74"/>
      <c r="AR300" s="80"/>
      <c r="AS300" s="87"/>
      <c r="AT300" s="93"/>
      <c r="AU300" s="94"/>
      <c r="AV300" s="93"/>
      <c r="AW300" s="94"/>
      <c r="AX300" s="87"/>
      <c r="AY300" s="93"/>
      <c r="AZ300" s="94"/>
      <c r="BA300" s="93"/>
      <c r="BB300" s="94"/>
      <c r="BC300" s="87"/>
      <c r="BD300" s="93"/>
      <c r="BE300" s="94"/>
      <c r="BF300" s="93"/>
      <c r="BG300" s="94"/>
      <c r="BH300" s="87"/>
      <c r="BI300" s="99"/>
      <c r="BJ300" s="104"/>
      <c r="BK300" s="99"/>
      <c r="BL300" s="104"/>
      <c r="BM300" s="99"/>
      <c r="BN300" s="99"/>
      <c r="BO300" s="104"/>
      <c r="BP300" s="99"/>
      <c r="BQ300" s="104"/>
      <c r="BR300" s="99"/>
      <c r="BS300" s="99"/>
      <c r="BT300" s="104"/>
      <c r="BU300" s="99"/>
      <c r="BV300" s="104"/>
      <c r="BW300" s="99"/>
      <c r="BX300" s="99"/>
      <c r="BY300" s="104"/>
      <c r="BZ300" s="99"/>
      <c r="CA300" s="104"/>
      <c r="CB300" s="99"/>
      <c r="CC300" s="99"/>
      <c r="CD300" s="104"/>
      <c r="CE300" s="99"/>
      <c r="CF300" s="104"/>
      <c r="CG300" s="99"/>
      <c r="CH300" s="99"/>
      <c r="CI300" s="104"/>
      <c r="CJ300" s="99"/>
      <c r="CK300" s="104"/>
      <c r="CL300" s="99"/>
      <c r="CM300" s="118"/>
      <c r="CN300" s="893"/>
      <c r="CO300" s="118"/>
      <c r="CP300" s="104"/>
      <c r="CQ300" s="99"/>
      <c r="CR300" s="99"/>
      <c r="CS300" s="104"/>
      <c r="CT300" s="99"/>
      <c r="CU300" s="104"/>
      <c r="CV300" s="99"/>
      <c r="CW300" s="99"/>
      <c r="CX300" s="104"/>
      <c r="CY300" s="99"/>
      <c r="CZ300" s="104"/>
      <c r="DA300" s="99"/>
      <c r="DB300" s="99"/>
      <c r="DC300" s="104"/>
      <c r="DD300" s="99"/>
      <c r="DE300" s="104"/>
      <c r="DF300" s="99"/>
      <c r="DG300" s="99"/>
      <c r="DH300" s="104"/>
      <c r="DI300" s="104"/>
      <c r="DJ300" s="104"/>
      <c r="DK300" s="99"/>
      <c r="DL300" s="99"/>
      <c r="DM300" s="104"/>
      <c r="DN300" s="104"/>
      <c r="DO300" s="104"/>
      <c r="DP300" s="99"/>
      <c r="DQ300" s="99"/>
      <c r="DR300" s="104"/>
      <c r="DS300" s="104"/>
      <c r="DT300" s="873"/>
      <c r="DU300" s="874"/>
      <c r="DV300" s="868"/>
      <c r="DW300" s="869"/>
      <c r="DX300" s="363"/>
      <c r="DY300" s="345"/>
      <c r="DZ300" s="408"/>
      <c r="EA300" s="10"/>
    </row>
    <row r="301" ht="17.25" customHeight="1">
      <c r="A301" s="3"/>
      <c r="B301" s="3"/>
      <c r="C301" s="74"/>
      <c r="D301" s="74"/>
      <c r="E301" s="74"/>
      <c r="F301" s="74"/>
      <c r="G301" s="74"/>
      <c r="H301" s="74"/>
      <c r="I301" s="74"/>
      <c r="J301" s="74"/>
      <c r="K301" s="74"/>
      <c r="L301" s="80"/>
      <c r="M301" s="74"/>
      <c r="N301" s="74"/>
      <c r="O301" s="74"/>
      <c r="P301" s="74"/>
      <c r="Q301" s="80"/>
      <c r="R301" s="74"/>
      <c r="S301" s="74"/>
      <c r="T301" s="74"/>
      <c r="U301" s="74"/>
      <c r="V301" s="80"/>
      <c r="W301" s="74"/>
      <c r="X301" s="74"/>
      <c r="Y301" s="74"/>
      <c r="Z301" s="74"/>
      <c r="AA301" s="80"/>
      <c r="AB301" s="74"/>
      <c r="AC301" s="74"/>
      <c r="AD301" s="74"/>
      <c r="AE301" s="74"/>
      <c r="AF301" s="80"/>
      <c r="AG301" s="74"/>
      <c r="AH301" s="74"/>
      <c r="AI301" s="74"/>
      <c r="AJ301" s="74"/>
      <c r="AK301" s="80"/>
      <c r="AL301" s="74"/>
      <c r="AM301" s="74"/>
      <c r="AN301" s="74"/>
      <c r="AO301" s="74"/>
      <c r="AP301" s="80"/>
      <c r="AQ301" s="74"/>
      <c r="AR301" s="80"/>
      <c r="AS301" s="87"/>
      <c r="AT301" s="93"/>
      <c r="AU301" s="94"/>
      <c r="AV301" s="93"/>
      <c r="AW301" s="94"/>
      <c r="AX301" s="87"/>
      <c r="AY301" s="93"/>
      <c r="AZ301" s="94"/>
      <c r="BA301" s="93"/>
      <c r="BB301" s="94"/>
      <c r="BC301" s="87"/>
      <c r="BD301" s="93"/>
      <c r="BE301" s="94"/>
      <c r="BF301" s="93"/>
      <c r="BG301" s="94"/>
      <c r="BH301" s="87"/>
      <c r="BI301" s="99"/>
      <c r="BJ301" s="104"/>
      <c r="BK301" s="99"/>
      <c r="BL301" s="104"/>
      <c r="BM301" s="99"/>
      <c r="BN301" s="99"/>
      <c r="BO301" s="104"/>
      <c r="BP301" s="99"/>
      <c r="BQ301" s="104"/>
      <c r="BR301" s="99"/>
      <c r="BS301" s="99"/>
      <c r="BT301" s="104"/>
      <c r="BU301" s="99"/>
      <c r="BV301" s="104"/>
      <c r="BW301" s="99"/>
      <c r="BX301" s="99"/>
      <c r="BY301" s="104"/>
      <c r="BZ301" s="99"/>
      <c r="CA301" s="104"/>
      <c r="CB301" s="99"/>
      <c r="CC301" s="99"/>
      <c r="CD301" s="104"/>
      <c r="CE301" s="99"/>
      <c r="CF301" s="104"/>
      <c r="CG301" s="99"/>
      <c r="CH301" s="99"/>
      <c r="CI301" s="104"/>
      <c r="CJ301" s="99"/>
      <c r="CK301" s="104"/>
      <c r="CL301" s="99"/>
      <c r="CM301" s="118"/>
      <c r="CN301" s="893"/>
      <c r="CO301" s="118"/>
      <c r="CP301" s="104"/>
      <c r="CQ301" s="99"/>
      <c r="CR301" s="99"/>
      <c r="CS301" s="104"/>
      <c r="CT301" s="99"/>
      <c r="CU301" s="104"/>
      <c r="CV301" s="99"/>
      <c r="CW301" s="99"/>
      <c r="CX301" s="104"/>
      <c r="CY301" s="99"/>
      <c r="CZ301" s="104"/>
      <c r="DA301" s="99"/>
      <c r="DB301" s="99"/>
      <c r="DC301" s="104"/>
      <c r="DD301" s="99"/>
      <c r="DE301" s="104"/>
      <c r="DF301" s="99"/>
      <c r="DG301" s="99"/>
      <c r="DH301" s="104"/>
      <c r="DI301" s="104"/>
      <c r="DJ301" s="104"/>
      <c r="DK301" s="99"/>
      <c r="DL301" s="99"/>
      <c r="DM301" s="104"/>
      <c r="DN301" s="104"/>
      <c r="DO301" s="104"/>
      <c r="DP301" s="99"/>
      <c r="DQ301" s="99"/>
      <c r="DR301" s="104"/>
      <c r="DS301" s="104"/>
      <c r="DT301" s="873"/>
      <c r="DU301" s="874"/>
      <c r="DV301" s="868"/>
      <c r="DW301" s="869"/>
      <c r="DX301" s="363"/>
      <c r="DY301" s="345"/>
      <c r="DZ301" s="408"/>
      <c r="EA301" s="10"/>
    </row>
    <row r="302" ht="17.25" customHeight="1">
      <c r="A302" s="3"/>
      <c r="B302" s="3"/>
      <c r="C302" s="74"/>
      <c r="D302" s="74"/>
      <c r="E302" s="74"/>
      <c r="F302" s="74"/>
      <c r="G302" s="74"/>
      <c r="H302" s="74"/>
      <c r="I302" s="74"/>
      <c r="J302" s="74"/>
      <c r="K302" s="74"/>
      <c r="L302" s="80"/>
      <c r="M302" s="74"/>
      <c r="N302" s="74"/>
      <c r="O302" s="74"/>
      <c r="P302" s="74"/>
      <c r="Q302" s="80"/>
      <c r="R302" s="74"/>
      <c r="S302" s="74"/>
      <c r="T302" s="74"/>
      <c r="U302" s="74"/>
      <c r="V302" s="80"/>
      <c r="W302" s="74"/>
      <c r="X302" s="74"/>
      <c r="Y302" s="74"/>
      <c r="Z302" s="74"/>
      <c r="AA302" s="80"/>
      <c r="AB302" s="74"/>
      <c r="AC302" s="74"/>
      <c r="AD302" s="74"/>
      <c r="AE302" s="74"/>
      <c r="AF302" s="80"/>
      <c r="AG302" s="74"/>
      <c r="AH302" s="74"/>
      <c r="AI302" s="74"/>
      <c r="AJ302" s="74"/>
      <c r="AK302" s="80"/>
      <c r="AL302" s="74"/>
      <c r="AM302" s="74"/>
      <c r="AN302" s="74"/>
      <c r="AO302" s="74"/>
      <c r="AP302" s="80"/>
      <c r="AQ302" s="74"/>
      <c r="AR302" s="80"/>
      <c r="AS302" s="87"/>
      <c r="AT302" s="93"/>
      <c r="AU302" s="94"/>
      <c r="AV302" s="93"/>
      <c r="AW302" s="94"/>
      <c r="AX302" s="87"/>
      <c r="AY302" s="93"/>
      <c r="AZ302" s="94"/>
      <c r="BA302" s="93"/>
      <c r="BB302" s="94"/>
      <c r="BC302" s="87"/>
      <c r="BD302" s="93"/>
      <c r="BE302" s="94"/>
      <c r="BF302" s="93"/>
      <c r="BG302" s="94"/>
      <c r="BH302" s="87"/>
      <c r="BI302" s="99"/>
      <c r="BJ302" s="104"/>
      <c r="BK302" s="99"/>
      <c r="BL302" s="104"/>
      <c r="BM302" s="99"/>
      <c r="BN302" s="99"/>
      <c r="BO302" s="104"/>
      <c r="BP302" s="99"/>
      <c r="BQ302" s="104"/>
      <c r="BR302" s="99"/>
      <c r="BS302" s="99"/>
      <c r="BT302" s="104"/>
      <c r="BU302" s="99"/>
      <c r="BV302" s="104"/>
      <c r="BW302" s="99"/>
      <c r="BX302" s="99"/>
      <c r="BY302" s="104"/>
      <c r="BZ302" s="99"/>
      <c r="CA302" s="104"/>
      <c r="CB302" s="99"/>
      <c r="CC302" s="99"/>
      <c r="CD302" s="104"/>
      <c r="CE302" s="99"/>
      <c r="CF302" s="104"/>
      <c r="CG302" s="99"/>
      <c r="CH302" s="99"/>
      <c r="CI302" s="104"/>
      <c r="CJ302" s="99"/>
      <c r="CK302" s="104"/>
      <c r="CL302" s="99"/>
      <c r="CM302" s="118"/>
      <c r="CN302" s="893"/>
      <c r="CO302" s="118"/>
      <c r="CP302" s="104"/>
      <c r="CQ302" s="99"/>
      <c r="CR302" s="99"/>
      <c r="CS302" s="104"/>
      <c r="CT302" s="99"/>
      <c r="CU302" s="104"/>
      <c r="CV302" s="99"/>
      <c r="CW302" s="99"/>
      <c r="CX302" s="104"/>
      <c r="CY302" s="99"/>
      <c r="CZ302" s="104"/>
      <c r="DA302" s="99"/>
      <c r="DB302" s="99"/>
      <c r="DC302" s="104"/>
      <c r="DD302" s="99"/>
      <c r="DE302" s="104"/>
      <c r="DF302" s="99"/>
      <c r="DG302" s="99"/>
      <c r="DH302" s="104"/>
      <c r="DI302" s="104"/>
      <c r="DJ302" s="104"/>
      <c r="DK302" s="99"/>
      <c r="DL302" s="99"/>
      <c r="DM302" s="104"/>
      <c r="DN302" s="104"/>
      <c r="DO302" s="104"/>
      <c r="DP302" s="99"/>
      <c r="DQ302" s="99"/>
      <c r="DR302" s="104"/>
      <c r="DS302" s="104"/>
      <c r="DT302" s="873"/>
      <c r="DU302" s="874"/>
      <c r="DV302" s="868"/>
      <c r="DW302" s="869"/>
      <c r="DX302" s="363"/>
      <c r="DY302" s="345"/>
      <c r="DZ302" s="408"/>
      <c r="EA302" s="10"/>
    </row>
    <row r="303" ht="17.25" customHeight="1">
      <c r="A303" s="3"/>
      <c r="B303" s="3"/>
      <c r="C303" s="74"/>
      <c r="D303" s="74"/>
      <c r="E303" s="74"/>
      <c r="F303" s="74"/>
      <c r="G303" s="74"/>
      <c r="H303" s="74"/>
      <c r="I303" s="74"/>
      <c r="J303" s="74"/>
      <c r="K303" s="74"/>
      <c r="L303" s="80"/>
      <c r="M303" s="74"/>
      <c r="N303" s="74"/>
      <c r="O303" s="74"/>
      <c r="P303" s="74"/>
      <c r="Q303" s="80"/>
      <c r="R303" s="74"/>
      <c r="S303" s="74"/>
      <c r="T303" s="74"/>
      <c r="U303" s="74"/>
      <c r="V303" s="80"/>
      <c r="W303" s="74"/>
      <c r="X303" s="74"/>
      <c r="Y303" s="74"/>
      <c r="Z303" s="74"/>
      <c r="AA303" s="80"/>
      <c r="AB303" s="74"/>
      <c r="AC303" s="74"/>
      <c r="AD303" s="74"/>
      <c r="AE303" s="74"/>
      <c r="AF303" s="80"/>
      <c r="AG303" s="74"/>
      <c r="AH303" s="74"/>
      <c r="AI303" s="74"/>
      <c r="AJ303" s="74"/>
      <c r="AK303" s="80"/>
      <c r="AL303" s="74"/>
      <c r="AM303" s="74"/>
      <c r="AN303" s="74"/>
      <c r="AO303" s="74"/>
      <c r="AP303" s="80"/>
      <c r="AQ303" s="74"/>
      <c r="AR303" s="80"/>
      <c r="AS303" s="87"/>
      <c r="AT303" s="93"/>
      <c r="AU303" s="94"/>
      <c r="AV303" s="93"/>
      <c r="AW303" s="94"/>
      <c r="AX303" s="87"/>
      <c r="AY303" s="93"/>
      <c r="AZ303" s="94"/>
      <c r="BA303" s="93"/>
      <c r="BB303" s="94"/>
      <c r="BC303" s="87"/>
      <c r="BD303" s="93"/>
      <c r="BE303" s="94"/>
      <c r="BF303" s="93"/>
      <c r="BG303" s="94"/>
      <c r="BH303" s="87"/>
      <c r="BI303" s="99"/>
      <c r="BJ303" s="104"/>
      <c r="BK303" s="99"/>
      <c r="BL303" s="104"/>
      <c r="BM303" s="99"/>
      <c r="BN303" s="99"/>
      <c r="BO303" s="104"/>
      <c r="BP303" s="99"/>
      <c r="BQ303" s="104"/>
      <c r="BR303" s="99"/>
      <c r="BS303" s="99"/>
      <c r="BT303" s="104"/>
      <c r="BU303" s="99"/>
      <c r="BV303" s="104"/>
      <c r="BW303" s="99"/>
      <c r="BX303" s="99"/>
      <c r="BY303" s="104"/>
      <c r="BZ303" s="99"/>
      <c r="CA303" s="104"/>
      <c r="CB303" s="99"/>
      <c r="CC303" s="99"/>
      <c r="CD303" s="104"/>
      <c r="CE303" s="99"/>
      <c r="CF303" s="104"/>
      <c r="CG303" s="99"/>
      <c r="CH303" s="99"/>
      <c r="CI303" s="104"/>
      <c r="CJ303" s="99"/>
      <c r="CK303" s="104"/>
      <c r="CL303" s="99"/>
      <c r="CM303" s="118"/>
      <c r="CN303" s="893"/>
      <c r="CO303" s="118"/>
      <c r="CP303" s="104"/>
      <c r="CQ303" s="99"/>
      <c r="CR303" s="99"/>
      <c r="CS303" s="104"/>
      <c r="CT303" s="99"/>
      <c r="CU303" s="104"/>
      <c r="CV303" s="99"/>
      <c r="CW303" s="99"/>
      <c r="CX303" s="104"/>
      <c r="CY303" s="99"/>
      <c r="CZ303" s="104"/>
      <c r="DA303" s="99"/>
      <c r="DB303" s="99"/>
      <c r="DC303" s="104"/>
      <c r="DD303" s="99"/>
      <c r="DE303" s="104"/>
      <c r="DF303" s="99"/>
      <c r="DG303" s="99"/>
      <c r="DH303" s="104"/>
      <c r="DI303" s="104"/>
      <c r="DJ303" s="104"/>
      <c r="DK303" s="99"/>
      <c r="DL303" s="99"/>
      <c r="DM303" s="104"/>
      <c r="DN303" s="104"/>
      <c r="DO303" s="104"/>
      <c r="DP303" s="99"/>
      <c r="DQ303" s="99"/>
      <c r="DR303" s="104"/>
      <c r="DS303" s="104"/>
      <c r="DT303" s="873"/>
      <c r="DU303" s="874"/>
      <c r="DV303" s="868"/>
      <c r="DW303" s="869"/>
      <c r="DX303" s="363"/>
      <c r="DY303" s="345"/>
      <c r="DZ303" s="408"/>
      <c r="EA303" s="10"/>
    </row>
    <row r="304" ht="17.25" customHeight="1">
      <c r="A304" s="3"/>
      <c r="B304" s="3"/>
      <c r="C304" s="74"/>
      <c r="D304" s="74"/>
      <c r="E304" s="74"/>
      <c r="F304" s="74"/>
      <c r="G304" s="74"/>
      <c r="H304" s="74"/>
      <c r="I304" s="74"/>
      <c r="J304" s="74"/>
      <c r="K304" s="74"/>
      <c r="L304" s="80"/>
      <c r="M304" s="74"/>
      <c r="N304" s="74"/>
      <c r="O304" s="74"/>
      <c r="P304" s="74"/>
      <c r="Q304" s="80"/>
      <c r="R304" s="74"/>
      <c r="S304" s="74"/>
      <c r="T304" s="74"/>
      <c r="U304" s="74"/>
      <c r="V304" s="80"/>
      <c r="W304" s="74"/>
      <c r="X304" s="74"/>
      <c r="Y304" s="74"/>
      <c r="Z304" s="74"/>
      <c r="AA304" s="80"/>
      <c r="AB304" s="74"/>
      <c r="AC304" s="74"/>
      <c r="AD304" s="74"/>
      <c r="AE304" s="74"/>
      <c r="AF304" s="80"/>
      <c r="AG304" s="74"/>
      <c r="AH304" s="74"/>
      <c r="AI304" s="74"/>
      <c r="AJ304" s="74"/>
      <c r="AK304" s="80"/>
      <c r="AL304" s="74"/>
      <c r="AM304" s="74"/>
      <c r="AN304" s="74"/>
      <c r="AO304" s="74"/>
      <c r="AP304" s="80"/>
      <c r="AQ304" s="74"/>
      <c r="AR304" s="80"/>
      <c r="AS304" s="87"/>
      <c r="AT304" s="93"/>
      <c r="AU304" s="94"/>
      <c r="AV304" s="93"/>
      <c r="AW304" s="94"/>
      <c r="AX304" s="87"/>
      <c r="AY304" s="93"/>
      <c r="AZ304" s="94"/>
      <c r="BA304" s="93"/>
      <c r="BB304" s="94"/>
      <c r="BC304" s="87"/>
      <c r="BD304" s="93"/>
      <c r="BE304" s="94"/>
      <c r="BF304" s="93"/>
      <c r="BG304" s="94"/>
      <c r="BH304" s="87"/>
      <c r="BI304" s="99"/>
      <c r="BJ304" s="104"/>
      <c r="BK304" s="99"/>
      <c r="BL304" s="104"/>
      <c r="BM304" s="99"/>
      <c r="BN304" s="99"/>
      <c r="BO304" s="104"/>
      <c r="BP304" s="99"/>
      <c r="BQ304" s="104"/>
      <c r="BR304" s="99"/>
      <c r="BS304" s="99"/>
      <c r="BT304" s="104"/>
      <c r="BU304" s="99"/>
      <c r="BV304" s="104"/>
      <c r="BW304" s="99"/>
      <c r="BX304" s="99"/>
      <c r="BY304" s="104"/>
      <c r="BZ304" s="99"/>
      <c r="CA304" s="104"/>
      <c r="CB304" s="99"/>
      <c r="CC304" s="99"/>
      <c r="CD304" s="104"/>
      <c r="CE304" s="99"/>
      <c r="CF304" s="104"/>
      <c r="CG304" s="99"/>
      <c r="CH304" s="99"/>
      <c r="CI304" s="104"/>
      <c r="CJ304" s="99"/>
      <c r="CK304" s="104"/>
      <c r="CL304" s="99"/>
      <c r="CM304" s="118"/>
      <c r="CN304" s="893"/>
      <c r="CO304" s="118"/>
      <c r="CP304" s="104"/>
      <c r="CQ304" s="99"/>
      <c r="CR304" s="99"/>
      <c r="CS304" s="104"/>
      <c r="CT304" s="99"/>
      <c r="CU304" s="104"/>
      <c r="CV304" s="99"/>
      <c r="CW304" s="99"/>
      <c r="CX304" s="104"/>
      <c r="CY304" s="99"/>
      <c r="CZ304" s="104"/>
      <c r="DA304" s="99"/>
      <c r="DB304" s="99"/>
      <c r="DC304" s="104"/>
      <c r="DD304" s="99"/>
      <c r="DE304" s="104"/>
      <c r="DF304" s="99"/>
      <c r="DG304" s="99"/>
      <c r="DH304" s="104"/>
      <c r="DI304" s="104"/>
      <c r="DJ304" s="104"/>
      <c r="DK304" s="99"/>
      <c r="DL304" s="99"/>
      <c r="DM304" s="104"/>
      <c r="DN304" s="104"/>
      <c r="DO304" s="104"/>
      <c r="DP304" s="99"/>
      <c r="DQ304" s="99"/>
      <c r="DR304" s="104"/>
      <c r="DS304" s="104"/>
      <c r="DT304" s="873"/>
      <c r="DU304" s="874"/>
      <c r="DV304" s="868"/>
      <c r="DW304" s="869"/>
      <c r="DX304" s="363"/>
      <c r="DY304" s="345"/>
      <c r="DZ304" s="408"/>
      <c r="EA304" s="10"/>
    </row>
    <row r="305" ht="17.25" customHeight="1">
      <c r="A305" s="3"/>
      <c r="B305" s="3"/>
      <c r="C305" s="74"/>
      <c r="D305" s="74"/>
      <c r="E305" s="74"/>
      <c r="F305" s="74"/>
      <c r="G305" s="74"/>
      <c r="H305" s="74"/>
      <c r="I305" s="74"/>
      <c r="J305" s="74"/>
      <c r="K305" s="74"/>
      <c r="L305" s="80"/>
      <c r="M305" s="74"/>
      <c r="N305" s="74"/>
      <c r="O305" s="74"/>
      <c r="P305" s="74"/>
      <c r="Q305" s="80"/>
      <c r="R305" s="74"/>
      <c r="S305" s="74"/>
      <c r="T305" s="74"/>
      <c r="U305" s="74"/>
      <c r="V305" s="80"/>
      <c r="W305" s="74"/>
      <c r="X305" s="74"/>
      <c r="Y305" s="74"/>
      <c r="Z305" s="74"/>
      <c r="AA305" s="80"/>
      <c r="AB305" s="74"/>
      <c r="AC305" s="74"/>
      <c r="AD305" s="74"/>
      <c r="AE305" s="74"/>
      <c r="AF305" s="80"/>
      <c r="AG305" s="74"/>
      <c r="AH305" s="74"/>
      <c r="AI305" s="74"/>
      <c r="AJ305" s="74"/>
      <c r="AK305" s="80"/>
      <c r="AL305" s="74"/>
      <c r="AM305" s="74"/>
      <c r="AN305" s="74"/>
      <c r="AO305" s="74"/>
      <c r="AP305" s="80"/>
      <c r="AQ305" s="74"/>
      <c r="AR305" s="80"/>
      <c r="AS305" s="87"/>
      <c r="AT305" s="93"/>
      <c r="AU305" s="94"/>
      <c r="AV305" s="93"/>
      <c r="AW305" s="94"/>
      <c r="AX305" s="87"/>
      <c r="AY305" s="93"/>
      <c r="AZ305" s="94"/>
      <c r="BA305" s="93"/>
      <c r="BB305" s="94"/>
      <c r="BC305" s="87"/>
      <c r="BD305" s="93"/>
      <c r="BE305" s="94"/>
      <c r="BF305" s="93"/>
      <c r="BG305" s="94"/>
      <c r="BH305" s="87"/>
      <c r="BI305" s="99"/>
      <c r="BJ305" s="104"/>
      <c r="BK305" s="99"/>
      <c r="BL305" s="104"/>
      <c r="BM305" s="99"/>
      <c r="BN305" s="99"/>
      <c r="BO305" s="104"/>
      <c r="BP305" s="99"/>
      <c r="BQ305" s="104"/>
      <c r="BR305" s="99"/>
      <c r="BS305" s="99"/>
      <c r="BT305" s="104"/>
      <c r="BU305" s="99"/>
      <c r="BV305" s="104"/>
      <c r="BW305" s="99"/>
      <c r="BX305" s="99"/>
      <c r="BY305" s="104"/>
      <c r="BZ305" s="99"/>
      <c r="CA305" s="104"/>
      <c r="CB305" s="99"/>
      <c r="CC305" s="99"/>
      <c r="CD305" s="104"/>
      <c r="CE305" s="99"/>
      <c r="CF305" s="104"/>
      <c r="CG305" s="99"/>
      <c r="CH305" s="99"/>
      <c r="CI305" s="104"/>
      <c r="CJ305" s="99"/>
      <c r="CK305" s="104"/>
      <c r="CL305" s="99"/>
      <c r="CM305" s="118"/>
      <c r="CN305" s="893"/>
      <c r="CO305" s="118"/>
      <c r="CP305" s="104"/>
      <c r="CQ305" s="99"/>
      <c r="CR305" s="99"/>
      <c r="CS305" s="104"/>
      <c r="CT305" s="99"/>
      <c r="CU305" s="104"/>
      <c r="CV305" s="99"/>
      <c r="CW305" s="99"/>
      <c r="CX305" s="104"/>
      <c r="CY305" s="99"/>
      <c r="CZ305" s="104"/>
      <c r="DA305" s="99"/>
      <c r="DB305" s="99"/>
      <c r="DC305" s="104"/>
      <c r="DD305" s="99"/>
      <c r="DE305" s="104"/>
      <c r="DF305" s="99"/>
      <c r="DG305" s="99"/>
      <c r="DH305" s="104"/>
      <c r="DI305" s="104"/>
      <c r="DJ305" s="104"/>
      <c r="DK305" s="99"/>
      <c r="DL305" s="99"/>
      <c r="DM305" s="104"/>
      <c r="DN305" s="104"/>
      <c r="DO305" s="104"/>
      <c r="DP305" s="99"/>
      <c r="DQ305" s="99"/>
      <c r="DR305" s="104"/>
      <c r="DS305" s="104"/>
      <c r="DT305" s="873"/>
      <c r="DU305" s="874"/>
      <c r="DV305" s="868"/>
      <c r="DW305" s="869"/>
      <c r="DX305" s="363"/>
      <c r="DY305" s="345"/>
      <c r="DZ305" s="408"/>
      <c r="EA305" s="10"/>
    </row>
    <row r="306" ht="17.25" customHeight="1">
      <c r="A306" s="3"/>
      <c r="B306" s="3"/>
      <c r="C306" s="74"/>
      <c r="D306" s="74"/>
      <c r="E306" s="74"/>
      <c r="F306" s="74"/>
      <c r="G306" s="74"/>
      <c r="H306" s="74"/>
      <c r="I306" s="74"/>
      <c r="J306" s="74"/>
      <c r="K306" s="74"/>
      <c r="L306" s="80"/>
      <c r="M306" s="74"/>
      <c r="N306" s="74"/>
      <c r="O306" s="74"/>
      <c r="P306" s="74"/>
      <c r="Q306" s="80"/>
      <c r="R306" s="74"/>
      <c r="S306" s="74"/>
      <c r="T306" s="74"/>
      <c r="U306" s="74"/>
      <c r="V306" s="80"/>
      <c r="W306" s="74"/>
      <c r="X306" s="74"/>
      <c r="Y306" s="74"/>
      <c r="Z306" s="74"/>
      <c r="AA306" s="80"/>
      <c r="AB306" s="74"/>
      <c r="AC306" s="74"/>
      <c r="AD306" s="74"/>
      <c r="AE306" s="74"/>
      <c r="AF306" s="80"/>
      <c r="AG306" s="74"/>
      <c r="AH306" s="74"/>
      <c r="AI306" s="74"/>
      <c r="AJ306" s="74"/>
      <c r="AK306" s="80"/>
      <c r="AL306" s="74"/>
      <c r="AM306" s="74"/>
      <c r="AN306" s="74"/>
      <c r="AO306" s="74"/>
      <c r="AP306" s="80"/>
      <c r="AQ306" s="74"/>
      <c r="AR306" s="80"/>
      <c r="AS306" s="87"/>
      <c r="AT306" s="93"/>
      <c r="AU306" s="94"/>
      <c r="AV306" s="93"/>
      <c r="AW306" s="94"/>
      <c r="AX306" s="87"/>
      <c r="AY306" s="93"/>
      <c r="AZ306" s="94"/>
      <c r="BA306" s="93"/>
      <c r="BB306" s="94"/>
      <c r="BC306" s="87"/>
      <c r="BD306" s="93"/>
      <c r="BE306" s="94"/>
      <c r="BF306" s="93"/>
      <c r="BG306" s="94"/>
      <c r="BH306" s="87"/>
      <c r="BI306" s="99"/>
      <c r="BJ306" s="104"/>
      <c r="BK306" s="99"/>
      <c r="BL306" s="104"/>
      <c r="BM306" s="99"/>
      <c r="BN306" s="99"/>
      <c r="BO306" s="104"/>
      <c r="BP306" s="99"/>
      <c r="BQ306" s="104"/>
      <c r="BR306" s="99"/>
      <c r="BS306" s="99"/>
      <c r="BT306" s="104"/>
      <c r="BU306" s="99"/>
      <c r="BV306" s="104"/>
      <c r="BW306" s="99"/>
      <c r="BX306" s="99"/>
      <c r="BY306" s="104"/>
      <c r="BZ306" s="99"/>
      <c r="CA306" s="104"/>
      <c r="CB306" s="99"/>
      <c r="CC306" s="99"/>
      <c r="CD306" s="104"/>
      <c r="CE306" s="99"/>
      <c r="CF306" s="104"/>
      <c r="CG306" s="99"/>
      <c r="CH306" s="99"/>
      <c r="CI306" s="104"/>
      <c r="CJ306" s="99"/>
      <c r="CK306" s="104"/>
      <c r="CL306" s="99"/>
      <c r="CM306" s="118"/>
      <c r="CN306" s="893"/>
      <c r="CO306" s="118"/>
      <c r="CP306" s="104"/>
      <c r="CQ306" s="99"/>
      <c r="CR306" s="99"/>
      <c r="CS306" s="104"/>
      <c r="CT306" s="99"/>
      <c r="CU306" s="104"/>
      <c r="CV306" s="99"/>
      <c r="CW306" s="99"/>
      <c r="CX306" s="104"/>
      <c r="CY306" s="99"/>
      <c r="CZ306" s="104"/>
      <c r="DA306" s="99"/>
      <c r="DB306" s="99"/>
      <c r="DC306" s="104"/>
      <c r="DD306" s="99"/>
      <c r="DE306" s="104"/>
      <c r="DF306" s="99"/>
      <c r="DG306" s="99"/>
      <c r="DH306" s="104"/>
      <c r="DI306" s="104"/>
      <c r="DJ306" s="104"/>
      <c r="DK306" s="99"/>
      <c r="DL306" s="99"/>
      <c r="DM306" s="104"/>
      <c r="DN306" s="104"/>
      <c r="DO306" s="104"/>
      <c r="DP306" s="99"/>
      <c r="DQ306" s="99"/>
      <c r="DR306" s="104"/>
      <c r="DS306" s="104"/>
      <c r="DT306" s="873"/>
      <c r="DU306" s="874"/>
      <c r="DV306" s="868"/>
      <c r="DW306" s="869"/>
      <c r="DX306" s="363"/>
      <c r="DY306" s="345"/>
      <c r="DZ306" s="408"/>
      <c r="EA306" s="10"/>
    </row>
    <row r="307" ht="17.25" customHeight="1">
      <c r="A307" s="3"/>
      <c r="B307" s="3"/>
      <c r="C307" s="74"/>
      <c r="D307" s="74"/>
      <c r="E307" s="74"/>
      <c r="F307" s="74"/>
      <c r="G307" s="74"/>
      <c r="H307" s="74"/>
      <c r="I307" s="74"/>
      <c r="J307" s="74"/>
      <c r="K307" s="74"/>
      <c r="L307" s="80"/>
      <c r="M307" s="74"/>
      <c r="N307" s="74"/>
      <c r="O307" s="74"/>
      <c r="P307" s="74"/>
      <c r="Q307" s="80"/>
      <c r="R307" s="74"/>
      <c r="S307" s="74"/>
      <c r="T307" s="74"/>
      <c r="U307" s="74"/>
      <c r="V307" s="80"/>
      <c r="W307" s="74"/>
      <c r="X307" s="74"/>
      <c r="Y307" s="74"/>
      <c r="Z307" s="74"/>
      <c r="AA307" s="80"/>
      <c r="AB307" s="74"/>
      <c r="AC307" s="74"/>
      <c r="AD307" s="74"/>
      <c r="AE307" s="74"/>
      <c r="AF307" s="80"/>
      <c r="AG307" s="74"/>
      <c r="AH307" s="74"/>
      <c r="AI307" s="74"/>
      <c r="AJ307" s="74"/>
      <c r="AK307" s="80"/>
      <c r="AL307" s="74"/>
      <c r="AM307" s="74"/>
      <c r="AN307" s="74"/>
      <c r="AO307" s="74"/>
      <c r="AP307" s="80"/>
      <c r="AQ307" s="74"/>
      <c r="AR307" s="80"/>
      <c r="AS307" s="87"/>
      <c r="AT307" s="93"/>
      <c r="AU307" s="94"/>
      <c r="AV307" s="93"/>
      <c r="AW307" s="94"/>
      <c r="AX307" s="87"/>
      <c r="AY307" s="93"/>
      <c r="AZ307" s="94"/>
      <c r="BA307" s="93"/>
      <c r="BB307" s="94"/>
      <c r="BC307" s="87"/>
      <c r="BD307" s="93"/>
      <c r="BE307" s="94"/>
      <c r="BF307" s="93"/>
      <c r="BG307" s="94"/>
      <c r="BH307" s="87"/>
      <c r="BI307" s="99"/>
      <c r="BJ307" s="104"/>
      <c r="BK307" s="99"/>
      <c r="BL307" s="104"/>
      <c r="BM307" s="99"/>
      <c r="BN307" s="99"/>
      <c r="BO307" s="104"/>
      <c r="BP307" s="99"/>
      <c r="BQ307" s="104"/>
      <c r="BR307" s="99"/>
      <c r="BS307" s="99"/>
      <c r="BT307" s="104"/>
      <c r="BU307" s="99"/>
      <c r="BV307" s="104"/>
      <c r="BW307" s="99"/>
      <c r="BX307" s="99"/>
      <c r="BY307" s="104"/>
      <c r="BZ307" s="99"/>
      <c r="CA307" s="104"/>
      <c r="CB307" s="99"/>
      <c r="CC307" s="99"/>
      <c r="CD307" s="104"/>
      <c r="CE307" s="99"/>
      <c r="CF307" s="104"/>
      <c r="CG307" s="99"/>
      <c r="CH307" s="99"/>
      <c r="CI307" s="104"/>
      <c r="CJ307" s="99"/>
      <c r="CK307" s="104"/>
      <c r="CL307" s="99"/>
      <c r="CM307" s="118"/>
      <c r="CN307" s="893"/>
      <c r="CO307" s="118"/>
      <c r="CP307" s="104"/>
      <c r="CQ307" s="99"/>
      <c r="CR307" s="99"/>
      <c r="CS307" s="104"/>
      <c r="CT307" s="99"/>
      <c r="CU307" s="104"/>
      <c r="CV307" s="99"/>
      <c r="CW307" s="99"/>
      <c r="CX307" s="104"/>
      <c r="CY307" s="99"/>
      <c r="CZ307" s="104"/>
      <c r="DA307" s="99"/>
      <c r="DB307" s="99"/>
      <c r="DC307" s="104"/>
      <c r="DD307" s="99"/>
      <c r="DE307" s="104"/>
      <c r="DF307" s="99"/>
      <c r="DG307" s="99"/>
      <c r="DH307" s="104"/>
      <c r="DI307" s="104"/>
      <c r="DJ307" s="104"/>
      <c r="DK307" s="99"/>
      <c r="DL307" s="99"/>
      <c r="DM307" s="104"/>
      <c r="DN307" s="104"/>
      <c r="DO307" s="104"/>
      <c r="DP307" s="99"/>
      <c r="DQ307" s="99"/>
      <c r="DR307" s="104"/>
      <c r="DS307" s="104"/>
      <c r="DT307" s="873"/>
      <c r="DU307" s="874"/>
      <c r="DV307" s="868"/>
      <c r="DW307" s="869"/>
      <c r="DX307" s="363"/>
      <c r="DY307" s="345"/>
      <c r="DZ307" s="408"/>
      <c r="EA307" s="10"/>
    </row>
    <row r="308" ht="17.25" customHeight="1">
      <c r="A308" s="3"/>
      <c r="B308" s="3"/>
      <c r="C308" s="74"/>
      <c r="D308" s="74"/>
      <c r="E308" s="74"/>
      <c r="F308" s="74"/>
      <c r="G308" s="74"/>
      <c r="H308" s="74"/>
      <c r="I308" s="74"/>
      <c r="J308" s="74"/>
      <c r="K308" s="74"/>
      <c r="L308" s="80"/>
      <c r="M308" s="74"/>
      <c r="N308" s="74"/>
      <c r="O308" s="74"/>
      <c r="P308" s="74"/>
      <c r="Q308" s="80"/>
      <c r="R308" s="74"/>
      <c r="S308" s="74"/>
      <c r="T308" s="74"/>
      <c r="U308" s="74"/>
      <c r="V308" s="80"/>
      <c r="W308" s="74"/>
      <c r="X308" s="74"/>
      <c r="Y308" s="74"/>
      <c r="Z308" s="74"/>
      <c r="AA308" s="80"/>
      <c r="AB308" s="74"/>
      <c r="AC308" s="74"/>
      <c r="AD308" s="74"/>
      <c r="AE308" s="74"/>
      <c r="AF308" s="80"/>
      <c r="AG308" s="74"/>
      <c r="AH308" s="74"/>
      <c r="AI308" s="74"/>
      <c r="AJ308" s="74"/>
      <c r="AK308" s="80"/>
      <c r="AL308" s="74"/>
      <c r="AM308" s="74"/>
      <c r="AN308" s="74"/>
      <c r="AO308" s="74"/>
      <c r="AP308" s="80"/>
      <c r="AQ308" s="74"/>
      <c r="AR308" s="80"/>
      <c r="AS308" s="87"/>
      <c r="AT308" s="93"/>
      <c r="AU308" s="94"/>
      <c r="AV308" s="93"/>
      <c r="AW308" s="94"/>
      <c r="AX308" s="87"/>
      <c r="AY308" s="93"/>
      <c r="AZ308" s="94"/>
      <c r="BA308" s="93"/>
      <c r="BB308" s="94"/>
      <c r="BC308" s="87"/>
      <c r="BD308" s="93"/>
      <c r="BE308" s="94"/>
      <c r="BF308" s="93"/>
      <c r="BG308" s="94"/>
      <c r="BH308" s="87"/>
      <c r="BI308" s="99"/>
      <c r="BJ308" s="104"/>
      <c r="BK308" s="99"/>
      <c r="BL308" s="104"/>
      <c r="BM308" s="99"/>
      <c r="BN308" s="99"/>
      <c r="BO308" s="104"/>
      <c r="BP308" s="99"/>
      <c r="BQ308" s="104"/>
      <c r="BR308" s="99"/>
      <c r="BS308" s="99"/>
      <c r="BT308" s="104"/>
      <c r="BU308" s="99"/>
      <c r="BV308" s="104"/>
      <c r="BW308" s="99"/>
      <c r="BX308" s="99"/>
      <c r="BY308" s="104"/>
      <c r="BZ308" s="99"/>
      <c r="CA308" s="104"/>
      <c r="CB308" s="99"/>
      <c r="CC308" s="99"/>
      <c r="CD308" s="104"/>
      <c r="CE308" s="99"/>
      <c r="CF308" s="104"/>
      <c r="CG308" s="99"/>
      <c r="CH308" s="99"/>
      <c r="CI308" s="104"/>
      <c r="CJ308" s="99"/>
      <c r="CK308" s="104"/>
      <c r="CL308" s="99"/>
      <c r="CM308" s="118"/>
      <c r="CN308" s="893"/>
      <c r="CO308" s="118"/>
      <c r="CP308" s="104"/>
      <c r="CQ308" s="99"/>
      <c r="CR308" s="99"/>
      <c r="CS308" s="104"/>
      <c r="CT308" s="99"/>
      <c r="CU308" s="104"/>
      <c r="CV308" s="99"/>
      <c r="CW308" s="99"/>
      <c r="CX308" s="104"/>
      <c r="CY308" s="99"/>
      <c r="CZ308" s="104"/>
      <c r="DA308" s="99"/>
      <c r="DB308" s="99"/>
      <c r="DC308" s="104"/>
      <c r="DD308" s="99"/>
      <c r="DE308" s="104"/>
      <c r="DF308" s="99"/>
      <c r="DG308" s="99"/>
      <c r="DH308" s="104"/>
      <c r="DI308" s="104"/>
      <c r="DJ308" s="104"/>
      <c r="DK308" s="99"/>
      <c r="DL308" s="99"/>
      <c r="DM308" s="104"/>
      <c r="DN308" s="104"/>
      <c r="DO308" s="104"/>
      <c r="DP308" s="99"/>
      <c r="DQ308" s="99"/>
      <c r="DR308" s="104"/>
      <c r="DS308" s="104"/>
      <c r="DT308" s="873"/>
      <c r="DU308" s="874"/>
      <c r="DV308" s="868"/>
      <c r="DW308" s="869"/>
      <c r="DX308" s="363"/>
      <c r="DY308" s="345"/>
      <c r="DZ308" s="408"/>
      <c r="EA308" s="10"/>
    </row>
    <row r="309" ht="17.25" customHeight="1">
      <c r="A309" s="3"/>
      <c r="B309" s="3"/>
      <c r="C309" s="74"/>
      <c r="D309" s="74"/>
      <c r="E309" s="74"/>
      <c r="F309" s="74"/>
      <c r="G309" s="74"/>
      <c r="H309" s="74"/>
      <c r="I309" s="74"/>
      <c r="J309" s="74"/>
      <c r="K309" s="74"/>
      <c r="L309" s="80"/>
      <c r="M309" s="74"/>
      <c r="N309" s="74"/>
      <c r="O309" s="74"/>
      <c r="P309" s="74"/>
      <c r="Q309" s="80"/>
      <c r="R309" s="74"/>
      <c r="S309" s="74"/>
      <c r="T309" s="74"/>
      <c r="U309" s="74"/>
      <c r="V309" s="80"/>
      <c r="W309" s="74"/>
      <c r="X309" s="74"/>
      <c r="Y309" s="74"/>
      <c r="Z309" s="74"/>
      <c r="AA309" s="80"/>
      <c r="AB309" s="74"/>
      <c r="AC309" s="74"/>
      <c r="AD309" s="74"/>
      <c r="AE309" s="74"/>
      <c r="AF309" s="80"/>
      <c r="AG309" s="74"/>
      <c r="AH309" s="74"/>
      <c r="AI309" s="74"/>
      <c r="AJ309" s="74"/>
      <c r="AK309" s="80"/>
      <c r="AL309" s="74"/>
      <c r="AM309" s="74"/>
      <c r="AN309" s="74"/>
      <c r="AO309" s="74"/>
      <c r="AP309" s="80"/>
      <c r="AQ309" s="74"/>
      <c r="AR309" s="80"/>
      <c r="AS309" s="87"/>
      <c r="AT309" s="93"/>
      <c r="AU309" s="94"/>
      <c r="AV309" s="93"/>
      <c r="AW309" s="94"/>
      <c r="AX309" s="87"/>
      <c r="AY309" s="93"/>
      <c r="AZ309" s="94"/>
      <c r="BA309" s="93"/>
      <c r="BB309" s="94"/>
      <c r="BC309" s="87"/>
      <c r="BD309" s="93"/>
      <c r="BE309" s="94"/>
      <c r="BF309" s="93"/>
      <c r="BG309" s="94"/>
      <c r="BH309" s="87"/>
      <c r="BI309" s="99"/>
      <c r="BJ309" s="104"/>
      <c r="BK309" s="99"/>
      <c r="BL309" s="104"/>
      <c r="BM309" s="99"/>
      <c r="BN309" s="99"/>
      <c r="BO309" s="104"/>
      <c r="BP309" s="99"/>
      <c r="BQ309" s="104"/>
      <c r="BR309" s="99"/>
      <c r="BS309" s="99"/>
      <c r="BT309" s="104"/>
      <c r="BU309" s="99"/>
      <c r="BV309" s="104"/>
      <c r="BW309" s="99"/>
      <c r="BX309" s="99"/>
      <c r="BY309" s="104"/>
      <c r="BZ309" s="99"/>
      <c r="CA309" s="104"/>
      <c r="CB309" s="99"/>
      <c r="CC309" s="99"/>
      <c r="CD309" s="104"/>
      <c r="CE309" s="99"/>
      <c r="CF309" s="104"/>
      <c r="CG309" s="99"/>
      <c r="CH309" s="99"/>
      <c r="CI309" s="104"/>
      <c r="CJ309" s="99"/>
      <c r="CK309" s="104"/>
      <c r="CL309" s="99"/>
      <c r="CM309" s="118"/>
      <c r="CN309" s="893"/>
      <c r="CO309" s="118"/>
      <c r="CP309" s="104"/>
      <c r="CQ309" s="99"/>
      <c r="CR309" s="99"/>
      <c r="CS309" s="104"/>
      <c r="CT309" s="99"/>
      <c r="CU309" s="104"/>
      <c r="CV309" s="99"/>
      <c r="CW309" s="99"/>
      <c r="CX309" s="104"/>
      <c r="CY309" s="99"/>
      <c r="CZ309" s="104"/>
      <c r="DA309" s="99"/>
      <c r="DB309" s="99"/>
      <c r="DC309" s="104"/>
      <c r="DD309" s="99"/>
      <c r="DE309" s="104"/>
      <c r="DF309" s="99"/>
      <c r="DG309" s="99"/>
      <c r="DH309" s="104"/>
      <c r="DI309" s="104"/>
      <c r="DJ309" s="104"/>
      <c r="DK309" s="99"/>
      <c r="DL309" s="99"/>
      <c r="DM309" s="104"/>
      <c r="DN309" s="104"/>
      <c r="DO309" s="104"/>
      <c r="DP309" s="99"/>
      <c r="DQ309" s="99"/>
      <c r="DR309" s="104"/>
      <c r="DS309" s="104"/>
      <c r="DT309" s="873"/>
      <c r="DU309" s="874"/>
      <c r="DV309" s="868"/>
      <c r="DW309" s="869"/>
      <c r="DX309" s="363"/>
      <c r="DY309" s="345"/>
      <c r="DZ309" s="408"/>
      <c r="EA309" s="10"/>
    </row>
    <row r="310" ht="17.25" customHeight="1">
      <c r="A310" s="3"/>
      <c r="B310" s="3"/>
      <c r="C310" s="74"/>
      <c r="D310" s="74"/>
      <c r="E310" s="74"/>
      <c r="F310" s="74"/>
      <c r="G310" s="74"/>
      <c r="H310" s="74"/>
      <c r="I310" s="74"/>
      <c r="J310" s="74"/>
      <c r="K310" s="74"/>
      <c r="L310" s="80"/>
      <c r="M310" s="74"/>
      <c r="N310" s="74"/>
      <c r="O310" s="74"/>
      <c r="P310" s="74"/>
      <c r="Q310" s="80"/>
      <c r="R310" s="74"/>
      <c r="S310" s="74"/>
      <c r="T310" s="74"/>
      <c r="U310" s="74"/>
      <c r="V310" s="80"/>
      <c r="W310" s="74"/>
      <c r="X310" s="74"/>
      <c r="Y310" s="74"/>
      <c r="Z310" s="74"/>
      <c r="AA310" s="80"/>
      <c r="AB310" s="74"/>
      <c r="AC310" s="74"/>
      <c r="AD310" s="74"/>
      <c r="AE310" s="74"/>
      <c r="AF310" s="80"/>
      <c r="AG310" s="74"/>
      <c r="AH310" s="74"/>
      <c r="AI310" s="74"/>
      <c r="AJ310" s="74"/>
      <c r="AK310" s="80"/>
      <c r="AL310" s="74"/>
      <c r="AM310" s="74"/>
      <c r="AN310" s="74"/>
      <c r="AO310" s="74"/>
      <c r="AP310" s="80"/>
      <c r="AQ310" s="74"/>
      <c r="AR310" s="80"/>
      <c r="AS310" s="87"/>
      <c r="AT310" s="93"/>
      <c r="AU310" s="94"/>
      <c r="AV310" s="93"/>
      <c r="AW310" s="94"/>
      <c r="AX310" s="87"/>
      <c r="AY310" s="93"/>
      <c r="AZ310" s="94"/>
      <c r="BA310" s="93"/>
      <c r="BB310" s="94"/>
      <c r="BC310" s="87"/>
      <c r="BD310" s="93"/>
      <c r="BE310" s="94"/>
      <c r="BF310" s="93"/>
      <c r="BG310" s="94"/>
      <c r="BH310" s="87"/>
      <c r="BI310" s="99"/>
      <c r="BJ310" s="104"/>
      <c r="BK310" s="99"/>
      <c r="BL310" s="104"/>
      <c r="BM310" s="99"/>
      <c r="BN310" s="99"/>
      <c r="BO310" s="104"/>
      <c r="BP310" s="99"/>
      <c r="BQ310" s="104"/>
      <c r="BR310" s="99"/>
      <c r="BS310" s="99"/>
      <c r="BT310" s="104"/>
      <c r="BU310" s="99"/>
      <c r="BV310" s="104"/>
      <c r="BW310" s="99"/>
      <c r="BX310" s="99"/>
      <c r="BY310" s="104"/>
      <c r="BZ310" s="99"/>
      <c r="CA310" s="104"/>
      <c r="CB310" s="99"/>
      <c r="CC310" s="99"/>
      <c r="CD310" s="104"/>
      <c r="CE310" s="99"/>
      <c r="CF310" s="104"/>
      <c r="CG310" s="99"/>
      <c r="CH310" s="99"/>
      <c r="CI310" s="104"/>
      <c r="CJ310" s="99"/>
      <c r="CK310" s="104"/>
      <c r="CL310" s="99"/>
      <c r="CM310" s="118"/>
      <c r="CN310" s="893"/>
      <c r="CO310" s="118"/>
      <c r="CP310" s="104"/>
      <c r="CQ310" s="99"/>
      <c r="CR310" s="99"/>
      <c r="CS310" s="104"/>
      <c r="CT310" s="99"/>
      <c r="CU310" s="104"/>
      <c r="CV310" s="99"/>
      <c r="CW310" s="99"/>
      <c r="CX310" s="104"/>
      <c r="CY310" s="99"/>
      <c r="CZ310" s="104"/>
      <c r="DA310" s="99"/>
      <c r="DB310" s="99"/>
      <c r="DC310" s="104"/>
      <c r="DD310" s="99"/>
      <c r="DE310" s="104"/>
      <c r="DF310" s="99"/>
      <c r="DG310" s="99"/>
      <c r="DH310" s="104"/>
      <c r="DI310" s="104"/>
      <c r="DJ310" s="104"/>
      <c r="DK310" s="99"/>
      <c r="DL310" s="99"/>
      <c r="DM310" s="104"/>
      <c r="DN310" s="104"/>
      <c r="DO310" s="104"/>
      <c r="DP310" s="99"/>
      <c r="DQ310" s="99"/>
      <c r="DR310" s="104"/>
      <c r="DS310" s="104"/>
      <c r="DT310" s="873"/>
      <c r="DU310" s="874"/>
      <c r="DV310" s="868"/>
      <c r="DW310" s="869"/>
      <c r="DX310" s="363"/>
      <c r="DY310" s="345"/>
      <c r="DZ310" s="408"/>
      <c r="EA310" s="10"/>
    </row>
    <row r="311" ht="17.25" customHeight="1">
      <c r="A311" s="3"/>
      <c r="B311" s="3"/>
      <c r="C311" s="74"/>
      <c r="D311" s="74"/>
      <c r="E311" s="74"/>
      <c r="F311" s="74"/>
      <c r="G311" s="74"/>
      <c r="H311" s="74"/>
      <c r="I311" s="74"/>
      <c r="J311" s="74"/>
      <c r="K311" s="74"/>
      <c r="L311" s="80"/>
      <c r="M311" s="74"/>
      <c r="N311" s="74"/>
      <c r="O311" s="74"/>
      <c r="P311" s="74"/>
      <c r="Q311" s="80"/>
      <c r="R311" s="74"/>
      <c r="S311" s="74"/>
      <c r="T311" s="74"/>
      <c r="U311" s="74"/>
      <c r="V311" s="80"/>
      <c r="W311" s="74"/>
      <c r="X311" s="74"/>
      <c r="Y311" s="74"/>
      <c r="Z311" s="74"/>
      <c r="AA311" s="80"/>
      <c r="AB311" s="74"/>
      <c r="AC311" s="74"/>
      <c r="AD311" s="74"/>
      <c r="AE311" s="74"/>
      <c r="AF311" s="80"/>
      <c r="AG311" s="74"/>
      <c r="AH311" s="74"/>
      <c r="AI311" s="74"/>
      <c r="AJ311" s="74"/>
      <c r="AK311" s="80"/>
      <c r="AL311" s="74"/>
      <c r="AM311" s="74"/>
      <c r="AN311" s="74"/>
      <c r="AO311" s="74"/>
      <c r="AP311" s="80"/>
      <c r="AQ311" s="74"/>
      <c r="AR311" s="80"/>
      <c r="AS311" s="87"/>
      <c r="AT311" s="93"/>
      <c r="AU311" s="94"/>
      <c r="AV311" s="93"/>
      <c r="AW311" s="94"/>
      <c r="AX311" s="87"/>
      <c r="AY311" s="93"/>
      <c r="AZ311" s="94"/>
      <c r="BA311" s="93"/>
      <c r="BB311" s="94"/>
      <c r="BC311" s="87"/>
      <c r="BD311" s="93"/>
      <c r="BE311" s="94"/>
      <c r="BF311" s="93"/>
      <c r="BG311" s="94"/>
      <c r="BH311" s="87"/>
      <c r="BI311" s="99"/>
      <c r="BJ311" s="104"/>
      <c r="BK311" s="99"/>
      <c r="BL311" s="104"/>
      <c r="BM311" s="99"/>
      <c r="BN311" s="99"/>
      <c r="BO311" s="104"/>
      <c r="BP311" s="99"/>
      <c r="BQ311" s="104"/>
      <c r="BR311" s="99"/>
      <c r="BS311" s="99"/>
      <c r="BT311" s="104"/>
      <c r="BU311" s="99"/>
      <c r="BV311" s="104"/>
      <c r="BW311" s="99"/>
      <c r="BX311" s="99"/>
      <c r="BY311" s="104"/>
      <c r="BZ311" s="99"/>
      <c r="CA311" s="104"/>
      <c r="CB311" s="99"/>
      <c r="CC311" s="99"/>
      <c r="CD311" s="104"/>
      <c r="CE311" s="99"/>
      <c r="CF311" s="104"/>
      <c r="CG311" s="99"/>
      <c r="CH311" s="99"/>
      <c r="CI311" s="104"/>
      <c r="CJ311" s="99"/>
      <c r="CK311" s="104"/>
      <c r="CL311" s="99"/>
      <c r="CM311" s="118"/>
      <c r="CN311" s="893"/>
      <c r="CO311" s="118"/>
      <c r="CP311" s="104"/>
      <c r="CQ311" s="99"/>
      <c r="CR311" s="99"/>
      <c r="CS311" s="104"/>
      <c r="CT311" s="99"/>
      <c r="CU311" s="104"/>
      <c r="CV311" s="99"/>
      <c r="CW311" s="99"/>
      <c r="CX311" s="104"/>
      <c r="CY311" s="99"/>
      <c r="CZ311" s="104"/>
      <c r="DA311" s="99"/>
      <c r="DB311" s="99"/>
      <c r="DC311" s="104"/>
      <c r="DD311" s="99"/>
      <c r="DE311" s="104"/>
      <c r="DF311" s="99"/>
      <c r="DG311" s="99"/>
      <c r="DH311" s="104"/>
      <c r="DI311" s="104"/>
      <c r="DJ311" s="104"/>
      <c r="DK311" s="99"/>
      <c r="DL311" s="99"/>
      <c r="DM311" s="104"/>
      <c r="DN311" s="104"/>
      <c r="DO311" s="104"/>
      <c r="DP311" s="99"/>
      <c r="DQ311" s="99"/>
      <c r="DR311" s="104"/>
      <c r="DS311" s="104"/>
      <c r="DT311" s="873"/>
      <c r="DU311" s="874"/>
      <c r="DV311" s="868"/>
      <c r="DW311" s="869"/>
      <c r="DX311" s="363"/>
      <c r="DY311" s="345"/>
      <c r="DZ311" s="408"/>
      <c r="EA311" s="10"/>
    </row>
    <row r="312" ht="17.25" customHeight="1">
      <c r="A312" s="3"/>
      <c r="B312" s="3"/>
      <c r="C312" s="74"/>
      <c r="D312" s="74"/>
      <c r="E312" s="74"/>
      <c r="F312" s="74"/>
      <c r="G312" s="74"/>
      <c r="H312" s="74"/>
      <c r="I312" s="74"/>
      <c r="J312" s="74"/>
      <c r="K312" s="74"/>
      <c r="L312" s="80"/>
      <c r="M312" s="74"/>
      <c r="N312" s="74"/>
      <c r="O312" s="74"/>
      <c r="P312" s="74"/>
      <c r="Q312" s="80"/>
      <c r="R312" s="74"/>
      <c r="S312" s="74"/>
      <c r="T312" s="74"/>
      <c r="U312" s="74"/>
      <c r="V312" s="80"/>
      <c r="W312" s="74"/>
      <c r="X312" s="74"/>
      <c r="Y312" s="74"/>
      <c r="Z312" s="74"/>
      <c r="AA312" s="80"/>
      <c r="AB312" s="74"/>
      <c r="AC312" s="74"/>
      <c r="AD312" s="74"/>
      <c r="AE312" s="74"/>
      <c r="AF312" s="80"/>
      <c r="AG312" s="74"/>
      <c r="AH312" s="74"/>
      <c r="AI312" s="74"/>
      <c r="AJ312" s="74"/>
      <c r="AK312" s="80"/>
      <c r="AL312" s="74"/>
      <c r="AM312" s="74"/>
      <c r="AN312" s="74"/>
      <c r="AO312" s="74"/>
      <c r="AP312" s="80"/>
      <c r="AQ312" s="74"/>
      <c r="AR312" s="80"/>
      <c r="AS312" s="87"/>
      <c r="AT312" s="93"/>
      <c r="AU312" s="94"/>
      <c r="AV312" s="93"/>
      <c r="AW312" s="94"/>
      <c r="AX312" s="87"/>
      <c r="AY312" s="93"/>
      <c r="AZ312" s="94"/>
      <c r="BA312" s="93"/>
      <c r="BB312" s="94"/>
      <c r="BC312" s="87"/>
      <c r="BD312" s="93"/>
      <c r="BE312" s="94"/>
      <c r="BF312" s="93"/>
      <c r="BG312" s="94"/>
      <c r="BH312" s="87"/>
      <c r="BI312" s="99"/>
      <c r="BJ312" s="104"/>
      <c r="BK312" s="99"/>
      <c r="BL312" s="104"/>
      <c r="BM312" s="99"/>
      <c r="BN312" s="99"/>
      <c r="BO312" s="104"/>
      <c r="BP312" s="99"/>
      <c r="BQ312" s="104"/>
      <c r="BR312" s="99"/>
      <c r="BS312" s="99"/>
      <c r="BT312" s="104"/>
      <c r="BU312" s="99"/>
      <c r="BV312" s="104"/>
      <c r="BW312" s="99"/>
      <c r="BX312" s="99"/>
      <c r="BY312" s="104"/>
      <c r="BZ312" s="99"/>
      <c r="CA312" s="104"/>
      <c r="CB312" s="99"/>
      <c r="CC312" s="99"/>
      <c r="CD312" s="104"/>
      <c r="CE312" s="99"/>
      <c r="CF312" s="104"/>
      <c r="CG312" s="99"/>
      <c r="CH312" s="99"/>
      <c r="CI312" s="104"/>
      <c r="CJ312" s="99"/>
      <c r="CK312" s="104"/>
      <c r="CL312" s="99"/>
      <c r="CM312" s="118"/>
      <c r="CN312" s="893"/>
      <c r="CO312" s="118"/>
      <c r="CP312" s="104"/>
      <c r="CQ312" s="99"/>
      <c r="CR312" s="99"/>
      <c r="CS312" s="104"/>
      <c r="CT312" s="99"/>
      <c r="CU312" s="104"/>
      <c r="CV312" s="99"/>
      <c r="CW312" s="99"/>
      <c r="CX312" s="104"/>
      <c r="CY312" s="99"/>
      <c r="CZ312" s="104"/>
      <c r="DA312" s="99"/>
      <c r="DB312" s="99"/>
      <c r="DC312" s="104"/>
      <c r="DD312" s="99"/>
      <c r="DE312" s="104"/>
      <c r="DF312" s="99"/>
      <c r="DG312" s="99"/>
      <c r="DH312" s="104"/>
      <c r="DI312" s="104"/>
      <c r="DJ312" s="104"/>
      <c r="DK312" s="99"/>
      <c r="DL312" s="99"/>
      <c r="DM312" s="104"/>
      <c r="DN312" s="104"/>
      <c r="DO312" s="104"/>
      <c r="DP312" s="99"/>
      <c r="DQ312" s="99"/>
      <c r="DR312" s="104"/>
      <c r="DS312" s="104"/>
      <c r="DT312" s="873"/>
      <c r="DU312" s="874"/>
      <c r="DV312" s="868"/>
      <c r="DW312" s="869"/>
      <c r="DX312" s="363"/>
      <c r="DY312" s="345"/>
      <c r="DZ312" s="408"/>
      <c r="EA312" s="10"/>
    </row>
    <row r="313" ht="17.25" customHeight="1">
      <c r="A313" s="3"/>
      <c r="B313" s="3"/>
      <c r="C313" s="74"/>
      <c r="D313" s="74"/>
      <c r="E313" s="74"/>
      <c r="F313" s="74"/>
      <c r="G313" s="74"/>
      <c r="H313" s="74"/>
      <c r="I313" s="74"/>
      <c r="J313" s="74"/>
      <c r="K313" s="74"/>
      <c r="L313" s="80"/>
      <c r="M313" s="74"/>
      <c r="N313" s="74"/>
      <c r="O313" s="74"/>
      <c r="P313" s="74"/>
      <c r="Q313" s="80"/>
      <c r="R313" s="74"/>
      <c r="S313" s="74"/>
      <c r="T313" s="74"/>
      <c r="U313" s="74"/>
      <c r="V313" s="80"/>
      <c r="W313" s="74"/>
      <c r="X313" s="74"/>
      <c r="Y313" s="74"/>
      <c r="Z313" s="74"/>
      <c r="AA313" s="80"/>
      <c r="AB313" s="74"/>
      <c r="AC313" s="74"/>
      <c r="AD313" s="74"/>
      <c r="AE313" s="74"/>
      <c r="AF313" s="80"/>
      <c r="AG313" s="74"/>
      <c r="AH313" s="74"/>
      <c r="AI313" s="74"/>
      <c r="AJ313" s="74"/>
      <c r="AK313" s="80"/>
      <c r="AL313" s="74"/>
      <c r="AM313" s="74"/>
      <c r="AN313" s="74"/>
      <c r="AO313" s="74"/>
      <c r="AP313" s="80"/>
      <c r="AQ313" s="74"/>
      <c r="AR313" s="80"/>
      <c r="AS313" s="87"/>
      <c r="AT313" s="93"/>
      <c r="AU313" s="94"/>
      <c r="AV313" s="93"/>
      <c r="AW313" s="94"/>
      <c r="AX313" s="87"/>
      <c r="AY313" s="93"/>
      <c r="AZ313" s="94"/>
      <c r="BA313" s="93"/>
      <c r="BB313" s="94"/>
      <c r="BC313" s="87"/>
      <c r="BD313" s="93"/>
      <c r="BE313" s="94"/>
      <c r="BF313" s="93"/>
      <c r="BG313" s="94"/>
      <c r="BH313" s="87"/>
      <c r="BI313" s="99"/>
      <c r="BJ313" s="104"/>
      <c r="BK313" s="99"/>
      <c r="BL313" s="104"/>
      <c r="BM313" s="99"/>
      <c r="BN313" s="99"/>
      <c r="BO313" s="104"/>
      <c r="BP313" s="99"/>
      <c r="BQ313" s="104"/>
      <c r="BR313" s="99"/>
      <c r="BS313" s="99"/>
      <c r="BT313" s="104"/>
      <c r="BU313" s="99"/>
      <c r="BV313" s="104"/>
      <c r="BW313" s="99"/>
      <c r="BX313" s="99"/>
      <c r="BY313" s="104"/>
      <c r="BZ313" s="99"/>
      <c r="CA313" s="104"/>
      <c r="CB313" s="99"/>
      <c r="CC313" s="99"/>
      <c r="CD313" s="104"/>
      <c r="CE313" s="99"/>
      <c r="CF313" s="104"/>
      <c r="CG313" s="99"/>
      <c r="CH313" s="99"/>
      <c r="CI313" s="104"/>
      <c r="CJ313" s="99"/>
      <c r="CK313" s="104"/>
      <c r="CL313" s="99"/>
      <c r="CM313" s="118"/>
      <c r="CN313" s="893"/>
      <c r="CO313" s="118"/>
      <c r="CP313" s="104"/>
      <c r="CQ313" s="99"/>
      <c r="CR313" s="99"/>
      <c r="CS313" s="104"/>
      <c r="CT313" s="99"/>
      <c r="CU313" s="104"/>
      <c r="CV313" s="99"/>
      <c r="CW313" s="99"/>
      <c r="CX313" s="104"/>
      <c r="CY313" s="99"/>
      <c r="CZ313" s="104"/>
      <c r="DA313" s="99"/>
      <c r="DB313" s="99"/>
      <c r="DC313" s="104"/>
      <c r="DD313" s="99"/>
      <c r="DE313" s="104"/>
      <c r="DF313" s="99"/>
      <c r="DG313" s="99"/>
      <c r="DH313" s="104"/>
      <c r="DI313" s="104"/>
      <c r="DJ313" s="104"/>
      <c r="DK313" s="99"/>
      <c r="DL313" s="99"/>
      <c r="DM313" s="104"/>
      <c r="DN313" s="104"/>
      <c r="DO313" s="104"/>
      <c r="DP313" s="99"/>
      <c r="DQ313" s="99"/>
      <c r="DR313" s="104"/>
      <c r="DS313" s="104"/>
      <c r="DT313" s="873"/>
      <c r="DU313" s="874"/>
      <c r="DV313" s="868"/>
      <c r="DW313" s="869"/>
      <c r="DX313" s="363"/>
      <c r="DY313" s="345"/>
      <c r="DZ313" s="408"/>
      <c r="EA313" s="10"/>
    </row>
    <row r="314" ht="17.25" customHeight="1">
      <c r="A314" s="3"/>
      <c r="B314" s="3"/>
      <c r="C314" s="74"/>
      <c r="D314" s="74"/>
      <c r="E314" s="74"/>
      <c r="F314" s="74"/>
      <c r="G314" s="74"/>
      <c r="H314" s="74"/>
      <c r="I314" s="74"/>
      <c r="J314" s="74"/>
      <c r="K314" s="74"/>
      <c r="L314" s="80"/>
      <c r="M314" s="74"/>
      <c r="N314" s="74"/>
      <c r="O314" s="74"/>
      <c r="P314" s="74"/>
      <c r="Q314" s="80"/>
      <c r="R314" s="74"/>
      <c r="S314" s="74"/>
      <c r="T314" s="74"/>
      <c r="U314" s="74"/>
      <c r="V314" s="80"/>
      <c r="W314" s="74"/>
      <c r="X314" s="74"/>
      <c r="Y314" s="74"/>
      <c r="Z314" s="74"/>
      <c r="AA314" s="80"/>
      <c r="AB314" s="74"/>
      <c r="AC314" s="74"/>
      <c r="AD314" s="74"/>
      <c r="AE314" s="74"/>
      <c r="AF314" s="80"/>
      <c r="AG314" s="74"/>
      <c r="AH314" s="74"/>
      <c r="AI314" s="74"/>
      <c r="AJ314" s="74"/>
      <c r="AK314" s="80"/>
      <c r="AL314" s="74"/>
      <c r="AM314" s="74"/>
      <c r="AN314" s="74"/>
      <c r="AO314" s="74"/>
      <c r="AP314" s="80"/>
      <c r="AQ314" s="74"/>
      <c r="AR314" s="80"/>
      <c r="AS314" s="87"/>
      <c r="AT314" s="93"/>
      <c r="AU314" s="94"/>
      <c r="AV314" s="93"/>
      <c r="AW314" s="94"/>
      <c r="AX314" s="87"/>
      <c r="AY314" s="93"/>
      <c r="AZ314" s="94"/>
      <c r="BA314" s="93"/>
      <c r="BB314" s="94"/>
      <c r="BC314" s="87"/>
      <c r="BD314" s="93"/>
      <c r="BE314" s="94"/>
      <c r="BF314" s="93"/>
      <c r="BG314" s="94"/>
      <c r="BH314" s="87"/>
      <c r="BI314" s="99"/>
      <c r="BJ314" s="104"/>
      <c r="BK314" s="99"/>
      <c r="BL314" s="104"/>
      <c r="BM314" s="99"/>
      <c r="BN314" s="99"/>
      <c r="BO314" s="104"/>
      <c r="BP314" s="99"/>
      <c r="BQ314" s="104"/>
      <c r="BR314" s="99"/>
      <c r="BS314" s="99"/>
      <c r="BT314" s="104"/>
      <c r="BU314" s="99"/>
      <c r="BV314" s="104"/>
      <c r="BW314" s="99"/>
      <c r="BX314" s="99"/>
      <c r="BY314" s="104"/>
      <c r="BZ314" s="99"/>
      <c r="CA314" s="104"/>
      <c r="CB314" s="99"/>
      <c r="CC314" s="99"/>
      <c r="CD314" s="104"/>
      <c r="CE314" s="99"/>
      <c r="CF314" s="104"/>
      <c r="CG314" s="99"/>
      <c r="CH314" s="99"/>
      <c r="CI314" s="104"/>
      <c r="CJ314" s="99"/>
      <c r="CK314" s="104"/>
      <c r="CL314" s="99"/>
      <c r="CM314" s="118"/>
      <c r="CN314" s="893"/>
      <c r="CO314" s="118"/>
      <c r="CP314" s="104"/>
      <c r="CQ314" s="99"/>
      <c r="CR314" s="99"/>
      <c r="CS314" s="104"/>
      <c r="CT314" s="99"/>
      <c r="CU314" s="104"/>
      <c r="CV314" s="99"/>
      <c r="CW314" s="99"/>
      <c r="CX314" s="104"/>
      <c r="CY314" s="99"/>
      <c r="CZ314" s="104"/>
      <c r="DA314" s="99"/>
      <c r="DB314" s="99"/>
      <c r="DC314" s="104"/>
      <c r="DD314" s="99"/>
      <c r="DE314" s="104"/>
      <c r="DF314" s="99"/>
      <c r="DG314" s="99"/>
      <c r="DH314" s="104"/>
      <c r="DI314" s="104"/>
      <c r="DJ314" s="104"/>
      <c r="DK314" s="99"/>
      <c r="DL314" s="99"/>
      <c r="DM314" s="104"/>
      <c r="DN314" s="104"/>
      <c r="DO314" s="104"/>
      <c r="DP314" s="99"/>
      <c r="DQ314" s="99"/>
      <c r="DR314" s="104"/>
      <c r="DS314" s="104"/>
      <c r="DT314" s="873"/>
      <c r="DU314" s="874"/>
      <c r="DV314" s="868"/>
      <c r="DW314" s="869"/>
      <c r="DX314" s="363"/>
      <c r="DY314" s="345"/>
      <c r="DZ314" s="408"/>
      <c r="EA314" s="10"/>
    </row>
    <row r="315" ht="17.25" customHeight="1">
      <c r="A315" s="3"/>
      <c r="B315" s="3"/>
      <c r="C315" s="74"/>
      <c r="D315" s="74"/>
      <c r="E315" s="74"/>
      <c r="F315" s="74"/>
      <c r="G315" s="74"/>
      <c r="H315" s="74"/>
      <c r="I315" s="74"/>
      <c r="J315" s="74"/>
      <c r="K315" s="74"/>
      <c r="L315" s="80"/>
      <c r="M315" s="74"/>
      <c r="N315" s="74"/>
      <c r="O315" s="74"/>
      <c r="P315" s="74"/>
      <c r="Q315" s="80"/>
      <c r="R315" s="74"/>
      <c r="S315" s="74"/>
      <c r="T315" s="74"/>
      <c r="U315" s="74"/>
      <c r="V315" s="80"/>
      <c r="W315" s="74"/>
      <c r="X315" s="74"/>
      <c r="Y315" s="74"/>
      <c r="Z315" s="74"/>
      <c r="AA315" s="80"/>
      <c r="AB315" s="74"/>
      <c r="AC315" s="74"/>
      <c r="AD315" s="74"/>
      <c r="AE315" s="74"/>
      <c r="AF315" s="80"/>
      <c r="AG315" s="74"/>
      <c r="AH315" s="74"/>
      <c r="AI315" s="74"/>
      <c r="AJ315" s="74"/>
      <c r="AK315" s="80"/>
      <c r="AL315" s="74"/>
      <c r="AM315" s="74"/>
      <c r="AN315" s="74"/>
      <c r="AO315" s="74"/>
      <c r="AP315" s="80"/>
      <c r="AQ315" s="74"/>
      <c r="AR315" s="80"/>
      <c r="AS315" s="87"/>
      <c r="AT315" s="93"/>
      <c r="AU315" s="94"/>
      <c r="AV315" s="93"/>
      <c r="AW315" s="94"/>
      <c r="AX315" s="87"/>
      <c r="AY315" s="93"/>
      <c r="AZ315" s="94"/>
      <c r="BA315" s="93"/>
      <c r="BB315" s="94"/>
      <c r="BC315" s="87"/>
      <c r="BD315" s="93"/>
      <c r="BE315" s="94"/>
      <c r="BF315" s="93"/>
      <c r="BG315" s="94"/>
      <c r="BH315" s="87"/>
      <c r="BI315" s="99"/>
      <c r="BJ315" s="104"/>
      <c r="BK315" s="99"/>
      <c r="BL315" s="104"/>
      <c r="BM315" s="99"/>
      <c r="BN315" s="99"/>
      <c r="BO315" s="104"/>
      <c r="BP315" s="99"/>
      <c r="BQ315" s="104"/>
      <c r="BR315" s="99"/>
      <c r="BS315" s="99"/>
      <c r="BT315" s="104"/>
      <c r="BU315" s="99"/>
      <c r="BV315" s="104"/>
      <c r="BW315" s="99"/>
      <c r="BX315" s="99"/>
      <c r="BY315" s="104"/>
      <c r="BZ315" s="99"/>
      <c r="CA315" s="104"/>
      <c r="CB315" s="99"/>
      <c r="CC315" s="99"/>
      <c r="CD315" s="104"/>
      <c r="CE315" s="99"/>
      <c r="CF315" s="104"/>
      <c r="CG315" s="99"/>
      <c r="CH315" s="99"/>
      <c r="CI315" s="104"/>
      <c r="CJ315" s="99"/>
      <c r="CK315" s="104"/>
      <c r="CL315" s="99"/>
      <c r="CM315" s="118"/>
      <c r="CN315" s="893"/>
      <c r="CO315" s="118"/>
      <c r="CP315" s="104"/>
      <c r="CQ315" s="99"/>
      <c r="CR315" s="99"/>
      <c r="CS315" s="104"/>
      <c r="CT315" s="99"/>
      <c r="CU315" s="104"/>
      <c r="CV315" s="99"/>
      <c r="CW315" s="99"/>
      <c r="CX315" s="104"/>
      <c r="CY315" s="99"/>
      <c r="CZ315" s="104"/>
      <c r="DA315" s="99"/>
      <c r="DB315" s="99"/>
      <c r="DC315" s="104"/>
      <c r="DD315" s="99"/>
      <c r="DE315" s="104"/>
      <c r="DF315" s="99"/>
      <c r="DG315" s="99"/>
      <c r="DH315" s="104"/>
      <c r="DI315" s="104"/>
      <c r="DJ315" s="104"/>
      <c r="DK315" s="99"/>
      <c r="DL315" s="99"/>
      <c r="DM315" s="104"/>
      <c r="DN315" s="104"/>
      <c r="DO315" s="104"/>
      <c r="DP315" s="99"/>
      <c r="DQ315" s="99"/>
      <c r="DR315" s="104"/>
      <c r="DS315" s="104"/>
      <c r="DT315" s="873"/>
      <c r="DU315" s="874"/>
      <c r="DV315" s="868"/>
      <c r="DW315" s="869"/>
      <c r="DX315" s="363"/>
      <c r="DY315" s="345"/>
      <c r="DZ315" s="408"/>
      <c r="EA315" s="10"/>
    </row>
    <row r="316" ht="17.25" customHeight="1">
      <c r="A316" s="3"/>
      <c r="B316" s="3"/>
      <c r="C316" s="74"/>
      <c r="D316" s="74"/>
      <c r="E316" s="74"/>
      <c r="F316" s="74"/>
      <c r="G316" s="74"/>
      <c r="H316" s="74"/>
      <c r="I316" s="74"/>
      <c r="J316" s="74"/>
      <c r="K316" s="74"/>
      <c r="L316" s="80"/>
      <c r="M316" s="74"/>
      <c r="N316" s="74"/>
      <c r="O316" s="74"/>
      <c r="P316" s="74"/>
      <c r="Q316" s="80"/>
      <c r="R316" s="74"/>
      <c r="S316" s="74"/>
      <c r="T316" s="74"/>
      <c r="U316" s="74"/>
      <c r="V316" s="80"/>
      <c r="W316" s="74"/>
      <c r="X316" s="74"/>
      <c r="Y316" s="74"/>
      <c r="Z316" s="74"/>
      <c r="AA316" s="80"/>
      <c r="AB316" s="74"/>
      <c r="AC316" s="74"/>
      <c r="AD316" s="74"/>
      <c r="AE316" s="74"/>
      <c r="AF316" s="80"/>
      <c r="AG316" s="74"/>
      <c r="AH316" s="74"/>
      <c r="AI316" s="74"/>
      <c r="AJ316" s="74"/>
      <c r="AK316" s="80"/>
      <c r="AL316" s="74"/>
      <c r="AM316" s="74"/>
      <c r="AN316" s="74"/>
      <c r="AO316" s="74"/>
      <c r="AP316" s="80"/>
      <c r="AQ316" s="74"/>
      <c r="AR316" s="80"/>
      <c r="AS316" s="87"/>
      <c r="AT316" s="93"/>
      <c r="AU316" s="94"/>
      <c r="AV316" s="93"/>
      <c r="AW316" s="94"/>
      <c r="AX316" s="87"/>
      <c r="AY316" s="93"/>
      <c r="AZ316" s="94"/>
      <c r="BA316" s="93"/>
      <c r="BB316" s="94"/>
      <c r="BC316" s="87"/>
      <c r="BD316" s="93"/>
      <c r="BE316" s="94"/>
      <c r="BF316" s="93"/>
      <c r="BG316" s="94"/>
      <c r="BH316" s="87"/>
      <c r="BI316" s="99"/>
      <c r="BJ316" s="104"/>
      <c r="BK316" s="99"/>
      <c r="BL316" s="104"/>
      <c r="BM316" s="99"/>
      <c r="BN316" s="99"/>
      <c r="BO316" s="104"/>
      <c r="BP316" s="99"/>
      <c r="BQ316" s="104"/>
      <c r="BR316" s="99"/>
      <c r="BS316" s="99"/>
      <c r="BT316" s="104"/>
      <c r="BU316" s="99"/>
      <c r="BV316" s="104"/>
      <c r="BW316" s="99"/>
      <c r="BX316" s="99"/>
      <c r="BY316" s="104"/>
      <c r="BZ316" s="99"/>
      <c r="CA316" s="104"/>
      <c r="CB316" s="99"/>
      <c r="CC316" s="99"/>
      <c r="CD316" s="104"/>
      <c r="CE316" s="99"/>
      <c r="CF316" s="104"/>
      <c r="CG316" s="99"/>
      <c r="CH316" s="99"/>
      <c r="CI316" s="104"/>
      <c r="CJ316" s="99"/>
      <c r="CK316" s="104"/>
      <c r="CL316" s="99"/>
      <c r="CM316" s="118"/>
      <c r="CN316" s="893"/>
      <c r="CO316" s="118"/>
      <c r="CP316" s="104"/>
      <c r="CQ316" s="99"/>
      <c r="CR316" s="99"/>
      <c r="CS316" s="104"/>
      <c r="CT316" s="99"/>
      <c r="CU316" s="104"/>
      <c r="CV316" s="99"/>
      <c r="CW316" s="99"/>
      <c r="CX316" s="104"/>
      <c r="CY316" s="99"/>
      <c r="CZ316" s="104"/>
      <c r="DA316" s="99"/>
      <c r="DB316" s="99"/>
      <c r="DC316" s="104"/>
      <c r="DD316" s="99"/>
      <c r="DE316" s="104"/>
      <c r="DF316" s="99"/>
      <c r="DG316" s="99"/>
      <c r="DH316" s="104"/>
      <c r="DI316" s="104"/>
      <c r="DJ316" s="104"/>
      <c r="DK316" s="99"/>
      <c r="DL316" s="99"/>
      <c r="DM316" s="104"/>
      <c r="DN316" s="104"/>
      <c r="DO316" s="104"/>
      <c r="DP316" s="99"/>
      <c r="DQ316" s="99"/>
      <c r="DR316" s="104"/>
      <c r="DS316" s="104"/>
      <c r="DT316" s="873"/>
      <c r="DU316" s="874"/>
      <c r="DV316" s="868"/>
      <c r="DW316" s="869"/>
      <c r="DX316" s="363"/>
      <c r="DY316" s="345"/>
      <c r="DZ316" s="408"/>
      <c r="EA316" s="10"/>
    </row>
    <row r="317" ht="17.25" customHeight="1">
      <c r="A317" s="3"/>
      <c r="B317" s="3"/>
      <c r="C317" s="74"/>
      <c r="D317" s="74"/>
      <c r="E317" s="74"/>
      <c r="F317" s="74"/>
      <c r="G317" s="74"/>
      <c r="H317" s="74"/>
      <c r="I317" s="74"/>
      <c r="J317" s="74"/>
      <c r="K317" s="74"/>
      <c r="L317" s="80"/>
      <c r="M317" s="74"/>
      <c r="N317" s="74"/>
      <c r="O317" s="74"/>
      <c r="P317" s="74"/>
      <c r="Q317" s="80"/>
      <c r="R317" s="74"/>
      <c r="S317" s="74"/>
      <c r="T317" s="74"/>
      <c r="U317" s="74"/>
      <c r="V317" s="80"/>
      <c r="W317" s="74"/>
      <c r="X317" s="74"/>
      <c r="Y317" s="74"/>
      <c r="Z317" s="74"/>
      <c r="AA317" s="80"/>
      <c r="AB317" s="74"/>
      <c r="AC317" s="74"/>
      <c r="AD317" s="74"/>
      <c r="AE317" s="74"/>
      <c r="AF317" s="80"/>
      <c r="AG317" s="74"/>
      <c r="AH317" s="74"/>
      <c r="AI317" s="74"/>
      <c r="AJ317" s="74"/>
      <c r="AK317" s="80"/>
      <c r="AL317" s="74"/>
      <c r="AM317" s="74"/>
      <c r="AN317" s="74"/>
      <c r="AO317" s="74"/>
      <c r="AP317" s="80"/>
      <c r="AQ317" s="74"/>
      <c r="AR317" s="80"/>
      <c r="AS317" s="87"/>
      <c r="AT317" s="93"/>
      <c r="AU317" s="94"/>
      <c r="AV317" s="93"/>
      <c r="AW317" s="94"/>
      <c r="AX317" s="87"/>
      <c r="AY317" s="93"/>
      <c r="AZ317" s="94"/>
      <c r="BA317" s="93"/>
      <c r="BB317" s="94"/>
      <c r="BC317" s="87"/>
      <c r="BD317" s="93"/>
      <c r="BE317" s="94"/>
      <c r="BF317" s="93"/>
      <c r="BG317" s="94"/>
      <c r="BH317" s="87"/>
      <c r="BI317" s="99"/>
      <c r="BJ317" s="104"/>
      <c r="BK317" s="99"/>
      <c r="BL317" s="104"/>
      <c r="BM317" s="99"/>
      <c r="BN317" s="99"/>
      <c r="BO317" s="104"/>
      <c r="BP317" s="99"/>
      <c r="BQ317" s="104"/>
      <c r="BR317" s="99"/>
      <c r="BS317" s="99"/>
      <c r="BT317" s="104"/>
      <c r="BU317" s="99"/>
      <c r="BV317" s="104"/>
      <c r="BW317" s="99"/>
      <c r="BX317" s="99"/>
      <c r="BY317" s="104"/>
      <c r="BZ317" s="99"/>
      <c r="CA317" s="104"/>
      <c r="CB317" s="99"/>
      <c r="CC317" s="99"/>
      <c r="CD317" s="104"/>
      <c r="CE317" s="99"/>
      <c r="CF317" s="104"/>
      <c r="CG317" s="99"/>
      <c r="CH317" s="99"/>
      <c r="CI317" s="104"/>
      <c r="CJ317" s="99"/>
      <c r="CK317" s="104"/>
      <c r="CL317" s="99"/>
      <c r="CM317" s="118"/>
      <c r="CN317" s="893"/>
      <c r="CO317" s="118"/>
      <c r="CP317" s="104"/>
      <c r="CQ317" s="99"/>
      <c r="CR317" s="99"/>
      <c r="CS317" s="104"/>
      <c r="CT317" s="99"/>
      <c r="CU317" s="104"/>
      <c r="CV317" s="99"/>
      <c r="CW317" s="99"/>
      <c r="CX317" s="104"/>
      <c r="CY317" s="99"/>
      <c r="CZ317" s="104"/>
      <c r="DA317" s="99"/>
      <c r="DB317" s="99"/>
      <c r="DC317" s="104"/>
      <c r="DD317" s="99"/>
      <c r="DE317" s="104"/>
      <c r="DF317" s="99"/>
      <c r="DG317" s="99"/>
      <c r="DH317" s="104"/>
      <c r="DI317" s="104"/>
      <c r="DJ317" s="104"/>
      <c r="DK317" s="99"/>
      <c r="DL317" s="99"/>
      <c r="DM317" s="104"/>
      <c r="DN317" s="104"/>
      <c r="DO317" s="104"/>
      <c r="DP317" s="99"/>
      <c r="DQ317" s="99"/>
      <c r="DR317" s="104"/>
      <c r="DS317" s="104"/>
      <c r="DT317" s="873"/>
      <c r="DU317" s="874"/>
      <c r="DV317" s="868"/>
      <c r="DW317" s="869"/>
      <c r="DX317" s="363"/>
      <c r="DY317" s="345"/>
      <c r="DZ317" s="408"/>
      <c r="EA317" s="10"/>
    </row>
    <row r="318" ht="17.25" customHeight="1">
      <c r="A318" s="3"/>
      <c r="B318" s="3"/>
      <c r="C318" s="74"/>
      <c r="D318" s="74"/>
      <c r="E318" s="74"/>
      <c r="F318" s="74"/>
      <c r="G318" s="74"/>
      <c r="H318" s="74"/>
      <c r="I318" s="74"/>
      <c r="J318" s="74"/>
      <c r="K318" s="74"/>
      <c r="L318" s="80"/>
      <c r="M318" s="74"/>
      <c r="N318" s="74"/>
      <c r="O318" s="74"/>
      <c r="P318" s="74"/>
      <c r="Q318" s="80"/>
      <c r="R318" s="74"/>
      <c r="S318" s="74"/>
      <c r="T318" s="74"/>
      <c r="U318" s="74"/>
      <c r="V318" s="80"/>
      <c r="W318" s="74"/>
      <c r="X318" s="74"/>
      <c r="Y318" s="74"/>
      <c r="Z318" s="74"/>
      <c r="AA318" s="80"/>
      <c r="AB318" s="74"/>
      <c r="AC318" s="74"/>
      <c r="AD318" s="74"/>
      <c r="AE318" s="74"/>
      <c r="AF318" s="80"/>
      <c r="AG318" s="74"/>
      <c r="AH318" s="74"/>
      <c r="AI318" s="74"/>
      <c r="AJ318" s="74"/>
      <c r="AK318" s="80"/>
      <c r="AL318" s="74"/>
      <c r="AM318" s="74"/>
      <c r="AN318" s="74"/>
      <c r="AO318" s="74"/>
      <c r="AP318" s="80"/>
      <c r="AQ318" s="74"/>
      <c r="AR318" s="80"/>
      <c r="AS318" s="87"/>
      <c r="AT318" s="93"/>
      <c r="AU318" s="94"/>
      <c r="AV318" s="93"/>
      <c r="AW318" s="94"/>
      <c r="AX318" s="87"/>
      <c r="AY318" s="93"/>
      <c r="AZ318" s="94"/>
      <c r="BA318" s="93"/>
      <c r="BB318" s="94"/>
      <c r="BC318" s="87"/>
      <c r="BD318" s="93"/>
      <c r="BE318" s="94"/>
      <c r="BF318" s="93"/>
      <c r="BG318" s="94"/>
      <c r="BH318" s="87"/>
      <c r="BI318" s="99"/>
      <c r="BJ318" s="104"/>
      <c r="BK318" s="99"/>
      <c r="BL318" s="104"/>
      <c r="BM318" s="99"/>
      <c r="BN318" s="99"/>
      <c r="BO318" s="104"/>
      <c r="BP318" s="99"/>
      <c r="BQ318" s="104"/>
      <c r="BR318" s="99"/>
      <c r="BS318" s="99"/>
      <c r="BT318" s="104"/>
      <c r="BU318" s="99"/>
      <c r="BV318" s="104"/>
      <c r="BW318" s="99"/>
      <c r="BX318" s="99"/>
      <c r="BY318" s="104"/>
      <c r="BZ318" s="99"/>
      <c r="CA318" s="104"/>
      <c r="CB318" s="99"/>
      <c r="CC318" s="99"/>
      <c r="CD318" s="104"/>
      <c r="CE318" s="99"/>
      <c r="CF318" s="104"/>
      <c r="CG318" s="99"/>
      <c r="CH318" s="99"/>
      <c r="CI318" s="104"/>
      <c r="CJ318" s="99"/>
      <c r="CK318" s="104"/>
      <c r="CL318" s="99"/>
      <c r="CM318" s="118"/>
      <c r="CN318" s="893"/>
      <c r="CO318" s="118"/>
      <c r="CP318" s="104"/>
      <c r="CQ318" s="99"/>
      <c r="CR318" s="99"/>
      <c r="CS318" s="104"/>
      <c r="CT318" s="99"/>
      <c r="CU318" s="104"/>
      <c r="CV318" s="99"/>
      <c r="CW318" s="99"/>
      <c r="CX318" s="104"/>
      <c r="CY318" s="99"/>
      <c r="CZ318" s="104"/>
      <c r="DA318" s="99"/>
      <c r="DB318" s="99"/>
      <c r="DC318" s="104"/>
      <c r="DD318" s="99"/>
      <c r="DE318" s="104"/>
      <c r="DF318" s="99"/>
      <c r="DG318" s="99"/>
      <c r="DH318" s="104"/>
      <c r="DI318" s="104"/>
      <c r="DJ318" s="104"/>
      <c r="DK318" s="99"/>
      <c r="DL318" s="99"/>
      <c r="DM318" s="104"/>
      <c r="DN318" s="104"/>
      <c r="DO318" s="104"/>
      <c r="DP318" s="99"/>
      <c r="DQ318" s="99"/>
      <c r="DR318" s="104"/>
      <c r="DS318" s="104"/>
      <c r="DT318" s="873"/>
      <c r="DU318" s="874"/>
      <c r="DV318" s="868"/>
      <c r="DW318" s="869"/>
      <c r="DX318" s="363"/>
      <c r="DY318" s="345"/>
      <c r="DZ318" s="408"/>
      <c r="EA318" s="10"/>
    </row>
    <row r="319" ht="17.25" customHeight="1">
      <c r="A319" s="3"/>
      <c r="B319" s="3"/>
      <c r="C319" s="74"/>
      <c r="D319" s="74"/>
      <c r="E319" s="74"/>
      <c r="F319" s="74"/>
      <c r="G319" s="74"/>
      <c r="H319" s="74"/>
      <c r="I319" s="74"/>
      <c r="J319" s="74"/>
      <c r="K319" s="74"/>
      <c r="L319" s="80"/>
      <c r="M319" s="74"/>
      <c r="N319" s="74"/>
      <c r="O319" s="74"/>
      <c r="P319" s="74"/>
      <c r="Q319" s="80"/>
      <c r="R319" s="74"/>
      <c r="S319" s="74"/>
      <c r="T319" s="74"/>
      <c r="U319" s="74"/>
      <c r="V319" s="80"/>
      <c r="W319" s="74"/>
      <c r="X319" s="74"/>
      <c r="Y319" s="74"/>
      <c r="Z319" s="74"/>
      <c r="AA319" s="80"/>
      <c r="AB319" s="74"/>
      <c r="AC319" s="74"/>
      <c r="AD319" s="74"/>
      <c r="AE319" s="74"/>
      <c r="AF319" s="80"/>
      <c r="AG319" s="74"/>
      <c r="AH319" s="74"/>
      <c r="AI319" s="74"/>
      <c r="AJ319" s="74"/>
      <c r="AK319" s="80"/>
      <c r="AL319" s="74"/>
      <c r="AM319" s="74"/>
      <c r="AN319" s="74"/>
      <c r="AO319" s="74"/>
      <c r="AP319" s="80"/>
      <c r="AQ319" s="74"/>
      <c r="AR319" s="80"/>
      <c r="AS319" s="87"/>
      <c r="AT319" s="93"/>
      <c r="AU319" s="94"/>
      <c r="AV319" s="93"/>
      <c r="AW319" s="94"/>
      <c r="AX319" s="87"/>
      <c r="AY319" s="93"/>
      <c r="AZ319" s="94"/>
      <c r="BA319" s="93"/>
      <c r="BB319" s="94"/>
      <c r="BC319" s="87"/>
      <c r="BD319" s="93"/>
      <c r="BE319" s="94"/>
      <c r="BF319" s="93"/>
      <c r="BG319" s="94"/>
      <c r="BH319" s="87"/>
      <c r="BI319" s="99"/>
      <c r="BJ319" s="104"/>
      <c r="BK319" s="99"/>
      <c r="BL319" s="104"/>
      <c r="BM319" s="99"/>
      <c r="BN319" s="99"/>
      <c r="BO319" s="104"/>
      <c r="BP319" s="99"/>
      <c r="BQ319" s="104"/>
      <c r="BR319" s="99"/>
      <c r="BS319" s="99"/>
      <c r="BT319" s="104"/>
      <c r="BU319" s="99"/>
      <c r="BV319" s="104"/>
      <c r="BW319" s="99"/>
      <c r="BX319" s="99"/>
      <c r="BY319" s="104"/>
      <c r="BZ319" s="99"/>
      <c r="CA319" s="104"/>
      <c r="CB319" s="99"/>
      <c r="CC319" s="99"/>
      <c r="CD319" s="104"/>
      <c r="CE319" s="99"/>
      <c r="CF319" s="104"/>
      <c r="CG319" s="99"/>
      <c r="CH319" s="99"/>
      <c r="CI319" s="104"/>
      <c r="CJ319" s="99"/>
      <c r="CK319" s="104"/>
      <c r="CL319" s="99"/>
      <c r="CM319" s="118"/>
      <c r="CN319" s="893"/>
      <c r="CO319" s="118"/>
      <c r="CP319" s="104"/>
      <c r="CQ319" s="99"/>
      <c r="CR319" s="99"/>
      <c r="CS319" s="104"/>
      <c r="CT319" s="99"/>
      <c r="CU319" s="104"/>
      <c r="CV319" s="99"/>
      <c r="CW319" s="99"/>
      <c r="CX319" s="104"/>
      <c r="CY319" s="99"/>
      <c r="CZ319" s="104"/>
      <c r="DA319" s="99"/>
      <c r="DB319" s="99"/>
      <c r="DC319" s="104"/>
      <c r="DD319" s="99"/>
      <c r="DE319" s="104"/>
      <c r="DF319" s="99"/>
      <c r="DG319" s="99"/>
      <c r="DH319" s="104"/>
      <c r="DI319" s="104"/>
      <c r="DJ319" s="104"/>
      <c r="DK319" s="99"/>
      <c r="DL319" s="99"/>
      <c r="DM319" s="104"/>
      <c r="DN319" s="104"/>
      <c r="DO319" s="104"/>
      <c r="DP319" s="99"/>
      <c r="DQ319" s="99"/>
      <c r="DR319" s="104"/>
      <c r="DS319" s="104"/>
      <c r="DT319" s="873"/>
      <c r="DU319" s="874"/>
      <c r="DV319" s="868"/>
      <c r="DW319" s="869"/>
      <c r="DX319" s="363"/>
      <c r="DY319" s="345"/>
      <c r="DZ319" s="408"/>
      <c r="EA319" s="10"/>
    </row>
    <row r="320" ht="17.25" customHeight="1">
      <c r="A320" s="3"/>
      <c r="B320" s="3"/>
      <c r="C320" s="74"/>
      <c r="D320" s="74"/>
      <c r="E320" s="74"/>
      <c r="F320" s="74"/>
      <c r="G320" s="74"/>
      <c r="H320" s="74"/>
      <c r="I320" s="74"/>
      <c r="J320" s="74"/>
      <c r="K320" s="74"/>
      <c r="L320" s="80"/>
      <c r="M320" s="74"/>
      <c r="N320" s="74"/>
      <c r="O320" s="74"/>
      <c r="P320" s="74"/>
      <c r="Q320" s="80"/>
      <c r="R320" s="74"/>
      <c r="S320" s="74"/>
      <c r="T320" s="74"/>
      <c r="U320" s="74"/>
      <c r="V320" s="80"/>
      <c r="W320" s="74"/>
      <c r="X320" s="74"/>
      <c r="Y320" s="74"/>
      <c r="Z320" s="74"/>
      <c r="AA320" s="80"/>
      <c r="AB320" s="74"/>
      <c r="AC320" s="74"/>
      <c r="AD320" s="74"/>
      <c r="AE320" s="74"/>
      <c r="AF320" s="80"/>
      <c r="AG320" s="74"/>
      <c r="AH320" s="74"/>
      <c r="AI320" s="74"/>
      <c r="AJ320" s="74"/>
      <c r="AK320" s="80"/>
      <c r="AL320" s="74"/>
      <c r="AM320" s="74"/>
      <c r="AN320" s="74"/>
      <c r="AO320" s="74"/>
      <c r="AP320" s="80"/>
      <c r="AQ320" s="74"/>
      <c r="AR320" s="80"/>
      <c r="AS320" s="87"/>
      <c r="AT320" s="93"/>
      <c r="AU320" s="94"/>
      <c r="AV320" s="93"/>
      <c r="AW320" s="94"/>
      <c r="AX320" s="87"/>
      <c r="AY320" s="93"/>
      <c r="AZ320" s="94"/>
      <c r="BA320" s="93"/>
      <c r="BB320" s="94"/>
      <c r="BC320" s="87"/>
      <c r="BD320" s="93"/>
      <c r="BE320" s="94"/>
      <c r="BF320" s="93"/>
      <c r="BG320" s="94"/>
      <c r="BH320" s="87"/>
      <c r="BI320" s="99"/>
      <c r="BJ320" s="104"/>
      <c r="BK320" s="99"/>
      <c r="BL320" s="104"/>
      <c r="BM320" s="99"/>
      <c r="BN320" s="99"/>
      <c r="BO320" s="104"/>
      <c r="BP320" s="99"/>
      <c r="BQ320" s="104"/>
      <c r="BR320" s="99"/>
      <c r="BS320" s="99"/>
      <c r="BT320" s="104"/>
      <c r="BU320" s="99"/>
      <c r="BV320" s="104"/>
      <c r="BW320" s="99"/>
      <c r="BX320" s="99"/>
      <c r="BY320" s="104"/>
      <c r="BZ320" s="99"/>
      <c r="CA320" s="104"/>
      <c r="CB320" s="99"/>
      <c r="CC320" s="99"/>
      <c r="CD320" s="104"/>
      <c r="CE320" s="99"/>
      <c r="CF320" s="104"/>
      <c r="CG320" s="99"/>
      <c r="CH320" s="99"/>
      <c r="CI320" s="104"/>
      <c r="CJ320" s="99"/>
      <c r="CK320" s="104"/>
      <c r="CL320" s="99"/>
      <c r="CM320" s="118"/>
      <c r="CN320" s="893"/>
      <c r="CO320" s="118"/>
      <c r="CP320" s="104"/>
      <c r="CQ320" s="99"/>
      <c r="CR320" s="99"/>
      <c r="CS320" s="104"/>
      <c r="CT320" s="99"/>
      <c r="CU320" s="104"/>
      <c r="CV320" s="99"/>
      <c r="CW320" s="99"/>
      <c r="CX320" s="104"/>
      <c r="CY320" s="99"/>
      <c r="CZ320" s="104"/>
      <c r="DA320" s="99"/>
      <c r="DB320" s="99"/>
      <c r="DC320" s="104"/>
      <c r="DD320" s="99"/>
      <c r="DE320" s="104"/>
      <c r="DF320" s="99"/>
      <c r="DG320" s="99"/>
      <c r="DH320" s="104"/>
      <c r="DI320" s="104"/>
      <c r="DJ320" s="104"/>
      <c r="DK320" s="99"/>
      <c r="DL320" s="99"/>
      <c r="DM320" s="104"/>
      <c r="DN320" s="104"/>
      <c r="DO320" s="104"/>
      <c r="DP320" s="99"/>
      <c r="DQ320" s="99"/>
      <c r="DR320" s="104"/>
      <c r="DS320" s="104"/>
      <c r="DT320" s="873"/>
      <c r="DU320" s="874"/>
      <c r="DV320" s="868"/>
      <c r="DW320" s="869"/>
      <c r="DX320" s="363"/>
      <c r="DY320" s="345"/>
      <c r="DZ320" s="408"/>
      <c r="EA320" s="10"/>
    </row>
    <row r="321" ht="17.25" customHeight="1">
      <c r="A321" s="3"/>
      <c r="B321" s="3"/>
      <c r="C321" s="74"/>
      <c r="D321" s="74"/>
      <c r="E321" s="74"/>
      <c r="F321" s="74"/>
      <c r="G321" s="74"/>
      <c r="H321" s="74"/>
      <c r="I321" s="74"/>
      <c r="J321" s="74"/>
      <c r="K321" s="74"/>
      <c r="L321" s="80"/>
      <c r="M321" s="74"/>
      <c r="N321" s="74"/>
      <c r="O321" s="74"/>
      <c r="P321" s="74"/>
      <c r="Q321" s="80"/>
      <c r="R321" s="74"/>
      <c r="S321" s="74"/>
      <c r="T321" s="74"/>
      <c r="U321" s="74"/>
      <c r="V321" s="80"/>
      <c r="W321" s="74"/>
      <c r="X321" s="74"/>
      <c r="Y321" s="74"/>
      <c r="Z321" s="74"/>
      <c r="AA321" s="80"/>
      <c r="AB321" s="74"/>
      <c r="AC321" s="74"/>
      <c r="AD321" s="74"/>
      <c r="AE321" s="74"/>
      <c r="AF321" s="80"/>
      <c r="AG321" s="74"/>
      <c r="AH321" s="74"/>
      <c r="AI321" s="74"/>
      <c r="AJ321" s="74"/>
      <c r="AK321" s="80"/>
      <c r="AL321" s="74"/>
      <c r="AM321" s="74"/>
      <c r="AN321" s="74"/>
      <c r="AO321" s="74"/>
      <c r="AP321" s="80"/>
      <c r="AQ321" s="74"/>
      <c r="AR321" s="80"/>
      <c r="AS321" s="87"/>
      <c r="AT321" s="93"/>
      <c r="AU321" s="94"/>
      <c r="AV321" s="93"/>
      <c r="AW321" s="94"/>
      <c r="AX321" s="87"/>
      <c r="AY321" s="93"/>
      <c r="AZ321" s="94"/>
      <c r="BA321" s="93"/>
      <c r="BB321" s="94"/>
      <c r="BC321" s="87"/>
      <c r="BD321" s="93"/>
      <c r="BE321" s="94"/>
      <c r="BF321" s="93"/>
      <c r="BG321" s="94"/>
      <c r="BH321" s="87"/>
      <c r="BI321" s="99"/>
      <c r="BJ321" s="104"/>
      <c r="BK321" s="99"/>
      <c r="BL321" s="104"/>
      <c r="BM321" s="99"/>
      <c r="BN321" s="99"/>
      <c r="BO321" s="104"/>
      <c r="BP321" s="99"/>
      <c r="BQ321" s="104"/>
      <c r="BR321" s="99"/>
      <c r="BS321" s="99"/>
      <c r="BT321" s="104"/>
      <c r="BU321" s="99"/>
      <c r="BV321" s="104"/>
      <c r="BW321" s="99"/>
      <c r="BX321" s="99"/>
      <c r="BY321" s="104"/>
      <c r="BZ321" s="99"/>
      <c r="CA321" s="104"/>
      <c r="CB321" s="99"/>
      <c r="CC321" s="99"/>
      <c r="CD321" s="104"/>
      <c r="CE321" s="99"/>
      <c r="CF321" s="104"/>
      <c r="CG321" s="99"/>
      <c r="CH321" s="99"/>
      <c r="CI321" s="104"/>
      <c r="CJ321" s="99"/>
      <c r="CK321" s="104"/>
      <c r="CL321" s="99"/>
      <c r="CM321" s="118"/>
      <c r="CN321" s="893"/>
      <c r="CO321" s="118"/>
      <c r="CP321" s="104"/>
      <c r="CQ321" s="99"/>
      <c r="CR321" s="99"/>
      <c r="CS321" s="104"/>
      <c r="CT321" s="99"/>
      <c r="CU321" s="104"/>
      <c r="CV321" s="99"/>
      <c r="CW321" s="99"/>
      <c r="CX321" s="104"/>
      <c r="CY321" s="99"/>
      <c r="CZ321" s="104"/>
      <c r="DA321" s="99"/>
      <c r="DB321" s="99"/>
      <c r="DC321" s="104"/>
      <c r="DD321" s="99"/>
      <c r="DE321" s="104"/>
      <c r="DF321" s="99"/>
      <c r="DG321" s="99"/>
      <c r="DH321" s="104"/>
      <c r="DI321" s="104"/>
      <c r="DJ321" s="104"/>
      <c r="DK321" s="99"/>
      <c r="DL321" s="99"/>
      <c r="DM321" s="104"/>
      <c r="DN321" s="104"/>
      <c r="DO321" s="104"/>
      <c r="DP321" s="99"/>
      <c r="DQ321" s="99"/>
      <c r="DR321" s="104"/>
      <c r="DS321" s="104"/>
      <c r="DT321" s="873"/>
      <c r="DU321" s="874"/>
      <c r="DV321" s="868"/>
      <c r="DW321" s="869"/>
      <c r="DX321" s="363"/>
      <c r="DY321" s="345"/>
      <c r="DZ321" s="408"/>
      <c r="EA321" s="10"/>
    </row>
    <row r="322" ht="17.25" customHeight="1">
      <c r="A322" s="3"/>
      <c r="B322" s="3"/>
      <c r="C322" s="74"/>
      <c r="D322" s="74"/>
      <c r="E322" s="74"/>
      <c r="F322" s="74"/>
      <c r="G322" s="74"/>
      <c r="H322" s="74"/>
      <c r="I322" s="74"/>
      <c r="J322" s="74"/>
      <c r="K322" s="74"/>
      <c r="L322" s="80"/>
      <c r="M322" s="74"/>
      <c r="N322" s="74"/>
      <c r="O322" s="74"/>
      <c r="P322" s="74"/>
      <c r="Q322" s="80"/>
      <c r="R322" s="74"/>
      <c r="S322" s="74"/>
      <c r="T322" s="74"/>
      <c r="U322" s="74"/>
      <c r="V322" s="80"/>
      <c r="W322" s="74"/>
      <c r="X322" s="74"/>
      <c r="Y322" s="74"/>
      <c r="Z322" s="74"/>
      <c r="AA322" s="80"/>
      <c r="AB322" s="74"/>
      <c r="AC322" s="74"/>
      <c r="AD322" s="74"/>
      <c r="AE322" s="74"/>
      <c r="AF322" s="80"/>
      <c r="AG322" s="74"/>
      <c r="AH322" s="74"/>
      <c r="AI322" s="74"/>
      <c r="AJ322" s="74"/>
      <c r="AK322" s="80"/>
      <c r="AL322" s="74"/>
      <c r="AM322" s="74"/>
      <c r="AN322" s="74"/>
      <c r="AO322" s="74"/>
      <c r="AP322" s="80"/>
      <c r="AQ322" s="74"/>
      <c r="AR322" s="80"/>
      <c r="AS322" s="87"/>
      <c r="AT322" s="93"/>
      <c r="AU322" s="94"/>
      <c r="AV322" s="93"/>
      <c r="AW322" s="94"/>
      <c r="AX322" s="87"/>
      <c r="AY322" s="93"/>
      <c r="AZ322" s="94"/>
      <c r="BA322" s="93"/>
      <c r="BB322" s="94"/>
      <c r="BC322" s="87"/>
      <c r="BD322" s="93"/>
      <c r="BE322" s="94"/>
      <c r="BF322" s="93"/>
      <c r="BG322" s="94"/>
      <c r="BH322" s="87"/>
      <c r="BI322" s="99"/>
      <c r="BJ322" s="104"/>
      <c r="BK322" s="99"/>
      <c r="BL322" s="104"/>
      <c r="BM322" s="99"/>
      <c r="BN322" s="99"/>
      <c r="BO322" s="104"/>
      <c r="BP322" s="99"/>
      <c r="BQ322" s="104"/>
      <c r="BR322" s="99"/>
      <c r="BS322" s="99"/>
      <c r="BT322" s="104"/>
      <c r="BU322" s="99"/>
      <c r="BV322" s="104"/>
      <c r="BW322" s="99"/>
      <c r="BX322" s="99"/>
      <c r="BY322" s="104"/>
      <c r="BZ322" s="99"/>
      <c r="CA322" s="104"/>
      <c r="CB322" s="99"/>
      <c r="CC322" s="99"/>
      <c r="CD322" s="104"/>
      <c r="CE322" s="99"/>
      <c r="CF322" s="104"/>
      <c r="CG322" s="99"/>
      <c r="CH322" s="99"/>
      <c r="CI322" s="104"/>
      <c r="CJ322" s="99"/>
      <c r="CK322" s="104"/>
      <c r="CL322" s="99"/>
      <c r="CM322" s="118"/>
      <c r="CN322" s="893"/>
      <c r="CO322" s="118"/>
      <c r="CP322" s="104"/>
      <c r="CQ322" s="99"/>
      <c r="CR322" s="99"/>
      <c r="CS322" s="104"/>
      <c r="CT322" s="99"/>
      <c r="CU322" s="104"/>
      <c r="CV322" s="99"/>
      <c r="CW322" s="99"/>
      <c r="CX322" s="104"/>
      <c r="CY322" s="99"/>
      <c r="CZ322" s="104"/>
      <c r="DA322" s="99"/>
      <c r="DB322" s="99"/>
      <c r="DC322" s="104"/>
      <c r="DD322" s="99"/>
      <c r="DE322" s="104"/>
      <c r="DF322" s="99"/>
      <c r="DG322" s="99"/>
      <c r="DH322" s="104"/>
      <c r="DI322" s="104"/>
      <c r="DJ322" s="104"/>
      <c r="DK322" s="99"/>
      <c r="DL322" s="99"/>
      <c r="DM322" s="104"/>
      <c r="DN322" s="104"/>
      <c r="DO322" s="104"/>
      <c r="DP322" s="99"/>
      <c r="DQ322" s="99"/>
      <c r="DR322" s="104"/>
      <c r="DS322" s="104"/>
      <c r="DT322" s="873"/>
      <c r="DU322" s="874"/>
      <c r="DV322" s="868"/>
      <c r="DW322" s="869"/>
      <c r="DX322" s="363"/>
      <c r="DY322" s="345"/>
      <c r="DZ322" s="408"/>
      <c r="EA322" s="10"/>
    </row>
    <row r="323" ht="17.25" customHeight="1">
      <c r="A323" s="3"/>
      <c r="B323" s="3"/>
      <c r="C323" s="74"/>
      <c r="D323" s="74"/>
      <c r="E323" s="74"/>
      <c r="F323" s="74"/>
      <c r="G323" s="74"/>
      <c r="H323" s="74"/>
      <c r="I323" s="74"/>
      <c r="J323" s="74"/>
      <c r="K323" s="74"/>
      <c r="L323" s="80"/>
      <c r="M323" s="74"/>
      <c r="N323" s="74"/>
      <c r="O323" s="74"/>
      <c r="P323" s="74"/>
      <c r="Q323" s="80"/>
      <c r="R323" s="74"/>
      <c r="S323" s="74"/>
      <c r="T323" s="74"/>
      <c r="U323" s="74"/>
      <c r="V323" s="80"/>
      <c r="W323" s="74"/>
      <c r="X323" s="74"/>
      <c r="Y323" s="74"/>
      <c r="Z323" s="74"/>
      <c r="AA323" s="80"/>
      <c r="AB323" s="74"/>
      <c r="AC323" s="74"/>
      <c r="AD323" s="74"/>
      <c r="AE323" s="74"/>
      <c r="AF323" s="80"/>
      <c r="AG323" s="74"/>
      <c r="AH323" s="74"/>
      <c r="AI323" s="74"/>
      <c r="AJ323" s="74"/>
      <c r="AK323" s="80"/>
      <c r="AL323" s="74"/>
      <c r="AM323" s="74"/>
      <c r="AN323" s="74"/>
      <c r="AO323" s="74"/>
      <c r="AP323" s="80"/>
      <c r="AQ323" s="74"/>
      <c r="AR323" s="80"/>
      <c r="AS323" s="87"/>
      <c r="AT323" s="93"/>
      <c r="AU323" s="94"/>
      <c r="AV323" s="93"/>
      <c r="AW323" s="94"/>
      <c r="AX323" s="87"/>
      <c r="AY323" s="93"/>
      <c r="AZ323" s="94"/>
      <c r="BA323" s="93"/>
      <c r="BB323" s="94"/>
      <c r="BC323" s="87"/>
      <c r="BD323" s="93"/>
      <c r="BE323" s="94"/>
      <c r="BF323" s="93"/>
      <c r="BG323" s="94"/>
      <c r="BH323" s="87"/>
      <c r="BI323" s="99"/>
      <c r="BJ323" s="104"/>
      <c r="BK323" s="99"/>
      <c r="BL323" s="104"/>
      <c r="BM323" s="99"/>
      <c r="BN323" s="99"/>
      <c r="BO323" s="104"/>
      <c r="BP323" s="99"/>
      <c r="BQ323" s="104"/>
      <c r="BR323" s="99"/>
      <c r="BS323" s="99"/>
      <c r="BT323" s="104"/>
      <c r="BU323" s="99"/>
      <c r="BV323" s="104"/>
      <c r="BW323" s="99"/>
      <c r="BX323" s="99"/>
      <c r="BY323" s="104"/>
      <c r="BZ323" s="99"/>
      <c r="CA323" s="104"/>
      <c r="CB323" s="99"/>
      <c r="CC323" s="99"/>
      <c r="CD323" s="104"/>
      <c r="CE323" s="99"/>
      <c r="CF323" s="104"/>
      <c r="CG323" s="99"/>
      <c r="CH323" s="99"/>
      <c r="CI323" s="104"/>
      <c r="CJ323" s="99"/>
      <c r="CK323" s="104"/>
      <c r="CL323" s="99"/>
      <c r="CM323" s="118"/>
      <c r="CN323" s="893"/>
      <c r="CO323" s="118"/>
      <c r="CP323" s="104"/>
      <c r="CQ323" s="99"/>
      <c r="CR323" s="99"/>
      <c r="CS323" s="104"/>
      <c r="CT323" s="99"/>
      <c r="CU323" s="104"/>
      <c r="CV323" s="99"/>
      <c r="CW323" s="99"/>
      <c r="CX323" s="104"/>
      <c r="CY323" s="99"/>
      <c r="CZ323" s="104"/>
      <c r="DA323" s="99"/>
      <c r="DB323" s="99"/>
      <c r="DC323" s="104"/>
      <c r="DD323" s="99"/>
      <c r="DE323" s="104"/>
      <c r="DF323" s="99"/>
      <c r="DG323" s="99"/>
      <c r="DH323" s="104"/>
      <c r="DI323" s="104"/>
      <c r="DJ323" s="104"/>
      <c r="DK323" s="99"/>
      <c r="DL323" s="99"/>
      <c r="DM323" s="104"/>
      <c r="DN323" s="104"/>
      <c r="DO323" s="104"/>
      <c r="DP323" s="99"/>
      <c r="DQ323" s="99"/>
      <c r="DR323" s="104"/>
      <c r="DS323" s="104"/>
      <c r="DT323" s="873"/>
      <c r="DU323" s="874"/>
      <c r="DV323" s="868"/>
      <c r="DW323" s="869"/>
      <c r="DX323" s="363"/>
      <c r="DY323" s="345"/>
      <c r="DZ323" s="408"/>
      <c r="EA323" s="10"/>
    </row>
    <row r="324" ht="17.25" customHeight="1">
      <c r="A324" s="3"/>
      <c r="B324" s="3"/>
      <c r="C324" s="74"/>
      <c r="D324" s="74"/>
      <c r="E324" s="74"/>
      <c r="F324" s="74"/>
      <c r="G324" s="74"/>
      <c r="H324" s="74"/>
      <c r="I324" s="74"/>
      <c r="J324" s="74"/>
      <c r="K324" s="74"/>
      <c r="L324" s="80"/>
      <c r="M324" s="74"/>
      <c r="N324" s="74"/>
      <c r="O324" s="74"/>
      <c r="P324" s="74"/>
      <c r="Q324" s="80"/>
      <c r="R324" s="74"/>
      <c r="S324" s="74"/>
      <c r="T324" s="74"/>
      <c r="U324" s="74"/>
      <c r="V324" s="80"/>
      <c r="W324" s="74"/>
      <c r="X324" s="74"/>
      <c r="Y324" s="74"/>
      <c r="Z324" s="74"/>
      <c r="AA324" s="80"/>
      <c r="AB324" s="74"/>
      <c r="AC324" s="74"/>
      <c r="AD324" s="74"/>
      <c r="AE324" s="74"/>
      <c r="AF324" s="80"/>
      <c r="AG324" s="74"/>
      <c r="AH324" s="74"/>
      <c r="AI324" s="74"/>
      <c r="AJ324" s="74"/>
      <c r="AK324" s="80"/>
      <c r="AL324" s="74"/>
      <c r="AM324" s="74"/>
      <c r="AN324" s="74"/>
      <c r="AO324" s="74"/>
      <c r="AP324" s="80"/>
      <c r="AQ324" s="74"/>
      <c r="AR324" s="80"/>
      <c r="AS324" s="87"/>
      <c r="AT324" s="93"/>
      <c r="AU324" s="94"/>
      <c r="AV324" s="93"/>
      <c r="AW324" s="94"/>
      <c r="AX324" s="87"/>
      <c r="AY324" s="93"/>
      <c r="AZ324" s="94"/>
      <c r="BA324" s="93"/>
      <c r="BB324" s="94"/>
      <c r="BC324" s="87"/>
      <c r="BD324" s="93"/>
      <c r="BE324" s="94"/>
      <c r="BF324" s="93"/>
      <c r="BG324" s="94"/>
      <c r="BH324" s="87"/>
      <c r="BI324" s="99"/>
      <c r="BJ324" s="104"/>
      <c r="BK324" s="99"/>
      <c r="BL324" s="104"/>
      <c r="BM324" s="99"/>
      <c r="BN324" s="99"/>
      <c r="BO324" s="104"/>
      <c r="BP324" s="99"/>
      <c r="BQ324" s="104"/>
      <c r="BR324" s="99"/>
      <c r="BS324" s="99"/>
      <c r="BT324" s="104"/>
      <c r="BU324" s="99"/>
      <c r="BV324" s="104"/>
      <c r="BW324" s="99"/>
      <c r="BX324" s="99"/>
      <c r="BY324" s="104"/>
      <c r="BZ324" s="99"/>
      <c r="CA324" s="104"/>
      <c r="CB324" s="99"/>
      <c r="CC324" s="99"/>
      <c r="CD324" s="104"/>
      <c r="CE324" s="99"/>
      <c r="CF324" s="104"/>
      <c r="CG324" s="99"/>
      <c r="CH324" s="99"/>
      <c r="CI324" s="104"/>
      <c r="CJ324" s="99"/>
      <c r="CK324" s="104"/>
      <c r="CL324" s="99"/>
      <c r="CM324" s="118"/>
      <c r="CN324" s="893"/>
      <c r="CO324" s="118"/>
      <c r="CP324" s="104"/>
      <c r="CQ324" s="99"/>
      <c r="CR324" s="99"/>
      <c r="CS324" s="104"/>
      <c r="CT324" s="99"/>
      <c r="CU324" s="104"/>
      <c r="CV324" s="99"/>
      <c r="CW324" s="99"/>
      <c r="CX324" s="104"/>
      <c r="CY324" s="99"/>
      <c r="CZ324" s="104"/>
      <c r="DA324" s="99"/>
      <c r="DB324" s="99"/>
      <c r="DC324" s="104"/>
      <c r="DD324" s="99"/>
      <c r="DE324" s="104"/>
      <c r="DF324" s="99"/>
      <c r="DG324" s="99"/>
      <c r="DH324" s="104"/>
      <c r="DI324" s="104"/>
      <c r="DJ324" s="104"/>
      <c r="DK324" s="99"/>
      <c r="DL324" s="99"/>
      <c r="DM324" s="104"/>
      <c r="DN324" s="104"/>
      <c r="DO324" s="104"/>
      <c r="DP324" s="99"/>
      <c r="DQ324" s="99"/>
      <c r="DR324" s="104"/>
      <c r="DS324" s="104"/>
      <c r="DT324" s="873"/>
      <c r="DU324" s="874"/>
      <c r="DV324" s="868"/>
      <c r="DW324" s="869"/>
      <c r="DX324" s="363"/>
      <c r="DY324" s="345"/>
      <c r="DZ324" s="408"/>
      <c r="EA324" s="10"/>
    </row>
    <row r="325" ht="17.25" customHeight="1">
      <c r="A325" s="3"/>
      <c r="B325" s="3"/>
      <c r="C325" s="74"/>
      <c r="D325" s="74"/>
      <c r="E325" s="74"/>
      <c r="F325" s="74"/>
      <c r="G325" s="74"/>
      <c r="H325" s="74"/>
      <c r="I325" s="74"/>
      <c r="J325" s="74"/>
      <c r="K325" s="74"/>
      <c r="L325" s="80"/>
      <c r="M325" s="74"/>
      <c r="N325" s="74"/>
      <c r="O325" s="74"/>
      <c r="P325" s="74"/>
      <c r="Q325" s="80"/>
      <c r="R325" s="74"/>
      <c r="S325" s="74"/>
      <c r="T325" s="74"/>
      <c r="U325" s="74"/>
      <c r="V325" s="80"/>
      <c r="W325" s="74"/>
      <c r="X325" s="74"/>
      <c r="Y325" s="74"/>
      <c r="Z325" s="74"/>
      <c r="AA325" s="80"/>
      <c r="AB325" s="74"/>
      <c r="AC325" s="74"/>
      <c r="AD325" s="74"/>
      <c r="AE325" s="74"/>
      <c r="AF325" s="80"/>
      <c r="AG325" s="74"/>
      <c r="AH325" s="74"/>
      <c r="AI325" s="74"/>
      <c r="AJ325" s="74"/>
      <c r="AK325" s="80"/>
      <c r="AL325" s="74"/>
      <c r="AM325" s="74"/>
      <c r="AN325" s="74"/>
      <c r="AO325" s="74"/>
      <c r="AP325" s="80"/>
      <c r="AQ325" s="74"/>
      <c r="AR325" s="80"/>
      <c r="AS325" s="87"/>
      <c r="AT325" s="93"/>
      <c r="AU325" s="94"/>
      <c r="AV325" s="93"/>
      <c r="AW325" s="94"/>
      <c r="AX325" s="87"/>
      <c r="AY325" s="93"/>
      <c r="AZ325" s="94"/>
      <c r="BA325" s="93"/>
      <c r="BB325" s="94"/>
      <c r="BC325" s="87"/>
      <c r="BD325" s="93"/>
      <c r="BE325" s="94"/>
      <c r="BF325" s="93"/>
      <c r="BG325" s="94"/>
      <c r="BH325" s="87"/>
      <c r="BI325" s="99"/>
      <c r="BJ325" s="104"/>
      <c r="BK325" s="99"/>
      <c r="BL325" s="104"/>
      <c r="BM325" s="99"/>
      <c r="BN325" s="99"/>
      <c r="BO325" s="104"/>
      <c r="BP325" s="99"/>
      <c r="BQ325" s="104"/>
      <c r="BR325" s="99"/>
      <c r="BS325" s="99"/>
      <c r="BT325" s="104"/>
      <c r="BU325" s="99"/>
      <c r="BV325" s="104"/>
      <c r="BW325" s="99"/>
      <c r="BX325" s="99"/>
      <c r="BY325" s="104"/>
      <c r="BZ325" s="99"/>
      <c r="CA325" s="104"/>
      <c r="CB325" s="99"/>
      <c r="CC325" s="99"/>
      <c r="CD325" s="104"/>
      <c r="CE325" s="99"/>
      <c r="CF325" s="104"/>
      <c r="CG325" s="99"/>
      <c r="CH325" s="99"/>
      <c r="CI325" s="104"/>
      <c r="CJ325" s="99"/>
      <c r="CK325" s="104"/>
      <c r="CL325" s="99"/>
      <c r="CM325" s="118"/>
      <c r="CN325" s="893"/>
      <c r="CO325" s="118"/>
      <c r="CP325" s="104"/>
      <c r="CQ325" s="99"/>
      <c r="CR325" s="99"/>
      <c r="CS325" s="104"/>
      <c r="CT325" s="99"/>
      <c r="CU325" s="104"/>
      <c r="CV325" s="99"/>
      <c r="CW325" s="99"/>
      <c r="CX325" s="104"/>
      <c r="CY325" s="99"/>
      <c r="CZ325" s="104"/>
      <c r="DA325" s="99"/>
      <c r="DB325" s="99"/>
      <c r="DC325" s="104"/>
      <c r="DD325" s="99"/>
      <c r="DE325" s="104"/>
      <c r="DF325" s="99"/>
      <c r="DG325" s="99"/>
      <c r="DH325" s="104"/>
      <c r="DI325" s="104"/>
      <c r="DJ325" s="104"/>
      <c r="DK325" s="99"/>
      <c r="DL325" s="99"/>
      <c r="DM325" s="104"/>
      <c r="DN325" s="104"/>
      <c r="DO325" s="104"/>
      <c r="DP325" s="99"/>
      <c r="DQ325" s="99"/>
      <c r="DR325" s="104"/>
      <c r="DS325" s="104"/>
      <c r="DT325" s="873"/>
      <c r="DU325" s="874"/>
      <c r="DV325" s="868"/>
      <c r="DW325" s="869"/>
      <c r="DX325" s="363"/>
      <c r="DY325" s="345"/>
      <c r="DZ325" s="408"/>
      <c r="EA325" s="10"/>
    </row>
    <row r="326" ht="17.25" customHeight="1">
      <c r="A326" s="3"/>
      <c r="B326" s="3"/>
      <c r="C326" s="74"/>
      <c r="D326" s="74"/>
      <c r="E326" s="74"/>
      <c r="F326" s="74"/>
      <c r="G326" s="74"/>
      <c r="H326" s="74"/>
      <c r="I326" s="74"/>
      <c r="J326" s="74"/>
      <c r="K326" s="74"/>
      <c r="L326" s="80"/>
      <c r="M326" s="74"/>
      <c r="N326" s="74"/>
      <c r="O326" s="74"/>
      <c r="P326" s="74"/>
      <c r="Q326" s="80"/>
      <c r="R326" s="74"/>
      <c r="S326" s="74"/>
      <c r="T326" s="74"/>
      <c r="U326" s="74"/>
      <c r="V326" s="80"/>
      <c r="W326" s="74"/>
      <c r="X326" s="74"/>
      <c r="Y326" s="74"/>
      <c r="Z326" s="74"/>
      <c r="AA326" s="80"/>
      <c r="AB326" s="74"/>
      <c r="AC326" s="74"/>
      <c r="AD326" s="74"/>
      <c r="AE326" s="74"/>
      <c r="AF326" s="80"/>
      <c r="AG326" s="74"/>
      <c r="AH326" s="74"/>
      <c r="AI326" s="74"/>
      <c r="AJ326" s="74"/>
      <c r="AK326" s="80"/>
      <c r="AL326" s="74"/>
      <c r="AM326" s="74"/>
      <c r="AN326" s="74"/>
      <c r="AO326" s="74"/>
      <c r="AP326" s="80"/>
      <c r="AQ326" s="74"/>
      <c r="AR326" s="80"/>
      <c r="AS326" s="87"/>
      <c r="AT326" s="93"/>
      <c r="AU326" s="94"/>
      <c r="AV326" s="93"/>
      <c r="AW326" s="94"/>
      <c r="AX326" s="87"/>
      <c r="AY326" s="93"/>
      <c r="AZ326" s="94"/>
      <c r="BA326" s="93"/>
      <c r="BB326" s="94"/>
      <c r="BC326" s="87"/>
      <c r="BD326" s="93"/>
      <c r="BE326" s="94"/>
      <c r="BF326" s="93"/>
      <c r="BG326" s="94"/>
      <c r="BH326" s="87"/>
      <c r="BI326" s="99"/>
      <c r="BJ326" s="104"/>
      <c r="BK326" s="99"/>
      <c r="BL326" s="104"/>
      <c r="BM326" s="99"/>
      <c r="BN326" s="99"/>
      <c r="BO326" s="104"/>
      <c r="BP326" s="99"/>
      <c r="BQ326" s="104"/>
      <c r="BR326" s="99"/>
      <c r="BS326" s="99"/>
      <c r="BT326" s="104"/>
      <c r="BU326" s="99"/>
      <c r="BV326" s="104"/>
      <c r="BW326" s="99"/>
      <c r="BX326" s="99"/>
      <c r="BY326" s="104"/>
      <c r="BZ326" s="99"/>
      <c r="CA326" s="104"/>
      <c r="CB326" s="99"/>
      <c r="CC326" s="99"/>
      <c r="CD326" s="104"/>
      <c r="CE326" s="99"/>
      <c r="CF326" s="104"/>
      <c r="CG326" s="99"/>
      <c r="CH326" s="99"/>
      <c r="CI326" s="104"/>
      <c r="CJ326" s="99"/>
      <c r="CK326" s="104"/>
      <c r="CL326" s="99"/>
      <c r="CM326" s="118"/>
      <c r="CN326" s="893"/>
      <c r="CO326" s="118"/>
      <c r="CP326" s="104"/>
      <c r="CQ326" s="99"/>
      <c r="CR326" s="99"/>
      <c r="CS326" s="104"/>
      <c r="CT326" s="99"/>
      <c r="CU326" s="104"/>
      <c r="CV326" s="99"/>
      <c r="CW326" s="99"/>
      <c r="CX326" s="104"/>
      <c r="CY326" s="99"/>
      <c r="CZ326" s="104"/>
      <c r="DA326" s="99"/>
      <c r="DB326" s="99"/>
      <c r="DC326" s="104"/>
      <c r="DD326" s="99"/>
      <c r="DE326" s="104"/>
      <c r="DF326" s="99"/>
      <c r="DG326" s="99"/>
      <c r="DH326" s="104"/>
      <c r="DI326" s="104"/>
      <c r="DJ326" s="104"/>
      <c r="DK326" s="99"/>
      <c r="DL326" s="99"/>
      <c r="DM326" s="104"/>
      <c r="DN326" s="104"/>
      <c r="DO326" s="104"/>
      <c r="DP326" s="99"/>
      <c r="DQ326" s="99"/>
      <c r="DR326" s="104"/>
      <c r="DS326" s="104"/>
      <c r="DT326" s="873"/>
      <c r="DU326" s="874"/>
      <c r="DV326" s="868"/>
      <c r="DW326" s="869"/>
      <c r="DX326" s="363"/>
      <c r="DY326" s="345"/>
      <c r="DZ326" s="408"/>
      <c r="EA326" s="10"/>
    </row>
    <row r="327" ht="17.25" customHeight="1">
      <c r="A327" s="3"/>
      <c r="B327" s="3"/>
      <c r="C327" s="74"/>
      <c r="D327" s="74"/>
      <c r="E327" s="74"/>
      <c r="F327" s="74"/>
      <c r="G327" s="74"/>
      <c r="H327" s="74"/>
      <c r="I327" s="74"/>
      <c r="J327" s="74"/>
      <c r="K327" s="74"/>
      <c r="L327" s="80"/>
      <c r="M327" s="74"/>
      <c r="N327" s="74"/>
      <c r="O327" s="74"/>
      <c r="P327" s="74"/>
      <c r="Q327" s="80"/>
      <c r="R327" s="74"/>
      <c r="S327" s="74"/>
      <c r="T327" s="74"/>
      <c r="U327" s="74"/>
      <c r="V327" s="80"/>
      <c r="W327" s="74"/>
      <c r="X327" s="74"/>
      <c r="Y327" s="74"/>
      <c r="Z327" s="74"/>
      <c r="AA327" s="80"/>
      <c r="AB327" s="74"/>
      <c r="AC327" s="74"/>
      <c r="AD327" s="74"/>
      <c r="AE327" s="74"/>
      <c r="AF327" s="80"/>
      <c r="AG327" s="74"/>
      <c r="AH327" s="74"/>
      <c r="AI327" s="74"/>
      <c r="AJ327" s="74"/>
      <c r="AK327" s="80"/>
      <c r="AL327" s="74"/>
      <c r="AM327" s="74"/>
      <c r="AN327" s="74"/>
      <c r="AO327" s="74"/>
      <c r="AP327" s="80"/>
      <c r="AQ327" s="74"/>
      <c r="AR327" s="80"/>
      <c r="AS327" s="87"/>
      <c r="AT327" s="93"/>
      <c r="AU327" s="94"/>
      <c r="AV327" s="93"/>
      <c r="AW327" s="94"/>
      <c r="AX327" s="87"/>
      <c r="AY327" s="93"/>
      <c r="AZ327" s="94"/>
      <c r="BA327" s="93"/>
      <c r="BB327" s="94"/>
      <c r="BC327" s="87"/>
      <c r="BD327" s="93"/>
      <c r="BE327" s="94"/>
      <c r="BF327" s="93"/>
      <c r="BG327" s="94"/>
      <c r="BH327" s="87"/>
      <c r="BI327" s="99"/>
      <c r="BJ327" s="104"/>
      <c r="BK327" s="99"/>
      <c r="BL327" s="104"/>
      <c r="BM327" s="99"/>
      <c r="BN327" s="99"/>
      <c r="BO327" s="104"/>
      <c r="BP327" s="99"/>
      <c r="BQ327" s="104"/>
      <c r="BR327" s="99"/>
      <c r="BS327" s="99"/>
      <c r="BT327" s="104"/>
      <c r="BU327" s="99"/>
      <c r="BV327" s="104"/>
      <c r="BW327" s="99"/>
      <c r="BX327" s="99"/>
      <c r="BY327" s="104"/>
      <c r="BZ327" s="99"/>
      <c r="CA327" s="104"/>
      <c r="CB327" s="99"/>
      <c r="CC327" s="99"/>
      <c r="CD327" s="104"/>
      <c r="CE327" s="99"/>
      <c r="CF327" s="104"/>
      <c r="CG327" s="99"/>
      <c r="CH327" s="99"/>
      <c r="CI327" s="104"/>
      <c r="CJ327" s="99"/>
      <c r="CK327" s="104"/>
      <c r="CL327" s="99"/>
      <c r="CM327" s="118"/>
      <c r="CN327" s="893"/>
      <c r="CO327" s="118"/>
      <c r="CP327" s="104"/>
      <c r="CQ327" s="99"/>
      <c r="CR327" s="99"/>
      <c r="CS327" s="104"/>
      <c r="CT327" s="99"/>
      <c r="CU327" s="104"/>
      <c r="CV327" s="99"/>
      <c r="CW327" s="99"/>
      <c r="CX327" s="104"/>
      <c r="CY327" s="99"/>
      <c r="CZ327" s="104"/>
      <c r="DA327" s="99"/>
      <c r="DB327" s="99"/>
      <c r="DC327" s="104"/>
      <c r="DD327" s="99"/>
      <c r="DE327" s="104"/>
      <c r="DF327" s="99"/>
      <c r="DG327" s="99"/>
      <c r="DH327" s="104"/>
      <c r="DI327" s="104"/>
      <c r="DJ327" s="104"/>
      <c r="DK327" s="99"/>
      <c r="DL327" s="99"/>
      <c r="DM327" s="104"/>
      <c r="DN327" s="104"/>
      <c r="DO327" s="104"/>
      <c r="DP327" s="99"/>
      <c r="DQ327" s="99"/>
      <c r="DR327" s="104"/>
      <c r="DS327" s="104"/>
      <c r="DT327" s="873"/>
      <c r="DU327" s="874"/>
      <c r="DV327" s="868"/>
      <c r="DW327" s="869"/>
      <c r="DX327" s="363"/>
      <c r="DY327" s="345"/>
      <c r="DZ327" s="408"/>
      <c r="EA327" s="10"/>
    </row>
    <row r="328" ht="17.25" customHeight="1">
      <c r="A328" s="3"/>
      <c r="B328" s="3"/>
      <c r="C328" s="74"/>
      <c r="D328" s="74"/>
      <c r="E328" s="74"/>
      <c r="F328" s="74"/>
      <c r="G328" s="74"/>
      <c r="H328" s="74"/>
      <c r="I328" s="74"/>
      <c r="J328" s="74"/>
      <c r="K328" s="74"/>
      <c r="L328" s="80"/>
      <c r="M328" s="74"/>
      <c r="N328" s="74"/>
      <c r="O328" s="74"/>
      <c r="P328" s="74"/>
      <c r="Q328" s="80"/>
      <c r="R328" s="74"/>
      <c r="S328" s="74"/>
      <c r="T328" s="74"/>
      <c r="U328" s="74"/>
      <c r="V328" s="80"/>
      <c r="W328" s="74"/>
      <c r="X328" s="74"/>
      <c r="Y328" s="74"/>
      <c r="Z328" s="74"/>
      <c r="AA328" s="80"/>
      <c r="AB328" s="74"/>
      <c r="AC328" s="74"/>
      <c r="AD328" s="74"/>
      <c r="AE328" s="74"/>
      <c r="AF328" s="80"/>
      <c r="AG328" s="74"/>
      <c r="AH328" s="74"/>
      <c r="AI328" s="74"/>
      <c r="AJ328" s="74"/>
      <c r="AK328" s="80"/>
      <c r="AL328" s="74"/>
      <c r="AM328" s="74"/>
      <c r="AN328" s="74"/>
      <c r="AO328" s="74"/>
      <c r="AP328" s="80"/>
      <c r="AQ328" s="74"/>
      <c r="AR328" s="80"/>
      <c r="AS328" s="87"/>
      <c r="AT328" s="93"/>
      <c r="AU328" s="94"/>
      <c r="AV328" s="93"/>
      <c r="AW328" s="94"/>
      <c r="AX328" s="87"/>
      <c r="AY328" s="93"/>
      <c r="AZ328" s="94"/>
      <c r="BA328" s="93"/>
      <c r="BB328" s="94"/>
      <c r="BC328" s="87"/>
      <c r="BD328" s="93"/>
      <c r="BE328" s="94"/>
      <c r="BF328" s="93"/>
      <c r="BG328" s="94"/>
      <c r="BH328" s="87"/>
      <c r="BI328" s="99"/>
      <c r="BJ328" s="104"/>
      <c r="BK328" s="99"/>
      <c r="BL328" s="104"/>
      <c r="BM328" s="99"/>
      <c r="BN328" s="99"/>
      <c r="BO328" s="104"/>
      <c r="BP328" s="99"/>
      <c r="BQ328" s="104"/>
      <c r="BR328" s="99"/>
      <c r="BS328" s="99"/>
      <c r="BT328" s="104"/>
      <c r="BU328" s="99"/>
      <c r="BV328" s="104"/>
      <c r="BW328" s="99"/>
      <c r="BX328" s="99"/>
      <c r="BY328" s="104"/>
      <c r="BZ328" s="99"/>
      <c r="CA328" s="104"/>
      <c r="CB328" s="99"/>
      <c r="CC328" s="99"/>
      <c r="CD328" s="104"/>
      <c r="CE328" s="99"/>
      <c r="CF328" s="104"/>
      <c r="CG328" s="99"/>
      <c r="CH328" s="99"/>
      <c r="CI328" s="104"/>
      <c r="CJ328" s="99"/>
      <c r="CK328" s="104"/>
      <c r="CL328" s="99"/>
      <c r="CM328" s="118"/>
      <c r="CN328" s="893"/>
      <c r="CO328" s="118"/>
      <c r="CP328" s="104"/>
      <c r="CQ328" s="99"/>
      <c r="CR328" s="99"/>
      <c r="CS328" s="104"/>
      <c r="CT328" s="99"/>
      <c r="CU328" s="104"/>
      <c r="CV328" s="99"/>
      <c r="CW328" s="99"/>
      <c r="CX328" s="104"/>
      <c r="CY328" s="99"/>
      <c r="CZ328" s="104"/>
      <c r="DA328" s="99"/>
      <c r="DB328" s="99"/>
      <c r="DC328" s="104"/>
      <c r="DD328" s="99"/>
      <c r="DE328" s="104"/>
      <c r="DF328" s="99"/>
      <c r="DG328" s="99"/>
      <c r="DH328" s="104"/>
      <c r="DI328" s="104"/>
      <c r="DJ328" s="104"/>
      <c r="DK328" s="99"/>
      <c r="DL328" s="99"/>
      <c r="DM328" s="104"/>
      <c r="DN328" s="104"/>
      <c r="DO328" s="104"/>
      <c r="DP328" s="99"/>
      <c r="DQ328" s="99"/>
      <c r="DR328" s="104"/>
      <c r="DS328" s="104"/>
      <c r="DT328" s="873"/>
      <c r="DU328" s="874"/>
      <c r="DV328" s="868"/>
      <c r="DW328" s="869"/>
      <c r="DX328" s="363"/>
      <c r="DY328" s="345"/>
      <c r="DZ328" s="408"/>
      <c r="EA328" s="10"/>
    </row>
    <row r="329" ht="17.25" customHeight="1">
      <c r="A329" s="3"/>
      <c r="B329" s="3"/>
      <c r="C329" s="74"/>
      <c r="D329" s="74"/>
      <c r="E329" s="74"/>
      <c r="F329" s="74"/>
      <c r="G329" s="74"/>
      <c r="H329" s="74"/>
      <c r="I329" s="74"/>
      <c r="J329" s="74"/>
      <c r="K329" s="74"/>
      <c r="L329" s="80"/>
      <c r="M329" s="74"/>
      <c r="N329" s="74"/>
      <c r="O329" s="74"/>
      <c r="P329" s="74"/>
      <c r="Q329" s="80"/>
      <c r="R329" s="74"/>
      <c r="S329" s="74"/>
      <c r="T329" s="74"/>
      <c r="U329" s="74"/>
      <c r="V329" s="80"/>
      <c r="W329" s="74"/>
      <c r="X329" s="74"/>
      <c r="Y329" s="74"/>
      <c r="Z329" s="74"/>
      <c r="AA329" s="80"/>
      <c r="AB329" s="74"/>
      <c r="AC329" s="74"/>
      <c r="AD329" s="74"/>
      <c r="AE329" s="74"/>
      <c r="AF329" s="80"/>
      <c r="AG329" s="74"/>
      <c r="AH329" s="74"/>
      <c r="AI329" s="74"/>
      <c r="AJ329" s="74"/>
      <c r="AK329" s="80"/>
      <c r="AL329" s="74"/>
      <c r="AM329" s="74"/>
      <c r="AN329" s="74"/>
      <c r="AO329" s="74"/>
      <c r="AP329" s="80"/>
      <c r="AQ329" s="74"/>
      <c r="AR329" s="80"/>
      <c r="AS329" s="87"/>
      <c r="AT329" s="93"/>
      <c r="AU329" s="94"/>
      <c r="AV329" s="93"/>
      <c r="AW329" s="94"/>
      <c r="AX329" s="87"/>
      <c r="AY329" s="93"/>
      <c r="AZ329" s="94"/>
      <c r="BA329" s="93"/>
      <c r="BB329" s="94"/>
      <c r="BC329" s="87"/>
      <c r="BD329" s="93"/>
      <c r="BE329" s="94"/>
      <c r="BF329" s="93"/>
      <c r="BG329" s="94"/>
      <c r="BH329" s="87"/>
      <c r="BI329" s="99"/>
      <c r="BJ329" s="104"/>
      <c r="BK329" s="99"/>
      <c r="BL329" s="104"/>
      <c r="BM329" s="99"/>
      <c r="BN329" s="99"/>
      <c r="BO329" s="104"/>
      <c r="BP329" s="99"/>
      <c r="BQ329" s="104"/>
      <c r="BR329" s="99"/>
      <c r="BS329" s="99"/>
      <c r="BT329" s="104"/>
      <c r="BU329" s="99"/>
      <c r="BV329" s="104"/>
      <c r="BW329" s="99"/>
      <c r="BX329" s="99"/>
      <c r="BY329" s="104"/>
      <c r="BZ329" s="99"/>
      <c r="CA329" s="104"/>
      <c r="CB329" s="99"/>
      <c r="CC329" s="99"/>
      <c r="CD329" s="104"/>
      <c r="CE329" s="99"/>
      <c r="CF329" s="104"/>
      <c r="CG329" s="99"/>
      <c r="CH329" s="99"/>
      <c r="CI329" s="104"/>
      <c r="CJ329" s="99"/>
      <c r="CK329" s="104"/>
      <c r="CL329" s="99"/>
      <c r="CM329" s="118"/>
      <c r="CN329" s="893"/>
      <c r="CO329" s="118"/>
      <c r="CP329" s="104"/>
      <c r="CQ329" s="99"/>
      <c r="CR329" s="99"/>
      <c r="CS329" s="104"/>
      <c r="CT329" s="99"/>
      <c r="CU329" s="104"/>
      <c r="CV329" s="99"/>
      <c r="CW329" s="99"/>
      <c r="CX329" s="104"/>
      <c r="CY329" s="99"/>
      <c r="CZ329" s="104"/>
      <c r="DA329" s="99"/>
      <c r="DB329" s="99"/>
      <c r="DC329" s="104"/>
      <c r="DD329" s="99"/>
      <c r="DE329" s="104"/>
      <c r="DF329" s="99"/>
      <c r="DG329" s="99"/>
      <c r="DH329" s="104"/>
      <c r="DI329" s="104"/>
      <c r="DJ329" s="104"/>
      <c r="DK329" s="99"/>
      <c r="DL329" s="99"/>
      <c r="DM329" s="104"/>
      <c r="DN329" s="104"/>
      <c r="DO329" s="104"/>
      <c r="DP329" s="99"/>
      <c r="DQ329" s="99"/>
      <c r="DR329" s="104"/>
      <c r="DS329" s="104"/>
      <c r="DT329" s="873"/>
      <c r="DU329" s="874"/>
      <c r="DV329" s="868"/>
      <c r="DW329" s="869"/>
      <c r="DX329" s="363"/>
      <c r="DY329" s="345"/>
      <c r="DZ329" s="408"/>
      <c r="EA329" s="10"/>
    </row>
    <row r="330" ht="17.25" customHeight="1">
      <c r="A330" s="3"/>
      <c r="B330" s="3"/>
      <c r="C330" s="74"/>
      <c r="D330" s="74"/>
      <c r="E330" s="74"/>
      <c r="F330" s="74"/>
      <c r="G330" s="74"/>
      <c r="H330" s="74"/>
      <c r="I330" s="74"/>
      <c r="J330" s="74"/>
      <c r="K330" s="74"/>
      <c r="L330" s="80"/>
      <c r="M330" s="74"/>
      <c r="N330" s="74"/>
      <c r="O330" s="74"/>
      <c r="P330" s="74"/>
      <c r="Q330" s="80"/>
      <c r="R330" s="74"/>
      <c r="S330" s="74"/>
      <c r="T330" s="74"/>
      <c r="U330" s="74"/>
      <c r="V330" s="80"/>
      <c r="W330" s="74"/>
      <c r="X330" s="74"/>
      <c r="Y330" s="74"/>
      <c r="Z330" s="74"/>
      <c r="AA330" s="80"/>
      <c r="AB330" s="74"/>
      <c r="AC330" s="74"/>
      <c r="AD330" s="74"/>
      <c r="AE330" s="74"/>
      <c r="AF330" s="80"/>
      <c r="AG330" s="74"/>
      <c r="AH330" s="74"/>
      <c r="AI330" s="74"/>
      <c r="AJ330" s="74"/>
      <c r="AK330" s="80"/>
      <c r="AL330" s="74"/>
      <c r="AM330" s="74"/>
      <c r="AN330" s="74"/>
      <c r="AO330" s="74"/>
      <c r="AP330" s="80"/>
      <c r="AQ330" s="74"/>
      <c r="AR330" s="80"/>
      <c r="AS330" s="87"/>
      <c r="AT330" s="93"/>
      <c r="AU330" s="94"/>
      <c r="AV330" s="93"/>
      <c r="AW330" s="94"/>
      <c r="AX330" s="87"/>
      <c r="AY330" s="93"/>
      <c r="AZ330" s="94"/>
      <c r="BA330" s="93"/>
      <c r="BB330" s="94"/>
      <c r="BC330" s="87"/>
      <c r="BD330" s="93"/>
      <c r="BE330" s="94"/>
      <c r="BF330" s="93"/>
      <c r="BG330" s="94"/>
      <c r="BH330" s="87"/>
      <c r="BI330" s="99"/>
      <c r="BJ330" s="104"/>
      <c r="BK330" s="99"/>
      <c r="BL330" s="104"/>
      <c r="BM330" s="99"/>
      <c r="BN330" s="99"/>
      <c r="BO330" s="104"/>
      <c r="BP330" s="99"/>
      <c r="BQ330" s="104"/>
      <c r="BR330" s="99"/>
      <c r="BS330" s="99"/>
      <c r="BT330" s="104"/>
      <c r="BU330" s="99"/>
      <c r="BV330" s="104"/>
      <c r="BW330" s="99"/>
      <c r="BX330" s="99"/>
      <c r="BY330" s="104"/>
      <c r="BZ330" s="99"/>
      <c r="CA330" s="104"/>
      <c r="CB330" s="99"/>
      <c r="CC330" s="99"/>
      <c r="CD330" s="104"/>
      <c r="CE330" s="99"/>
      <c r="CF330" s="104"/>
      <c r="CG330" s="99"/>
      <c r="CH330" s="99"/>
      <c r="CI330" s="104"/>
      <c r="CJ330" s="99"/>
      <c r="CK330" s="104"/>
      <c r="CL330" s="99"/>
      <c r="CM330" s="118"/>
      <c r="CN330" s="893"/>
      <c r="CO330" s="118"/>
      <c r="CP330" s="104"/>
      <c r="CQ330" s="99"/>
      <c r="CR330" s="99"/>
      <c r="CS330" s="104"/>
      <c r="CT330" s="99"/>
      <c r="CU330" s="104"/>
      <c r="CV330" s="99"/>
      <c r="CW330" s="99"/>
      <c r="CX330" s="104"/>
      <c r="CY330" s="99"/>
      <c r="CZ330" s="104"/>
      <c r="DA330" s="99"/>
      <c r="DB330" s="99"/>
      <c r="DC330" s="104"/>
      <c r="DD330" s="99"/>
      <c r="DE330" s="104"/>
      <c r="DF330" s="99"/>
      <c r="DG330" s="99"/>
      <c r="DH330" s="104"/>
      <c r="DI330" s="104"/>
      <c r="DJ330" s="104"/>
      <c r="DK330" s="99"/>
      <c r="DL330" s="99"/>
      <c r="DM330" s="104"/>
      <c r="DN330" s="104"/>
      <c r="DO330" s="104"/>
      <c r="DP330" s="99"/>
      <c r="DQ330" s="99"/>
      <c r="DR330" s="104"/>
      <c r="DS330" s="104"/>
      <c r="DT330" s="873"/>
      <c r="DU330" s="874"/>
      <c r="DV330" s="868"/>
      <c r="DW330" s="869"/>
      <c r="DX330" s="363"/>
      <c r="DY330" s="345"/>
      <c r="DZ330" s="408"/>
      <c r="EA330" s="10"/>
    </row>
    <row r="331" ht="17.25" customHeight="1">
      <c r="A331" s="3"/>
      <c r="B331" s="3"/>
      <c r="C331" s="74"/>
      <c r="D331" s="74"/>
      <c r="E331" s="74"/>
      <c r="F331" s="74"/>
      <c r="G331" s="74"/>
      <c r="H331" s="74"/>
      <c r="I331" s="74"/>
      <c r="J331" s="74"/>
      <c r="K331" s="74"/>
      <c r="L331" s="80"/>
      <c r="M331" s="74"/>
      <c r="N331" s="74"/>
      <c r="O331" s="74"/>
      <c r="P331" s="74"/>
      <c r="Q331" s="80"/>
      <c r="R331" s="74"/>
      <c r="S331" s="74"/>
      <c r="T331" s="74"/>
      <c r="U331" s="74"/>
      <c r="V331" s="80"/>
      <c r="W331" s="74"/>
      <c r="X331" s="74"/>
      <c r="Y331" s="74"/>
      <c r="Z331" s="74"/>
      <c r="AA331" s="80"/>
      <c r="AB331" s="74"/>
      <c r="AC331" s="74"/>
      <c r="AD331" s="74"/>
      <c r="AE331" s="74"/>
      <c r="AF331" s="80"/>
      <c r="AG331" s="74"/>
      <c r="AH331" s="74"/>
      <c r="AI331" s="74"/>
      <c r="AJ331" s="74"/>
      <c r="AK331" s="80"/>
      <c r="AL331" s="74"/>
      <c r="AM331" s="74"/>
      <c r="AN331" s="74"/>
      <c r="AO331" s="74"/>
      <c r="AP331" s="80"/>
      <c r="AQ331" s="74"/>
      <c r="AR331" s="80"/>
      <c r="AS331" s="87"/>
      <c r="AT331" s="93"/>
      <c r="AU331" s="94"/>
      <c r="AV331" s="93"/>
      <c r="AW331" s="94"/>
      <c r="AX331" s="87"/>
      <c r="AY331" s="93"/>
      <c r="AZ331" s="94"/>
      <c r="BA331" s="93"/>
      <c r="BB331" s="94"/>
      <c r="BC331" s="87"/>
      <c r="BD331" s="93"/>
      <c r="BE331" s="94"/>
      <c r="BF331" s="93"/>
      <c r="BG331" s="94"/>
      <c r="BH331" s="87"/>
      <c r="BI331" s="99"/>
      <c r="BJ331" s="104"/>
      <c r="BK331" s="99"/>
      <c r="BL331" s="104"/>
      <c r="BM331" s="99"/>
      <c r="BN331" s="99"/>
      <c r="BO331" s="104"/>
      <c r="BP331" s="99"/>
      <c r="BQ331" s="104"/>
      <c r="BR331" s="99"/>
      <c r="BS331" s="99"/>
      <c r="BT331" s="104"/>
      <c r="BU331" s="99"/>
      <c r="BV331" s="104"/>
      <c r="BW331" s="99"/>
      <c r="BX331" s="99"/>
      <c r="BY331" s="104"/>
      <c r="BZ331" s="99"/>
      <c r="CA331" s="104"/>
      <c r="CB331" s="99"/>
      <c r="CC331" s="99"/>
      <c r="CD331" s="104"/>
      <c r="CE331" s="99"/>
      <c r="CF331" s="104"/>
      <c r="CG331" s="99"/>
      <c r="CH331" s="99"/>
      <c r="CI331" s="104"/>
      <c r="CJ331" s="99"/>
      <c r="CK331" s="104"/>
      <c r="CL331" s="99"/>
      <c r="CM331" s="118"/>
      <c r="CN331" s="893"/>
      <c r="CO331" s="118"/>
      <c r="CP331" s="104"/>
      <c r="CQ331" s="99"/>
      <c r="CR331" s="99"/>
      <c r="CS331" s="104"/>
      <c r="CT331" s="99"/>
      <c r="CU331" s="104"/>
      <c r="CV331" s="99"/>
      <c r="CW331" s="99"/>
      <c r="CX331" s="104"/>
      <c r="CY331" s="99"/>
      <c r="CZ331" s="104"/>
      <c r="DA331" s="99"/>
      <c r="DB331" s="99"/>
      <c r="DC331" s="104"/>
      <c r="DD331" s="99"/>
      <c r="DE331" s="104"/>
      <c r="DF331" s="99"/>
      <c r="DG331" s="99"/>
      <c r="DH331" s="104"/>
      <c r="DI331" s="104"/>
      <c r="DJ331" s="104"/>
      <c r="DK331" s="99"/>
      <c r="DL331" s="99"/>
      <c r="DM331" s="104"/>
      <c r="DN331" s="104"/>
      <c r="DO331" s="104"/>
      <c r="DP331" s="99"/>
      <c r="DQ331" s="99"/>
      <c r="DR331" s="104"/>
      <c r="DS331" s="104"/>
      <c r="DT331" s="873"/>
      <c r="DU331" s="874"/>
      <c r="DV331" s="868"/>
      <c r="DW331" s="869"/>
      <c r="DX331" s="363"/>
      <c r="DY331" s="345"/>
      <c r="DZ331" s="408"/>
      <c r="EA331" s="10"/>
    </row>
    <row r="332" ht="17.25" customHeight="1">
      <c r="A332" s="3"/>
      <c r="B332" s="3"/>
      <c r="C332" s="74"/>
      <c r="D332" s="74"/>
      <c r="E332" s="74"/>
      <c r="F332" s="74"/>
      <c r="G332" s="74"/>
      <c r="H332" s="74"/>
      <c r="I332" s="74"/>
      <c r="J332" s="74"/>
      <c r="K332" s="74"/>
      <c r="L332" s="80"/>
      <c r="M332" s="74"/>
      <c r="N332" s="74"/>
      <c r="O332" s="74"/>
      <c r="P332" s="74"/>
      <c r="Q332" s="80"/>
      <c r="R332" s="74"/>
      <c r="S332" s="74"/>
      <c r="T332" s="74"/>
      <c r="U332" s="74"/>
      <c r="V332" s="80"/>
      <c r="W332" s="74"/>
      <c r="X332" s="74"/>
      <c r="Y332" s="74"/>
      <c r="Z332" s="74"/>
      <c r="AA332" s="80"/>
      <c r="AB332" s="74"/>
      <c r="AC332" s="74"/>
      <c r="AD332" s="74"/>
      <c r="AE332" s="74"/>
      <c r="AF332" s="80"/>
      <c r="AG332" s="74"/>
      <c r="AH332" s="74"/>
      <c r="AI332" s="74"/>
      <c r="AJ332" s="74"/>
      <c r="AK332" s="80"/>
      <c r="AL332" s="74"/>
      <c r="AM332" s="74"/>
      <c r="AN332" s="74"/>
      <c r="AO332" s="74"/>
      <c r="AP332" s="80"/>
      <c r="AQ332" s="74"/>
      <c r="AR332" s="80"/>
      <c r="AS332" s="87"/>
      <c r="AT332" s="93"/>
      <c r="AU332" s="94"/>
      <c r="AV332" s="93"/>
      <c r="AW332" s="94"/>
      <c r="AX332" s="87"/>
      <c r="AY332" s="93"/>
      <c r="AZ332" s="94"/>
      <c r="BA332" s="93"/>
      <c r="BB332" s="94"/>
      <c r="BC332" s="87"/>
      <c r="BD332" s="93"/>
      <c r="BE332" s="94"/>
      <c r="BF332" s="93"/>
      <c r="BG332" s="94"/>
      <c r="BH332" s="87"/>
      <c r="BI332" s="99"/>
      <c r="BJ332" s="104"/>
      <c r="BK332" s="99"/>
      <c r="BL332" s="104"/>
      <c r="BM332" s="99"/>
      <c r="BN332" s="99"/>
      <c r="BO332" s="104"/>
      <c r="BP332" s="99"/>
      <c r="BQ332" s="104"/>
      <c r="BR332" s="99"/>
      <c r="BS332" s="99"/>
      <c r="BT332" s="104"/>
      <c r="BU332" s="99"/>
      <c r="BV332" s="104"/>
      <c r="BW332" s="99"/>
      <c r="BX332" s="99"/>
      <c r="BY332" s="104"/>
      <c r="BZ332" s="99"/>
      <c r="CA332" s="104"/>
      <c r="CB332" s="99"/>
      <c r="CC332" s="99"/>
      <c r="CD332" s="104"/>
      <c r="CE332" s="99"/>
      <c r="CF332" s="104"/>
      <c r="CG332" s="99"/>
      <c r="CH332" s="99"/>
      <c r="CI332" s="104"/>
      <c r="CJ332" s="99"/>
      <c r="CK332" s="104"/>
      <c r="CL332" s="99"/>
      <c r="CM332" s="118"/>
      <c r="CN332" s="893"/>
      <c r="CO332" s="118"/>
      <c r="CP332" s="104"/>
      <c r="CQ332" s="99"/>
      <c r="CR332" s="99"/>
      <c r="CS332" s="104"/>
      <c r="CT332" s="99"/>
      <c r="CU332" s="104"/>
      <c r="CV332" s="99"/>
      <c r="CW332" s="99"/>
      <c r="CX332" s="104"/>
      <c r="CY332" s="99"/>
      <c r="CZ332" s="104"/>
      <c r="DA332" s="99"/>
      <c r="DB332" s="99"/>
      <c r="DC332" s="104"/>
      <c r="DD332" s="99"/>
      <c r="DE332" s="104"/>
      <c r="DF332" s="99"/>
      <c r="DG332" s="99"/>
      <c r="DH332" s="104"/>
      <c r="DI332" s="104"/>
      <c r="DJ332" s="104"/>
      <c r="DK332" s="99"/>
      <c r="DL332" s="99"/>
      <c r="DM332" s="104"/>
      <c r="DN332" s="104"/>
      <c r="DO332" s="104"/>
      <c r="DP332" s="99"/>
      <c r="DQ332" s="99"/>
      <c r="DR332" s="104"/>
      <c r="DS332" s="104"/>
      <c r="DT332" s="873"/>
      <c r="DU332" s="874"/>
      <c r="DV332" s="868"/>
      <c r="DW332" s="869"/>
      <c r="DX332" s="363"/>
      <c r="DY332" s="345"/>
      <c r="DZ332" s="408"/>
      <c r="EA332" s="10"/>
    </row>
    <row r="333" ht="17.25" customHeight="1">
      <c r="A333" s="3"/>
      <c r="B333" s="3"/>
      <c r="C333" s="74"/>
      <c r="D333" s="74"/>
      <c r="E333" s="74"/>
      <c r="F333" s="74"/>
      <c r="G333" s="74"/>
      <c r="H333" s="74"/>
      <c r="I333" s="74"/>
      <c r="J333" s="74"/>
      <c r="K333" s="74"/>
      <c r="L333" s="80"/>
      <c r="M333" s="74"/>
      <c r="N333" s="74"/>
      <c r="O333" s="74"/>
      <c r="P333" s="74"/>
      <c r="Q333" s="80"/>
      <c r="R333" s="74"/>
      <c r="S333" s="74"/>
      <c r="T333" s="74"/>
      <c r="U333" s="74"/>
      <c r="V333" s="80"/>
      <c r="W333" s="74"/>
      <c r="X333" s="74"/>
      <c r="Y333" s="74"/>
      <c r="Z333" s="74"/>
      <c r="AA333" s="80"/>
      <c r="AB333" s="74"/>
      <c r="AC333" s="74"/>
      <c r="AD333" s="74"/>
      <c r="AE333" s="74"/>
      <c r="AF333" s="80"/>
      <c r="AG333" s="74"/>
      <c r="AH333" s="74"/>
      <c r="AI333" s="74"/>
      <c r="AJ333" s="74"/>
      <c r="AK333" s="80"/>
      <c r="AL333" s="74"/>
      <c r="AM333" s="74"/>
      <c r="AN333" s="74"/>
      <c r="AO333" s="74"/>
      <c r="AP333" s="80"/>
      <c r="AQ333" s="74"/>
      <c r="AR333" s="80"/>
      <c r="AS333" s="87"/>
      <c r="AT333" s="93"/>
      <c r="AU333" s="94"/>
      <c r="AV333" s="93"/>
      <c r="AW333" s="94"/>
      <c r="AX333" s="87"/>
      <c r="AY333" s="93"/>
      <c r="AZ333" s="94"/>
      <c r="BA333" s="93"/>
      <c r="BB333" s="94"/>
      <c r="BC333" s="87"/>
      <c r="BD333" s="93"/>
      <c r="BE333" s="94"/>
      <c r="BF333" s="93"/>
      <c r="BG333" s="94"/>
      <c r="BH333" s="87"/>
      <c r="BI333" s="99"/>
      <c r="BJ333" s="104"/>
      <c r="BK333" s="99"/>
      <c r="BL333" s="104"/>
      <c r="BM333" s="99"/>
      <c r="BN333" s="99"/>
      <c r="BO333" s="104"/>
      <c r="BP333" s="99"/>
      <c r="BQ333" s="104"/>
      <c r="BR333" s="99"/>
      <c r="BS333" s="99"/>
      <c r="BT333" s="104"/>
      <c r="BU333" s="99"/>
      <c r="BV333" s="104"/>
      <c r="BW333" s="99"/>
      <c r="BX333" s="99"/>
      <c r="BY333" s="104"/>
      <c r="BZ333" s="99"/>
      <c r="CA333" s="104"/>
      <c r="CB333" s="99"/>
      <c r="CC333" s="99"/>
      <c r="CD333" s="104"/>
      <c r="CE333" s="99"/>
      <c r="CF333" s="104"/>
      <c r="CG333" s="99"/>
      <c r="CH333" s="99"/>
      <c r="CI333" s="104"/>
      <c r="CJ333" s="99"/>
      <c r="CK333" s="104"/>
      <c r="CL333" s="99"/>
      <c r="CM333" s="118"/>
      <c r="CN333" s="893"/>
      <c r="CO333" s="118"/>
      <c r="CP333" s="104"/>
      <c r="CQ333" s="99"/>
      <c r="CR333" s="99"/>
      <c r="CS333" s="104"/>
      <c r="CT333" s="99"/>
      <c r="CU333" s="104"/>
      <c r="CV333" s="99"/>
      <c r="CW333" s="99"/>
      <c r="CX333" s="104"/>
      <c r="CY333" s="99"/>
      <c r="CZ333" s="104"/>
      <c r="DA333" s="99"/>
      <c r="DB333" s="99"/>
      <c r="DC333" s="104"/>
      <c r="DD333" s="99"/>
      <c r="DE333" s="104"/>
      <c r="DF333" s="99"/>
      <c r="DG333" s="99"/>
      <c r="DH333" s="104"/>
      <c r="DI333" s="104"/>
      <c r="DJ333" s="104"/>
      <c r="DK333" s="99"/>
      <c r="DL333" s="99"/>
      <c r="DM333" s="104"/>
      <c r="DN333" s="104"/>
      <c r="DO333" s="104"/>
      <c r="DP333" s="99"/>
      <c r="DQ333" s="99"/>
      <c r="DR333" s="104"/>
      <c r="DS333" s="104"/>
      <c r="DT333" s="873"/>
      <c r="DU333" s="874"/>
      <c r="DV333" s="868"/>
      <c r="DW333" s="869"/>
      <c r="DX333" s="363"/>
      <c r="DY333" s="345"/>
      <c r="DZ333" s="408"/>
      <c r="EA333" s="10"/>
    </row>
    <row r="334" ht="17.25" customHeight="1">
      <c r="A334" s="3"/>
      <c r="B334" s="3"/>
      <c r="C334" s="74"/>
      <c r="D334" s="74"/>
      <c r="E334" s="74"/>
      <c r="F334" s="74"/>
      <c r="G334" s="74"/>
      <c r="H334" s="74"/>
      <c r="I334" s="74"/>
      <c r="J334" s="74"/>
      <c r="K334" s="74"/>
      <c r="L334" s="80"/>
      <c r="M334" s="74"/>
      <c r="N334" s="74"/>
      <c r="O334" s="74"/>
      <c r="P334" s="74"/>
      <c r="Q334" s="80"/>
      <c r="R334" s="74"/>
      <c r="S334" s="74"/>
      <c r="T334" s="74"/>
      <c r="U334" s="74"/>
      <c r="V334" s="80"/>
      <c r="W334" s="74"/>
      <c r="X334" s="74"/>
      <c r="Y334" s="74"/>
      <c r="Z334" s="74"/>
      <c r="AA334" s="80"/>
      <c r="AB334" s="74"/>
      <c r="AC334" s="74"/>
      <c r="AD334" s="74"/>
      <c r="AE334" s="74"/>
      <c r="AF334" s="80"/>
      <c r="AG334" s="74"/>
      <c r="AH334" s="74"/>
      <c r="AI334" s="74"/>
      <c r="AJ334" s="74"/>
      <c r="AK334" s="80"/>
      <c r="AL334" s="74"/>
      <c r="AM334" s="74"/>
      <c r="AN334" s="74"/>
      <c r="AO334" s="74"/>
      <c r="AP334" s="80"/>
      <c r="AQ334" s="74"/>
      <c r="AR334" s="80"/>
      <c r="AS334" s="87"/>
      <c r="AT334" s="93"/>
      <c r="AU334" s="94"/>
      <c r="AV334" s="93"/>
      <c r="AW334" s="94"/>
      <c r="AX334" s="87"/>
      <c r="AY334" s="93"/>
      <c r="AZ334" s="94"/>
      <c r="BA334" s="93"/>
      <c r="BB334" s="94"/>
      <c r="BC334" s="87"/>
      <c r="BD334" s="93"/>
      <c r="BE334" s="94"/>
      <c r="BF334" s="93"/>
      <c r="BG334" s="94"/>
      <c r="BH334" s="87"/>
      <c r="BI334" s="99"/>
      <c r="BJ334" s="104"/>
      <c r="BK334" s="99"/>
      <c r="BL334" s="104"/>
      <c r="BM334" s="99"/>
      <c r="BN334" s="99"/>
      <c r="BO334" s="104"/>
      <c r="BP334" s="99"/>
      <c r="BQ334" s="104"/>
      <c r="BR334" s="99"/>
      <c r="BS334" s="99"/>
      <c r="BT334" s="104"/>
      <c r="BU334" s="99"/>
      <c r="BV334" s="104"/>
      <c r="BW334" s="99"/>
      <c r="BX334" s="99"/>
      <c r="BY334" s="104"/>
      <c r="BZ334" s="99"/>
      <c r="CA334" s="104"/>
      <c r="CB334" s="99"/>
      <c r="CC334" s="99"/>
      <c r="CD334" s="104"/>
      <c r="CE334" s="99"/>
      <c r="CF334" s="104"/>
      <c r="CG334" s="99"/>
      <c r="CH334" s="99"/>
      <c r="CI334" s="104"/>
      <c r="CJ334" s="99"/>
      <c r="CK334" s="104"/>
      <c r="CL334" s="99"/>
      <c r="CM334" s="118"/>
      <c r="CN334" s="893"/>
      <c r="CO334" s="118"/>
      <c r="CP334" s="104"/>
      <c r="CQ334" s="99"/>
      <c r="CR334" s="99"/>
      <c r="CS334" s="104"/>
      <c r="CT334" s="99"/>
      <c r="CU334" s="104"/>
      <c r="CV334" s="99"/>
      <c r="CW334" s="99"/>
      <c r="CX334" s="104"/>
      <c r="CY334" s="99"/>
      <c r="CZ334" s="104"/>
      <c r="DA334" s="99"/>
      <c r="DB334" s="99"/>
      <c r="DC334" s="104"/>
      <c r="DD334" s="99"/>
      <c r="DE334" s="104"/>
      <c r="DF334" s="99"/>
      <c r="DG334" s="99"/>
      <c r="DH334" s="104"/>
      <c r="DI334" s="104"/>
      <c r="DJ334" s="104"/>
      <c r="DK334" s="99"/>
      <c r="DL334" s="99"/>
      <c r="DM334" s="104"/>
      <c r="DN334" s="104"/>
      <c r="DO334" s="104"/>
      <c r="DP334" s="99"/>
      <c r="DQ334" s="99"/>
      <c r="DR334" s="104"/>
      <c r="DS334" s="104"/>
      <c r="DT334" s="873"/>
      <c r="DU334" s="874"/>
      <c r="DV334" s="868"/>
      <c r="DW334" s="869"/>
      <c r="DX334" s="363"/>
      <c r="DY334" s="345"/>
      <c r="DZ334" s="408"/>
      <c r="EA334" s="10"/>
    </row>
    <row r="335" ht="17.25" customHeight="1">
      <c r="A335" s="3"/>
      <c r="B335" s="3"/>
      <c r="C335" s="74"/>
      <c r="D335" s="74"/>
      <c r="E335" s="74"/>
      <c r="F335" s="74"/>
      <c r="G335" s="74"/>
      <c r="H335" s="74"/>
      <c r="I335" s="74"/>
      <c r="J335" s="74"/>
      <c r="K335" s="74"/>
      <c r="L335" s="80"/>
      <c r="M335" s="74"/>
      <c r="N335" s="74"/>
      <c r="O335" s="74"/>
      <c r="P335" s="74"/>
      <c r="Q335" s="80"/>
      <c r="R335" s="74"/>
      <c r="S335" s="74"/>
      <c r="T335" s="74"/>
      <c r="U335" s="74"/>
      <c r="V335" s="80"/>
      <c r="W335" s="74"/>
      <c r="X335" s="74"/>
      <c r="Y335" s="74"/>
      <c r="Z335" s="74"/>
      <c r="AA335" s="80"/>
      <c r="AB335" s="74"/>
      <c r="AC335" s="74"/>
      <c r="AD335" s="74"/>
      <c r="AE335" s="74"/>
      <c r="AF335" s="80"/>
      <c r="AG335" s="74"/>
      <c r="AH335" s="74"/>
      <c r="AI335" s="74"/>
      <c r="AJ335" s="74"/>
      <c r="AK335" s="80"/>
      <c r="AL335" s="74"/>
      <c r="AM335" s="74"/>
      <c r="AN335" s="74"/>
      <c r="AO335" s="74"/>
      <c r="AP335" s="80"/>
      <c r="AQ335" s="74"/>
      <c r="AR335" s="80"/>
      <c r="AS335" s="87"/>
      <c r="AT335" s="93"/>
      <c r="AU335" s="94"/>
      <c r="AV335" s="93"/>
      <c r="AW335" s="94"/>
      <c r="AX335" s="87"/>
      <c r="AY335" s="93"/>
      <c r="AZ335" s="94"/>
      <c r="BA335" s="93"/>
      <c r="BB335" s="94"/>
      <c r="BC335" s="87"/>
      <c r="BD335" s="93"/>
      <c r="BE335" s="94"/>
      <c r="BF335" s="93"/>
      <c r="BG335" s="94"/>
      <c r="BH335" s="87"/>
      <c r="BI335" s="99"/>
      <c r="BJ335" s="104"/>
      <c r="BK335" s="99"/>
      <c r="BL335" s="104"/>
      <c r="BM335" s="99"/>
      <c r="BN335" s="99"/>
      <c r="BO335" s="104"/>
      <c r="BP335" s="99"/>
      <c r="BQ335" s="104"/>
      <c r="BR335" s="99"/>
      <c r="BS335" s="99"/>
      <c r="BT335" s="104"/>
      <c r="BU335" s="99"/>
      <c r="BV335" s="104"/>
      <c r="BW335" s="99"/>
      <c r="BX335" s="99"/>
      <c r="BY335" s="104"/>
      <c r="BZ335" s="99"/>
      <c r="CA335" s="104"/>
      <c r="CB335" s="99"/>
      <c r="CC335" s="99"/>
      <c r="CD335" s="104"/>
      <c r="CE335" s="99"/>
      <c r="CF335" s="104"/>
      <c r="CG335" s="99"/>
      <c r="CH335" s="99"/>
      <c r="CI335" s="104"/>
      <c r="CJ335" s="99"/>
      <c r="CK335" s="104"/>
      <c r="CL335" s="99"/>
      <c r="CM335" s="118"/>
      <c r="CN335" s="893"/>
      <c r="CO335" s="118"/>
      <c r="CP335" s="104"/>
      <c r="CQ335" s="99"/>
      <c r="CR335" s="99"/>
      <c r="CS335" s="104"/>
      <c r="CT335" s="99"/>
      <c r="CU335" s="104"/>
      <c r="CV335" s="99"/>
      <c r="CW335" s="99"/>
      <c r="CX335" s="104"/>
      <c r="CY335" s="99"/>
      <c r="CZ335" s="104"/>
      <c r="DA335" s="99"/>
      <c r="DB335" s="99"/>
      <c r="DC335" s="104"/>
      <c r="DD335" s="99"/>
      <c r="DE335" s="104"/>
      <c r="DF335" s="99"/>
      <c r="DG335" s="99"/>
      <c r="DH335" s="104"/>
      <c r="DI335" s="104"/>
      <c r="DJ335" s="104"/>
      <c r="DK335" s="99"/>
      <c r="DL335" s="99"/>
      <c r="DM335" s="104"/>
      <c r="DN335" s="104"/>
      <c r="DO335" s="104"/>
      <c r="DP335" s="99"/>
      <c r="DQ335" s="99"/>
      <c r="DR335" s="104"/>
      <c r="DS335" s="104"/>
      <c r="DT335" s="873"/>
      <c r="DU335" s="874"/>
      <c r="DV335" s="868"/>
      <c r="DW335" s="869"/>
      <c r="DX335" s="363"/>
      <c r="DY335" s="345"/>
      <c r="DZ335" s="408"/>
      <c r="EA335" s="10"/>
    </row>
    <row r="336" ht="17.25" customHeight="1">
      <c r="A336" s="3"/>
      <c r="B336" s="3"/>
      <c r="C336" s="74"/>
      <c r="D336" s="74"/>
      <c r="E336" s="74"/>
      <c r="F336" s="74"/>
      <c r="G336" s="74"/>
      <c r="H336" s="74"/>
      <c r="I336" s="74"/>
      <c r="J336" s="74"/>
      <c r="K336" s="74"/>
      <c r="L336" s="80"/>
      <c r="M336" s="74"/>
      <c r="N336" s="74"/>
      <c r="O336" s="74"/>
      <c r="P336" s="74"/>
      <c r="Q336" s="80"/>
      <c r="R336" s="74"/>
      <c r="S336" s="74"/>
      <c r="T336" s="74"/>
      <c r="U336" s="74"/>
      <c r="V336" s="80"/>
      <c r="W336" s="74"/>
      <c r="X336" s="74"/>
      <c r="Y336" s="74"/>
      <c r="Z336" s="74"/>
      <c r="AA336" s="80"/>
      <c r="AB336" s="74"/>
      <c r="AC336" s="74"/>
      <c r="AD336" s="74"/>
      <c r="AE336" s="74"/>
      <c r="AF336" s="80"/>
      <c r="AG336" s="74"/>
      <c r="AH336" s="74"/>
      <c r="AI336" s="74"/>
      <c r="AJ336" s="74"/>
      <c r="AK336" s="80"/>
      <c r="AL336" s="74"/>
      <c r="AM336" s="74"/>
      <c r="AN336" s="74"/>
      <c r="AO336" s="74"/>
      <c r="AP336" s="80"/>
      <c r="AQ336" s="74"/>
      <c r="AR336" s="80"/>
      <c r="AS336" s="87"/>
      <c r="AT336" s="93"/>
      <c r="AU336" s="94"/>
      <c r="AV336" s="93"/>
      <c r="AW336" s="94"/>
      <c r="AX336" s="87"/>
      <c r="AY336" s="93"/>
      <c r="AZ336" s="94"/>
      <c r="BA336" s="93"/>
      <c r="BB336" s="94"/>
      <c r="BC336" s="87"/>
      <c r="BD336" s="93"/>
      <c r="BE336" s="94"/>
      <c r="BF336" s="93"/>
      <c r="BG336" s="94"/>
      <c r="BH336" s="87"/>
      <c r="BI336" s="99"/>
      <c r="BJ336" s="104"/>
      <c r="BK336" s="99"/>
      <c r="BL336" s="104"/>
      <c r="BM336" s="99"/>
      <c r="BN336" s="99"/>
      <c r="BO336" s="104"/>
      <c r="BP336" s="99"/>
      <c r="BQ336" s="104"/>
      <c r="BR336" s="99"/>
      <c r="BS336" s="99"/>
      <c r="BT336" s="104"/>
      <c r="BU336" s="99"/>
      <c r="BV336" s="104"/>
      <c r="BW336" s="99"/>
      <c r="BX336" s="99"/>
      <c r="BY336" s="104"/>
      <c r="BZ336" s="99"/>
      <c r="CA336" s="104"/>
      <c r="CB336" s="99"/>
      <c r="CC336" s="99"/>
      <c r="CD336" s="104"/>
      <c r="CE336" s="99"/>
      <c r="CF336" s="104"/>
      <c r="CG336" s="99"/>
      <c r="CH336" s="99"/>
      <c r="CI336" s="104"/>
      <c r="CJ336" s="99"/>
      <c r="CK336" s="104"/>
      <c r="CL336" s="99"/>
      <c r="CM336" s="118"/>
      <c r="CN336" s="893"/>
      <c r="CO336" s="118"/>
      <c r="CP336" s="104"/>
      <c r="CQ336" s="99"/>
      <c r="CR336" s="99"/>
      <c r="CS336" s="104"/>
      <c r="CT336" s="99"/>
      <c r="CU336" s="104"/>
      <c r="CV336" s="99"/>
      <c r="CW336" s="99"/>
      <c r="CX336" s="104"/>
      <c r="CY336" s="99"/>
      <c r="CZ336" s="104"/>
      <c r="DA336" s="99"/>
      <c r="DB336" s="99"/>
      <c r="DC336" s="104"/>
      <c r="DD336" s="99"/>
      <c r="DE336" s="104"/>
      <c r="DF336" s="99"/>
      <c r="DG336" s="99"/>
      <c r="DH336" s="104"/>
      <c r="DI336" s="104"/>
      <c r="DJ336" s="104"/>
      <c r="DK336" s="99"/>
      <c r="DL336" s="99"/>
      <c r="DM336" s="104"/>
      <c r="DN336" s="104"/>
      <c r="DO336" s="104"/>
      <c r="DP336" s="99"/>
      <c r="DQ336" s="99"/>
      <c r="DR336" s="104"/>
      <c r="DS336" s="104"/>
      <c r="DT336" s="873"/>
      <c r="DU336" s="874"/>
      <c r="DV336" s="868"/>
      <c r="DW336" s="869"/>
      <c r="DX336" s="363"/>
      <c r="DY336" s="345"/>
      <c r="DZ336" s="408"/>
      <c r="EA336" s="10"/>
    </row>
    <row r="337" ht="17.25" customHeight="1">
      <c r="A337" s="3"/>
      <c r="B337" s="3"/>
      <c r="C337" s="74"/>
      <c r="D337" s="74"/>
      <c r="E337" s="74"/>
      <c r="F337" s="74"/>
      <c r="G337" s="74"/>
      <c r="H337" s="74"/>
      <c r="I337" s="74"/>
      <c r="J337" s="74"/>
      <c r="K337" s="74"/>
      <c r="L337" s="80"/>
      <c r="M337" s="74"/>
      <c r="N337" s="74"/>
      <c r="O337" s="74"/>
      <c r="P337" s="74"/>
      <c r="Q337" s="80"/>
      <c r="R337" s="74"/>
      <c r="S337" s="74"/>
      <c r="T337" s="74"/>
      <c r="U337" s="74"/>
      <c r="V337" s="80"/>
      <c r="W337" s="74"/>
      <c r="X337" s="74"/>
      <c r="Y337" s="74"/>
      <c r="Z337" s="74"/>
      <c r="AA337" s="80"/>
      <c r="AB337" s="74"/>
      <c r="AC337" s="74"/>
      <c r="AD337" s="74"/>
      <c r="AE337" s="74"/>
      <c r="AF337" s="80"/>
      <c r="AG337" s="74"/>
      <c r="AH337" s="74"/>
      <c r="AI337" s="74"/>
      <c r="AJ337" s="74"/>
      <c r="AK337" s="80"/>
      <c r="AL337" s="74"/>
      <c r="AM337" s="74"/>
      <c r="AN337" s="74"/>
      <c r="AO337" s="74"/>
      <c r="AP337" s="80"/>
      <c r="AQ337" s="74"/>
      <c r="AR337" s="80"/>
      <c r="AS337" s="87"/>
      <c r="AT337" s="93"/>
      <c r="AU337" s="94"/>
      <c r="AV337" s="93"/>
      <c r="AW337" s="94"/>
      <c r="AX337" s="87"/>
      <c r="AY337" s="93"/>
      <c r="AZ337" s="94"/>
      <c r="BA337" s="93"/>
      <c r="BB337" s="94"/>
      <c r="BC337" s="87"/>
      <c r="BD337" s="93"/>
      <c r="BE337" s="94"/>
      <c r="BF337" s="93"/>
      <c r="BG337" s="94"/>
      <c r="BH337" s="87"/>
      <c r="BI337" s="99"/>
      <c r="BJ337" s="104"/>
      <c r="BK337" s="99"/>
      <c r="BL337" s="104"/>
      <c r="BM337" s="99"/>
      <c r="BN337" s="99"/>
      <c r="BO337" s="104"/>
      <c r="BP337" s="99"/>
      <c r="BQ337" s="104"/>
      <c r="BR337" s="99"/>
      <c r="BS337" s="99"/>
      <c r="BT337" s="104"/>
      <c r="BU337" s="99"/>
      <c r="BV337" s="104"/>
      <c r="BW337" s="99"/>
      <c r="BX337" s="99"/>
      <c r="BY337" s="104"/>
      <c r="BZ337" s="99"/>
      <c r="CA337" s="104"/>
      <c r="CB337" s="99"/>
      <c r="CC337" s="99"/>
      <c r="CD337" s="104"/>
      <c r="CE337" s="99"/>
      <c r="CF337" s="104"/>
      <c r="CG337" s="99"/>
      <c r="CH337" s="99"/>
      <c r="CI337" s="104"/>
      <c r="CJ337" s="99"/>
      <c r="CK337" s="104"/>
      <c r="CL337" s="99"/>
      <c r="CM337" s="118"/>
      <c r="CN337" s="893"/>
      <c r="CO337" s="118"/>
      <c r="CP337" s="104"/>
      <c r="CQ337" s="99"/>
      <c r="CR337" s="99"/>
      <c r="CS337" s="104"/>
      <c r="CT337" s="99"/>
      <c r="CU337" s="104"/>
      <c r="CV337" s="99"/>
      <c r="CW337" s="99"/>
      <c r="CX337" s="104"/>
      <c r="CY337" s="99"/>
      <c r="CZ337" s="104"/>
      <c r="DA337" s="99"/>
      <c r="DB337" s="99"/>
      <c r="DC337" s="104"/>
      <c r="DD337" s="99"/>
      <c r="DE337" s="104"/>
      <c r="DF337" s="99"/>
      <c r="DG337" s="99"/>
      <c r="DH337" s="104"/>
      <c r="DI337" s="104"/>
      <c r="DJ337" s="104"/>
      <c r="DK337" s="99"/>
      <c r="DL337" s="99"/>
      <c r="DM337" s="104"/>
      <c r="DN337" s="104"/>
      <c r="DO337" s="104"/>
      <c r="DP337" s="99"/>
      <c r="DQ337" s="99"/>
      <c r="DR337" s="104"/>
      <c r="DS337" s="104"/>
      <c r="DT337" s="873"/>
      <c r="DU337" s="874"/>
      <c r="DV337" s="868"/>
      <c r="DW337" s="869"/>
      <c r="DX337" s="363"/>
      <c r="DY337" s="345"/>
      <c r="DZ337" s="408"/>
      <c r="EA337" s="10"/>
    </row>
    <row r="338" ht="17.25" customHeight="1">
      <c r="A338" s="3"/>
      <c r="B338" s="3"/>
      <c r="C338" s="74"/>
      <c r="D338" s="74"/>
      <c r="E338" s="74"/>
      <c r="F338" s="74"/>
      <c r="G338" s="74"/>
      <c r="H338" s="74"/>
      <c r="I338" s="74"/>
      <c r="J338" s="74"/>
      <c r="K338" s="74"/>
      <c r="L338" s="80"/>
      <c r="M338" s="74"/>
      <c r="N338" s="74"/>
      <c r="O338" s="74"/>
      <c r="P338" s="74"/>
      <c r="Q338" s="80"/>
      <c r="R338" s="74"/>
      <c r="S338" s="74"/>
      <c r="T338" s="74"/>
      <c r="U338" s="74"/>
      <c r="V338" s="80"/>
      <c r="W338" s="74"/>
      <c r="X338" s="74"/>
      <c r="Y338" s="74"/>
      <c r="Z338" s="74"/>
      <c r="AA338" s="80"/>
      <c r="AB338" s="74"/>
      <c r="AC338" s="74"/>
      <c r="AD338" s="74"/>
      <c r="AE338" s="74"/>
      <c r="AF338" s="80"/>
      <c r="AG338" s="74"/>
      <c r="AH338" s="74"/>
      <c r="AI338" s="74"/>
      <c r="AJ338" s="74"/>
      <c r="AK338" s="80"/>
      <c r="AL338" s="74"/>
      <c r="AM338" s="74"/>
      <c r="AN338" s="74"/>
      <c r="AO338" s="74"/>
      <c r="AP338" s="80"/>
      <c r="AQ338" s="74"/>
      <c r="AR338" s="80"/>
      <c r="AS338" s="87"/>
      <c r="AT338" s="93"/>
      <c r="AU338" s="94"/>
      <c r="AV338" s="93"/>
      <c r="AW338" s="94"/>
      <c r="AX338" s="87"/>
      <c r="AY338" s="93"/>
      <c r="AZ338" s="94"/>
      <c r="BA338" s="93"/>
      <c r="BB338" s="94"/>
      <c r="BC338" s="87"/>
      <c r="BD338" s="93"/>
      <c r="BE338" s="94"/>
      <c r="BF338" s="93"/>
      <c r="BG338" s="94"/>
      <c r="BH338" s="87"/>
      <c r="BI338" s="99"/>
      <c r="BJ338" s="104"/>
      <c r="BK338" s="99"/>
      <c r="BL338" s="104"/>
      <c r="BM338" s="99"/>
      <c r="BN338" s="99"/>
      <c r="BO338" s="104"/>
      <c r="BP338" s="99"/>
      <c r="BQ338" s="104"/>
      <c r="BR338" s="99"/>
      <c r="BS338" s="99"/>
      <c r="BT338" s="104"/>
      <c r="BU338" s="99"/>
      <c r="BV338" s="104"/>
      <c r="BW338" s="99"/>
      <c r="BX338" s="99"/>
      <c r="BY338" s="104"/>
      <c r="BZ338" s="99"/>
      <c r="CA338" s="104"/>
      <c r="CB338" s="99"/>
      <c r="CC338" s="99"/>
      <c r="CD338" s="104"/>
      <c r="CE338" s="99"/>
      <c r="CF338" s="104"/>
      <c r="CG338" s="99"/>
      <c r="CH338" s="99"/>
      <c r="CI338" s="104"/>
      <c r="CJ338" s="99"/>
      <c r="CK338" s="104"/>
      <c r="CL338" s="99"/>
      <c r="CM338" s="118"/>
      <c r="CN338" s="893"/>
      <c r="CO338" s="118"/>
      <c r="CP338" s="104"/>
      <c r="CQ338" s="99"/>
      <c r="CR338" s="99"/>
      <c r="CS338" s="104"/>
      <c r="CT338" s="99"/>
      <c r="CU338" s="104"/>
      <c r="CV338" s="99"/>
      <c r="CW338" s="99"/>
      <c r="CX338" s="104"/>
      <c r="CY338" s="99"/>
      <c r="CZ338" s="104"/>
      <c r="DA338" s="99"/>
      <c r="DB338" s="99"/>
      <c r="DC338" s="104"/>
      <c r="DD338" s="99"/>
      <c r="DE338" s="104"/>
      <c r="DF338" s="99"/>
      <c r="DG338" s="99"/>
      <c r="DH338" s="104"/>
      <c r="DI338" s="104"/>
      <c r="DJ338" s="104"/>
      <c r="DK338" s="99"/>
      <c r="DL338" s="99"/>
      <c r="DM338" s="104"/>
      <c r="DN338" s="104"/>
      <c r="DO338" s="104"/>
      <c r="DP338" s="99"/>
      <c r="DQ338" s="99"/>
      <c r="DR338" s="104"/>
      <c r="DS338" s="104"/>
      <c r="DT338" s="873"/>
      <c r="DU338" s="874"/>
      <c r="DV338" s="868"/>
      <c r="DW338" s="869"/>
      <c r="DX338" s="363"/>
      <c r="DY338" s="345"/>
      <c r="DZ338" s="408"/>
      <c r="EA338" s="10"/>
    </row>
    <row r="339" ht="17.25" customHeight="1">
      <c r="A339" s="3"/>
      <c r="B339" s="3"/>
      <c r="C339" s="74"/>
      <c r="D339" s="74"/>
      <c r="E339" s="74"/>
      <c r="F339" s="74"/>
      <c r="G339" s="74"/>
      <c r="H339" s="74"/>
      <c r="I339" s="74"/>
      <c r="J339" s="74"/>
      <c r="K339" s="74"/>
      <c r="L339" s="80"/>
      <c r="M339" s="74"/>
      <c r="N339" s="74"/>
      <c r="O339" s="74"/>
      <c r="P339" s="74"/>
      <c r="Q339" s="80"/>
      <c r="R339" s="74"/>
      <c r="S339" s="74"/>
      <c r="T339" s="74"/>
      <c r="U339" s="74"/>
      <c r="V339" s="80"/>
      <c r="W339" s="74"/>
      <c r="X339" s="74"/>
      <c r="Y339" s="74"/>
      <c r="Z339" s="74"/>
      <c r="AA339" s="80"/>
      <c r="AB339" s="74"/>
      <c r="AC339" s="74"/>
      <c r="AD339" s="74"/>
      <c r="AE339" s="74"/>
      <c r="AF339" s="80"/>
      <c r="AG339" s="74"/>
      <c r="AH339" s="74"/>
      <c r="AI339" s="74"/>
      <c r="AJ339" s="74"/>
      <c r="AK339" s="80"/>
      <c r="AL339" s="74"/>
      <c r="AM339" s="74"/>
      <c r="AN339" s="74"/>
      <c r="AO339" s="74"/>
      <c r="AP339" s="80"/>
      <c r="AQ339" s="74"/>
      <c r="AR339" s="80"/>
      <c r="AS339" s="87"/>
      <c r="AT339" s="93"/>
      <c r="AU339" s="94"/>
      <c r="AV339" s="93"/>
      <c r="AW339" s="94"/>
      <c r="AX339" s="87"/>
      <c r="AY339" s="93"/>
      <c r="AZ339" s="94"/>
      <c r="BA339" s="93"/>
      <c r="BB339" s="94"/>
      <c r="BC339" s="87"/>
      <c r="BD339" s="93"/>
      <c r="BE339" s="94"/>
      <c r="BF339" s="93"/>
      <c r="BG339" s="94"/>
      <c r="BH339" s="87"/>
      <c r="BI339" s="99"/>
      <c r="BJ339" s="104"/>
      <c r="BK339" s="99"/>
      <c r="BL339" s="104"/>
      <c r="BM339" s="99"/>
      <c r="BN339" s="99"/>
      <c r="BO339" s="104"/>
      <c r="BP339" s="99"/>
      <c r="BQ339" s="104"/>
      <c r="BR339" s="99"/>
      <c r="BS339" s="99"/>
      <c r="BT339" s="104"/>
      <c r="BU339" s="99"/>
      <c r="BV339" s="104"/>
      <c r="BW339" s="99"/>
      <c r="BX339" s="99"/>
      <c r="BY339" s="104"/>
      <c r="BZ339" s="99"/>
      <c r="CA339" s="104"/>
      <c r="CB339" s="99"/>
      <c r="CC339" s="99"/>
      <c r="CD339" s="104"/>
      <c r="CE339" s="99"/>
      <c r="CF339" s="104"/>
      <c r="CG339" s="99"/>
      <c r="CH339" s="99"/>
      <c r="CI339" s="104"/>
      <c r="CJ339" s="99"/>
      <c r="CK339" s="104"/>
      <c r="CL339" s="99"/>
      <c r="CM339" s="118"/>
      <c r="CN339" s="893"/>
      <c r="CO339" s="118"/>
      <c r="CP339" s="104"/>
      <c r="CQ339" s="99"/>
      <c r="CR339" s="99"/>
      <c r="CS339" s="104"/>
      <c r="CT339" s="99"/>
      <c r="CU339" s="104"/>
      <c r="CV339" s="99"/>
      <c r="CW339" s="99"/>
      <c r="CX339" s="104"/>
      <c r="CY339" s="99"/>
      <c r="CZ339" s="104"/>
      <c r="DA339" s="99"/>
      <c r="DB339" s="99"/>
      <c r="DC339" s="104"/>
      <c r="DD339" s="99"/>
      <c r="DE339" s="104"/>
      <c r="DF339" s="99"/>
      <c r="DG339" s="99"/>
      <c r="DH339" s="104"/>
      <c r="DI339" s="104"/>
      <c r="DJ339" s="104"/>
      <c r="DK339" s="99"/>
      <c r="DL339" s="99"/>
      <c r="DM339" s="104"/>
      <c r="DN339" s="104"/>
      <c r="DO339" s="104"/>
      <c r="DP339" s="99"/>
      <c r="DQ339" s="99"/>
      <c r="DR339" s="104"/>
      <c r="DS339" s="104"/>
      <c r="DT339" s="873"/>
      <c r="DU339" s="874"/>
      <c r="DV339" s="868"/>
      <c r="DW339" s="869"/>
      <c r="DX339" s="363"/>
      <c r="DY339" s="345"/>
      <c r="DZ339" s="408"/>
      <c r="EA339" s="10"/>
    </row>
    <row r="340" ht="17.25" customHeight="1">
      <c r="A340" s="3"/>
      <c r="B340" s="3"/>
      <c r="C340" s="74"/>
      <c r="D340" s="74"/>
      <c r="E340" s="74"/>
      <c r="F340" s="74"/>
      <c r="G340" s="74"/>
      <c r="H340" s="74"/>
      <c r="I340" s="74"/>
      <c r="J340" s="74"/>
      <c r="K340" s="74"/>
      <c r="L340" s="80"/>
      <c r="M340" s="74"/>
      <c r="N340" s="74"/>
      <c r="O340" s="74"/>
      <c r="P340" s="74"/>
      <c r="Q340" s="80"/>
      <c r="R340" s="74"/>
      <c r="S340" s="74"/>
      <c r="T340" s="74"/>
      <c r="U340" s="74"/>
      <c r="V340" s="80"/>
      <c r="W340" s="74"/>
      <c r="X340" s="74"/>
      <c r="Y340" s="74"/>
      <c r="Z340" s="74"/>
      <c r="AA340" s="80"/>
      <c r="AB340" s="74"/>
      <c r="AC340" s="74"/>
      <c r="AD340" s="74"/>
      <c r="AE340" s="74"/>
      <c r="AF340" s="80"/>
      <c r="AG340" s="74"/>
      <c r="AH340" s="74"/>
      <c r="AI340" s="74"/>
      <c r="AJ340" s="74"/>
      <c r="AK340" s="80"/>
      <c r="AL340" s="74"/>
      <c r="AM340" s="74"/>
      <c r="AN340" s="74"/>
      <c r="AO340" s="74"/>
      <c r="AP340" s="80"/>
      <c r="AQ340" s="74"/>
      <c r="AR340" s="80"/>
      <c r="AS340" s="87"/>
      <c r="AT340" s="93"/>
      <c r="AU340" s="94"/>
      <c r="AV340" s="93"/>
      <c r="AW340" s="94"/>
      <c r="AX340" s="87"/>
      <c r="AY340" s="93"/>
      <c r="AZ340" s="94"/>
      <c r="BA340" s="93"/>
      <c r="BB340" s="94"/>
      <c r="BC340" s="87"/>
      <c r="BD340" s="93"/>
      <c r="BE340" s="94"/>
      <c r="BF340" s="93"/>
      <c r="BG340" s="94"/>
      <c r="BH340" s="87"/>
      <c r="BI340" s="99"/>
      <c r="BJ340" s="104"/>
      <c r="BK340" s="99"/>
      <c r="BL340" s="104"/>
      <c r="BM340" s="99"/>
      <c r="BN340" s="99"/>
      <c r="BO340" s="104"/>
      <c r="BP340" s="99"/>
      <c r="BQ340" s="104"/>
      <c r="BR340" s="99"/>
      <c r="BS340" s="99"/>
      <c r="BT340" s="104"/>
      <c r="BU340" s="99"/>
      <c r="BV340" s="104"/>
      <c r="BW340" s="99"/>
      <c r="BX340" s="99"/>
      <c r="BY340" s="104"/>
      <c r="BZ340" s="99"/>
      <c r="CA340" s="104"/>
      <c r="CB340" s="99"/>
      <c r="CC340" s="99"/>
      <c r="CD340" s="104"/>
      <c r="CE340" s="99"/>
      <c r="CF340" s="104"/>
      <c r="CG340" s="99"/>
      <c r="CH340" s="99"/>
      <c r="CI340" s="104"/>
      <c r="CJ340" s="99"/>
      <c r="CK340" s="104"/>
      <c r="CL340" s="99"/>
      <c r="CM340" s="118"/>
      <c r="CN340" s="893"/>
      <c r="CO340" s="118"/>
      <c r="CP340" s="104"/>
      <c r="CQ340" s="99"/>
      <c r="CR340" s="99"/>
      <c r="CS340" s="104"/>
      <c r="CT340" s="99"/>
      <c r="CU340" s="104"/>
      <c r="CV340" s="99"/>
      <c r="CW340" s="99"/>
      <c r="CX340" s="104"/>
      <c r="CY340" s="99"/>
      <c r="CZ340" s="104"/>
      <c r="DA340" s="99"/>
      <c r="DB340" s="99"/>
      <c r="DC340" s="104"/>
      <c r="DD340" s="99"/>
      <c r="DE340" s="104"/>
      <c r="DF340" s="99"/>
      <c r="DG340" s="99"/>
      <c r="DH340" s="104"/>
      <c r="DI340" s="104"/>
      <c r="DJ340" s="104"/>
      <c r="DK340" s="99"/>
      <c r="DL340" s="99"/>
      <c r="DM340" s="104"/>
      <c r="DN340" s="104"/>
      <c r="DO340" s="104"/>
      <c r="DP340" s="99"/>
      <c r="DQ340" s="99"/>
      <c r="DR340" s="104"/>
      <c r="DS340" s="104"/>
      <c r="DT340" s="873"/>
      <c r="DU340" s="874"/>
      <c r="DV340" s="868"/>
      <c r="DW340" s="869"/>
      <c r="DX340" s="363"/>
      <c r="DY340" s="345"/>
      <c r="DZ340" s="408"/>
      <c r="EA340" s="10"/>
    </row>
    <row r="341" ht="17.25" customHeight="1">
      <c r="A341" s="3"/>
      <c r="B341" s="3"/>
      <c r="C341" s="74"/>
      <c r="D341" s="74"/>
      <c r="E341" s="74"/>
      <c r="F341" s="74"/>
      <c r="G341" s="74"/>
      <c r="H341" s="74"/>
      <c r="I341" s="74"/>
      <c r="J341" s="74"/>
      <c r="K341" s="74"/>
      <c r="L341" s="80"/>
      <c r="M341" s="74"/>
      <c r="N341" s="74"/>
      <c r="O341" s="74"/>
      <c r="P341" s="74"/>
      <c r="Q341" s="80"/>
      <c r="R341" s="74"/>
      <c r="S341" s="74"/>
      <c r="T341" s="74"/>
      <c r="U341" s="74"/>
      <c r="V341" s="80"/>
      <c r="W341" s="74"/>
      <c r="X341" s="74"/>
      <c r="Y341" s="74"/>
      <c r="Z341" s="74"/>
      <c r="AA341" s="80"/>
      <c r="AB341" s="74"/>
      <c r="AC341" s="74"/>
      <c r="AD341" s="74"/>
      <c r="AE341" s="74"/>
      <c r="AF341" s="80"/>
      <c r="AG341" s="74"/>
      <c r="AH341" s="74"/>
      <c r="AI341" s="74"/>
      <c r="AJ341" s="74"/>
      <c r="AK341" s="80"/>
      <c r="AL341" s="74"/>
      <c r="AM341" s="74"/>
      <c r="AN341" s="74"/>
      <c r="AO341" s="74"/>
      <c r="AP341" s="80"/>
      <c r="AQ341" s="74"/>
      <c r="AR341" s="80"/>
      <c r="AS341" s="87"/>
      <c r="AT341" s="93"/>
      <c r="AU341" s="94"/>
      <c r="AV341" s="93"/>
      <c r="AW341" s="94"/>
      <c r="AX341" s="87"/>
      <c r="AY341" s="93"/>
      <c r="AZ341" s="94"/>
      <c r="BA341" s="93"/>
      <c r="BB341" s="94"/>
      <c r="BC341" s="87"/>
      <c r="BD341" s="93"/>
      <c r="BE341" s="94"/>
      <c r="BF341" s="93"/>
      <c r="BG341" s="94"/>
      <c r="BH341" s="87"/>
      <c r="BI341" s="99"/>
      <c r="BJ341" s="104"/>
      <c r="BK341" s="99"/>
      <c r="BL341" s="104"/>
      <c r="BM341" s="99"/>
      <c r="BN341" s="99"/>
      <c r="BO341" s="104"/>
      <c r="BP341" s="99"/>
      <c r="BQ341" s="104"/>
      <c r="BR341" s="99"/>
      <c r="BS341" s="99"/>
      <c r="BT341" s="104"/>
      <c r="BU341" s="99"/>
      <c r="BV341" s="104"/>
      <c r="BW341" s="99"/>
      <c r="BX341" s="99"/>
      <c r="BY341" s="104"/>
      <c r="BZ341" s="99"/>
      <c r="CA341" s="104"/>
      <c r="CB341" s="99"/>
      <c r="CC341" s="99"/>
      <c r="CD341" s="104"/>
      <c r="CE341" s="99"/>
      <c r="CF341" s="104"/>
      <c r="CG341" s="99"/>
      <c r="CH341" s="99"/>
      <c r="CI341" s="104"/>
      <c r="CJ341" s="99"/>
      <c r="CK341" s="104"/>
      <c r="CL341" s="99"/>
      <c r="CM341" s="118"/>
      <c r="CN341" s="893"/>
      <c r="CO341" s="118"/>
      <c r="CP341" s="104"/>
      <c r="CQ341" s="99"/>
      <c r="CR341" s="99"/>
      <c r="CS341" s="104"/>
      <c r="CT341" s="99"/>
      <c r="CU341" s="104"/>
      <c r="CV341" s="99"/>
      <c r="CW341" s="99"/>
      <c r="CX341" s="104"/>
      <c r="CY341" s="99"/>
      <c r="CZ341" s="104"/>
      <c r="DA341" s="99"/>
      <c r="DB341" s="99"/>
      <c r="DC341" s="104"/>
      <c r="DD341" s="99"/>
      <c r="DE341" s="104"/>
      <c r="DF341" s="99"/>
      <c r="DG341" s="99"/>
      <c r="DH341" s="104"/>
      <c r="DI341" s="104"/>
      <c r="DJ341" s="104"/>
      <c r="DK341" s="99"/>
      <c r="DL341" s="99"/>
      <c r="DM341" s="104"/>
      <c r="DN341" s="104"/>
      <c r="DO341" s="104"/>
      <c r="DP341" s="99"/>
      <c r="DQ341" s="99"/>
      <c r="DR341" s="104"/>
      <c r="DS341" s="104"/>
      <c r="DT341" s="873"/>
      <c r="DU341" s="874"/>
      <c r="DV341" s="868"/>
      <c r="DW341" s="869"/>
      <c r="DX341" s="363"/>
      <c r="DY341" s="345"/>
      <c r="DZ341" s="408"/>
      <c r="EA341" s="10"/>
    </row>
    <row r="342" ht="17.25" customHeight="1">
      <c r="A342" s="3"/>
      <c r="B342" s="3"/>
      <c r="C342" s="74"/>
      <c r="D342" s="74"/>
      <c r="E342" s="74"/>
      <c r="F342" s="74"/>
      <c r="G342" s="74"/>
      <c r="H342" s="74"/>
      <c r="I342" s="74"/>
      <c r="J342" s="74"/>
      <c r="K342" s="74"/>
      <c r="L342" s="80"/>
      <c r="M342" s="74"/>
      <c r="N342" s="74"/>
      <c r="O342" s="74"/>
      <c r="P342" s="74"/>
      <c r="Q342" s="80"/>
      <c r="R342" s="74"/>
      <c r="S342" s="74"/>
      <c r="T342" s="74"/>
      <c r="U342" s="74"/>
      <c r="V342" s="80"/>
      <c r="W342" s="74"/>
      <c r="X342" s="74"/>
      <c r="Y342" s="74"/>
      <c r="Z342" s="74"/>
      <c r="AA342" s="80"/>
      <c r="AB342" s="74"/>
      <c r="AC342" s="74"/>
      <c r="AD342" s="74"/>
      <c r="AE342" s="74"/>
      <c r="AF342" s="80"/>
      <c r="AG342" s="74"/>
      <c r="AH342" s="74"/>
      <c r="AI342" s="74"/>
      <c r="AJ342" s="74"/>
      <c r="AK342" s="80"/>
      <c r="AL342" s="74"/>
      <c r="AM342" s="74"/>
      <c r="AN342" s="74"/>
      <c r="AO342" s="74"/>
      <c r="AP342" s="80"/>
      <c r="AQ342" s="74"/>
      <c r="AR342" s="80"/>
      <c r="AS342" s="87"/>
      <c r="AT342" s="93"/>
      <c r="AU342" s="94"/>
      <c r="AV342" s="93"/>
      <c r="AW342" s="94"/>
      <c r="AX342" s="87"/>
      <c r="AY342" s="93"/>
      <c r="AZ342" s="94"/>
      <c r="BA342" s="93"/>
      <c r="BB342" s="94"/>
      <c r="BC342" s="87"/>
      <c r="BD342" s="93"/>
      <c r="BE342" s="94"/>
      <c r="BF342" s="93"/>
      <c r="BG342" s="94"/>
      <c r="BH342" s="87"/>
      <c r="BI342" s="99"/>
      <c r="BJ342" s="104"/>
      <c r="BK342" s="99"/>
      <c r="BL342" s="104"/>
      <c r="BM342" s="99"/>
      <c r="BN342" s="99"/>
      <c r="BO342" s="104"/>
      <c r="BP342" s="99"/>
      <c r="BQ342" s="104"/>
      <c r="BR342" s="99"/>
      <c r="BS342" s="99"/>
      <c r="BT342" s="104"/>
      <c r="BU342" s="99"/>
      <c r="BV342" s="104"/>
      <c r="BW342" s="99"/>
      <c r="BX342" s="99"/>
      <c r="BY342" s="104"/>
      <c r="BZ342" s="99"/>
      <c r="CA342" s="104"/>
      <c r="CB342" s="99"/>
      <c r="CC342" s="99"/>
      <c r="CD342" s="104"/>
      <c r="CE342" s="99"/>
      <c r="CF342" s="104"/>
      <c r="CG342" s="99"/>
      <c r="CH342" s="99"/>
      <c r="CI342" s="104"/>
      <c r="CJ342" s="99"/>
      <c r="CK342" s="104"/>
      <c r="CL342" s="99"/>
      <c r="CM342" s="118"/>
      <c r="CN342" s="893"/>
      <c r="CO342" s="118"/>
      <c r="CP342" s="104"/>
      <c r="CQ342" s="99"/>
      <c r="CR342" s="99"/>
      <c r="CS342" s="104"/>
      <c r="CT342" s="99"/>
      <c r="CU342" s="104"/>
      <c r="CV342" s="99"/>
      <c r="CW342" s="99"/>
      <c r="CX342" s="104"/>
      <c r="CY342" s="99"/>
      <c r="CZ342" s="104"/>
      <c r="DA342" s="99"/>
      <c r="DB342" s="99"/>
      <c r="DC342" s="104"/>
      <c r="DD342" s="99"/>
      <c r="DE342" s="104"/>
      <c r="DF342" s="99"/>
      <c r="DG342" s="99"/>
      <c r="DH342" s="104"/>
      <c r="DI342" s="104"/>
      <c r="DJ342" s="104"/>
      <c r="DK342" s="99"/>
      <c r="DL342" s="99"/>
      <c r="DM342" s="104"/>
      <c r="DN342" s="104"/>
      <c r="DO342" s="104"/>
      <c r="DP342" s="99"/>
      <c r="DQ342" s="99"/>
      <c r="DR342" s="104"/>
      <c r="DS342" s="104"/>
      <c r="DT342" s="873"/>
      <c r="DU342" s="874"/>
      <c r="DV342" s="868"/>
      <c r="DW342" s="869"/>
      <c r="DX342" s="363"/>
      <c r="DY342" s="345"/>
      <c r="DZ342" s="408"/>
      <c r="EA342" s="10"/>
    </row>
    <row r="343" ht="17.25" customHeight="1">
      <c r="A343" s="3"/>
      <c r="B343" s="3"/>
      <c r="C343" s="74"/>
      <c r="D343" s="74"/>
      <c r="E343" s="74"/>
      <c r="F343" s="74"/>
      <c r="G343" s="74"/>
      <c r="H343" s="74"/>
      <c r="I343" s="74"/>
      <c r="J343" s="74"/>
      <c r="K343" s="74"/>
      <c r="L343" s="80"/>
      <c r="M343" s="74"/>
      <c r="N343" s="74"/>
      <c r="O343" s="74"/>
      <c r="P343" s="74"/>
      <c r="Q343" s="80"/>
      <c r="R343" s="74"/>
      <c r="S343" s="74"/>
      <c r="T343" s="74"/>
      <c r="U343" s="74"/>
      <c r="V343" s="80"/>
      <c r="W343" s="74"/>
      <c r="X343" s="74"/>
      <c r="Y343" s="74"/>
      <c r="Z343" s="74"/>
      <c r="AA343" s="80"/>
      <c r="AB343" s="74"/>
      <c r="AC343" s="74"/>
      <c r="AD343" s="74"/>
      <c r="AE343" s="74"/>
      <c r="AF343" s="80"/>
      <c r="AG343" s="74"/>
      <c r="AH343" s="74"/>
      <c r="AI343" s="74"/>
      <c r="AJ343" s="74"/>
      <c r="AK343" s="80"/>
      <c r="AL343" s="74"/>
      <c r="AM343" s="74"/>
      <c r="AN343" s="74"/>
      <c r="AO343" s="74"/>
      <c r="AP343" s="80"/>
      <c r="AQ343" s="74"/>
      <c r="AR343" s="80"/>
      <c r="AS343" s="87"/>
      <c r="AT343" s="93"/>
      <c r="AU343" s="94"/>
      <c r="AV343" s="93"/>
      <c r="AW343" s="94"/>
      <c r="AX343" s="87"/>
      <c r="AY343" s="93"/>
      <c r="AZ343" s="94"/>
      <c r="BA343" s="93"/>
      <c r="BB343" s="94"/>
      <c r="BC343" s="87"/>
      <c r="BD343" s="93"/>
      <c r="BE343" s="94"/>
      <c r="BF343" s="93"/>
      <c r="BG343" s="94"/>
      <c r="BH343" s="87"/>
      <c r="BI343" s="99"/>
      <c r="BJ343" s="104"/>
      <c r="BK343" s="99"/>
      <c r="BL343" s="104"/>
      <c r="BM343" s="99"/>
      <c r="BN343" s="99"/>
      <c r="BO343" s="104"/>
      <c r="BP343" s="99"/>
      <c r="BQ343" s="104"/>
      <c r="BR343" s="99"/>
      <c r="BS343" s="99"/>
      <c r="BT343" s="104"/>
      <c r="BU343" s="99"/>
      <c r="BV343" s="104"/>
      <c r="BW343" s="99"/>
      <c r="BX343" s="99"/>
      <c r="BY343" s="104"/>
      <c r="BZ343" s="99"/>
      <c r="CA343" s="104"/>
      <c r="CB343" s="99"/>
      <c r="CC343" s="99"/>
      <c r="CD343" s="104"/>
      <c r="CE343" s="99"/>
      <c r="CF343" s="104"/>
      <c r="CG343" s="99"/>
      <c r="CH343" s="99"/>
      <c r="CI343" s="104"/>
      <c r="CJ343" s="99"/>
      <c r="CK343" s="104"/>
      <c r="CL343" s="99"/>
      <c r="CM343" s="118"/>
      <c r="CN343" s="893"/>
      <c r="CO343" s="118"/>
      <c r="CP343" s="104"/>
      <c r="CQ343" s="99"/>
      <c r="CR343" s="99"/>
      <c r="CS343" s="104"/>
      <c r="CT343" s="99"/>
      <c r="CU343" s="104"/>
      <c r="CV343" s="99"/>
      <c r="CW343" s="99"/>
      <c r="CX343" s="104"/>
      <c r="CY343" s="99"/>
      <c r="CZ343" s="104"/>
      <c r="DA343" s="99"/>
      <c r="DB343" s="99"/>
      <c r="DC343" s="104"/>
      <c r="DD343" s="99"/>
      <c r="DE343" s="104"/>
      <c r="DF343" s="99"/>
      <c r="DG343" s="99"/>
      <c r="DH343" s="104"/>
      <c r="DI343" s="104"/>
      <c r="DJ343" s="104"/>
      <c r="DK343" s="99"/>
      <c r="DL343" s="99"/>
      <c r="DM343" s="104"/>
      <c r="DN343" s="104"/>
      <c r="DO343" s="104"/>
      <c r="DP343" s="99"/>
      <c r="DQ343" s="99"/>
      <c r="DR343" s="104"/>
      <c r="DS343" s="104"/>
      <c r="DT343" s="873"/>
      <c r="DU343" s="874"/>
      <c r="DV343" s="868"/>
      <c r="DW343" s="869"/>
      <c r="DX343" s="363"/>
      <c r="DY343" s="345"/>
      <c r="DZ343" s="408"/>
      <c r="EA343" s="10"/>
    </row>
    <row r="344" ht="17.25" customHeight="1">
      <c r="A344" s="3"/>
      <c r="B344" s="3"/>
      <c r="C344" s="74"/>
      <c r="D344" s="74"/>
      <c r="E344" s="74"/>
      <c r="F344" s="74"/>
      <c r="G344" s="74"/>
      <c r="H344" s="74"/>
      <c r="I344" s="74"/>
      <c r="J344" s="74"/>
      <c r="K344" s="74"/>
      <c r="L344" s="80"/>
      <c r="M344" s="74"/>
      <c r="N344" s="74"/>
      <c r="O344" s="74"/>
      <c r="P344" s="74"/>
      <c r="Q344" s="80"/>
      <c r="R344" s="74"/>
      <c r="S344" s="74"/>
      <c r="T344" s="74"/>
      <c r="U344" s="74"/>
      <c r="V344" s="80"/>
      <c r="W344" s="74"/>
      <c r="X344" s="74"/>
      <c r="Y344" s="74"/>
      <c r="Z344" s="74"/>
      <c r="AA344" s="80"/>
      <c r="AB344" s="74"/>
      <c r="AC344" s="74"/>
      <c r="AD344" s="74"/>
      <c r="AE344" s="74"/>
      <c r="AF344" s="80"/>
      <c r="AG344" s="74"/>
      <c r="AH344" s="74"/>
      <c r="AI344" s="74"/>
      <c r="AJ344" s="74"/>
      <c r="AK344" s="80"/>
      <c r="AL344" s="74"/>
      <c r="AM344" s="74"/>
      <c r="AN344" s="74"/>
      <c r="AO344" s="74"/>
      <c r="AP344" s="80"/>
      <c r="AQ344" s="74"/>
      <c r="AR344" s="80"/>
      <c r="AS344" s="87"/>
      <c r="AT344" s="93"/>
      <c r="AU344" s="94"/>
      <c r="AV344" s="93"/>
      <c r="AW344" s="94"/>
      <c r="AX344" s="87"/>
      <c r="AY344" s="93"/>
      <c r="AZ344" s="94"/>
      <c r="BA344" s="93"/>
      <c r="BB344" s="94"/>
      <c r="BC344" s="87"/>
      <c r="BD344" s="93"/>
      <c r="BE344" s="94"/>
      <c r="BF344" s="93"/>
      <c r="BG344" s="94"/>
      <c r="BH344" s="87"/>
      <c r="BI344" s="99"/>
      <c r="BJ344" s="104"/>
      <c r="BK344" s="99"/>
      <c r="BL344" s="104"/>
      <c r="BM344" s="99"/>
      <c r="BN344" s="99"/>
      <c r="BO344" s="104"/>
      <c r="BP344" s="99"/>
      <c r="BQ344" s="104"/>
      <c r="BR344" s="99"/>
      <c r="BS344" s="99"/>
      <c r="BT344" s="104"/>
      <c r="BU344" s="99"/>
      <c r="BV344" s="104"/>
      <c r="BW344" s="99"/>
      <c r="BX344" s="99"/>
      <c r="BY344" s="104"/>
      <c r="BZ344" s="99"/>
      <c r="CA344" s="104"/>
      <c r="CB344" s="99"/>
      <c r="CC344" s="99"/>
      <c r="CD344" s="104"/>
      <c r="CE344" s="99"/>
      <c r="CF344" s="104"/>
      <c r="CG344" s="99"/>
      <c r="CH344" s="99"/>
      <c r="CI344" s="104"/>
      <c r="CJ344" s="99"/>
      <c r="CK344" s="104"/>
      <c r="CL344" s="99"/>
      <c r="CM344" s="118"/>
      <c r="CN344" s="893"/>
      <c r="CO344" s="118"/>
      <c r="CP344" s="104"/>
      <c r="CQ344" s="99"/>
      <c r="CR344" s="99"/>
      <c r="CS344" s="104"/>
      <c r="CT344" s="99"/>
      <c r="CU344" s="104"/>
      <c r="CV344" s="99"/>
      <c r="CW344" s="99"/>
      <c r="CX344" s="104"/>
      <c r="CY344" s="99"/>
      <c r="CZ344" s="104"/>
      <c r="DA344" s="99"/>
      <c r="DB344" s="99"/>
      <c r="DC344" s="104"/>
      <c r="DD344" s="99"/>
      <c r="DE344" s="104"/>
      <c r="DF344" s="99"/>
      <c r="DG344" s="99"/>
      <c r="DH344" s="104"/>
      <c r="DI344" s="104"/>
      <c r="DJ344" s="104"/>
      <c r="DK344" s="99"/>
      <c r="DL344" s="99"/>
      <c r="DM344" s="104"/>
      <c r="DN344" s="104"/>
      <c r="DO344" s="104"/>
      <c r="DP344" s="99"/>
      <c r="DQ344" s="99"/>
      <c r="DR344" s="104"/>
      <c r="DS344" s="104"/>
      <c r="DT344" s="873"/>
      <c r="DU344" s="874"/>
      <c r="DV344" s="868"/>
      <c r="DW344" s="869"/>
      <c r="DX344" s="363"/>
      <c r="DY344" s="345"/>
      <c r="DZ344" s="408"/>
      <c r="EA344" s="10"/>
    </row>
    <row r="345" ht="17.25" customHeight="1">
      <c r="A345" s="3"/>
      <c r="B345" s="3"/>
      <c r="C345" s="74"/>
      <c r="D345" s="74"/>
      <c r="E345" s="74"/>
      <c r="F345" s="74"/>
      <c r="G345" s="74"/>
      <c r="H345" s="74"/>
      <c r="I345" s="74"/>
      <c r="J345" s="74"/>
      <c r="K345" s="74"/>
      <c r="L345" s="80"/>
      <c r="M345" s="74"/>
      <c r="N345" s="74"/>
      <c r="O345" s="74"/>
      <c r="P345" s="74"/>
      <c r="Q345" s="80"/>
      <c r="R345" s="74"/>
      <c r="S345" s="74"/>
      <c r="T345" s="74"/>
      <c r="U345" s="74"/>
      <c r="V345" s="80"/>
      <c r="W345" s="74"/>
      <c r="X345" s="74"/>
      <c r="Y345" s="74"/>
      <c r="Z345" s="74"/>
      <c r="AA345" s="80"/>
      <c r="AB345" s="74"/>
      <c r="AC345" s="74"/>
      <c r="AD345" s="74"/>
      <c r="AE345" s="74"/>
      <c r="AF345" s="80"/>
      <c r="AG345" s="74"/>
      <c r="AH345" s="74"/>
      <c r="AI345" s="74"/>
      <c r="AJ345" s="74"/>
      <c r="AK345" s="80"/>
      <c r="AL345" s="74"/>
      <c r="AM345" s="74"/>
      <c r="AN345" s="74"/>
      <c r="AO345" s="74"/>
      <c r="AP345" s="80"/>
      <c r="AQ345" s="74"/>
      <c r="AR345" s="80"/>
      <c r="AS345" s="87"/>
      <c r="AT345" s="93"/>
      <c r="AU345" s="94"/>
      <c r="AV345" s="93"/>
      <c r="AW345" s="94"/>
      <c r="AX345" s="87"/>
      <c r="AY345" s="93"/>
      <c r="AZ345" s="94"/>
      <c r="BA345" s="93"/>
      <c r="BB345" s="94"/>
      <c r="BC345" s="87"/>
      <c r="BD345" s="93"/>
      <c r="BE345" s="94"/>
      <c r="BF345" s="93"/>
      <c r="BG345" s="94"/>
      <c r="BH345" s="87"/>
      <c r="BI345" s="99"/>
      <c r="BJ345" s="104"/>
      <c r="BK345" s="99"/>
      <c r="BL345" s="104"/>
      <c r="BM345" s="99"/>
      <c r="BN345" s="99"/>
      <c r="BO345" s="104"/>
      <c r="BP345" s="99"/>
      <c r="BQ345" s="104"/>
      <c r="BR345" s="99"/>
      <c r="BS345" s="99"/>
      <c r="BT345" s="104"/>
      <c r="BU345" s="99"/>
      <c r="BV345" s="104"/>
      <c r="BW345" s="99"/>
      <c r="BX345" s="99"/>
      <c r="BY345" s="104"/>
      <c r="BZ345" s="99"/>
      <c r="CA345" s="104"/>
      <c r="CB345" s="99"/>
      <c r="CC345" s="99"/>
      <c r="CD345" s="104"/>
      <c r="CE345" s="99"/>
      <c r="CF345" s="104"/>
      <c r="CG345" s="99"/>
      <c r="CH345" s="99"/>
      <c r="CI345" s="104"/>
      <c r="CJ345" s="99"/>
      <c r="CK345" s="104"/>
      <c r="CL345" s="99"/>
      <c r="CM345" s="118"/>
      <c r="CN345" s="893"/>
      <c r="CO345" s="118"/>
      <c r="CP345" s="104"/>
      <c r="CQ345" s="99"/>
      <c r="CR345" s="99"/>
      <c r="CS345" s="104"/>
      <c r="CT345" s="99"/>
      <c r="CU345" s="104"/>
      <c r="CV345" s="99"/>
      <c r="CW345" s="99"/>
      <c r="CX345" s="104"/>
      <c r="CY345" s="99"/>
      <c r="CZ345" s="104"/>
      <c r="DA345" s="99"/>
      <c r="DB345" s="99"/>
      <c r="DC345" s="104"/>
      <c r="DD345" s="99"/>
      <c r="DE345" s="104"/>
      <c r="DF345" s="99"/>
      <c r="DG345" s="99"/>
      <c r="DH345" s="104"/>
      <c r="DI345" s="104"/>
      <c r="DJ345" s="104"/>
      <c r="DK345" s="99"/>
      <c r="DL345" s="99"/>
      <c r="DM345" s="104"/>
      <c r="DN345" s="104"/>
      <c r="DO345" s="104"/>
      <c r="DP345" s="99"/>
      <c r="DQ345" s="99"/>
      <c r="DR345" s="104"/>
      <c r="DS345" s="104"/>
      <c r="DT345" s="873"/>
      <c r="DU345" s="874"/>
      <c r="DV345" s="868"/>
      <c r="DW345" s="869"/>
      <c r="DX345" s="363"/>
      <c r="DY345" s="345"/>
      <c r="DZ345" s="408"/>
      <c r="EA345" s="10"/>
    </row>
    <row r="346" ht="17.25" customHeight="1">
      <c r="A346" s="3"/>
      <c r="B346" s="3"/>
      <c r="C346" s="74"/>
      <c r="D346" s="74"/>
      <c r="E346" s="74"/>
      <c r="F346" s="74"/>
      <c r="G346" s="74"/>
      <c r="H346" s="74"/>
      <c r="I346" s="74"/>
      <c r="J346" s="74"/>
      <c r="K346" s="74"/>
      <c r="L346" s="80"/>
      <c r="M346" s="74"/>
      <c r="N346" s="74"/>
      <c r="O346" s="74"/>
      <c r="P346" s="74"/>
      <c r="Q346" s="80"/>
      <c r="R346" s="74"/>
      <c r="S346" s="74"/>
      <c r="T346" s="74"/>
      <c r="U346" s="74"/>
      <c r="V346" s="80"/>
      <c r="W346" s="74"/>
      <c r="X346" s="74"/>
      <c r="Y346" s="74"/>
      <c r="Z346" s="74"/>
      <c r="AA346" s="80"/>
      <c r="AB346" s="74"/>
      <c r="AC346" s="74"/>
      <c r="AD346" s="74"/>
      <c r="AE346" s="74"/>
      <c r="AF346" s="80"/>
      <c r="AG346" s="74"/>
      <c r="AH346" s="74"/>
      <c r="AI346" s="74"/>
      <c r="AJ346" s="74"/>
      <c r="AK346" s="80"/>
      <c r="AL346" s="74"/>
      <c r="AM346" s="74"/>
      <c r="AN346" s="74"/>
      <c r="AO346" s="74"/>
      <c r="AP346" s="80"/>
      <c r="AQ346" s="74"/>
      <c r="AR346" s="80"/>
      <c r="AS346" s="87"/>
      <c r="AT346" s="93"/>
      <c r="AU346" s="94"/>
      <c r="AV346" s="93"/>
      <c r="AW346" s="94"/>
      <c r="AX346" s="87"/>
      <c r="AY346" s="93"/>
      <c r="AZ346" s="94"/>
      <c r="BA346" s="93"/>
      <c r="BB346" s="94"/>
      <c r="BC346" s="87"/>
      <c r="BD346" s="93"/>
      <c r="BE346" s="94"/>
      <c r="BF346" s="93"/>
      <c r="BG346" s="94"/>
      <c r="BH346" s="87"/>
      <c r="BI346" s="99"/>
      <c r="BJ346" s="104"/>
      <c r="BK346" s="99"/>
      <c r="BL346" s="104"/>
      <c r="BM346" s="99"/>
      <c r="BN346" s="99"/>
      <c r="BO346" s="104"/>
      <c r="BP346" s="99"/>
      <c r="BQ346" s="104"/>
      <c r="BR346" s="99"/>
      <c r="BS346" s="99"/>
      <c r="BT346" s="104"/>
      <c r="BU346" s="99"/>
      <c r="BV346" s="104"/>
      <c r="BW346" s="99"/>
      <c r="BX346" s="99"/>
      <c r="BY346" s="104"/>
      <c r="BZ346" s="99"/>
      <c r="CA346" s="104"/>
      <c r="CB346" s="99"/>
      <c r="CC346" s="99"/>
      <c r="CD346" s="104"/>
      <c r="CE346" s="99"/>
      <c r="CF346" s="104"/>
      <c r="CG346" s="99"/>
      <c r="CH346" s="99"/>
      <c r="CI346" s="104"/>
      <c r="CJ346" s="99"/>
      <c r="CK346" s="104"/>
      <c r="CL346" s="99"/>
      <c r="CM346" s="118"/>
      <c r="CN346" s="893"/>
      <c r="CO346" s="118"/>
      <c r="CP346" s="104"/>
      <c r="CQ346" s="99"/>
      <c r="CR346" s="99"/>
      <c r="CS346" s="104"/>
      <c r="CT346" s="99"/>
      <c r="CU346" s="104"/>
      <c r="CV346" s="99"/>
      <c r="CW346" s="99"/>
      <c r="CX346" s="104"/>
      <c r="CY346" s="99"/>
      <c r="CZ346" s="104"/>
      <c r="DA346" s="99"/>
      <c r="DB346" s="99"/>
      <c r="DC346" s="104"/>
      <c r="DD346" s="99"/>
      <c r="DE346" s="104"/>
      <c r="DF346" s="99"/>
      <c r="DG346" s="99"/>
      <c r="DH346" s="104"/>
      <c r="DI346" s="104"/>
      <c r="DJ346" s="104"/>
      <c r="DK346" s="99"/>
      <c r="DL346" s="99"/>
      <c r="DM346" s="104"/>
      <c r="DN346" s="104"/>
      <c r="DO346" s="104"/>
      <c r="DP346" s="99"/>
      <c r="DQ346" s="99"/>
      <c r="DR346" s="104"/>
      <c r="DS346" s="104"/>
      <c r="DT346" s="873"/>
      <c r="DU346" s="874"/>
      <c r="DV346" s="874"/>
      <c r="DW346" s="873"/>
      <c r="DX346" s="474"/>
      <c r="DY346" s="474"/>
      <c r="DZ346" s="408"/>
      <c r="EA346" s="10"/>
    </row>
    <row r="347" ht="17.25" customHeight="1">
      <c r="A347" s="3"/>
      <c r="B347" s="3"/>
      <c r="C347" s="74"/>
      <c r="D347" s="74"/>
      <c r="E347" s="74"/>
      <c r="F347" s="74"/>
      <c r="G347" s="74"/>
      <c r="H347" s="74"/>
      <c r="I347" s="74"/>
      <c r="J347" s="74"/>
      <c r="K347" s="74"/>
      <c r="L347" s="80"/>
      <c r="M347" s="74"/>
      <c r="N347" s="74"/>
      <c r="O347" s="74"/>
      <c r="P347" s="74"/>
      <c r="Q347" s="80"/>
      <c r="R347" s="74"/>
      <c r="S347" s="74"/>
      <c r="T347" s="74"/>
      <c r="U347" s="74"/>
      <c r="V347" s="80"/>
      <c r="W347" s="74"/>
      <c r="X347" s="74"/>
      <c r="Y347" s="74"/>
      <c r="Z347" s="74"/>
      <c r="AA347" s="80"/>
      <c r="AB347" s="74"/>
      <c r="AC347" s="74"/>
      <c r="AD347" s="74"/>
      <c r="AE347" s="74"/>
      <c r="AF347" s="80"/>
      <c r="AG347" s="74"/>
      <c r="AH347" s="74"/>
      <c r="AI347" s="74"/>
      <c r="AJ347" s="74"/>
      <c r="AK347" s="80"/>
      <c r="AL347" s="74"/>
      <c r="AM347" s="74"/>
      <c r="AN347" s="74"/>
      <c r="AO347" s="74"/>
      <c r="AP347" s="80"/>
      <c r="AQ347" s="74"/>
      <c r="AR347" s="80"/>
      <c r="AS347" s="87"/>
      <c r="AT347" s="93"/>
      <c r="AU347" s="94"/>
      <c r="AV347" s="93"/>
      <c r="AW347" s="94"/>
      <c r="AX347" s="87"/>
      <c r="AY347" s="93"/>
      <c r="AZ347" s="94"/>
      <c r="BA347" s="93"/>
      <c r="BB347" s="94"/>
      <c r="BC347" s="87"/>
      <c r="BD347" s="93"/>
      <c r="BE347" s="94"/>
      <c r="BF347" s="93"/>
      <c r="BG347" s="94"/>
      <c r="BH347" s="87"/>
      <c r="BI347" s="99"/>
      <c r="BJ347" s="104"/>
      <c r="BK347" s="99"/>
      <c r="BL347" s="104"/>
      <c r="BM347" s="99"/>
      <c r="BN347" s="99"/>
      <c r="BO347" s="104"/>
      <c r="BP347" s="99"/>
      <c r="BQ347" s="104"/>
      <c r="BR347" s="99"/>
      <c r="BS347" s="99"/>
      <c r="BT347" s="104"/>
      <c r="BU347" s="99"/>
      <c r="BV347" s="104"/>
      <c r="BW347" s="99"/>
      <c r="BX347" s="99"/>
      <c r="BY347" s="104"/>
      <c r="BZ347" s="99"/>
      <c r="CA347" s="104"/>
      <c r="CB347" s="99"/>
      <c r="CC347" s="99"/>
      <c r="CD347" s="104"/>
      <c r="CE347" s="99"/>
      <c r="CF347" s="104"/>
      <c r="CG347" s="99"/>
      <c r="CH347" s="99"/>
      <c r="CI347" s="104"/>
      <c r="CJ347" s="99"/>
      <c r="CK347" s="104"/>
      <c r="CL347" s="99"/>
      <c r="CM347" s="118"/>
      <c r="CN347" s="893"/>
      <c r="CO347" s="118"/>
      <c r="CP347" s="104"/>
      <c r="CQ347" s="99"/>
      <c r="CR347" s="99"/>
      <c r="CS347" s="104"/>
      <c r="CT347" s="99"/>
      <c r="CU347" s="104"/>
      <c r="CV347" s="99"/>
      <c r="CW347" s="99"/>
      <c r="CX347" s="104"/>
      <c r="CY347" s="99"/>
      <c r="CZ347" s="104"/>
      <c r="DA347" s="99"/>
      <c r="DB347" s="99"/>
      <c r="DC347" s="104"/>
      <c r="DD347" s="99"/>
      <c r="DE347" s="104"/>
      <c r="DF347" s="99"/>
      <c r="DG347" s="99"/>
      <c r="DH347" s="104"/>
      <c r="DI347" s="104"/>
      <c r="DJ347" s="104"/>
      <c r="DK347" s="99"/>
      <c r="DL347" s="99"/>
      <c r="DM347" s="104"/>
      <c r="DN347" s="104"/>
      <c r="DO347" s="104"/>
      <c r="DP347" s="99"/>
      <c r="DQ347" s="99"/>
      <c r="DR347" s="104"/>
      <c r="DS347" s="104"/>
      <c r="DT347" s="104"/>
      <c r="DU347" s="874"/>
      <c r="DV347" s="874"/>
      <c r="DW347" s="873"/>
      <c r="DX347" s="474"/>
      <c r="DY347" s="474"/>
      <c r="DZ347" s="408"/>
      <c r="EA347" s="10"/>
    </row>
    <row r="348" ht="17.25" customHeight="1">
      <c r="A348" s="3"/>
      <c r="B348" s="3"/>
      <c r="C348" s="74"/>
      <c r="D348" s="74"/>
      <c r="E348" s="74"/>
      <c r="F348" s="74"/>
      <c r="G348" s="74"/>
      <c r="H348" s="74"/>
      <c r="I348" s="74"/>
      <c r="J348" s="74"/>
      <c r="K348" s="74"/>
      <c r="L348" s="80"/>
      <c r="M348" s="74"/>
      <c r="N348" s="74"/>
      <c r="O348" s="74"/>
      <c r="P348" s="74"/>
      <c r="Q348" s="80"/>
      <c r="R348" s="74"/>
      <c r="S348" s="74"/>
      <c r="T348" s="74"/>
      <c r="U348" s="74"/>
      <c r="V348" s="80"/>
      <c r="W348" s="74"/>
      <c r="X348" s="74"/>
      <c r="Y348" s="74"/>
      <c r="Z348" s="74"/>
      <c r="AA348" s="80"/>
      <c r="AB348" s="74"/>
      <c r="AC348" s="74"/>
      <c r="AD348" s="74"/>
      <c r="AE348" s="74"/>
      <c r="AF348" s="80"/>
      <c r="AG348" s="74"/>
      <c r="AH348" s="74"/>
      <c r="AI348" s="74"/>
      <c r="AJ348" s="74"/>
      <c r="AK348" s="80"/>
      <c r="AL348" s="74"/>
      <c r="AM348" s="74"/>
      <c r="AN348" s="74"/>
      <c r="AO348" s="74"/>
      <c r="AP348" s="80"/>
      <c r="AQ348" s="74"/>
      <c r="AR348" s="80"/>
      <c r="AS348" s="87"/>
      <c r="AT348" s="93"/>
      <c r="AU348" s="94"/>
      <c r="AV348" s="93"/>
      <c r="AW348" s="94"/>
      <c r="AX348" s="87"/>
      <c r="AY348" s="93"/>
      <c r="AZ348" s="94"/>
      <c r="BA348" s="93"/>
      <c r="BB348" s="94"/>
      <c r="BC348" s="87"/>
      <c r="BD348" s="93"/>
      <c r="BE348" s="94"/>
      <c r="BF348" s="93"/>
      <c r="BG348" s="94"/>
      <c r="BH348" s="87"/>
      <c r="BI348" s="99"/>
      <c r="BJ348" s="104"/>
      <c r="BK348" s="99"/>
      <c r="BL348" s="104"/>
      <c r="BM348" s="99"/>
      <c r="BN348" s="99"/>
      <c r="BO348" s="104"/>
      <c r="BP348" s="99"/>
      <c r="BQ348" s="104"/>
      <c r="BR348" s="99"/>
      <c r="BS348" s="99"/>
      <c r="BT348" s="104"/>
      <c r="BU348" s="99"/>
      <c r="BV348" s="104"/>
      <c r="BW348" s="99"/>
      <c r="BX348" s="99"/>
      <c r="BY348" s="104"/>
      <c r="BZ348" s="99"/>
      <c r="CA348" s="104"/>
      <c r="CB348" s="99"/>
      <c r="CC348" s="99"/>
      <c r="CD348" s="104"/>
      <c r="CE348" s="99"/>
      <c r="CF348" s="104"/>
      <c r="CG348" s="99"/>
      <c r="CH348" s="99"/>
      <c r="CI348" s="104"/>
      <c r="CJ348" s="99"/>
      <c r="CK348" s="104"/>
      <c r="CL348" s="99"/>
      <c r="CM348" s="118"/>
      <c r="CN348" s="893"/>
      <c r="CO348" s="118"/>
      <c r="CP348" s="104"/>
      <c r="CQ348" s="99"/>
      <c r="CR348" s="99"/>
      <c r="CS348" s="104"/>
      <c r="CT348" s="99"/>
      <c r="CU348" s="104"/>
      <c r="CV348" s="99"/>
      <c r="CW348" s="99"/>
      <c r="CX348" s="104"/>
      <c r="CY348" s="99"/>
      <c r="CZ348" s="104"/>
      <c r="DA348" s="99"/>
      <c r="DB348" s="99"/>
      <c r="DC348" s="104"/>
      <c r="DD348" s="99"/>
      <c r="DE348" s="104"/>
      <c r="DF348" s="99"/>
      <c r="DG348" s="99"/>
      <c r="DH348" s="104"/>
      <c r="DI348" s="104"/>
      <c r="DJ348" s="104"/>
      <c r="DK348" s="99"/>
      <c r="DL348" s="99"/>
      <c r="DM348" s="104"/>
      <c r="DN348" s="104"/>
      <c r="DO348" s="104"/>
      <c r="DP348" s="99"/>
      <c r="DQ348" s="99"/>
      <c r="DR348" s="104"/>
      <c r="DS348" s="104"/>
      <c r="DT348" s="104"/>
      <c r="DU348" s="104"/>
      <c r="DV348" s="104"/>
      <c r="DW348" s="104"/>
      <c r="DX348" s="873"/>
      <c r="DY348" s="873"/>
      <c r="DZ348" s="408"/>
      <c r="EA348" s="10"/>
    </row>
    <row r="349" ht="17.25" customHeight="1">
      <c r="A349" s="3"/>
      <c r="B349" s="3"/>
      <c r="C349" s="74"/>
      <c r="D349" s="74"/>
      <c r="E349" s="74"/>
      <c r="F349" s="74"/>
      <c r="G349" s="74"/>
      <c r="H349" s="74"/>
      <c r="I349" s="74"/>
      <c r="J349" s="74"/>
      <c r="K349" s="74"/>
      <c r="L349" s="80"/>
      <c r="M349" s="74"/>
      <c r="N349" s="74"/>
      <c r="O349" s="74"/>
      <c r="P349" s="74"/>
      <c r="Q349" s="80"/>
      <c r="R349" s="74"/>
      <c r="S349" s="74"/>
      <c r="T349" s="74"/>
      <c r="U349" s="74"/>
      <c r="V349" s="80"/>
      <c r="W349" s="74"/>
      <c r="X349" s="74"/>
      <c r="Y349" s="74"/>
      <c r="Z349" s="74"/>
      <c r="AA349" s="80"/>
      <c r="AB349" s="74"/>
      <c r="AC349" s="74"/>
      <c r="AD349" s="74"/>
      <c r="AE349" s="74"/>
      <c r="AF349" s="80"/>
      <c r="AG349" s="74"/>
      <c r="AH349" s="74"/>
      <c r="AI349" s="74"/>
      <c r="AJ349" s="74"/>
      <c r="AK349" s="80"/>
      <c r="AL349" s="74"/>
      <c r="AM349" s="74"/>
      <c r="AN349" s="74"/>
      <c r="AO349" s="74"/>
      <c r="AP349" s="80"/>
      <c r="AQ349" s="74"/>
      <c r="AR349" s="80"/>
      <c r="AS349" s="87"/>
      <c r="AT349" s="93"/>
      <c r="AU349" s="94"/>
      <c r="AV349" s="93"/>
      <c r="AW349" s="94"/>
      <c r="AX349" s="87"/>
      <c r="AY349" s="93"/>
      <c r="AZ349" s="94"/>
      <c r="BA349" s="93"/>
      <c r="BB349" s="94"/>
      <c r="BC349" s="87"/>
      <c r="BD349" s="93"/>
      <c r="BE349" s="94"/>
      <c r="BF349" s="93"/>
      <c r="BG349" s="94"/>
      <c r="BH349" s="87"/>
      <c r="BI349" s="99"/>
      <c r="BJ349" s="104"/>
      <c r="BK349" s="99"/>
      <c r="BL349" s="104"/>
      <c r="BM349" s="99"/>
      <c r="BN349" s="99"/>
      <c r="BO349" s="104"/>
      <c r="BP349" s="99"/>
      <c r="BQ349" s="104"/>
      <c r="BR349" s="99"/>
      <c r="BS349" s="99"/>
      <c r="BT349" s="104"/>
      <c r="BU349" s="99"/>
      <c r="BV349" s="104"/>
      <c r="BW349" s="99"/>
      <c r="BX349" s="99"/>
      <c r="BY349" s="104"/>
      <c r="BZ349" s="99"/>
      <c r="CA349" s="104"/>
      <c r="CB349" s="99"/>
      <c r="CC349" s="99"/>
      <c r="CD349" s="104"/>
      <c r="CE349" s="99"/>
      <c r="CF349" s="104"/>
      <c r="CG349" s="99"/>
      <c r="CH349" s="99"/>
      <c r="CI349" s="104"/>
      <c r="CJ349" s="99"/>
      <c r="CK349" s="104"/>
      <c r="CL349" s="99"/>
      <c r="CM349" s="118"/>
      <c r="CN349" s="893"/>
      <c r="CO349" s="118"/>
      <c r="CP349" s="104"/>
      <c r="CQ349" s="99"/>
      <c r="CR349" s="99"/>
      <c r="CS349" s="104"/>
      <c r="CT349" s="99"/>
      <c r="CU349" s="104"/>
      <c r="CV349" s="99"/>
      <c r="CW349" s="99"/>
      <c r="CX349" s="104"/>
      <c r="CY349" s="99"/>
      <c r="CZ349" s="104"/>
      <c r="DA349" s="99"/>
      <c r="DB349" s="99"/>
      <c r="DC349" s="104"/>
      <c r="DD349" s="99"/>
      <c r="DE349" s="104"/>
      <c r="DF349" s="99"/>
      <c r="DG349" s="99"/>
      <c r="DH349" s="104"/>
      <c r="DI349" s="104"/>
      <c r="DJ349" s="104"/>
      <c r="DK349" s="99"/>
      <c r="DL349" s="99"/>
      <c r="DM349" s="104"/>
      <c r="DN349" s="104"/>
      <c r="DO349" s="104"/>
      <c r="DP349" s="99"/>
      <c r="DQ349" s="99"/>
      <c r="DR349" s="104"/>
      <c r="DS349" s="104"/>
      <c r="DT349" s="104"/>
      <c r="DU349" s="104"/>
      <c r="DV349" s="104"/>
      <c r="DW349" s="104"/>
      <c r="DX349" s="873"/>
      <c r="DY349" s="873"/>
      <c r="DZ349" s="408"/>
      <c r="EA349" s="10"/>
    </row>
    <row r="350" ht="17.25" customHeight="1">
      <c r="A350" s="3"/>
      <c r="B350" s="3"/>
      <c r="C350" s="74"/>
      <c r="D350" s="74"/>
      <c r="E350" s="74"/>
      <c r="F350" s="74"/>
      <c r="G350" s="74"/>
      <c r="H350" s="74"/>
      <c r="I350" s="74"/>
      <c r="J350" s="74"/>
      <c r="K350" s="74"/>
      <c r="L350" s="80"/>
      <c r="M350" s="74"/>
      <c r="N350" s="74"/>
      <c r="O350" s="74"/>
      <c r="P350" s="74"/>
      <c r="Q350" s="80"/>
      <c r="R350" s="74"/>
      <c r="S350" s="74"/>
      <c r="T350" s="74"/>
      <c r="U350" s="74"/>
      <c r="V350" s="80"/>
      <c r="W350" s="74"/>
      <c r="X350" s="74"/>
      <c r="Y350" s="74"/>
      <c r="Z350" s="74"/>
      <c r="AA350" s="80"/>
      <c r="AB350" s="74"/>
      <c r="AC350" s="74"/>
      <c r="AD350" s="74"/>
      <c r="AE350" s="74"/>
      <c r="AF350" s="80"/>
      <c r="AG350" s="74"/>
      <c r="AH350" s="74"/>
      <c r="AI350" s="74"/>
      <c r="AJ350" s="74"/>
      <c r="AK350" s="80"/>
      <c r="AL350" s="74"/>
      <c r="AM350" s="74"/>
      <c r="AN350" s="74"/>
      <c r="AO350" s="74"/>
      <c r="AP350" s="80"/>
      <c r="AQ350" s="74"/>
      <c r="AR350" s="80"/>
      <c r="AS350" s="87"/>
      <c r="AT350" s="93"/>
      <c r="AU350" s="94"/>
      <c r="AV350" s="93"/>
      <c r="AW350" s="94"/>
      <c r="AX350" s="87"/>
      <c r="AY350" s="93"/>
      <c r="AZ350" s="94"/>
      <c r="BA350" s="93"/>
      <c r="BB350" s="94"/>
      <c r="BC350" s="87"/>
      <c r="BD350" s="93"/>
      <c r="BE350" s="94"/>
      <c r="BF350" s="93"/>
      <c r="BG350" s="94"/>
      <c r="BH350" s="87"/>
      <c r="BI350" s="99"/>
      <c r="BJ350" s="104"/>
      <c r="BK350" s="99"/>
      <c r="BL350" s="104"/>
      <c r="BM350" s="99"/>
      <c r="BN350" s="99"/>
      <c r="BO350" s="104"/>
      <c r="BP350" s="99"/>
      <c r="BQ350" s="104"/>
      <c r="BR350" s="99"/>
      <c r="BS350" s="99"/>
      <c r="BT350" s="104"/>
      <c r="BU350" s="99"/>
      <c r="BV350" s="104"/>
      <c r="BW350" s="99"/>
      <c r="BX350" s="99"/>
      <c r="BY350" s="104"/>
      <c r="BZ350" s="99"/>
      <c r="CA350" s="104"/>
      <c r="CB350" s="99"/>
      <c r="CC350" s="99"/>
      <c r="CD350" s="104"/>
      <c r="CE350" s="99"/>
      <c r="CF350" s="104"/>
      <c r="CG350" s="99"/>
      <c r="CH350" s="99"/>
      <c r="CI350" s="104"/>
      <c r="CJ350" s="99"/>
      <c r="CK350" s="104"/>
      <c r="CL350" s="99"/>
      <c r="CM350" s="118"/>
      <c r="CN350" s="893"/>
      <c r="CO350" s="118"/>
      <c r="CP350" s="104"/>
      <c r="CQ350" s="99"/>
      <c r="CR350" s="99"/>
      <c r="CS350" s="104"/>
      <c r="CT350" s="99"/>
      <c r="CU350" s="104"/>
      <c r="CV350" s="99"/>
      <c r="CW350" s="99"/>
      <c r="CX350" s="104"/>
      <c r="CY350" s="99"/>
      <c r="CZ350" s="104"/>
      <c r="DA350" s="99"/>
      <c r="DB350" s="99"/>
      <c r="DC350" s="104"/>
      <c r="DD350" s="99"/>
      <c r="DE350" s="104"/>
      <c r="DF350" s="99"/>
      <c r="DG350" s="99"/>
      <c r="DH350" s="104"/>
      <c r="DI350" s="104"/>
      <c r="DJ350" s="104"/>
      <c r="DK350" s="99"/>
      <c r="DL350" s="99"/>
      <c r="DM350" s="104"/>
      <c r="DN350" s="104"/>
      <c r="DO350" s="104"/>
      <c r="DP350" s="99"/>
      <c r="DQ350" s="99"/>
      <c r="DR350" s="104"/>
      <c r="DS350" s="104"/>
      <c r="DT350" s="104"/>
      <c r="DU350" s="104"/>
      <c r="DV350" s="104"/>
      <c r="DW350" s="104"/>
      <c r="DX350" s="873"/>
      <c r="DY350" s="873"/>
      <c r="DZ350" s="408"/>
      <c r="EA350" s="10"/>
    </row>
    <row r="351" ht="17.25" customHeight="1">
      <c r="A351" s="3"/>
      <c r="B351" s="3"/>
      <c r="C351" s="74"/>
      <c r="D351" s="74"/>
      <c r="E351" s="74"/>
      <c r="F351" s="74"/>
      <c r="G351" s="74"/>
      <c r="H351" s="74"/>
      <c r="I351" s="74"/>
      <c r="J351" s="74"/>
      <c r="K351" s="74"/>
      <c r="L351" s="80"/>
      <c r="M351" s="74"/>
      <c r="N351" s="74"/>
      <c r="O351" s="74"/>
      <c r="P351" s="74"/>
      <c r="Q351" s="80"/>
      <c r="R351" s="74"/>
      <c r="S351" s="74"/>
      <c r="T351" s="74"/>
      <c r="U351" s="74"/>
      <c r="V351" s="80"/>
      <c r="W351" s="74"/>
      <c r="X351" s="74"/>
      <c r="Y351" s="74"/>
      <c r="Z351" s="74"/>
      <c r="AA351" s="80"/>
      <c r="AB351" s="74"/>
      <c r="AC351" s="74"/>
      <c r="AD351" s="74"/>
      <c r="AE351" s="74"/>
      <c r="AF351" s="80"/>
      <c r="AG351" s="74"/>
      <c r="AH351" s="74"/>
      <c r="AI351" s="74"/>
      <c r="AJ351" s="74"/>
      <c r="AK351" s="80"/>
      <c r="AL351" s="74"/>
      <c r="AM351" s="74"/>
      <c r="AN351" s="74"/>
      <c r="AO351" s="74"/>
      <c r="AP351" s="80"/>
      <c r="AQ351" s="74"/>
      <c r="AR351" s="80"/>
      <c r="AS351" s="87"/>
      <c r="AT351" s="93"/>
      <c r="AU351" s="94"/>
      <c r="AV351" s="93"/>
      <c r="AW351" s="94"/>
      <c r="AX351" s="87"/>
      <c r="AY351" s="93"/>
      <c r="AZ351" s="94"/>
      <c r="BA351" s="93"/>
      <c r="BB351" s="94"/>
      <c r="BC351" s="87"/>
      <c r="BD351" s="93"/>
      <c r="BE351" s="94"/>
      <c r="BF351" s="93"/>
      <c r="BG351" s="94"/>
      <c r="BH351" s="87"/>
      <c r="BI351" s="99"/>
      <c r="BJ351" s="104"/>
      <c r="BK351" s="99"/>
      <c r="BL351" s="104"/>
      <c r="BM351" s="99"/>
      <c r="BN351" s="99"/>
      <c r="BO351" s="104"/>
      <c r="BP351" s="99"/>
      <c r="BQ351" s="104"/>
      <c r="BR351" s="99"/>
      <c r="BS351" s="99"/>
      <c r="BT351" s="104"/>
      <c r="BU351" s="99"/>
      <c r="BV351" s="104"/>
      <c r="BW351" s="99"/>
      <c r="BX351" s="99"/>
      <c r="BY351" s="104"/>
      <c r="BZ351" s="99"/>
      <c r="CA351" s="104"/>
      <c r="CB351" s="99"/>
      <c r="CC351" s="99"/>
      <c r="CD351" s="104"/>
      <c r="CE351" s="99"/>
      <c r="CF351" s="104"/>
      <c r="CG351" s="99"/>
      <c r="CH351" s="99"/>
      <c r="CI351" s="104"/>
      <c r="CJ351" s="99"/>
      <c r="CK351" s="104"/>
      <c r="CL351" s="99"/>
      <c r="CM351" s="118"/>
      <c r="CN351" s="893"/>
      <c r="CO351" s="118"/>
      <c r="CP351" s="104"/>
      <c r="CQ351" s="99"/>
      <c r="CR351" s="99"/>
      <c r="CS351" s="104"/>
      <c r="CT351" s="99"/>
      <c r="CU351" s="104"/>
      <c r="CV351" s="99"/>
      <c r="CW351" s="99"/>
      <c r="CX351" s="104"/>
      <c r="CY351" s="99"/>
      <c r="CZ351" s="104"/>
      <c r="DA351" s="99"/>
      <c r="DB351" s="99"/>
      <c r="DC351" s="104"/>
      <c r="DD351" s="99"/>
      <c r="DE351" s="104"/>
      <c r="DF351" s="99"/>
      <c r="DG351" s="99"/>
      <c r="DH351" s="104"/>
      <c r="DI351" s="104"/>
      <c r="DJ351" s="104"/>
      <c r="DK351" s="99"/>
      <c r="DL351" s="99"/>
      <c r="DM351" s="104"/>
      <c r="DN351" s="104"/>
      <c r="DO351" s="104"/>
      <c r="DP351" s="99"/>
      <c r="DQ351" s="99"/>
      <c r="DR351" s="104"/>
      <c r="DS351" s="104"/>
      <c r="DT351" s="104"/>
      <c r="DU351" s="99"/>
      <c r="DV351" s="223"/>
      <c r="DW351" s="916"/>
      <c r="DX351" s="474"/>
      <c r="DY351" s="474"/>
      <c r="DZ351" s="408"/>
      <c r="EA351" s="10"/>
    </row>
    <row r="352" ht="17.25" customHeight="1">
      <c r="A352" s="3"/>
      <c r="B352" s="3"/>
      <c r="C352" s="74"/>
      <c r="D352" s="74"/>
      <c r="E352" s="74"/>
      <c r="F352" s="74"/>
      <c r="G352" s="74"/>
      <c r="H352" s="74"/>
      <c r="I352" s="74"/>
      <c r="J352" s="74"/>
      <c r="K352" s="74"/>
      <c r="L352" s="80"/>
      <c r="M352" s="74"/>
      <c r="N352" s="74"/>
      <c r="O352" s="74"/>
      <c r="P352" s="74"/>
      <c r="Q352" s="80"/>
      <c r="R352" s="74"/>
      <c r="S352" s="74"/>
      <c r="T352" s="74"/>
      <c r="U352" s="74"/>
      <c r="V352" s="80"/>
      <c r="W352" s="74"/>
      <c r="X352" s="74"/>
      <c r="Y352" s="74"/>
      <c r="Z352" s="74"/>
      <c r="AA352" s="80"/>
      <c r="AB352" s="74"/>
      <c r="AC352" s="74"/>
      <c r="AD352" s="74"/>
      <c r="AE352" s="74"/>
      <c r="AF352" s="80"/>
      <c r="AG352" s="74"/>
      <c r="AH352" s="74"/>
      <c r="AI352" s="74"/>
      <c r="AJ352" s="74"/>
      <c r="AK352" s="80"/>
      <c r="AL352" s="74"/>
      <c r="AM352" s="74"/>
      <c r="AN352" s="74"/>
      <c r="AO352" s="74"/>
      <c r="AP352" s="80"/>
      <c r="AQ352" s="74"/>
      <c r="AR352" s="80"/>
      <c r="AS352" s="87"/>
      <c r="AT352" s="93"/>
      <c r="AU352" s="94"/>
      <c r="AV352" s="93"/>
      <c r="AW352" s="94"/>
      <c r="AX352" s="87"/>
      <c r="AY352" s="93"/>
      <c r="AZ352" s="94"/>
      <c r="BA352" s="93"/>
      <c r="BB352" s="94"/>
      <c r="BC352" s="87"/>
      <c r="BD352" s="93"/>
      <c r="BE352" s="94"/>
      <c r="BF352" s="93"/>
      <c r="BG352" s="94"/>
      <c r="BH352" s="87"/>
      <c r="BI352" s="99"/>
      <c r="BJ352" s="104"/>
      <c r="BK352" s="99"/>
      <c r="BL352" s="104"/>
      <c r="BM352" s="99"/>
      <c r="BN352" s="99"/>
      <c r="BO352" s="104"/>
      <c r="BP352" s="99"/>
      <c r="BQ352" s="104"/>
      <c r="BR352" s="99"/>
      <c r="BS352" s="99"/>
      <c r="BT352" s="104"/>
      <c r="BU352" s="99"/>
      <c r="BV352" s="104"/>
      <c r="BW352" s="99"/>
      <c r="BX352" s="99"/>
      <c r="BY352" s="104"/>
      <c r="BZ352" s="99"/>
      <c r="CA352" s="104"/>
      <c r="CB352" s="99"/>
      <c r="CC352" s="99"/>
      <c r="CD352" s="104"/>
      <c r="CE352" s="99"/>
      <c r="CF352" s="104"/>
      <c r="CG352" s="99"/>
      <c r="CH352" s="99"/>
      <c r="CI352" s="104"/>
      <c r="CJ352" s="99"/>
      <c r="CK352" s="104"/>
      <c r="CL352" s="99"/>
      <c r="CM352" s="118"/>
      <c r="CN352" s="893"/>
      <c r="CO352" s="118"/>
      <c r="CP352" s="104"/>
      <c r="CQ352" s="99"/>
      <c r="CR352" s="99"/>
      <c r="CS352" s="104"/>
      <c r="CT352" s="99"/>
      <c r="CU352" s="104"/>
      <c r="CV352" s="99"/>
      <c r="CW352" s="99"/>
      <c r="CX352" s="104"/>
      <c r="CY352" s="99"/>
      <c r="CZ352" s="104"/>
      <c r="DA352" s="99"/>
      <c r="DB352" s="99"/>
      <c r="DC352" s="104"/>
      <c r="DD352" s="99"/>
      <c r="DE352" s="104"/>
      <c r="DF352" s="99"/>
      <c r="DG352" s="99"/>
      <c r="DH352" s="104"/>
      <c r="DI352" s="104"/>
      <c r="DJ352" s="104"/>
      <c r="DK352" s="99"/>
      <c r="DL352" s="99"/>
      <c r="DM352" s="104"/>
      <c r="DN352" s="104"/>
      <c r="DO352" s="104"/>
      <c r="DP352" s="99"/>
      <c r="DQ352" s="99"/>
      <c r="DR352" s="104"/>
      <c r="DS352" s="104"/>
      <c r="DT352" s="104"/>
      <c r="DU352" s="99"/>
      <c r="DV352" s="223"/>
      <c r="DW352" s="916"/>
      <c r="DX352" s="474"/>
      <c r="DY352" s="474"/>
      <c r="DZ352" s="408"/>
      <c r="EA352" s="10"/>
    </row>
    <row r="353" ht="7.5" customHeight="1">
      <c r="A353" s="3"/>
      <c r="B353" s="3"/>
      <c r="C353" s="3"/>
      <c r="D353" s="3"/>
      <c r="E353" s="3"/>
      <c r="F353" s="3"/>
      <c r="G353" s="3"/>
      <c r="H353" s="3"/>
      <c r="I353" s="3"/>
      <c r="J353" s="3"/>
      <c r="K353" s="3"/>
      <c r="L353" s="6"/>
      <c r="M353" s="3"/>
      <c r="N353" s="3"/>
      <c r="O353" s="3"/>
      <c r="P353" s="3"/>
      <c r="Q353" s="6"/>
      <c r="R353" s="3"/>
      <c r="S353" s="3"/>
      <c r="T353" s="3"/>
      <c r="U353" s="3"/>
      <c r="V353" s="6"/>
      <c r="W353" s="3"/>
      <c r="X353" s="3"/>
      <c r="Y353" s="3"/>
      <c r="Z353" s="3"/>
      <c r="AA353" s="6"/>
      <c r="AB353" s="3"/>
      <c r="AC353" s="3"/>
      <c r="AD353" s="3"/>
      <c r="AE353" s="3"/>
      <c r="AF353" s="6"/>
      <c r="AG353" s="3"/>
      <c r="AH353" s="3"/>
      <c r="AI353" s="3"/>
      <c r="AJ353" s="3"/>
      <c r="AK353" s="6"/>
      <c r="AL353" s="3"/>
      <c r="AM353" s="3"/>
      <c r="AN353" s="3"/>
      <c r="AO353" s="3"/>
      <c r="AP353" s="6"/>
      <c r="AQ353" s="3"/>
      <c r="AR353" s="6"/>
      <c r="AS353" s="10"/>
      <c r="AT353" s="21"/>
      <c r="AU353" s="29"/>
      <c r="AV353" s="21"/>
      <c r="AW353" s="29"/>
      <c r="AX353" s="10"/>
      <c r="AY353" s="21"/>
      <c r="AZ353" s="29"/>
      <c r="BA353" s="21"/>
      <c r="BB353" s="29"/>
      <c r="BC353" s="10"/>
      <c r="BD353" s="21"/>
      <c r="BE353" s="29"/>
      <c r="BF353" s="21"/>
      <c r="BG353" s="29"/>
      <c r="BH353" s="10"/>
      <c r="BI353" s="41"/>
      <c r="BJ353" s="69"/>
      <c r="BK353" s="41"/>
      <c r="BL353" s="69"/>
      <c r="BM353" s="41"/>
      <c r="BN353" s="41"/>
      <c r="BO353" s="69"/>
      <c r="BP353" s="41"/>
      <c r="BQ353" s="69"/>
      <c r="BR353" s="41"/>
      <c r="BS353" s="41"/>
      <c r="BT353" s="69"/>
      <c r="BU353" s="41"/>
      <c r="BV353" s="69"/>
      <c r="BW353" s="41"/>
      <c r="BX353" s="41"/>
      <c r="BY353" s="69"/>
      <c r="BZ353" s="41"/>
      <c r="CA353" s="69"/>
      <c r="CB353" s="41"/>
      <c r="CC353" s="41"/>
      <c r="CD353" s="69"/>
      <c r="CE353" s="41"/>
      <c r="CF353" s="69"/>
      <c r="CG353" s="41"/>
      <c r="CH353" s="41"/>
      <c r="CI353" s="69"/>
      <c r="CJ353" s="41"/>
      <c r="CK353" s="69"/>
      <c r="CL353" s="41"/>
      <c r="CM353" s="71"/>
      <c r="CN353" s="71"/>
      <c r="CO353" s="71"/>
      <c r="CP353" s="69"/>
      <c r="CQ353" s="41"/>
      <c r="CR353" s="41"/>
      <c r="CS353" s="69"/>
      <c r="CT353" s="41"/>
      <c r="CU353" s="69"/>
      <c r="CV353" s="41"/>
      <c r="CW353" s="41"/>
      <c r="CX353" s="69"/>
      <c r="CY353" s="41"/>
      <c r="CZ353" s="69"/>
      <c r="DA353" s="41"/>
      <c r="DB353" s="41"/>
      <c r="DC353" s="69"/>
      <c r="DD353" s="41"/>
      <c r="DE353" s="69"/>
      <c r="DF353" s="41"/>
      <c r="DG353" s="41"/>
      <c r="DH353" s="69"/>
      <c r="DI353" s="69"/>
      <c r="DJ353" s="69"/>
      <c r="DK353" s="41"/>
      <c r="DL353" s="41"/>
      <c r="DM353" s="69"/>
      <c r="DN353" s="69"/>
      <c r="DO353" s="69"/>
      <c r="DP353" s="41"/>
      <c r="DQ353" s="41"/>
      <c r="DR353" s="69"/>
      <c r="DS353" s="69"/>
      <c r="DT353" s="69"/>
      <c r="DU353" s="41"/>
      <c r="DV353" s="41"/>
      <c r="DW353" s="69"/>
      <c r="DX353" s="499"/>
      <c r="DY353" s="499"/>
      <c r="DZ353" s="10"/>
      <c r="EA353" s="10"/>
    </row>
  </sheetData>
  <mergeCells count="26">
    <mergeCell ref="C3:D3"/>
    <mergeCell ref="F3:G3"/>
    <mergeCell ref="K3:L3"/>
    <mergeCell ref="P3:Q3"/>
    <mergeCell ref="U3:V3"/>
    <mergeCell ref="Z3:AA3"/>
    <mergeCell ref="AE3:AF3"/>
    <mergeCell ref="AJ3:AK3"/>
    <mergeCell ref="AO3:AP3"/>
    <mergeCell ref="AT3:AU3"/>
    <mergeCell ref="AY3:AZ3"/>
    <mergeCell ref="BD3:BE3"/>
    <mergeCell ref="BI3:BJ3"/>
    <mergeCell ref="BN3:BO3"/>
    <mergeCell ref="DB3:DC3"/>
    <mergeCell ref="DG3:DH3"/>
    <mergeCell ref="DL3:DM3"/>
    <mergeCell ref="DQ3:DR3"/>
    <mergeCell ref="DV3:DW3"/>
    <mergeCell ref="BS3:BT3"/>
    <mergeCell ref="BX3:BY3"/>
    <mergeCell ref="CC3:CD3"/>
    <mergeCell ref="CH3:CI3"/>
    <mergeCell ref="CM3:CN3"/>
    <mergeCell ref="CR3:CS3"/>
    <mergeCell ref="CW3:CX3"/>
  </mergeCells>
  <conditionalFormatting sqref="C5:D242 F5:DZ242">
    <cfRule type="containsBlanks" dxfId="6" priority="1">
      <formula>LEN(TRIM(C5))=0</formula>
    </cfRule>
  </conditionalFormatting>
  <conditionalFormatting sqref="AP5:AP14 AR5:AR14 AU5:AW242 AZ5:AZ242 BA5:BB18 BE5:BG242 BJ5:BJ7 BK5:BL242 BO5:BQ242 BT5:BV242 BY5:CA242 CD5:CF242 CI5:CK242 CN5:CP242 CS5:CU242 CX5:CZ242 DC5:DE242 DH5:DJ242 DM5:DO242 DR5:DT242 DW5:DW242 DX5:DY353 AQ6:AQ14 BJ9:BJ242 AP18:AR242 BA20:BB242">
    <cfRule type="expression" dxfId="7" priority="2">
      <formula>VLOOKUP(AP5,{#REF!,#REF!},2,0)="X"</formula>
    </cfRule>
  </conditionalFormatting>
  <conditionalFormatting sqref="H1:I353 M1:N353 R1:S353 W1:X353 AB1:AC353 AG1:AH353 AL1:AM353 AQ1:AR353 AV1:AW353 BA1:BB353 BF1:BG353 BK1:BL353 BP1:BQ353 BU1:BV353 BZ1:CA353 CE1:CF353 CJ1:CK353 CO1:CP353 CT1:CU353 CY1:CZ353 DD1:DE353 DI1:DJ353 DN1:DO353 DS1:DT353 DX1:DY353">
    <cfRule type="cellIs" dxfId="8" priority="3" operator="equal">
      <formula>"X"</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59EFF"/>
    <outlinePr summaryBelow="0" summaryRight="0"/>
  </sheetPr>
  <sheetViews>
    <sheetView showGridLines="0" workbookViewId="0"/>
  </sheetViews>
  <sheetFormatPr customHeight="1" defaultColWidth="12.63" defaultRowHeight="15.75"/>
  <cols>
    <col customWidth="1" min="1" max="2" width="1.38"/>
    <col customWidth="1" min="3" max="3" width="4.5"/>
    <col customWidth="1" min="4" max="4" width="13.88"/>
    <col customWidth="1" min="5" max="5" width="5.13"/>
    <col customWidth="1" min="6" max="6" width="1.38"/>
    <col customWidth="1" min="7" max="7" width="4.5"/>
    <col customWidth="1" min="8" max="8" width="13.88"/>
    <col customWidth="1" min="9" max="9" width="5.13"/>
    <col customWidth="1" min="10" max="10" width="1.38"/>
    <col customWidth="1" min="11" max="11" width="4.5"/>
    <col customWidth="1" min="12" max="12" width="13.88"/>
    <col customWidth="1" min="13" max="13" width="5.13"/>
    <col customWidth="1" min="14" max="14" width="1.38"/>
    <col customWidth="1" min="15" max="15" width="4.5"/>
    <col customWidth="1" min="16" max="16" width="13.88"/>
    <col customWidth="1" min="17" max="17" width="5.13"/>
    <col customWidth="1" min="18" max="18" width="1.38"/>
    <col customWidth="1" min="19" max="19" width="4.5"/>
    <col customWidth="1" min="20" max="20" width="13.88"/>
    <col customWidth="1" min="21" max="21" width="5.13"/>
    <col customWidth="1" min="22" max="22" width="1.38"/>
    <col customWidth="1" min="23" max="23" width="4.5"/>
    <col customWidth="1" min="24" max="24" width="13.88"/>
    <col customWidth="1" min="25" max="25" width="5.13"/>
    <col customWidth="1" min="26" max="27" width="1.38"/>
  </cols>
  <sheetData>
    <row r="1" ht="7.5" customHeight="1">
      <c r="A1" s="105" t="s">
        <v>30</v>
      </c>
      <c r="B1" s="105"/>
      <c r="C1" s="105"/>
      <c r="D1" s="105"/>
      <c r="E1" s="105"/>
      <c r="F1" s="105"/>
      <c r="G1" s="105"/>
      <c r="H1" s="105"/>
      <c r="I1" s="105"/>
      <c r="J1" s="105"/>
      <c r="K1" s="105"/>
      <c r="L1" s="105"/>
      <c r="M1" s="105"/>
      <c r="N1" s="105"/>
      <c r="O1" s="105"/>
      <c r="P1" s="105"/>
      <c r="Q1" s="105"/>
      <c r="R1" s="105"/>
      <c r="S1" s="105"/>
      <c r="T1" s="105"/>
      <c r="U1" s="105"/>
      <c r="V1" s="105"/>
      <c r="W1" s="105"/>
      <c r="X1" s="105"/>
      <c r="Y1" s="105"/>
      <c r="Z1" s="105"/>
      <c r="AA1" s="105"/>
    </row>
    <row r="2" ht="7.5" customHeight="1">
      <c r="A2" s="105"/>
      <c r="B2" s="108"/>
      <c r="C2" s="120"/>
      <c r="D2" s="120"/>
      <c r="E2" s="120"/>
      <c r="F2" s="120"/>
      <c r="G2" s="120"/>
      <c r="H2" s="120"/>
      <c r="I2" s="120"/>
      <c r="J2" s="120"/>
      <c r="K2" s="120"/>
      <c r="L2" s="120"/>
      <c r="M2" s="120"/>
      <c r="N2" s="120"/>
      <c r="O2" s="120"/>
      <c r="P2" s="120"/>
      <c r="Q2" s="120"/>
      <c r="R2" s="120"/>
      <c r="S2" s="120"/>
      <c r="T2" s="120"/>
      <c r="U2" s="120"/>
      <c r="V2" s="120"/>
      <c r="W2" s="120"/>
      <c r="X2" s="120"/>
      <c r="Y2" s="120"/>
      <c r="Z2" s="121"/>
      <c r="AA2" s="105"/>
    </row>
    <row r="3">
      <c r="A3" s="105"/>
      <c r="B3" s="122"/>
      <c r="C3" s="123" t="str">
        <f>Source!G3</f>
        <v>Jackson's Team</v>
      </c>
      <c r="D3" s="124"/>
      <c r="E3" s="125"/>
      <c r="F3" s="126"/>
      <c r="G3" s="123" t="str">
        <f>Source!G4</f>
        <v>Zach's Team</v>
      </c>
      <c r="H3" s="124"/>
      <c r="I3" s="125"/>
      <c r="J3" s="126"/>
      <c r="K3" s="123" t="str">
        <f>Source!G5</f>
        <v>Dick's Team</v>
      </c>
      <c r="L3" s="124"/>
      <c r="M3" s="125"/>
      <c r="N3" s="126"/>
      <c r="O3" s="123" t="str">
        <f>Source!G6</f>
        <v>Ian's Team</v>
      </c>
      <c r="P3" s="124"/>
      <c r="Q3" s="125"/>
      <c r="R3" s="126"/>
      <c r="S3" s="123" t="str">
        <f>Source!G7</f>
        <v>Ryan's Team</v>
      </c>
      <c r="T3" s="124"/>
      <c r="U3" s="125"/>
      <c r="V3" s="126"/>
      <c r="W3" s="123" t="str">
        <f>Source!G8</f>
        <v>Tyler's Team</v>
      </c>
      <c r="X3" s="124"/>
      <c r="Y3" s="125"/>
      <c r="Z3" s="141"/>
      <c r="AA3" s="149"/>
    </row>
    <row r="4">
      <c r="A4" s="105"/>
      <c r="B4" s="122"/>
      <c r="C4" s="151" t="str">
        <f>Source!F3</f>
        <v>Jackson McLoughlin</v>
      </c>
      <c r="D4" s="152"/>
      <c r="E4" s="157" t="str">
        <f>Source!I3</f>
        <v>CST</v>
      </c>
      <c r="F4" s="158"/>
      <c r="G4" s="151" t="str">
        <f>Source!F4</f>
        <v>Zach VanSickle</v>
      </c>
      <c r="H4" s="152"/>
      <c r="I4" s="157" t="str">
        <f>Source!I4</f>
        <v>CST</v>
      </c>
      <c r="J4" s="158"/>
      <c r="K4" s="151" t="str">
        <f>Source!F5</f>
        <v>Dick Hansen</v>
      </c>
      <c r="L4" s="152"/>
      <c r="M4" s="157" t="str">
        <f>Source!I5</f>
        <v>EST</v>
      </c>
      <c r="N4" s="158"/>
      <c r="O4" s="151" t="str">
        <f>Source!F6</f>
        <v>Ian Heslin</v>
      </c>
      <c r="P4" s="152"/>
      <c r="Q4" s="157" t="str">
        <f>Source!I6</f>
        <v>CST</v>
      </c>
      <c r="R4" s="158"/>
      <c r="S4" s="151" t="str">
        <f>Source!F7</f>
        <v>Ryan Tidey</v>
      </c>
      <c r="T4" s="152"/>
      <c r="U4" s="157" t="str">
        <f>Source!I7</f>
        <v>EST</v>
      </c>
      <c r="V4" s="158"/>
      <c r="W4" s="151" t="str">
        <f>Source!F8</f>
        <v>Tyler Gottfredsen</v>
      </c>
      <c r="X4" s="152"/>
      <c r="Y4" s="157" t="str">
        <f>Source!I8</f>
        <v>CST</v>
      </c>
      <c r="Z4" s="141"/>
      <c r="AA4" s="149"/>
    </row>
    <row r="5" ht="17.25" customHeight="1">
      <c r="A5" s="149"/>
      <c r="B5" s="169"/>
      <c r="C5" s="192" t="str">
        <f t="array" ref="C5:C15">IFERROR(VLOOKUP(D5:D15,{Pokedex!$I$2:$I534,Pokedex!$H$2:$H534},2,FALSE),"")</f>
        <v/>
      </c>
      <c r="D5" s="196" t="s">
        <v>57</v>
      </c>
      <c r="E5" s="202">
        <f t="array" ref="E5:E15">IFERROR(VLOOKUP(D5:D15,Source!$B$2:$C534,2,false),)</f>
        <v>15</v>
      </c>
      <c r="F5" s="126"/>
      <c r="G5" s="192" t="str">
        <f t="array" ref="G5:G15">IFERROR(VLOOKUP(H5:H15,{Pokedex!$I$2:$I534,Pokedex!$H$2:$H534},2,FALSE),"")</f>
        <v/>
      </c>
      <c r="H5" s="196" t="s">
        <v>58</v>
      </c>
      <c r="I5" s="202">
        <f t="array" ref="I5:I15">IFERROR(VLOOKUP(H5:H15,Source!$B$2:$C534,2,false),)</f>
        <v>13</v>
      </c>
      <c r="J5" s="126"/>
      <c r="K5" s="192" t="str">
        <f t="array" ref="K5:K15">IFERROR(VLOOKUP(L5:L15,{Pokedex!$I$2:$I534,Pokedex!$H$2:$H534},2,FALSE),"")</f>
        <v/>
      </c>
      <c r="L5" s="196" t="s">
        <v>59</v>
      </c>
      <c r="M5" s="202">
        <f t="array" ref="M5:M15">IFERROR(VLOOKUP(L5:L15,Source!$B$2:$C534,2,false),)</f>
        <v>13</v>
      </c>
      <c r="N5" s="126"/>
      <c r="O5" s="192" t="str">
        <f t="array" ref="O5:O15">IFERROR(VLOOKUP(P5:P15,{Pokedex!$I$2:$I534,Pokedex!$H$2:$H534},2,FALSE),"")</f>
        <v/>
      </c>
      <c r="P5" s="196" t="s">
        <v>61</v>
      </c>
      <c r="Q5" s="202">
        <f t="array" ref="Q5:Q15">IFERROR(VLOOKUP(P5:P15,Source!$B$2:$C534,2,false),)</f>
        <v>12</v>
      </c>
      <c r="R5" s="126"/>
      <c r="S5" s="192" t="str">
        <f t="array" ref="S5:S15">IFERROR(VLOOKUP(T5:T15,{Pokedex!$I$2:$I534,Pokedex!$H$2:$H534},2,FALSE),"")</f>
        <v/>
      </c>
      <c r="T5" s="196" t="s">
        <v>63</v>
      </c>
      <c r="U5" s="202">
        <f t="array" ref="U5:U15">IFERROR(VLOOKUP(T5:T15,Source!$B$2:$C534,2,false),)</f>
        <v>12</v>
      </c>
      <c r="V5" s="126"/>
      <c r="W5" s="192" t="str">
        <f t="array" ref="W5:W15">IFERROR(VLOOKUP(X5:X15,{Pokedex!$I$2:$I534,Pokedex!$H$2:$H534},2,FALSE),"")</f>
        <v/>
      </c>
      <c r="X5" s="196" t="s">
        <v>64</v>
      </c>
      <c r="Y5" s="202">
        <f t="array" ref="Y5:Y15">IFERROR(VLOOKUP(X5:X15,Source!$B$2:$C534,2,false),)</f>
        <v>12</v>
      </c>
      <c r="Z5" s="226"/>
      <c r="AA5" s="105"/>
    </row>
    <row r="6" ht="17.25" customHeight="1">
      <c r="A6" s="149"/>
      <c r="B6" s="169"/>
      <c r="C6" s="227"/>
      <c r="D6" s="232" t="s">
        <v>67</v>
      </c>
      <c r="E6" s="233">
        <v>8.0</v>
      </c>
      <c r="F6" s="126"/>
      <c r="G6" s="227"/>
      <c r="H6" s="232" t="s">
        <v>69</v>
      </c>
      <c r="I6" s="233">
        <v>10.0</v>
      </c>
      <c r="J6" s="126"/>
      <c r="K6" s="227"/>
      <c r="L6" s="232" t="s">
        <v>70</v>
      </c>
      <c r="M6" s="233">
        <v>10.0</v>
      </c>
      <c r="N6" s="126"/>
      <c r="O6" s="227"/>
      <c r="P6" s="232" t="s">
        <v>71</v>
      </c>
      <c r="Q6" s="233">
        <v>15.0</v>
      </c>
      <c r="R6" s="126"/>
      <c r="S6" s="227"/>
      <c r="T6" s="232" t="s">
        <v>72</v>
      </c>
      <c r="U6" s="233">
        <v>12.0</v>
      </c>
      <c r="V6" s="126"/>
      <c r="W6" s="227"/>
      <c r="X6" s="232" t="s">
        <v>74</v>
      </c>
      <c r="Y6" s="233">
        <v>12.0</v>
      </c>
      <c r="Z6" s="226"/>
      <c r="AA6" s="105"/>
    </row>
    <row r="7" ht="17.25" customHeight="1">
      <c r="A7" s="149"/>
      <c r="B7" s="169"/>
      <c r="C7" s="227"/>
      <c r="D7" s="232" t="s">
        <v>75</v>
      </c>
      <c r="E7" s="233">
        <v>6.0</v>
      </c>
      <c r="F7" s="126"/>
      <c r="G7" s="227"/>
      <c r="H7" s="232" t="s">
        <v>76</v>
      </c>
      <c r="I7" s="233">
        <v>10.0</v>
      </c>
      <c r="J7" s="126"/>
      <c r="K7" s="227"/>
      <c r="L7" s="232" t="s">
        <v>77</v>
      </c>
      <c r="M7" s="233">
        <v>9.0</v>
      </c>
      <c r="N7" s="126"/>
      <c r="O7" s="227"/>
      <c r="P7" s="232" t="s">
        <v>78</v>
      </c>
      <c r="Q7" s="233">
        <v>10.0</v>
      </c>
      <c r="R7" s="126"/>
      <c r="S7" s="227"/>
      <c r="T7" s="232" t="s">
        <v>79</v>
      </c>
      <c r="U7" s="233">
        <v>6.0</v>
      </c>
      <c r="V7" s="126"/>
      <c r="W7" s="227"/>
      <c r="X7" s="232" t="s">
        <v>80</v>
      </c>
      <c r="Y7" s="233">
        <v>9.0</v>
      </c>
      <c r="Z7" s="226"/>
      <c r="AA7" s="105"/>
    </row>
    <row r="8" ht="17.25" customHeight="1">
      <c r="A8" s="149"/>
      <c r="B8" s="169"/>
      <c r="C8" s="240"/>
      <c r="D8" s="243" t="s">
        <v>83</v>
      </c>
      <c r="E8" s="233">
        <v>6.0</v>
      </c>
      <c r="F8" s="126"/>
      <c r="G8" s="240"/>
      <c r="H8" s="243" t="s">
        <v>84</v>
      </c>
      <c r="I8" s="233">
        <v>9.0</v>
      </c>
      <c r="J8" s="126"/>
      <c r="K8" s="240"/>
      <c r="L8" s="243" t="s">
        <v>85</v>
      </c>
      <c r="M8" s="233">
        <v>8.0</v>
      </c>
      <c r="N8" s="126"/>
      <c r="O8" s="240"/>
      <c r="P8" s="243" t="s">
        <v>86</v>
      </c>
      <c r="Q8" s="233">
        <v>9.0</v>
      </c>
      <c r="R8" s="126"/>
      <c r="S8" s="240"/>
      <c r="T8" s="243" t="s">
        <v>87</v>
      </c>
      <c r="U8" s="233">
        <v>9.0</v>
      </c>
      <c r="V8" s="126"/>
      <c r="W8" s="240"/>
      <c r="X8" s="243" t="s">
        <v>88</v>
      </c>
      <c r="Y8" s="233">
        <v>6.0</v>
      </c>
      <c r="Z8" s="226"/>
      <c r="AA8" s="105"/>
    </row>
    <row r="9" ht="17.25" customHeight="1">
      <c r="A9" s="149"/>
      <c r="B9" s="169"/>
      <c r="C9" s="240"/>
      <c r="D9" s="243" t="s">
        <v>89</v>
      </c>
      <c r="E9" s="233">
        <v>5.0</v>
      </c>
      <c r="F9" s="126"/>
      <c r="G9" s="240"/>
      <c r="H9" s="243" t="s">
        <v>90</v>
      </c>
      <c r="I9" s="233">
        <v>8.0</v>
      </c>
      <c r="J9" s="126"/>
      <c r="K9" s="240"/>
      <c r="L9" s="243" t="s">
        <v>91</v>
      </c>
      <c r="M9" s="233">
        <v>8.0</v>
      </c>
      <c r="N9" s="126"/>
      <c r="O9" s="240"/>
      <c r="P9" s="243" t="s">
        <v>92</v>
      </c>
      <c r="Q9" s="233">
        <v>8.0</v>
      </c>
      <c r="R9" s="126"/>
      <c r="S9" s="240"/>
      <c r="T9" s="243" t="s">
        <v>93</v>
      </c>
      <c r="U9" s="233">
        <v>6.0</v>
      </c>
      <c r="V9" s="126"/>
      <c r="W9" s="240"/>
      <c r="X9" s="243" t="s">
        <v>94</v>
      </c>
      <c r="Y9" s="233">
        <v>8.0</v>
      </c>
      <c r="Z9" s="226"/>
      <c r="AA9" s="105"/>
    </row>
    <row r="10" ht="17.25" customHeight="1">
      <c r="A10" s="149"/>
      <c r="B10" s="169"/>
      <c r="C10" s="240"/>
      <c r="D10" s="243" t="s">
        <v>95</v>
      </c>
      <c r="E10" s="233">
        <v>4.0</v>
      </c>
      <c r="F10" s="126"/>
      <c r="G10" s="240"/>
      <c r="H10" s="243" t="s">
        <v>96</v>
      </c>
      <c r="I10" s="233">
        <v>5.0</v>
      </c>
      <c r="J10" s="126"/>
      <c r="K10" s="240"/>
      <c r="L10" s="243" t="s">
        <v>97</v>
      </c>
      <c r="M10" s="233">
        <v>6.0</v>
      </c>
      <c r="N10" s="126"/>
      <c r="O10" s="240"/>
      <c r="P10" s="243" t="s">
        <v>98</v>
      </c>
      <c r="Q10" s="233">
        <v>6.0</v>
      </c>
      <c r="R10" s="126"/>
      <c r="S10" s="240"/>
      <c r="T10" s="243" t="s">
        <v>99</v>
      </c>
      <c r="U10" s="233">
        <v>5.0</v>
      </c>
      <c r="V10" s="126"/>
      <c r="W10" s="240"/>
      <c r="X10" s="243" t="s">
        <v>101</v>
      </c>
      <c r="Y10" s="233">
        <v>9.0</v>
      </c>
      <c r="Z10" s="226"/>
      <c r="AA10" s="105"/>
    </row>
    <row r="11" ht="17.25" customHeight="1">
      <c r="A11" s="149"/>
      <c r="B11" s="169"/>
      <c r="C11" s="240"/>
      <c r="D11" s="243" t="s">
        <v>102</v>
      </c>
      <c r="E11" s="233">
        <v>8.0</v>
      </c>
      <c r="F11" s="126"/>
      <c r="G11" s="240"/>
      <c r="H11" s="243" t="s">
        <v>103</v>
      </c>
      <c r="I11" s="233">
        <v>6.0</v>
      </c>
      <c r="J11" s="126"/>
      <c r="K11" s="240"/>
      <c r="L11" s="243" t="s">
        <v>104</v>
      </c>
      <c r="M11" s="233">
        <v>6.0</v>
      </c>
      <c r="N11" s="126"/>
      <c r="O11" s="240"/>
      <c r="P11" s="243" t="s">
        <v>105</v>
      </c>
      <c r="Q11" s="233">
        <v>4.0</v>
      </c>
      <c r="R11" s="126"/>
      <c r="S11" s="240"/>
      <c r="T11" s="243" t="s">
        <v>106</v>
      </c>
      <c r="U11" s="233">
        <v>3.0</v>
      </c>
      <c r="V11" s="126"/>
      <c r="W11" s="240"/>
      <c r="X11" s="243" t="s">
        <v>107</v>
      </c>
      <c r="Y11" s="233">
        <v>8.0</v>
      </c>
      <c r="Z11" s="226"/>
      <c r="AA11" s="105"/>
    </row>
    <row r="12" ht="17.25" customHeight="1">
      <c r="A12" s="105"/>
      <c r="B12" s="122"/>
      <c r="C12" s="246"/>
      <c r="D12" s="247" t="s">
        <v>108</v>
      </c>
      <c r="E12" s="233">
        <v>4.0</v>
      </c>
      <c r="F12" s="126"/>
      <c r="G12" s="246"/>
      <c r="H12" s="247" t="s">
        <v>109</v>
      </c>
      <c r="I12" s="233">
        <v>3.0</v>
      </c>
      <c r="J12" s="126"/>
      <c r="K12" s="246"/>
      <c r="L12" s="247" t="s">
        <v>110</v>
      </c>
      <c r="M12" s="233">
        <v>3.0</v>
      </c>
      <c r="N12" s="126"/>
      <c r="O12" s="246"/>
      <c r="P12" s="247" t="s">
        <v>111</v>
      </c>
      <c r="Q12" s="233">
        <v>1.0</v>
      </c>
      <c r="R12" s="126"/>
      <c r="S12" s="246"/>
      <c r="T12" s="247" t="s">
        <v>112</v>
      </c>
      <c r="U12" s="233">
        <v>8.0</v>
      </c>
      <c r="V12" s="126"/>
      <c r="W12" s="246"/>
      <c r="X12" s="247" t="s">
        <v>113</v>
      </c>
      <c r="Y12" s="233">
        <v>1.0</v>
      </c>
      <c r="Z12" s="226"/>
      <c r="AA12" s="105"/>
    </row>
    <row r="13" ht="17.25" customHeight="1">
      <c r="A13" s="149"/>
      <c r="B13" s="169"/>
      <c r="C13" s="246"/>
      <c r="D13" s="247" t="s">
        <v>114</v>
      </c>
      <c r="E13" s="233">
        <v>5.0</v>
      </c>
      <c r="F13" s="126"/>
      <c r="G13" s="246"/>
      <c r="H13" s="247" t="s">
        <v>115</v>
      </c>
      <c r="I13" s="233">
        <v>3.0</v>
      </c>
      <c r="J13" s="126"/>
      <c r="K13" s="246"/>
      <c r="L13" s="247" t="s">
        <v>116</v>
      </c>
      <c r="M13" s="233">
        <v>3.0</v>
      </c>
      <c r="N13" s="126"/>
      <c r="O13" s="246"/>
      <c r="P13" s="247" t="s">
        <v>117</v>
      </c>
      <c r="Q13" s="233">
        <v>3.0</v>
      </c>
      <c r="R13" s="126"/>
      <c r="S13" s="246"/>
      <c r="T13" s="247" t="s">
        <v>118</v>
      </c>
      <c r="U13" s="233">
        <v>1.0</v>
      </c>
      <c r="V13" s="126"/>
      <c r="W13" s="246"/>
      <c r="X13" s="247" t="s">
        <v>119</v>
      </c>
      <c r="Y13" s="233">
        <v>3.0</v>
      </c>
      <c r="Z13" s="226"/>
      <c r="AA13" s="105"/>
    </row>
    <row r="14" ht="17.25" customHeight="1">
      <c r="A14" s="149"/>
      <c r="B14" s="169"/>
      <c r="C14" s="246"/>
      <c r="D14" s="247" t="s">
        <v>120</v>
      </c>
      <c r="E14" s="233">
        <v>5.0</v>
      </c>
      <c r="F14" s="126"/>
      <c r="G14" s="246"/>
      <c r="H14" s="247" t="s">
        <v>121</v>
      </c>
      <c r="I14" s="233">
        <v>3.0</v>
      </c>
      <c r="J14" s="126"/>
      <c r="K14" s="246"/>
      <c r="L14" s="247" t="s">
        <v>122</v>
      </c>
      <c r="M14" s="233">
        <v>3.0</v>
      </c>
      <c r="N14" s="126"/>
      <c r="O14" s="246"/>
      <c r="P14" s="247" t="s">
        <v>123</v>
      </c>
      <c r="Q14" s="233">
        <v>1.0</v>
      </c>
      <c r="R14" s="126"/>
      <c r="S14" s="246"/>
      <c r="T14" s="247" t="s">
        <v>124</v>
      </c>
      <c r="U14" s="233">
        <v>3.0</v>
      </c>
      <c r="V14" s="126"/>
      <c r="W14" s="246"/>
      <c r="X14" s="247" t="s">
        <v>125</v>
      </c>
      <c r="Y14" s="233">
        <v>0.0</v>
      </c>
      <c r="Z14" s="226"/>
      <c r="AA14" s="105"/>
    </row>
    <row r="15" ht="17.25" customHeight="1">
      <c r="A15" s="149"/>
      <c r="B15" s="169"/>
      <c r="C15" s="251"/>
      <c r="D15" s="247" t="s">
        <v>126</v>
      </c>
      <c r="E15" s="233">
        <v>4.0</v>
      </c>
      <c r="F15" s="126"/>
      <c r="G15" s="251"/>
      <c r="H15" s="247" t="s">
        <v>127</v>
      </c>
      <c r="I15" s="233">
        <v>0.0</v>
      </c>
      <c r="J15" s="126"/>
      <c r="K15" s="251"/>
      <c r="L15" s="247" t="s">
        <v>128</v>
      </c>
      <c r="M15" s="233">
        <v>1.0</v>
      </c>
      <c r="N15" s="126"/>
      <c r="O15" s="251"/>
      <c r="P15" s="247" t="s">
        <v>129</v>
      </c>
      <c r="Q15" s="233">
        <v>1.0</v>
      </c>
      <c r="R15" s="126"/>
      <c r="S15" s="251"/>
      <c r="T15" s="247" t="s">
        <v>130</v>
      </c>
      <c r="U15" s="233">
        <v>5.0</v>
      </c>
      <c r="V15" s="126"/>
      <c r="W15" s="251"/>
      <c r="X15" s="247" t="s">
        <v>131</v>
      </c>
      <c r="Y15" s="233">
        <v>0.0</v>
      </c>
      <c r="Z15" s="226"/>
      <c r="AA15" s="105"/>
    </row>
    <row r="16">
      <c r="A16" s="149"/>
      <c r="B16" s="169"/>
      <c r="C16" s="253" t="s">
        <v>133</v>
      </c>
      <c r="D16" s="255" t="str">
        <f>70-SUM(E5:E15)&amp;" points"</f>
        <v>0 points</v>
      </c>
      <c r="E16" s="92"/>
      <c r="F16" s="158"/>
      <c r="G16" s="253" t="s">
        <v>134</v>
      </c>
      <c r="H16" s="255" t="str">
        <f>70-SUM(I5:I15)&amp;" points"</f>
        <v>0 points</v>
      </c>
      <c r="I16" s="92"/>
      <c r="J16" s="158"/>
      <c r="K16" s="253" t="s">
        <v>135</v>
      </c>
      <c r="L16" s="255" t="str">
        <f>70-SUM(M5:M15)&amp;" points"</f>
        <v>0 points</v>
      </c>
      <c r="M16" s="92"/>
      <c r="N16" s="158"/>
      <c r="O16" s="253" t="s">
        <v>136</v>
      </c>
      <c r="P16" s="255" t="str">
        <f>70-SUM(Q5:Q15)&amp;" points"</f>
        <v>0 points</v>
      </c>
      <c r="Q16" s="92"/>
      <c r="R16" s="158"/>
      <c r="S16" s="253" t="s">
        <v>138</v>
      </c>
      <c r="T16" s="255" t="str">
        <f>70-SUM(U5:U15)&amp;" points"</f>
        <v>0 points</v>
      </c>
      <c r="U16" s="92"/>
      <c r="V16" s="158"/>
      <c r="W16" s="253" t="s">
        <v>134</v>
      </c>
      <c r="X16" s="255" t="str">
        <f>70-SUM(Y5:Y15)&amp;" points"</f>
        <v>2 points</v>
      </c>
      <c r="Y16" s="92"/>
      <c r="Z16" s="141"/>
      <c r="AA16" s="149"/>
    </row>
    <row r="17" ht="7.5" customHeight="1">
      <c r="A17" s="105"/>
      <c r="B17" s="259"/>
      <c r="C17" s="260"/>
      <c r="D17" s="260"/>
      <c r="E17" s="260"/>
      <c r="F17" s="260"/>
      <c r="G17" s="260"/>
      <c r="H17" s="260"/>
      <c r="I17" s="260"/>
      <c r="J17" s="260"/>
      <c r="K17" s="260"/>
      <c r="L17" s="260"/>
      <c r="M17" s="260"/>
      <c r="N17" s="260"/>
      <c r="O17" s="260"/>
      <c r="P17" s="260"/>
      <c r="Q17" s="260"/>
      <c r="R17" s="260"/>
      <c r="S17" s="260"/>
      <c r="T17" s="260"/>
      <c r="U17" s="260"/>
      <c r="V17" s="260"/>
      <c r="W17" s="260"/>
      <c r="X17" s="260"/>
      <c r="Y17" s="260"/>
      <c r="Z17" s="261"/>
      <c r="AA17" s="105"/>
    </row>
    <row r="18" ht="7.5" customHeight="1">
      <c r="A18" s="105"/>
      <c r="B18" s="105"/>
      <c r="C18" s="105"/>
      <c r="D18" s="105"/>
      <c r="E18" s="105"/>
      <c r="F18" s="105"/>
      <c r="G18" s="105"/>
      <c r="H18" s="105"/>
      <c r="I18" s="105"/>
      <c r="J18" s="105"/>
      <c r="K18" s="105"/>
      <c r="L18" s="105"/>
      <c r="M18" s="105"/>
      <c r="N18" s="105"/>
      <c r="O18" s="105"/>
      <c r="P18" s="105"/>
      <c r="Q18" s="105"/>
      <c r="R18" s="105"/>
      <c r="S18" s="105"/>
      <c r="T18" s="105"/>
      <c r="U18" s="105"/>
      <c r="V18" s="105"/>
      <c r="W18" s="105"/>
      <c r="X18" s="105"/>
      <c r="Y18" s="105"/>
      <c r="Z18" s="262"/>
      <c r="AA18" s="105"/>
    </row>
    <row r="19" ht="15.75" hidden="1" customHeight="1">
      <c r="A19" s="105"/>
      <c r="B19" s="105"/>
      <c r="C19" s="105"/>
      <c r="D19" s="263" t="s">
        <v>141</v>
      </c>
      <c r="E19" s="264" t="s">
        <v>142</v>
      </c>
      <c r="F19" s="105"/>
      <c r="G19" s="105"/>
      <c r="H19" s="264" t="s">
        <v>143</v>
      </c>
      <c r="I19" s="105"/>
      <c r="J19" s="105"/>
      <c r="K19" s="105"/>
      <c r="L19" s="105"/>
      <c r="M19" s="105"/>
      <c r="N19" s="105"/>
      <c r="O19" s="105"/>
      <c r="P19" s="105"/>
      <c r="Q19" s="105"/>
      <c r="R19" s="105"/>
      <c r="S19" s="105"/>
      <c r="T19" s="105"/>
      <c r="U19" s="105"/>
      <c r="V19" s="105"/>
      <c r="W19" s="105"/>
      <c r="X19" s="105"/>
      <c r="Y19" s="105"/>
      <c r="Z19" s="105"/>
      <c r="AA19" s="105"/>
    </row>
    <row r="20" ht="15.75" hidden="1" customHeight="1">
      <c r="A20" s="105"/>
      <c r="B20" s="105"/>
      <c r="C20" s="105"/>
      <c r="D20" s="265" t="str">
        <f t="array" ref="D20:D35">Source!F3:F18</f>
        <v>Jackson McLoughlin</v>
      </c>
      <c r="E20" s="266">
        <v>1.0</v>
      </c>
      <c r="F20" s="105"/>
      <c r="G20" s="105"/>
      <c r="H20" s="266">
        <f t="shared" ref="H20:H35" si="1">iferror(240/(2^E20), 240)</f>
        <v>120</v>
      </c>
      <c r="I20" s="105"/>
      <c r="J20" s="105"/>
      <c r="K20" s="105"/>
      <c r="L20" s="105"/>
      <c r="M20" s="105"/>
      <c r="N20" s="105"/>
      <c r="O20" s="105"/>
      <c r="P20" s="105"/>
      <c r="Q20" s="105"/>
      <c r="R20" s="105"/>
      <c r="S20" s="105"/>
      <c r="T20" s="105"/>
      <c r="U20" s="105"/>
      <c r="V20" s="105"/>
      <c r="W20" s="105"/>
      <c r="X20" s="105"/>
      <c r="Y20" s="105"/>
      <c r="Z20" s="105"/>
      <c r="AA20" s="105"/>
    </row>
    <row r="21" ht="15.75" hidden="1" customHeight="1">
      <c r="A21" s="105"/>
      <c r="B21" s="105"/>
      <c r="C21" s="105"/>
      <c r="D21" s="271" t="s">
        <v>81</v>
      </c>
      <c r="E21" s="266"/>
      <c r="F21" s="105"/>
      <c r="G21" s="105"/>
      <c r="H21" s="266">
        <f t="shared" si="1"/>
        <v>240</v>
      </c>
      <c r="I21" s="105"/>
      <c r="J21" s="105"/>
      <c r="K21" s="105"/>
      <c r="L21" s="105"/>
      <c r="M21" s="105"/>
      <c r="N21" s="105"/>
      <c r="O21" s="105"/>
      <c r="P21" s="105"/>
      <c r="Q21" s="105"/>
      <c r="R21" s="105"/>
      <c r="S21" s="105"/>
      <c r="T21" s="105"/>
      <c r="U21" s="105"/>
      <c r="V21" s="105"/>
      <c r="W21" s="105"/>
      <c r="X21" s="105"/>
      <c r="Y21" s="105"/>
      <c r="Z21" s="105"/>
      <c r="AA21" s="105"/>
    </row>
    <row r="22" ht="15.75" hidden="1" customHeight="1">
      <c r="A22" s="105"/>
      <c r="B22" s="105"/>
      <c r="C22" s="105"/>
      <c r="D22" s="271" t="s">
        <v>60</v>
      </c>
      <c r="E22" s="266">
        <v>2.0</v>
      </c>
      <c r="F22" s="105"/>
      <c r="G22" s="105"/>
      <c r="H22" s="266">
        <f t="shared" si="1"/>
        <v>60</v>
      </c>
      <c r="I22" s="105"/>
      <c r="J22" s="105"/>
      <c r="K22" s="105"/>
      <c r="L22" s="105"/>
      <c r="M22" s="105"/>
      <c r="N22" s="105"/>
      <c r="O22" s="105"/>
      <c r="P22" s="105"/>
      <c r="Q22" s="105"/>
      <c r="R22" s="105"/>
      <c r="S22" s="105"/>
      <c r="T22" s="105"/>
      <c r="U22" s="105"/>
      <c r="V22" s="105"/>
      <c r="W22" s="105"/>
      <c r="X22" s="105"/>
      <c r="Y22" s="105"/>
      <c r="Z22" s="105"/>
      <c r="AA22" s="105"/>
    </row>
    <row r="23" ht="15.75" hidden="1" customHeight="1">
      <c r="A23" s="105"/>
      <c r="B23" s="105"/>
      <c r="C23" s="105"/>
      <c r="D23" s="271" t="s">
        <v>62</v>
      </c>
      <c r="E23" s="266"/>
      <c r="F23" s="105"/>
      <c r="G23" s="105"/>
      <c r="H23" s="266">
        <f t="shared" si="1"/>
        <v>240</v>
      </c>
      <c r="I23" s="105"/>
      <c r="J23" s="105"/>
      <c r="K23" s="105"/>
      <c r="L23" s="105"/>
      <c r="M23" s="105"/>
      <c r="N23" s="105"/>
      <c r="O23" s="105"/>
      <c r="P23" s="105"/>
      <c r="Q23" s="105"/>
      <c r="R23" s="105"/>
      <c r="S23" s="105"/>
      <c r="T23" s="105"/>
      <c r="U23" s="105"/>
      <c r="V23" s="105"/>
      <c r="W23" s="105"/>
      <c r="X23" s="105"/>
      <c r="Y23" s="105"/>
      <c r="Z23" s="105"/>
      <c r="AA23" s="105"/>
    </row>
    <row r="24" ht="15.75" hidden="1" customHeight="1">
      <c r="A24" s="105"/>
      <c r="B24" s="105"/>
      <c r="C24" s="105"/>
      <c r="D24" s="271" t="s">
        <v>65</v>
      </c>
      <c r="E24" s="266"/>
      <c r="F24" s="105"/>
      <c r="G24" s="105"/>
      <c r="H24" s="266">
        <f t="shared" si="1"/>
        <v>240</v>
      </c>
      <c r="I24" s="105"/>
      <c r="J24" s="105"/>
      <c r="K24" s="105"/>
      <c r="L24" s="105"/>
      <c r="M24" s="105"/>
      <c r="N24" s="105"/>
      <c r="O24" s="105"/>
      <c r="P24" s="105"/>
      <c r="Q24" s="105"/>
      <c r="R24" s="105"/>
      <c r="S24" s="105"/>
      <c r="T24" s="105"/>
      <c r="U24" s="105"/>
      <c r="V24" s="105"/>
      <c r="W24" s="105"/>
      <c r="X24" s="105"/>
      <c r="Y24" s="105"/>
      <c r="Z24" s="105"/>
      <c r="AA24" s="105"/>
    </row>
    <row r="25" ht="15.75" hidden="1" customHeight="1">
      <c r="A25" s="105"/>
      <c r="B25" s="105"/>
      <c r="C25" s="105"/>
      <c r="D25" s="271" t="s">
        <v>66</v>
      </c>
      <c r="E25" s="266">
        <v>1.0</v>
      </c>
      <c r="F25" s="105"/>
      <c r="G25" s="105"/>
      <c r="H25" s="266">
        <f t="shared" si="1"/>
        <v>120</v>
      </c>
      <c r="I25" s="105"/>
      <c r="J25" s="105"/>
      <c r="K25" s="105"/>
      <c r="L25" s="105"/>
      <c r="M25" s="105"/>
      <c r="N25" s="105"/>
      <c r="O25" s="105"/>
      <c r="P25" s="105"/>
      <c r="Q25" s="105"/>
      <c r="R25" s="105"/>
      <c r="S25" s="105"/>
      <c r="T25" s="105"/>
      <c r="U25" s="105"/>
      <c r="V25" s="105"/>
      <c r="W25" s="105"/>
      <c r="X25" s="105"/>
      <c r="Y25" s="105"/>
      <c r="Z25" s="105"/>
      <c r="AA25" s="105"/>
    </row>
    <row r="26" ht="15.75" hidden="1" customHeight="1">
      <c r="A26" s="105"/>
      <c r="B26" s="105"/>
      <c r="C26" s="105"/>
      <c r="D26" s="271"/>
      <c r="E26" s="266"/>
      <c r="F26" s="105"/>
      <c r="G26" s="105"/>
      <c r="H26" s="266">
        <f t="shared" si="1"/>
        <v>240</v>
      </c>
      <c r="I26" s="105"/>
      <c r="J26" s="105"/>
      <c r="K26" s="105"/>
      <c r="L26" s="105"/>
      <c r="M26" s="105"/>
      <c r="N26" s="105"/>
      <c r="O26" s="105"/>
      <c r="P26" s="105"/>
      <c r="Q26" s="105"/>
      <c r="R26" s="105"/>
      <c r="S26" s="105"/>
      <c r="T26" s="105"/>
      <c r="U26" s="105"/>
      <c r="V26" s="105"/>
      <c r="W26" s="105"/>
      <c r="X26" s="105"/>
      <c r="Y26" s="105"/>
      <c r="Z26" s="105"/>
      <c r="AA26" s="105"/>
    </row>
    <row r="27" ht="15.75" hidden="1" customHeight="1">
      <c r="A27" s="105"/>
      <c r="B27" s="105"/>
      <c r="C27" s="105"/>
      <c r="D27" s="271"/>
      <c r="E27" s="266"/>
      <c r="F27" s="105"/>
      <c r="G27" s="105"/>
      <c r="H27" s="266">
        <f t="shared" si="1"/>
        <v>240</v>
      </c>
      <c r="I27" s="105"/>
      <c r="J27" s="105"/>
      <c r="K27" s="105"/>
      <c r="L27" s="105"/>
      <c r="M27" s="105"/>
      <c r="N27" s="105"/>
      <c r="O27" s="105"/>
      <c r="P27" s="105"/>
      <c r="Q27" s="105"/>
      <c r="R27" s="105"/>
      <c r="S27" s="105"/>
      <c r="T27" s="105"/>
      <c r="U27" s="105"/>
      <c r="V27" s="105"/>
      <c r="W27" s="105"/>
      <c r="X27" s="105"/>
      <c r="Y27" s="105"/>
      <c r="Z27" s="105"/>
      <c r="AA27" s="105"/>
    </row>
    <row r="28" ht="15.75" hidden="1" customHeight="1">
      <c r="A28" s="105"/>
      <c r="B28" s="105"/>
      <c r="C28" s="105"/>
      <c r="D28" s="271"/>
      <c r="E28" s="266"/>
      <c r="F28" s="105"/>
      <c r="G28" s="105"/>
      <c r="H28" s="266">
        <f t="shared" si="1"/>
        <v>240</v>
      </c>
      <c r="I28" s="105"/>
      <c r="J28" s="105"/>
      <c r="K28" s="105"/>
      <c r="L28" s="105"/>
      <c r="M28" s="105"/>
      <c r="N28" s="105"/>
      <c r="O28" s="105"/>
      <c r="P28" s="105"/>
      <c r="Q28" s="105"/>
      <c r="R28" s="105"/>
      <c r="S28" s="105"/>
      <c r="T28" s="105"/>
      <c r="U28" s="105"/>
      <c r="V28" s="105"/>
      <c r="W28" s="105"/>
      <c r="X28" s="105"/>
      <c r="Y28" s="105"/>
      <c r="Z28" s="105"/>
      <c r="AA28" s="105"/>
    </row>
    <row r="29" ht="15.75" hidden="1" customHeight="1">
      <c r="A29" s="105"/>
      <c r="B29" s="105"/>
      <c r="C29" s="105"/>
      <c r="D29" s="271"/>
      <c r="E29" s="266"/>
      <c r="F29" s="105"/>
      <c r="G29" s="105"/>
      <c r="H29" s="266">
        <f t="shared" si="1"/>
        <v>240</v>
      </c>
      <c r="I29" s="105"/>
      <c r="J29" s="105"/>
      <c r="K29" s="105"/>
      <c r="L29" s="105"/>
      <c r="M29" s="105"/>
      <c r="N29" s="105"/>
      <c r="O29" s="105"/>
      <c r="P29" s="105"/>
      <c r="Q29" s="105"/>
      <c r="R29" s="105"/>
      <c r="S29" s="105"/>
      <c r="T29" s="105"/>
      <c r="U29" s="105"/>
      <c r="V29" s="105"/>
      <c r="W29" s="105"/>
      <c r="X29" s="105"/>
      <c r="Y29" s="105"/>
      <c r="Z29" s="105"/>
      <c r="AA29" s="105"/>
    </row>
    <row r="30" ht="15.75" hidden="1" customHeight="1">
      <c r="A30" s="105"/>
      <c r="B30" s="105"/>
      <c r="C30" s="105"/>
      <c r="D30" s="271"/>
      <c r="E30" s="266"/>
      <c r="F30" s="105"/>
      <c r="G30" s="105"/>
      <c r="H30" s="266">
        <f t="shared" si="1"/>
        <v>240</v>
      </c>
      <c r="I30" s="105"/>
      <c r="J30" s="105"/>
      <c r="K30" s="105"/>
      <c r="L30" s="105"/>
      <c r="M30" s="105"/>
      <c r="N30" s="105"/>
      <c r="O30" s="105"/>
      <c r="P30" s="105"/>
      <c r="Q30" s="105"/>
      <c r="R30" s="105"/>
      <c r="S30" s="105"/>
      <c r="T30" s="105"/>
      <c r="U30" s="105"/>
      <c r="V30" s="105"/>
      <c r="W30" s="105"/>
      <c r="X30" s="105"/>
      <c r="Y30" s="105"/>
      <c r="Z30" s="105"/>
      <c r="AA30" s="105"/>
    </row>
    <row r="31" ht="15.75" hidden="1" customHeight="1">
      <c r="A31" s="105"/>
      <c r="B31" s="105"/>
      <c r="C31" s="105"/>
      <c r="D31" s="271"/>
      <c r="E31" s="266"/>
      <c r="F31" s="105"/>
      <c r="G31" s="105"/>
      <c r="H31" s="266">
        <f t="shared" si="1"/>
        <v>240</v>
      </c>
      <c r="I31" s="105"/>
      <c r="J31" s="105"/>
      <c r="K31" s="105"/>
      <c r="L31" s="105"/>
      <c r="M31" s="105"/>
      <c r="N31" s="105"/>
      <c r="O31" s="105"/>
      <c r="P31" s="105"/>
      <c r="Q31" s="105"/>
      <c r="R31" s="105"/>
      <c r="S31" s="105"/>
      <c r="T31" s="105"/>
      <c r="U31" s="105"/>
      <c r="V31" s="105"/>
      <c r="W31" s="105"/>
      <c r="X31" s="105"/>
      <c r="Y31" s="105"/>
      <c r="Z31" s="105"/>
      <c r="AA31" s="105"/>
    </row>
    <row r="32" ht="15.75" hidden="1" customHeight="1">
      <c r="A32" s="105"/>
      <c r="B32" s="105"/>
      <c r="C32" s="105"/>
      <c r="D32" s="271"/>
      <c r="E32" s="266"/>
      <c r="F32" s="105"/>
      <c r="G32" s="105"/>
      <c r="H32" s="266">
        <f t="shared" si="1"/>
        <v>240</v>
      </c>
      <c r="I32" s="105"/>
      <c r="J32" s="105"/>
      <c r="K32" s="105"/>
      <c r="L32" s="105"/>
      <c r="M32" s="105"/>
      <c r="N32" s="105"/>
      <c r="O32" s="105"/>
      <c r="P32" s="105"/>
      <c r="Q32" s="105"/>
      <c r="R32" s="105"/>
      <c r="S32" s="105"/>
      <c r="T32" s="105"/>
      <c r="U32" s="105"/>
      <c r="V32" s="105"/>
      <c r="W32" s="105"/>
      <c r="X32" s="105"/>
      <c r="Y32" s="105"/>
      <c r="Z32" s="105"/>
      <c r="AA32" s="105"/>
    </row>
    <row r="33" ht="15.75" hidden="1" customHeight="1">
      <c r="A33" s="105"/>
      <c r="B33" s="105"/>
      <c r="C33" s="105"/>
      <c r="D33" s="271"/>
      <c r="E33" s="266"/>
      <c r="F33" s="105"/>
      <c r="G33" s="105"/>
      <c r="H33" s="266">
        <f t="shared" si="1"/>
        <v>240</v>
      </c>
      <c r="I33" s="105"/>
      <c r="J33" s="105"/>
      <c r="K33" s="105"/>
      <c r="L33" s="105"/>
      <c r="M33" s="105"/>
      <c r="N33" s="105"/>
      <c r="O33" s="105"/>
      <c r="P33" s="105"/>
      <c r="Q33" s="105"/>
      <c r="R33" s="105"/>
      <c r="S33" s="105"/>
      <c r="T33" s="105"/>
      <c r="U33" s="105"/>
      <c r="V33" s="105"/>
      <c r="W33" s="105"/>
      <c r="X33" s="105"/>
      <c r="Y33" s="105"/>
      <c r="Z33" s="105"/>
      <c r="AA33" s="105"/>
    </row>
    <row r="34" ht="15.75" hidden="1" customHeight="1">
      <c r="A34" s="105"/>
      <c r="B34" s="105"/>
      <c r="C34" s="105"/>
      <c r="D34" s="271"/>
      <c r="E34" s="266"/>
      <c r="F34" s="105"/>
      <c r="G34" s="105"/>
      <c r="H34" s="266">
        <f t="shared" si="1"/>
        <v>240</v>
      </c>
      <c r="I34" s="105"/>
      <c r="J34" s="105"/>
      <c r="K34" s="105"/>
      <c r="L34" s="105"/>
      <c r="M34" s="105"/>
      <c r="N34" s="105"/>
      <c r="O34" s="105"/>
      <c r="P34" s="105"/>
      <c r="Q34" s="105"/>
      <c r="R34" s="105"/>
      <c r="S34" s="105"/>
      <c r="T34" s="105"/>
      <c r="U34" s="105"/>
      <c r="V34" s="105"/>
      <c r="W34" s="105"/>
      <c r="X34" s="105"/>
      <c r="Y34" s="105"/>
      <c r="Z34" s="105"/>
      <c r="AA34" s="105"/>
    </row>
    <row r="35" ht="15.75" hidden="1" customHeight="1">
      <c r="A35" s="105"/>
      <c r="B35" s="105"/>
      <c r="C35" s="105"/>
      <c r="D35" s="274"/>
      <c r="E35" s="275"/>
      <c r="F35" s="105"/>
      <c r="G35" s="105"/>
      <c r="H35" s="266">
        <f t="shared" si="1"/>
        <v>240</v>
      </c>
      <c r="I35" s="105"/>
      <c r="J35" s="105"/>
      <c r="K35" s="105"/>
      <c r="L35" s="105"/>
      <c r="M35" s="105"/>
      <c r="N35" s="105"/>
      <c r="O35" s="105"/>
      <c r="P35" s="105"/>
      <c r="Q35" s="105"/>
      <c r="R35" s="105"/>
      <c r="S35" s="105"/>
      <c r="T35" s="105"/>
      <c r="U35" s="105"/>
      <c r="V35" s="105"/>
      <c r="W35" s="105"/>
      <c r="X35" s="105"/>
      <c r="Y35" s="105"/>
      <c r="Z35" s="105"/>
      <c r="AA35" s="105"/>
    </row>
    <row r="36" ht="15.75" hidden="1" customHeight="1">
      <c r="A36" s="105"/>
      <c r="B36" s="105"/>
      <c r="C36" s="105"/>
      <c r="D36" s="105"/>
      <c r="E36" s="105"/>
      <c r="F36" s="105"/>
      <c r="G36" s="105"/>
      <c r="H36" s="105"/>
      <c r="I36" s="105"/>
      <c r="J36" s="105"/>
      <c r="K36" s="105"/>
      <c r="L36" s="105"/>
      <c r="M36" s="105"/>
      <c r="N36" s="105"/>
      <c r="O36" s="105"/>
      <c r="P36" s="105"/>
      <c r="Q36" s="105"/>
      <c r="R36" s="105"/>
      <c r="S36" s="105"/>
      <c r="T36" s="105"/>
      <c r="U36" s="105"/>
      <c r="V36" s="105"/>
      <c r="W36" s="105"/>
      <c r="X36" s="105"/>
      <c r="Y36" s="105"/>
      <c r="Z36" s="105"/>
      <c r="AA36" s="105"/>
    </row>
    <row r="37" ht="15.75" hidden="1" customHeight="1">
      <c r="A37" s="105"/>
      <c r="B37" s="105"/>
      <c r="C37" s="105"/>
      <c r="D37" s="105"/>
      <c r="E37" s="105"/>
      <c r="F37" s="105"/>
      <c r="G37" s="105"/>
      <c r="H37" s="105"/>
      <c r="I37" s="105"/>
      <c r="J37" s="105"/>
      <c r="K37" s="105"/>
      <c r="L37" s="105"/>
      <c r="M37" s="105"/>
      <c r="N37" s="105"/>
      <c r="O37" s="105"/>
      <c r="P37" s="105"/>
      <c r="Q37" s="105"/>
      <c r="R37" s="105"/>
      <c r="S37" s="105"/>
      <c r="T37" s="105"/>
      <c r="U37" s="105"/>
      <c r="V37" s="105"/>
      <c r="W37" s="105"/>
      <c r="X37" s="105"/>
      <c r="Y37" s="105"/>
      <c r="Z37" s="105"/>
      <c r="AA37" s="105"/>
    </row>
    <row r="38" ht="15.75" hidden="1" customHeight="1">
      <c r="A38" s="105"/>
      <c r="B38" s="105"/>
      <c r="C38" s="105"/>
      <c r="D38" s="105"/>
      <c r="E38" s="105"/>
      <c r="F38" s="105"/>
      <c r="G38" s="105"/>
      <c r="H38" s="105"/>
      <c r="I38" s="105"/>
      <c r="J38" s="105"/>
      <c r="K38" s="105"/>
      <c r="L38" s="105"/>
      <c r="M38" s="105"/>
      <c r="N38" s="105"/>
      <c r="O38" s="105"/>
      <c r="P38" s="105"/>
      <c r="Q38" s="105"/>
      <c r="R38" s="105"/>
      <c r="S38" s="105"/>
      <c r="T38" s="105"/>
      <c r="U38" s="105"/>
      <c r="V38" s="105"/>
      <c r="W38" s="105"/>
      <c r="X38" s="105"/>
      <c r="Y38" s="105"/>
      <c r="Z38" s="105"/>
      <c r="AA38" s="105"/>
    </row>
    <row r="39" ht="15.75" hidden="1" customHeight="1">
      <c r="A39" s="105"/>
      <c r="B39" s="105"/>
      <c r="C39" s="105"/>
      <c r="D39" s="105"/>
      <c r="E39" s="105"/>
      <c r="F39" s="105"/>
      <c r="G39" s="105"/>
      <c r="H39" s="105"/>
      <c r="I39" s="105"/>
      <c r="J39" s="105"/>
      <c r="K39" s="105"/>
      <c r="L39" s="105"/>
      <c r="M39" s="105"/>
      <c r="N39" s="105"/>
      <c r="O39" s="105"/>
      <c r="P39" s="105"/>
      <c r="Q39" s="105"/>
      <c r="R39" s="105"/>
      <c r="S39" s="105"/>
      <c r="T39" s="105"/>
      <c r="U39" s="105"/>
      <c r="V39" s="105"/>
      <c r="W39" s="105"/>
      <c r="X39" s="105"/>
      <c r="Y39" s="105"/>
      <c r="Z39" s="105"/>
      <c r="AA39" s="105"/>
    </row>
    <row r="40" ht="15.75" hidden="1" customHeight="1">
      <c r="A40" s="105"/>
      <c r="B40" s="105"/>
      <c r="C40" s="105"/>
      <c r="D40" s="105"/>
      <c r="E40" s="105"/>
      <c r="F40" s="105"/>
      <c r="G40" s="105"/>
      <c r="H40" s="105"/>
      <c r="I40" s="105"/>
      <c r="J40" s="105"/>
      <c r="K40" s="105"/>
      <c r="L40" s="105"/>
      <c r="M40" s="105"/>
      <c r="N40" s="105"/>
      <c r="O40" s="105"/>
      <c r="P40" s="105"/>
      <c r="Q40" s="105"/>
      <c r="R40" s="105"/>
      <c r="S40" s="105"/>
      <c r="T40" s="105"/>
      <c r="U40" s="105"/>
      <c r="V40" s="105"/>
      <c r="W40" s="105"/>
      <c r="X40" s="105"/>
      <c r="Y40" s="105"/>
      <c r="Z40" s="105"/>
      <c r="AA40" s="105"/>
    </row>
    <row r="41" ht="15.75" hidden="1" customHeight="1">
      <c r="A41" s="105"/>
      <c r="B41" s="105"/>
      <c r="C41" s="105"/>
      <c r="D41" s="105"/>
      <c r="E41" s="105"/>
      <c r="F41" s="105"/>
      <c r="G41" s="105"/>
      <c r="H41" s="105"/>
      <c r="I41" s="105"/>
      <c r="J41" s="105"/>
      <c r="K41" s="105"/>
      <c r="L41" s="105"/>
      <c r="M41" s="105"/>
      <c r="N41" s="105"/>
      <c r="O41" s="105"/>
      <c r="P41" s="105"/>
      <c r="Q41" s="105"/>
      <c r="R41" s="105"/>
      <c r="S41" s="105"/>
      <c r="T41" s="105"/>
      <c r="U41" s="105"/>
      <c r="V41" s="105"/>
      <c r="W41" s="105"/>
      <c r="X41" s="105"/>
      <c r="Y41" s="105"/>
      <c r="Z41" s="105"/>
      <c r="AA41" s="105"/>
    </row>
    <row r="42" ht="15.75" hidden="1" customHeight="1">
      <c r="A42" s="105"/>
      <c r="B42" s="105"/>
      <c r="C42" s="105"/>
      <c r="D42" s="105"/>
      <c r="E42" s="105"/>
      <c r="F42" s="105"/>
      <c r="G42" s="105"/>
      <c r="H42" s="105"/>
      <c r="I42" s="105"/>
      <c r="J42" s="105"/>
      <c r="K42" s="105"/>
      <c r="L42" s="105"/>
      <c r="M42" s="105"/>
      <c r="N42" s="105"/>
      <c r="O42" s="105"/>
      <c r="P42" s="105"/>
      <c r="Q42" s="105"/>
      <c r="R42" s="105"/>
      <c r="S42" s="105"/>
      <c r="T42" s="105"/>
      <c r="U42" s="105"/>
      <c r="V42" s="105"/>
      <c r="W42" s="105"/>
      <c r="X42" s="105"/>
      <c r="Y42" s="105"/>
      <c r="Z42" s="105"/>
      <c r="AA42" s="105"/>
    </row>
    <row r="43" ht="15.75" hidden="1" customHeight="1">
      <c r="A43" s="105"/>
      <c r="B43" s="105"/>
      <c r="C43" s="105"/>
      <c r="D43" s="105"/>
      <c r="E43" s="105"/>
      <c r="F43" s="105"/>
      <c r="G43" s="105"/>
      <c r="H43" s="105"/>
      <c r="I43" s="105"/>
      <c r="J43" s="105"/>
      <c r="K43" s="105"/>
      <c r="L43" s="105"/>
      <c r="M43" s="105"/>
      <c r="N43" s="105"/>
      <c r="O43" s="105"/>
      <c r="P43" s="105"/>
      <c r="Q43" s="105"/>
      <c r="R43" s="105"/>
      <c r="S43" s="105"/>
      <c r="T43" s="105"/>
      <c r="U43" s="105"/>
      <c r="V43" s="105"/>
      <c r="W43" s="105"/>
      <c r="X43" s="105"/>
      <c r="Y43" s="105"/>
      <c r="Z43" s="105"/>
      <c r="AA43" s="105"/>
    </row>
    <row r="44" ht="15.75" hidden="1" customHeight="1">
      <c r="A44" s="105"/>
      <c r="B44" s="105"/>
      <c r="C44" s="105"/>
      <c r="D44" s="105"/>
      <c r="E44" s="105"/>
      <c r="F44" s="105"/>
      <c r="G44" s="105"/>
      <c r="H44" s="105"/>
      <c r="I44" s="105"/>
      <c r="J44" s="105"/>
      <c r="K44" s="105"/>
      <c r="L44" s="105"/>
      <c r="M44" s="105"/>
      <c r="N44" s="105"/>
      <c r="O44" s="105"/>
      <c r="P44" s="105"/>
      <c r="Q44" s="105"/>
      <c r="R44" s="105"/>
      <c r="S44" s="105"/>
      <c r="T44" s="105"/>
      <c r="U44" s="105"/>
      <c r="V44" s="105"/>
      <c r="W44" s="105"/>
      <c r="X44" s="105"/>
      <c r="Y44" s="105"/>
      <c r="Z44" s="105"/>
      <c r="AA44" s="105"/>
    </row>
    <row r="45" ht="15.75" hidden="1" customHeight="1">
      <c r="A45" s="105"/>
      <c r="B45" s="105"/>
      <c r="C45" s="105"/>
      <c r="D45" s="105"/>
      <c r="E45" s="105"/>
      <c r="F45" s="105"/>
      <c r="G45" s="105"/>
      <c r="H45" s="105"/>
      <c r="I45" s="105"/>
      <c r="J45" s="105"/>
      <c r="K45" s="105"/>
      <c r="L45" s="105"/>
      <c r="M45" s="105"/>
      <c r="N45" s="105"/>
      <c r="O45" s="105"/>
      <c r="P45" s="105"/>
      <c r="Q45" s="105"/>
      <c r="R45" s="105"/>
      <c r="S45" s="105"/>
      <c r="T45" s="105"/>
      <c r="U45" s="105"/>
      <c r="V45" s="105"/>
      <c r="W45" s="105"/>
      <c r="X45" s="105"/>
      <c r="Y45" s="105"/>
      <c r="Z45" s="105"/>
      <c r="AA45" s="105"/>
    </row>
    <row r="46" ht="15.75" hidden="1" customHeight="1">
      <c r="A46" s="105"/>
      <c r="B46" s="105"/>
      <c r="C46" s="105"/>
      <c r="D46" s="105"/>
      <c r="E46" s="105"/>
      <c r="F46" s="105"/>
      <c r="G46" s="105"/>
      <c r="H46" s="105"/>
      <c r="I46" s="105"/>
      <c r="J46" s="105"/>
      <c r="K46" s="105"/>
      <c r="L46" s="105"/>
      <c r="M46" s="105"/>
      <c r="N46" s="105"/>
      <c r="O46" s="105"/>
      <c r="P46" s="105"/>
      <c r="Q46" s="105"/>
      <c r="R46" s="105"/>
      <c r="S46" s="105"/>
      <c r="T46" s="105"/>
      <c r="U46" s="105"/>
      <c r="V46" s="105"/>
      <c r="W46" s="105"/>
      <c r="X46" s="105"/>
      <c r="Y46" s="105"/>
      <c r="Z46" s="105"/>
      <c r="AA46" s="105"/>
    </row>
    <row r="47" ht="15.75" hidden="1" customHeight="1">
      <c r="A47" s="105"/>
      <c r="B47" s="105"/>
      <c r="C47" s="105"/>
      <c r="D47" s="105"/>
      <c r="E47" s="105"/>
      <c r="F47" s="105"/>
      <c r="G47" s="105"/>
      <c r="H47" s="105"/>
      <c r="I47" s="105"/>
      <c r="J47" s="105"/>
      <c r="K47" s="105"/>
      <c r="L47" s="105"/>
      <c r="M47" s="105"/>
      <c r="N47" s="105"/>
      <c r="O47" s="105"/>
      <c r="P47" s="105"/>
      <c r="Q47" s="105"/>
      <c r="R47" s="105"/>
      <c r="S47" s="105"/>
      <c r="T47" s="105"/>
      <c r="U47" s="105"/>
      <c r="V47" s="105"/>
      <c r="W47" s="105"/>
      <c r="X47" s="105"/>
      <c r="Y47" s="105"/>
      <c r="Z47" s="105"/>
      <c r="AA47" s="105"/>
    </row>
    <row r="48" ht="15.75" hidden="1" customHeight="1">
      <c r="A48" s="105"/>
      <c r="B48" s="105"/>
      <c r="C48" s="105"/>
      <c r="D48" s="105"/>
      <c r="E48" s="105"/>
      <c r="F48" s="105"/>
      <c r="G48" s="105"/>
      <c r="H48" s="105"/>
      <c r="I48" s="105"/>
      <c r="J48" s="105"/>
      <c r="K48" s="105"/>
      <c r="L48" s="105"/>
      <c r="M48" s="105"/>
      <c r="N48" s="105"/>
      <c r="O48" s="105"/>
      <c r="P48" s="105"/>
      <c r="Q48" s="105"/>
      <c r="R48" s="105"/>
      <c r="S48" s="105"/>
      <c r="T48" s="105"/>
      <c r="U48" s="105"/>
      <c r="V48" s="105"/>
      <c r="W48" s="105"/>
      <c r="X48" s="105"/>
      <c r="Y48" s="105"/>
      <c r="Z48" s="105"/>
      <c r="AA48" s="105"/>
    </row>
    <row r="49" ht="15.75" hidden="1" customHeight="1">
      <c r="A49" s="105"/>
      <c r="B49" s="105"/>
      <c r="C49" s="105"/>
      <c r="D49" s="105"/>
      <c r="E49" s="105"/>
      <c r="F49" s="105"/>
      <c r="G49" s="105"/>
      <c r="H49" s="105"/>
      <c r="I49" s="105"/>
      <c r="J49" s="105"/>
      <c r="K49" s="105"/>
      <c r="L49" s="105"/>
      <c r="M49" s="105"/>
      <c r="N49" s="105"/>
      <c r="O49" s="105"/>
      <c r="P49" s="105"/>
      <c r="Q49" s="105"/>
      <c r="R49" s="105"/>
      <c r="S49" s="105"/>
      <c r="T49" s="105"/>
      <c r="U49" s="105"/>
      <c r="V49" s="105"/>
      <c r="W49" s="105"/>
      <c r="X49" s="105"/>
      <c r="Y49" s="105"/>
      <c r="Z49" s="105"/>
      <c r="AA49" s="105"/>
    </row>
    <row r="50" ht="15.75" hidden="1" customHeight="1">
      <c r="A50" s="105"/>
      <c r="B50" s="105"/>
      <c r="C50" s="105"/>
      <c r="D50" s="105"/>
      <c r="E50" s="105"/>
      <c r="F50" s="105"/>
      <c r="G50" s="105"/>
      <c r="H50" s="105"/>
      <c r="I50" s="105"/>
      <c r="J50" s="105"/>
      <c r="K50" s="105"/>
      <c r="L50" s="105"/>
      <c r="M50" s="105"/>
      <c r="N50" s="105"/>
      <c r="O50" s="105"/>
      <c r="P50" s="105"/>
      <c r="Q50" s="105"/>
      <c r="R50" s="105"/>
      <c r="S50" s="105"/>
      <c r="T50" s="105"/>
      <c r="U50" s="105"/>
      <c r="V50" s="105"/>
      <c r="W50" s="105"/>
      <c r="X50" s="105"/>
      <c r="Y50" s="105"/>
      <c r="Z50" s="105"/>
      <c r="AA50" s="105"/>
    </row>
    <row r="51" ht="15.75" hidden="1" customHeight="1">
      <c r="A51" s="105"/>
      <c r="B51" s="105"/>
      <c r="C51" s="105"/>
      <c r="D51" s="105"/>
      <c r="E51" s="105"/>
      <c r="F51" s="105"/>
      <c r="G51" s="105"/>
      <c r="H51" s="105"/>
      <c r="I51" s="105"/>
      <c r="J51" s="105"/>
      <c r="K51" s="105"/>
      <c r="L51" s="105"/>
      <c r="M51" s="105"/>
      <c r="N51" s="105"/>
      <c r="O51" s="105"/>
      <c r="P51" s="105"/>
      <c r="Q51" s="105"/>
      <c r="R51" s="105"/>
      <c r="S51" s="105"/>
      <c r="T51" s="105"/>
      <c r="U51" s="105"/>
      <c r="V51" s="105"/>
      <c r="W51" s="105"/>
      <c r="X51" s="105"/>
      <c r="Y51" s="105"/>
      <c r="Z51" s="105"/>
      <c r="AA51" s="105"/>
    </row>
    <row r="52" ht="15.75" hidden="1" customHeight="1">
      <c r="A52" s="105"/>
      <c r="B52" s="105"/>
      <c r="C52" s="105"/>
      <c r="D52" s="105"/>
      <c r="E52" s="105"/>
      <c r="F52" s="105"/>
      <c r="G52" s="105"/>
      <c r="H52" s="105"/>
      <c r="I52" s="105"/>
      <c r="J52" s="105"/>
      <c r="K52" s="105"/>
      <c r="L52" s="105"/>
      <c r="M52" s="105"/>
      <c r="N52" s="105"/>
      <c r="O52" s="105"/>
      <c r="P52" s="105"/>
      <c r="Q52" s="105"/>
      <c r="R52" s="105"/>
      <c r="S52" s="105"/>
      <c r="T52" s="105"/>
      <c r="U52" s="105"/>
      <c r="V52" s="105"/>
      <c r="W52" s="105"/>
      <c r="X52" s="105"/>
      <c r="Y52" s="105"/>
      <c r="Z52" s="105"/>
      <c r="AA52" s="105"/>
    </row>
    <row r="53" ht="15.75" hidden="1" customHeight="1">
      <c r="A53" s="105"/>
      <c r="B53" s="105"/>
      <c r="C53" s="105"/>
      <c r="D53" s="105"/>
      <c r="E53" s="105"/>
      <c r="F53" s="105"/>
      <c r="G53" s="105"/>
      <c r="H53" s="105"/>
      <c r="I53" s="105"/>
      <c r="J53" s="105"/>
      <c r="K53" s="105"/>
      <c r="L53" s="105"/>
      <c r="M53" s="105"/>
      <c r="N53" s="105"/>
      <c r="O53" s="105"/>
      <c r="P53" s="105"/>
      <c r="Q53" s="105"/>
      <c r="R53" s="105"/>
      <c r="S53" s="105"/>
      <c r="T53" s="105"/>
      <c r="U53" s="105"/>
      <c r="V53" s="105"/>
      <c r="W53" s="105"/>
      <c r="X53" s="105"/>
      <c r="Y53" s="105"/>
      <c r="Z53" s="105"/>
      <c r="AA53" s="105"/>
    </row>
    <row r="54" ht="15.75" hidden="1" customHeight="1">
      <c r="A54" s="105"/>
      <c r="B54" s="105"/>
      <c r="C54" s="105"/>
      <c r="D54" s="105"/>
      <c r="E54" s="105"/>
      <c r="F54" s="105"/>
      <c r="G54" s="105"/>
      <c r="H54" s="105"/>
      <c r="I54" s="105"/>
      <c r="J54" s="105"/>
      <c r="K54" s="105"/>
      <c r="L54" s="105"/>
      <c r="M54" s="105"/>
      <c r="N54" s="105"/>
      <c r="O54" s="105"/>
      <c r="P54" s="105"/>
      <c r="Q54" s="105"/>
      <c r="R54" s="105"/>
      <c r="S54" s="105"/>
      <c r="T54" s="105"/>
      <c r="U54" s="105"/>
      <c r="V54" s="105"/>
      <c r="W54" s="105"/>
      <c r="X54" s="105"/>
      <c r="Y54" s="105"/>
      <c r="Z54" s="105"/>
      <c r="AA54" s="105"/>
    </row>
    <row r="55" ht="15.75" hidden="1" customHeight="1">
      <c r="A55" s="105"/>
      <c r="B55" s="105"/>
      <c r="C55" s="105"/>
      <c r="D55" s="105"/>
      <c r="E55" s="105"/>
      <c r="F55" s="105"/>
      <c r="G55" s="105"/>
      <c r="H55" s="105"/>
      <c r="I55" s="105"/>
      <c r="J55" s="105"/>
      <c r="K55" s="105"/>
      <c r="L55" s="105"/>
      <c r="M55" s="105"/>
      <c r="N55" s="105"/>
      <c r="O55" s="105"/>
      <c r="P55" s="105"/>
      <c r="Q55" s="105"/>
      <c r="R55" s="105"/>
      <c r="S55" s="105"/>
      <c r="T55" s="105"/>
      <c r="U55" s="105"/>
      <c r="V55" s="105"/>
      <c r="W55" s="105"/>
      <c r="X55" s="105"/>
      <c r="Y55" s="105"/>
      <c r="Z55" s="105"/>
      <c r="AA55" s="105"/>
    </row>
    <row r="56" ht="15.75" hidden="1" customHeight="1">
      <c r="A56" s="105"/>
      <c r="B56" s="105"/>
      <c r="C56" s="105"/>
      <c r="D56" s="105"/>
      <c r="E56" s="105"/>
      <c r="F56" s="105"/>
      <c r="G56" s="105"/>
      <c r="H56" s="105"/>
      <c r="I56" s="105"/>
      <c r="J56" s="105"/>
      <c r="K56" s="105"/>
      <c r="L56" s="105"/>
      <c r="M56" s="105"/>
      <c r="N56" s="105"/>
      <c r="O56" s="105"/>
      <c r="P56" s="105"/>
      <c r="Q56" s="105"/>
      <c r="R56" s="105"/>
      <c r="S56" s="105"/>
      <c r="T56" s="105"/>
      <c r="U56" s="105"/>
      <c r="V56" s="105"/>
      <c r="W56" s="105"/>
      <c r="X56" s="105"/>
      <c r="Y56" s="105"/>
      <c r="Z56" s="105"/>
      <c r="AA56" s="105"/>
    </row>
    <row r="57" ht="15.75" hidden="1" customHeight="1">
      <c r="A57" s="105"/>
      <c r="B57" s="105"/>
      <c r="C57" s="105"/>
      <c r="D57" s="105"/>
      <c r="E57" s="105"/>
      <c r="F57" s="105"/>
      <c r="G57" s="105"/>
      <c r="H57" s="105"/>
      <c r="I57" s="105"/>
      <c r="J57" s="105"/>
      <c r="K57" s="105"/>
      <c r="L57" s="105"/>
      <c r="M57" s="105"/>
      <c r="N57" s="105"/>
      <c r="O57" s="105"/>
      <c r="P57" s="105"/>
      <c r="Q57" s="105"/>
      <c r="R57" s="105"/>
      <c r="S57" s="105"/>
      <c r="T57" s="105"/>
      <c r="U57" s="105"/>
      <c r="V57" s="105"/>
      <c r="W57" s="105"/>
      <c r="X57" s="105"/>
      <c r="Y57" s="105"/>
      <c r="Z57" s="105"/>
      <c r="AA57" s="105"/>
    </row>
    <row r="58" ht="15.75" hidden="1" customHeight="1">
      <c r="A58" s="105"/>
      <c r="B58" s="105"/>
      <c r="C58" s="105"/>
      <c r="D58" s="105"/>
      <c r="E58" s="105"/>
      <c r="F58" s="105"/>
      <c r="G58" s="105"/>
      <c r="H58" s="105"/>
      <c r="I58" s="105"/>
      <c r="J58" s="105"/>
      <c r="K58" s="105"/>
      <c r="L58" s="105"/>
      <c r="M58" s="105"/>
      <c r="N58" s="105"/>
      <c r="O58" s="105"/>
      <c r="P58" s="105"/>
      <c r="Q58" s="105"/>
      <c r="R58" s="105"/>
      <c r="S58" s="105"/>
      <c r="T58" s="105"/>
      <c r="U58" s="105"/>
      <c r="V58" s="105"/>
      <c r="W58" s="105"/>
      <c r="X58" s="105"/>
      <c r="Y58" s="105"/>
      <c r="Z58" s="105"/>
      <c r="AA58" s="105"/>
    </row>
    <row r="59" ht="15.75" hidden="1" customHeight="1">
      <c r="A59" s="105"/>
      <c r="B59" s="105"/>
      <c r="C59" s="105"/>
      <c r="D59" s="105"/>
      <c r="E59" s="105"/>
      <c r="F59" s="105"/>
      <c r="G59" s="105"/>
      <c r="H59" s="105"/>
      <c r="I59" s="105"/>
      <c r="J59" s="105"/>
      <c r="K59" s="105"/>
      <c r="L59" s="105"/>
      <c r="M59" s="105"/>
      <c r="N59" s="105"/>
      <c r="O59" s="105"/>
      <c r="P59" s="105"/>
      <c r="Q59" s="105"/>
      <c r="R59" s="105"/>
      <c r="S59" s="105"/>
      <c r="T59" s="105"/>
      <c r="U59" s="105"/>
      <c r="V59" s="105"/>
      <c r="W59" s="105"/>
      <c r="X59" s="105"/>
      <c r="Y59" s="105"/>
      <c r="Z59" s="105"/>
      <c r="AA59" s="105"/>
    </row>
    <row r="60" ht="15.75" hidden="1" customHeight="1">
      <c r="A60" s="105"/>
      <c r="B60" s="105"/>
      <c r="C60" s="105"/>
      <c r="D60" s="105"/>
      <c r="E60" s="105"/>
      <c r="F60" s="105"/>
      <c r="G60" s="105"/>
      <c r="H60" s="105"/>
      <c r="I60" s="105"/>
      <c r="J60" s="105"/>
      <c r="K60" s="105"/>
      <c r="L60" s="105"/>
      <c r="M60" s="105"/>
      <c r="N60" s="105"/>
      <c r="O60" s="105"/>
      <c r="P60" s="105"/>
      <c r="Q60" s="105"/>
      <c r="R60" s="105"/>
      <c r="S60" s="105"/>
      <c r="T60" s="105"/>
      <c r="U60" s="105"/>
      <c r="V60" s="105"/>
      <c r="W60" s="105"/>
      <c r="X60" s="105"/>
      <c r="Y60" s="105"/>
      <c r="Z60" s="105"/>
      <c r="AA60" s="105"/>
    </row>
    <row r="61" ht="15.75" hidden="1" customHeight="1">
      <c r="A61" s="105"/>
      <c r="B61" s="105"/>
      <c r="C61" s="105"/>
      <c r="D61" s="105"/>
      <c r="E61" s="105"/>
      <c r="F61" s="105"/>
      <c r="G61" s="105"/>
      <c r="H61" s="105"/>
      <c r="I61" s="105"/>
      <c r="J61" s="105"/>
      <c r="K61" s="105"/>
      <c r="L61" s="105"/>
      <c r="M61" s="105"/>
      <c r="N61" s="105"/>
      <c r="O61" s="105"/>
      <c r="P61" s="105"/>
      <c r="Q61" s="105"/>
      <c r="R61" s="105"/>
      <c r="S61" s="105"/>
      <c r="T61" s="105"/>
      <c r="U61" s="105"/>
      <c r="V61" s="105"/>
      <c r="W61" s="105"/>
      <c r="X61" s="105"/>
      <c r="Y61" s="105"/>
      <c r="Z61" s="105"/>
      <c r="AA61" s="105"/>
    </row>
    <row r="62" ht="15.75" hidden="1" customHeight="1">
      <c r="A62" s="105"/>
      <c r="B62" s="105"/>
      <c r="C62" s="105"/>
      <c r="D62" s="105"/>
      <c r="E62" s="105"/>
      <c r="F62" s="105"/>
      <c r="G62" s="105"/>
      <c r="H62" s="105"/>
      <c r="I62" s="105"/>
      <c r="J62" s="105"/>
      <c r="K62" s="105"/>
      <c r="L62" s="105"/>
      <c r="M62" s="105"/>
      <c r="N62" s="105"/>
      <c r="O62" s="105"/>
      <c r="P62" s="105"/>
      <c r="Q62" s="105"/>
      <c r="R62" s="105"/>
      <c r="S62" s="105"/>
      <c r="T62" s="105"/>
      <c r="U62" s="105"/>
      <c r="V62" s="105"/>
      <c r="W62" s="105"/>
      <c r="X62" s="105"/>
      <c r="Y62" s="105"/>
      <c r="Z62" s="105"/>
      <c r="AA62" s="105"/>
    </row>
    <row r="63" ht="15.75" hidden="1" customHeight="1">
      <c r="A63" s="105"/>
      <c r="B63" s="105"/>
      <c r="C63" s="105"/>
      <c r="D63" s="105"/>
      <c r="E63" s="105"/>
      <c r="F63" s="105"/>
      <c r="G63" s="105"/>
      <c r="H63" s="105"/>
      <c r="I63" s="105"/>
      <c r="J63" s="105"/>
      <c r="K63" s="105"/>
      <c r="L63" s="105"/>
      <c r="M63" s="105"/>
      <c r="N63" s="105"/>
      <c r="O63" s="105"/>
      <c r="P63" s="105"/>
      <c r="Q63" s="105"/>
      <c r="R63" s="105"/>
      <c r="S63" s="105"/>
      <c r="T63" s="105"/>
      <c r="U63" s="105"/>
      <c r="V63" s="105"/>
      <c r="W63" s="105"/>
      <c r="X63" s="105"/>
      <c r="Y63" s="105"/>
      <c r="Z63" s="105"/>
      <c r="AA63" s="105"/>
    </row>
    <row r="64" ht="15.75" hidden="1" customHeight="1">
      <c r="A64" s="105"/>
      <c r="B64" s="105"/>
      <c r="C64" s="105"/>
      <c r="D64" s="105"/>
      <c r="E64" s="105"/>
      <c r="F64" s="105"/>
      <c r="G64" s="105"/>
      <c r="H64" s="105"/>
      <c r="I64" s="105"/>
      <c r="J64" s="105"/>
      <c r="K64" s="105"/>
      <c r="L64" s="105"/>
      <c r="M64" s="105"/>
      <c r="N64" s="105"/>
      <c r="O64" s="105"/>
      <c r="P64" s="105"/>
      <c r="Q64" s="105"/>
      <c r="R64" s="105"/>
      <c r="S64" s="105"/>
      <c r="T64" s="105"/>
      <c r="U64" s="105"/>
      <c r="V64" s="105"/>
      <c r="W64" s="105"/>
      <c r="X64" s="105"/>
      <c r="Y64" s="105"/>
      <c r="Z64" s="105"/>
      <c r="AA64" s="105"/>
    </row>
    <row r="65" ht="15.75" hidden="1" customHeight="1">
      <c r="A65" s="105"/>
      <c r="B65" s="105"/>
      <c r="C65" s="105"/>
      <c r="D65" s="105"/>
      <c r="E65" s="105"/>
      <c r="F65" s="105"/>
      <c r="G65" s="105"/>
      <c r="H65" s="105"/>
      <c r="I65" s="105"/>
      <c r="J65" s="105"/>
      <c r="K65" s="105"/>
      <c r="L65" s="105"/>
      <c r="M65" s="105"/>
      <c r="N65" s="105"/>
      <c r="O65" s="105"/>
      <c r="P65" s="105"/>
      <c r="Q65" s="105"/>
      <c r="R65" s="105"/>
      <c r="S65" s="105"/>
      <c r="T65" s="105"/>
      <c r="U65" s="105"/>
      <c r="V65" s="105"/>
      <c r="W65" s="105"/>
      <c r="X65" s="105"/>
      <c r="Y65" s="105"/>
      <c r="Z65" s="105"/>
      <c r="AA65" s="105"/>
    </row>
    <row r="66" ht="15.75" hidden="1" customHeight="1">
      <c r="A66" s="105"/>
      <c r="B66" s="105"/>
      <c r="C66" s="105"/>
      <c r="D66" s="105"/>
      <c r="E66" s="105"/>
      <c r="F66" s="105"/>
      <c r="G66" s="105"/>
      <c r="H66" s="105"/>
      <c r="I66" s="105"/>
      <c r="J66" s="105"/>
      <c r="K66" s="105"/>
      <c r="L66" s="105"/>
      <c r="M66" s="105"/>
      <c r="N66" s="105"/>
      <c r="O66" s="105"/>
      <c r="P66" s="105"/>
      <c r="Q66" s="105"/>
      <c r="R66" s="105"/>
      <c r="S66" s="105"/>
      <c r="T66" s="105"/>
      <c r="U66" s="105"/>
      <c r="V66" s="105"/>
      <c r="W66" s="105"/>
      <c r="X66" s="105"/>
      <c r="Y66" s="105"/>
      <c r="Z66" s="105"/>
      <c r="AA66" s="105"/>
    </row>
    <row r="67" ht="15.75" hidden="1" customHeight="1">
      <c r="A67" s="105"/>
      <c r="B67" s="105"/>
      <c r="C67" s="105"/>
      <c r="D67" s="105"/>
      <c r="E67" s="105"/>
      <c r="F67" s="105"/>
      <c r="G67" s="105"/>
      <c r="H67" s="105"/>
      <c r="I67" s="105"/>
      <c r="J67" s="105"/>
      <c r="K67" s="105"/>
      <c r="L67" s="105"/>
      <c r="M67" s="105"/>
      <c r="N67" s="105"/>
      <c r="O67" s="105"/>
      <c r="P67" s="105"/>
      <c r="Q67" s="105"/>
      <c r="R67" s="105"/>
      <c r="S67" s="105"/>
      <c r="T67" s="105"/>
      <c r="U67" s="105"/>
      <c r="V67" s="105"/>
      <c r="W67" s="105"/>
      <c r="X67" s="105"/>
      <c r="Y67" s="105"/>
      <c r="Z67" s="105"/>
      <c r="AA67" s="105"/>
    </row>
    <row r="68" ht="15.75" hidden="1" customHeight="1">
      <c r="A68" s="105"/>
      <c r="B68" s="105"/>
      <c r="C68" s="105"/>
      <c r="D68" s="105"/>
      <c r="E68" s="105"/>
      <c r="F68" s="105"/>
      <c r="G68" s="105"/>
      <c r="H68" s="105"/>
      <c r="I68" s="105"/>
      <c r="J68" s="105"/>
      <c r="K68" s="105"/>
      <c r="L68" s="105"/>
      <c r="M68" s="105"/>
      <c r="N68" s="105"/>
      <c r="O68" s="105"/>
      <c r="P68" s="105"/>
      <c r="Q68" s="105"/>
      <c r="R68" s="105"/>
      <c r="S68" s="105"/>
      <c r="T68" s="105"/>
      <c r="U68" s="105"/>
      <c r="V68" s="105"/>
      <c r="W68" s="105"/>
      <c r="X68" s="105"/>
      <c r="Y68" s="105"/>
      <c r="Z68" s="105"/>
      <c r="AA68" s="105"/>
    </row>
    <row r="69" ht="15.75" hidden="1" customHeight="1">
      <c r="A69" s="105"/>
      <c r="B69" s="105"/>
      <c r="C69" s="105"/>
      <c r="D69" s="105"/>
      <c r="E69" s="105"/>
      <c r="F69" s="105"/>
      <c r="G69" s="105"/>
      <c r="H69" s="105"/>
      <c r="I69" s="105"/>
      <c r="J69" s="105"/>
      <c r="K69" s="105"/>
      <c r="L69" s="105"/>
      <c r="M69" s="105"/>
      <c r="N69" s="105"/>
      <c r="O69" s="105"/>
      <c r="P69" s="105"/>
      <c r="Q69" s="105"/>
      <c r="R69" s="105"/>
      <c r="S69" s="105"/>
      <c r="T69" s="105"/>
      <c r="U69" s="105"/>
      <c r="V69" s="105"/>
      <c r="W69" s="105"/>
      <c r="X69" s="105"/>
      <c r="Y69" s="105"/>
      <c r="Z69" s="105"/>
      <c r="AA69" s="105"/>
    </row>
    <row r="70" ht="15.75" hidden="1" customHeight="1">
      <c r="A70" s="105"/>
      <c r="B70" s="105"/>
      <c r="C70" s="105"/>
      <c r="D70" s="105"/>
      <c r="E70" s="105"/>
      <c r="F70" s="105"/>
      <c r="G70" s="105"/>
      <c r="H70" s="105"/>
      <c r="I70" s="105"/>
      <c r="J70" s="105"/>
      <c r="K70" s="105"/>
      <c r="L70" s="105"/>
      <c r="M70" s="105"/>
      <c r="N70" s="105"/>
      <c r="O70" s="105"/>
      <c r="P70" s="105"/>
      <c r="Q70" s="105"/>
      <c r="R70" s="105"/>
      <c r="S70" s="105"/>
      <c r="T70" s="105"/>
      <c r="U70" s="105"/>
      <c r="V70" s="105"/>
      <c r="W70" s="105"/>
      <c r="X70" s="105"/>
      <c r="Y70" s="105"/>
      <c r="Z70" s="105"/>
      <c r="AA70" s="105"/>
    </row>
    <row r="71" ht="15.75" hidden="1" customHeight="1">
      <c r="A71" s="105"/>
      <c r="B71" s="105"/>
      <c r="C71" s="105"/>
      <c r="D71" s="105"/>
      <c r="E71" s="105"/>
      <c r="F71" s="105"/>
      <c r="G71" s="105"/>
      <c r="H71" s="105"/>
      <c r="I71" s="105"/>
      <c r="J71" s="105"/>
      <c r="K71" s="105"/>
      <c r="L71" s="105"/>
      <c r="M71" s="105"/>
      <c r="N71" s="105"/>
      <c r="O71" s="105"/>
      <c r="P71" s="105"/>
      <c r="Q71" s="105"/>
      <c r="R71" s="105"/>
      <c r="S71" s="105"/>
      <c r="T71" s="105"/>
      <c r="U71" s="105"/>
      <c r="V71" s="105"/>
      <c r="W71" s="105"/>
      <c r="X71" s="105"/>
      <c r="Y71" s="105"/>
      <c r="Z71" s="105"/>
      <c r="AA71" s="105"/>
    </row>
    <row r="72" ht="15.75" hidden="1" customHeight="1">
      <c r="A72" s="105"/>
      <c r="B72" s="105"/>
      <c r="C72" s="105"/>
      <c r="D72" s="105"/>
      <c r="E72" s="105"/>
      <c r="F72" s="105"/>
      <c r="G72" s="105"/>
      <c r="H72" s="105"/>
      <c r="I72" s="105"/>
      <c r="J72" s="105"/>
      <c r="K72" s="105"/>
      <c r="L72" s="105"/>
      <c r="M72" s="105"/>
      <c r="N72" s="105"/>
      <c r="O72" s="105"/>
      <c r="P72" s="105"/>
      <c r="Q72" s="105"/>
      <c r="R72" s="105"/>
      <c r="S72" s="105"/>
      <c r="T72" s="105"/>
      <c r="U72" s="105"/>
      <c r="V72" s="105"/>
      <c r="W72" s="105"/>
      <c r="X72" s="105"/>
      <c r="Y72" s="105"/>
      <c r="Z72" s="105"/>
      <c r="AA72" s="105"/>
    </row>
    <row r="73" ht="15.75" hidden="1" customHeight="1">
      <c r="A73" s="105"/>
      <c r="B73" s="105"/>
      <c r="C73" s="105"/>
      <c r="D73" s="105"/>
      <c r="E73" s="105"/>
      <c r="F73" s="105"/>
      <c r="G73" s="105"/>
      <c r="H73" s="105"/>
      <c r="I73" s="105"/>
      <c r="J73" s="105"/>
      <c r="K73" s="105"/>
      <c r="L73" s="105"/>
      <c r="M73" s="105"/>
      <c r="N73" s="105"/>
      <c r="O73" s="105"/>
      <c r="P73" s="105"/>
      <c r="Q73" s="105"/>
      <c r="R73" s="105"/>
      <c r="S73" s="105"/>
      <c r="T73" s="105"/>
      <c r="U73" s="105"/>
      <c r="V73" s="105"/>
      <c r="W73" s="105"/>
      <c r="X73" s="105"/>
      <c r="Y73" s="105"/>
      <c r="Z73" s="105"/>
      <c r="AA73" s="105"/>
    </row>
    <row r="74" ht="15.75" hidden="1" customHeight="1">
      <c r="A74" s="105"/>
      <c r="B74" s="105"/>
      <c r="C74" s="105"/>
      <c r="D74" s="105"/>
      <c r="E74" s="105"/>
      <c r="F74" s="105"/>
      <c r="G74" s="105"/>
      <c r="H74" s="105"/>
      <c r="I74" s="105"/>
      <c r="J74" s="105"/>
      <c r="K74" s="105"/>
      <c r="L74" s="105"/>
      <c r="M74" s="105"/>
      <c r="N74" s="105"/>
      <c r="O74" s="105"/>
      <c r="P74" s="105"/>
      <c r="Q74" s="105"/>
      <c r="R74" s="105"/>
      <c r="S74" s="105"/>
      <c r="T74" s="105"/>
      <c r="U74" s="105"/>
      <c r="V74" s="105"/>
      <c r="W74" s="105"/>
      <c r="X74" s="105"/>
      <c r="Y74" s="105"/>
      <c r="Z74" s="105"/>
      <c r="AA74" s="105"/>
    </row>
    <row r="75" ht="15.75" hidden="1" customHeight="1">
      <c r="A75" s="105"/>
      <c r="B75" s="105"/>
      <c r="C75" s="105"/>
      <c r="D75" s="105"/>
      <c r="E75" s="105"/>
      <c r="F75" s="105"/>
      <c r="G75" s="105"/>
      <c r="H75" s="105"/>
      <c r="I75" s="105"/>
      <c r="J75" s="105"/>
      <c r="K75" s="105"/>
      <c r="L75" s="105"/>
      <c r="M75" s="105"/>
      <c r="N75" s="105"/>
      <c r="O75" s="105"/>
      <c r="P75" s="105"/>
      <c r="Q75" s="105"/>
      <c r="R75" s="105"/>
      <c r="S75" s="105"/>
      <c r="T75" s="105"/>
      <c r="U75" s="105"/>
      <c r="V75" s="105"/>
      <c r="W75" s="105"/>
      <c r="X75" s="105"/>
      <c r="Y75" s="105"/>
      <c r="Z75" s="105"/>
      <c r="AA75" s="105"/>
    </row>
    <row r="76" ht="15.75" hidden="1" customHeight="1">
      <c r="A76" s="105"/>
      <c r="B76" s="105"/>
      <c r="C76" s="105"/>
      <c r="D76" s="105"/>
      <c r="E76" s="105"/>
      <c r="F76" s="105"/>
      <c r="G76" s="105"/>
      <c r="H76" s="105"/>
      <c r="I76" s="105"/>
      <c r="J76" s="105"/>
      <c r="K76" s="105"/>
      <c r="L76" s="105"/>
      <c r="M76" s="105"/>
      <c r="N76" s="105"/>
      <c r="O76" s="105"/>
      <c r="P76" s="105"/>
      <c r="Q76" s="105"/>
      <c r="R76" s="105"/>
      <c r="S76" s="105"/>
      <c r="T76" s="105"/>
      <c r="U76" s="105"/>
      <c r="V76" s="105"/>
      <c r="W76" s="105"/>
      <c r="X76" s="105"/>
      <c r="Y76" s="105"/>
      <c r="Z76" s="105"/>
      <c r="AA76" s="105"/>
    </row>
    <row r="77" ht="15.75" hidden="1" customHeight="1">
      <c r="A77" s="105"/>
      <c r="B77" s="105"/>
      <c r="C77" s="105"/>
      <c r="D77" s="105"/>
      <c r="E77" s="105"/>
      <c r="F77" s="105"/>
      <c r="G77" s="105"/>
      <c r="H77" s="105"/>
      <c r="I77" s="105"/>
      <c r="J77" s="105"/>
      <c r="K77" s="105"/>
      <c r="L77" s="105"/>
      <c r="M77" s="105"/>
      <c r="N77" s="105"/>
      <c r="O77" s="105"/>
      <c r="P77" s="105"/>
      <c r="Q77" s="105"/>
      <c r="R77" s="105"/>
      <c r="S77" s="105"/>
      <c r="T77" s="105"/>
      <c r="U77" s="105"/>
      <c r="V77" s="105"/>
      <c r="W77" s="105"/>
      <c r="X77" s="105"/>
      <c r="Y77" s="105"/>
      <c r="Z77" s="105"/>
      <c r="AA77" s="105"/>
    </row>
    <row r="78" ht="15.75" hidden="1" customHeight="1">
      <c r="A78" s="105"/>
      <c r="B78" s="105"/>
      <c r="C78" s="105"/>
      <c r="D78" s="105"/>
      <c r="E78" s="105"/>
      <c r="F78" s="105"/>
      <c r="G78" s="105"/>
      <c r="H78" s="105"/>
      <c r="I78" s="105"/>
      <c r="J78" s="105"/>
      <c r="K78" s="105"/>
      <c r="L78" s="105"/>
      <c r="M78" s="105"/>
      <c r="N78" s="105"/>
      <c r="O78" s="105"/>
      <c r="P78" s="105"/>
      <c r="Q78" s="105"/>
      <c r="R78" s="105"/>
      <c r="S78" s="105"/>
      <c r="T78" s="105"/>
      <c r="U78" s="105"/>
      <c r="V78" s="105"/>
      <c r="W78" s="105"/>
      <c r="X78" s="105"/>
      <c r="Y78" s="105"/>
      <c r="Z78" s="105"/>
      <c r="AA78" s="105"/>
    </row>
    <row r="79" ht="15.75" hidden="1" customHeight="1">
      <c r="A79" s="105"/>
      <c r="B79" s="105"/>
      <c r="C79" s="105"/>
      <c r="D79" s="105"/>
      <c r="E79" s="105"/>
      <c r="F79" s="105"/>
      <c r="G79" s="105"/>
      <c r="H79" s="105"/>
      <c r="I79" s="105"/>
      <c r="J79" s="105"/>
      <c r="K79" s="105"/>
      <c r="L79" s="105"/>
      <c r="M79" s="105"/>
      <c r="N79" s="105"/>
      <c r="O79" s="105"/>
      <c r="P79" s="105"/>
      <c r="Q79" s="105"/>
      <c r="R79" s="105"/>
      <c r="S79" s="105"/>
      <c r="T79" s="105"/>
      <c r="U79" s="105"/>
      <c r="V79" s="105"/>
      <c r="W79" s="105"/>
      <c r="X79" s="105"/>
      <c r="Y79" s="105"/>
      <c r="Z79" s="105"/>
      <c r="AA79" s="105"/>
    </row>
    <row r="80" ht="15.75" hidden="1" customHeight="1">
      <c r="A80" s="105"/>
      <c r="B80" s="105"/>
      <c r="C80" s="105"/>
      <c r="D80" s="105"/>
      <c r="E80" s="105"/>
      <c r="F80" s="105"/>
      <c r="G80" s="105"/>
      <c r="H80" s="105"/>
      <c r="I80" s="105"/>
      <c r="J80" s="105"/>
      <c r="K80" s="105"/>
      <c r="L80" s="105"/>
      <c r="M80" s="105"/>
      <c r="N80" s="105"/>
      <c r="O80" s="105"/>
      <c r="P80" s="105"/>
      <c r="Q80" s="105"/>
      <c r="R80" s="105"/>
      <c r="S80" s="105"/>
      <c r="T80" s="105"/>
      <c r="U80" s="105"/>
      <c r="V80" s="105"/>
      <c r="W80" s="105"/>
      <c r="X80" s="105"/>
      <c r="Y80" s="105"/>
      <c r="Z80" s="105"/>
      <c r="AA80" s="105"/>
    </row>
    <row r="81" ht="15.75" hidden="1" customHeight="1">
      <c r="A81" s="105"/>
      <c r="B81" s="105"/>
      <c r="C81" s="105"/>
      <c r="D81" s="105"/>
      <c r="E81" s="105"/>
      <c r="F81" s="105"/>
      <c r="G81" s="105"/>
      <c r="H81" s="105"/>
      <c r="I81" s="105"/>
      <c r="J81" s="105"/>
      <c r="K81" s="105"/>
      <c r="L81" s="105"/>
      <c r="M81" s="105"/>
      <c r="N81" s="105"/>
      <c r="O81" s="105"/>
      <c r="P81" s="105"/>
      <c r="Q81" s="105"/>
      <c r="R81" s="105"/>
      <c r="S81" s="105"/>
      <c r="T81" s="105"/>
      <c r="U81" s="105"/>
      <c r="V81" s="105"/>
      <c r="W81" s="105"/>
      <c r="X81" s="105"/>
      <c r="Y81" s="105"/>
      <c r="Z81" s="105"/>
      <c r="AA81" s="105"/>
    </row>
    <row r="82" ht="15.75" hidden="1" customHeight="1">
      <c r="A82" s="105"/>
      <c r="B82" s="105"/>
      <c r="C82" s="105"/>
      <c r="D82" s="105"/>
      <c r="E82" s="105"/>
      <c r="F82" s="105"/>
      <c r="G82" s="105"/>
      <c r="H82" s="105"/>
      <c r="I82" s="105"/>
      <c r="J82" s="105"/>
      <c r="K82" s="105"/>
      <c r="L82" s="105"/>
      <c r="M82" s="105"/>
      <c r="N82" s="105"/>
      <c r="O82" s="105"/>
      <c r="P82" s="105"/>
      <c r="Q82" s="105"/>
      <c r="R82" s="105"/>
      <c r="S82" s="105"/>
      <c r="T82" s="105"/>
      <c r="U82" s="105"/>
      <c r="V82" s="105"/>
      <c r="W82" s="105"/>
      <c r="X82" s="105"/>
      <c r="Y82" s="105"/>
      <c r="Z82" s="105"/>
      <c r="AA82" s="105"/>
    </row>
    <row r="83" ht="15.75" hidden="1" customHeight="1">
      <c r="A83" s="105"/>
      <c r="B83" s="105"/>
      <c r="C83" s="105"/>
      <c r="D83" s="105"/>
      <c r="E83" s="105"/>
      <c r="F83" s="105"/>
      <c r="G83" s="105"/>
      <c r="H83" s="105"/>
      <c r="I83" s="105"/>
      <c r="J83" s="105"/>
      <c r="K83" s="105"/>
      <c r="L83" s="105"/>
      <c r="M83" s="105"/>
      <c r="N83" s="105"/>
      <c r="O83" s="105"/>
      <c r="P83" s="105"/>
      <c r="Q83" s="105"/>
      <c r="R83" s="105"/>
      <c r="S83" s="105"/>
      <c r="T83" s="105"/>
      <c r="U83" s="105"/>
      <c r="V83" s="105"/>
      <c r="W83" s="105"/>
      <c r="X83" s="105"/>
      <c r="Y83" s="105"/>
      <c r="Z83" s="105"/>
      <c r="AA83" s="105"/>
    </row>
    <row r="84" ht="15.75" hidden="1" customHeight="1">
      <c r="A84" s="105"/>
      <c r="B84" s="105"/>
      <c r="C84" s="105"/>
      <c r="D84" s="105"/>
      <c r="E84" s="105"/>
      <c r="F84" s="105"/>
      <c r="G84" s="105"/>
      <c r="H84" s="105"/>
      <c r="I84" s="105"/>
      <c r="J84" s="105"/>
      <c r="K84" s="105"/>
      <c r="L84" s="105"/>
      <c r="M84" s="105"/>
      <c r="N84" s="105"/>
      <c r="O84" s="105"/>
      <c r="P84" s="105"/>
      <c r="Q84" s="105"/>
      <c r="R84" s="105"/>
      <c r="S84" s="105"/>
      <c r="T84" s="105"/>
      <c r="U84" s="105"/>
      <c r="V84" s="105"/>
      <c r="W84" s="105"/>
      <c r="X84" s="105"/>
      <c r="Y84" s="105"/>
      <c r="Z84" s="105"/>
      <c r="AA84" s="105"/>
    </row>
    <row r="85" ht="15.75" hidden="1" customHeight="1">
      <c r="A85" s="105"/>
      <c r="B85" s="105"/>
      <c r="C85" s="105"/>
      <c r="D85" s="105"/>
      <c r="E85" s="105"/>
      <c r="F85" s="105"/>
      <c r="G85" s="105"/>
      <c r="H85" s="105"/>
      <c r="I85" s="105"/>
      <c r="J85" s="105"/>
      <c r="K85" s="105"/>
      <c r="L85" s="105"/>
      <c r="M85" s="105"/>
      <c r="N85" s="105"/>
      <c r="O85" s="105"/>
      <c r="P85" s="105"/>
      <c r="Q85" s="105"/>
      <c r="R85" s="105"/>
      <c r="S85" s="105"/>
      <c r="T85" s="105"/>
      <c r="U85" s="105"/>
      <c r="V85" s="105"/>
      <c r="W85" s="105"/>
      <c r="X85" s="105"/>
      <c r="Y85" s="105"/>
      <c r="Z85" s="105"/>
      <c r="AA85" s="105"/>
    </row>
    <row r="86" ht="15.75" hidden="1" customHeight="1">
      <c r="A86" s="105"/>
      <c r="B86" s="105"/>
      <c r="C86" s="105"/>
      <c r="D86" s="105"/>
      <c r="E86" s="105"/>
      <c r="F86" s="105"/>
      <c r="G86" s="105"/>
      <c r="H86" s="105"/>
      <c r="I86" s="105"/>
      <c r="J86" s="105"/>
      <c r="K86" s="105"/>
      <c r="L86" s="105"/>
      <c r="M86" s="105"/>
      <c r="N86" s="105"/>
      <c r="O86" s="105"/>
      <c r="P86" s="105"/>
      <c r="Q86" s="105"/>
      <c r="R86" s="105"/>
      <c r="S86" s="105"/>
      <c r="T86" s="105"/>
      <c r="U86" s="105"/>
      <c r="V86" s="105"/>
      <c r="W86" s="105"/>
      <c r="X86" s="105"/>
      <c r="Y86" s="105"/>
      <c r="Z86" s="105"/>
      <c r="AA86" s="105"/>
    </row>
    <row r="87" ht="15.75" hidden="1" customHeight="1">
      <c r="A87" s="105"/>
      <c r="B87" s="105"/>
      <c r="C87" s="105"/>
      <c r="D87" s="105"/>
      <c r="E87" s="105"/>
      <c r="F87" s="105"/>
      <c r="G87" s="105"/>
      <c r="H87" s="105"/>
      <c r="I87" s="105"/>
      <c r="J87" s="105"/>
      <c r="K87" s="105"/>
      <c r="L87" s="105"/>
      <c r="M87" s="105"/>
      <c r="N87" s="105"/>
      <c r="O87" s="105"/>
      <c r="P87" s="105"/>
      <c r="Q87" s="105"/>
      <c r="R87" s="105"/>
      <c r="S87" s="105"/>
      <c r="T87" s="105"/>
      <c r="U87" s="105"/>
      <c r="V87" s="105"/>
      <c r="W87" s="105"/>
      <c r="X87" s="105"/>
      <c r="Y87" s="105"/>
      <c r="Z87" s="105"/>
      <c r="AA87" s="105"/>
    </row>
    <row r="88" ht="15.75" hidden="1" customHeight="1">
      <c r="A88" s="105"/>
      <c r="B88" s="105"/>
      <c r="C88" s="105"/>
      <c r="D88" s="105"/>
      <c r="E88" s="105"/>
      <c r="F88" s="105"/>
      <c r="G88" s="105"/>
      <c r="H88" s="105"/>
      <c r="I88" s="105"/>
      <c r="J88" s="105"/>
      <c r="K88" s="105"/>
      <c r="L88" s="105"/>
      <c r="M88" s="105"/>
      <c r="N88" s="105"/>
      <c r="O88" s="105"/>
      <c r="P88" s="105"/>
      <c r="Q88" s="105"/>
      <c r="R88" s="105"/>
      <c r="S88" s="105"/>
      <c r="T88" s="105"/>
      <c r="U88" s="105"/>
      <c r="V88" s="105"/>
      <c r="W88" s="105"/>
      <c r="X88" s="105"/>
      <c r="Y88" s="105"/>
      <c r="Z88" s="105"/>
      <c r="AA88" s="105"/>
    </row>
    <row r="89" ht="15.75" hidden="1" customHeight="1">
      <c r="A89" s="105"/>
      <c r="B89" s="105"/>
      <c r="C89" s="105"/>
      <c r="D89" s="105"/>
      <c r="E89" s="105"/>
      <c r="F89" s="105"/>
      <c r="G89" s="105"/>
      <c r="H89" s="105"/>
      <c r="I89" s="105"/>
      <c r="J89" s="105"/>
      <c r="K89" s="105"/>
      <c r="L89" s="105"/>
      <c r="M89" s="105"/>
      <c r="N89" s="105"/>
      <c r="O89" s="105"/>
      <c r="P89" s="105"/>
      <c r="Q89" s="105"/>
      <c r="R89" s="105"/>
      <c r="S89" s="105"/>
      <c r="T89" s="105"/>
      <c r="U89" s="105"/>
      <c r="V89" s="105"/>
      <c r="W89" s="105"/>
      <c r="X89" s="105"/>
      <c r="Y89" s="105"/>
      <c r="Z89" s="105"/>
      <c r="AA89" s="105"/>
    </row>
    <row r="90" ht="15.75" hidden="1" customHeight="1">
      <c r="A90" s="105"/>
      <c r="B90" s="105"/>
      <c r="C90" s="105"/>
      <c r="D90" s="105"/>
      <c r="E90" s="105"/>
      <c r="F90" s="105"/>
      <c r="G90" s="105"/>
      <c r="H90" s="105"/>
      <c r="I90" s="105"/>
      <c r="J90" s="105"/>
      <c r="K90" s="105"/>
      <c r="L90" s="105"/>
      <c r="M90" s="105"/>
      <c r="N90" s="105"/>
      <c r="O90" s="105"/>
      <c r="P90" s="105"/>
      <c r="Q90" s="105"/>
      <c r="R90" s="105"/>
      <c r="S90" s="105"/>
      <c r="T90" s="105"/>
      <c r="U90" s="105"/>
      <c r="V90" s="105"/>
      <c r="W90" s="105"/>
      <c r="X90" s="105"/>
      <c r="Y90" s="105"/>
      <c r="Z90" s="105"/>
      <c r="AA90" s="105"/>
    </row>
    <row r="91" ht="15.75" hidden="1" customHeight="1">
      <c r="A91" s="105"/>
      <c r="B91" s="105"/>
      <c r="C91" s="105"/>
      <c r="D91" s="105"/>
      <c r="E91" s="105"/>
      <c r="F91" s="105"/>
      <c r="G91" s="105"/>
      <c r="H91" s="105"/>
      <c r="I91" s="105"/>
      <c r="J91" s="105"/>
      <c r="K91" s="105"/>
      <c r="L91" s="105"/>
      <c r="M91" s="105"/>
      <c r="N91" s="105"/>
      <c r="O91" s="105"/>
      <c r="P91" s="105"/>
      <c r="Q91" s="105"/>
      <c r="R91" s="105"/>
      <c r="S91" s="105"/>
      <c r="T91" s="105"/>
      <c r="U91" s="105"/>
      <c r="V91" s="105"/>
      <c r="W91" s="105"/>
      <c r="X91" s="105"/>
      <c r="Y91" s="105"/>
      <c r="Z91" s="105"/>
      <c r="AA91" s="105"/>
    </row>
    <row r="92" ht="15.75" hidden="1" customHeight="1">
      <c r="A92" s="105"/>
      <c r="B92" s="105"/>
      <c r="C92" s="105"/>
      <c r="D92" s="105"/>
      <c r="E92" s="105"/>
      <c r="F92" s="105"/>
      <c r="G92" s="105"/>
      <c r="H92" s="105"/>
      <c r="I92" s="105"/>
      <c r="J92" s="105"/>
      <c r="K92" s="105"/>
      <c r="L92" s="105"/>
      <c r="M92" s="105"/>
      <c r="N92" s="105"/>
      <c r="O92" s="105"/>
      <c r="P92" s="105"/>
      <c r="Q92" s="105"/>
      <c r="R92" s="105"/>
      <c r="S92" s="105"/>
      <c r="T92" s="105"/>
      <c r="U92" s="105"/>
      <c r="V92" s="105"/>
      <c r="W92" s="105"/>
      <c r="X92" s="105"/>
      <c r="Y92" s="105"/>
      <c r="Z92" s="105"/>
      <c r="AA92" s="105"/>
    </row>
    <row r="93" ht="15.75" hidden="1" customHeight="1">
      <c r="A93" s="105"/>
      <c r="B93" s="105"/>
      <c r="C93" s="105"/>
      <c r="D93" s="105"/>
      <c r="E93" s="105"/>
      <c r="F93" s="105"/>
      <c r="G93" s="105"/>
      <c r="H93" s="105"/>
      <c r="I93" s="105"/>
      <c r="J93" s="105"/>
      <c r="K93" s="105"/>
      <c r="L93" s="105"/>
      <c r="M93" s="105"/>
      <c r="N93" s="105"/>
      <c r="O93" s="105"/>
      <c r="P93" s="105"/>
      <c r="Q93" s="105"/>
      <c r="R93" s="105"/>
      <c r="S93" s="105"/>
      <c r="T93" s="105"/>
      <c r="U93" s="105"/>
      <c r="V93" s="105"/>
      <c r="W93" s="105"/>
      <c r="X93" s="105"/>
      <c r="Y93" s="105"/>
      <c r="Z93" s="105"/>
      <c r="AA93" s="105"/>
    </row>
    <row r="94" ht="15.75" hidden="1" customHeight="1">
      <c r="A94" s="105"/>
      <c r="B94" s="105"/>
      <c r="C94" s="105"/>
      <c r="D94" s="105"/>
      <c r="E94" s="105"/>
      <c r="F94" s="105"/>
      <c r="G94" s="105"/>
      <c r="H94" s="105"/>
      <c r="I94" s="105"/>
      <c r="J94" s="105"/>
      <c r="K94" s="105"/>
      <c r="L94" s="105"/>
      <c r="M94" s="105"/>
      <c r="N94" s="105"/>
      <c r="O94" s="105"/>
      <c r="P94" s="105"/>
      <c r="Q94" s="105"/>
      <c r="R94" s="105"/>
      <c r="S94" s="105"/>
      <c r="T94" s="105"/>
      <c r="U94" s="105"/>
      <c r="V94" s="105"/>
      <c r="W94" s="105"/>
      <c r="X94" s="105"/>
      <c r="Y94" s="105"/>
      <c r="Z94" s="105"/>
      <c r="AA94" s="105"/>
    </row>
    <row r="95" ht="15.75" hidden="1" customHeight="1">
      <c r="A95" s="105"/>
      <c r="B95" s="105"/>
      <c r="C95" s="105"/>
      <c r="D95" s="105"/>
      <c r="E95" s="105"/>
      <c r="F95" s="105"/>
      <c r="G95" s="105"/>
      <c r="H95" s="105"/>
      <c r="I95" s="105"/>
      <c r="J95" s="105"/>
      <c r="K95" s="105"/>
      <c r="L95" s="105"/>
      <c r="M95" s="105"/>
      <c r="N95" s="105"/>
      <c r="O95" s="105"/>
      <c r="P95" s="105"/>
      <c r="Q95" s="105"/>
      <c r="R95" s="105"/>
      <c r="S95" s="105"/>
      <c r="T95" s="105"/>
      <c r="U95" s="105"/>
      <c r="V95" s="105"/>
      <c r="W95" s="105"/>
      <c r="X95" s="105"/>
      <c r="Y95" s="105"/>
      <c r="Z95" s="105"/>
      <c r="AA95" s="105"/>
    </row>
    <row r="96" ht="15.75" hidden="1" customHeight="1">
      <c r="A96" s="105"/>
      <c r="B96" s="105"/>
      <c r="C96" s="105"/>
      <c r="D96" s="105"/>
      <c r="E96" s="105"/>
      <c r="F96" s="105"/>
      <c r="G96" s="105"/>
      <c r="H96" s="105"/>
      <c r="I96" s="105"/>
      <c r="J96" s="105"/>
      <c r="K96" s="105"/>
      <c r="L96" s="105"/>
      <c r="M96" s="105"/>
      <c r="N96" s="105"/>
      <c r="O96" s="105"/>
      <c r="P96" s="105"/>
      <c r="Q96" s="105"/>
      <c r="R96" s="105"/>
      <c r="S96" s="105"/>
      <c r="T96" s="105"/>
      <c r="U96" s="105"/>
      <c r="V96" s="105"/>
      <c r="W96" s="105"/>
      <c r="X96" s="105"/>
      <c r="Y96" s="105"/>
      <c r="Z96" s="105"/>
      <c r="AA96" s="105"/>
    </row>
    <row r="97" ht="15.75" hidden="1" customHeight="1">
      <c r="A97" s="105"/>
      <c r="B97" s="105"/>
      <c r="C97" s="105"/>
      <c r="D97" s="105"/>
      <c r="E97" s="105"/>
      <c r="F97" s="105"/>
      <c r="G97" s="105"/>
      <c r="H97" s="105"/>
      <c r="I97" s="105"/>
      <c r="J97" s="105"/>
      <c r="K97" s="105"/>
      <c r="L97" s="105"/>
      <c r="M97" s="105"/>
      <c r="N97" s="105"/>
      <c r="O97" s="105"/>
      <c r="P97" s="105"/>
      <c r="Q97" s="105"/>
      <c r="R97" s="105"/>
      <c r="S97" s="105"/>
      <c r="T97" s="105"/>
      <c r="U97" s="105"/>
      <c r="V97" s="105"/>
      <c r="W97" s="105"/>
      <c r="X97" s="105"/>
      <c r="Y97" s="105"/>
      <c r="Z97" s="105"/>
      <c r="AA97" s="105"/>
    </row>
    <row r="98" ht="15.75" hidden="1" customHeight="1">
      <c r="A98" s="105"/>
      <c r="B98" s="105"/>
      <c r="C98" s="105"/>
      <c r="D98" s="105"/>
      <c r="E98" s="105"/>
      <c r="F98" s="105"/>
      <c r="G98" s="105"/>
      <c r="H98" s="105"/>
      <c r="I98" s="105"/>
      <c r="J98" s="105"/>
      <c r="K98" s="105"/>
      <c r="L98" s="105"/>
      <c r="M98" s="105"/>
      <c r="N98" s="105"/>
      <c r="O98" s="105"/>
      <c r="P98" s="105"/>
      <c r="Q98" s="105"/>
      <c r="R98" s="105"/>
      <c r="S98" s="105"/>
      <c r="T98" s="105"/>
      <c r="U98" s="105"/>
      <c r="V98" s="105"/>
      <c r="W98" s="105"/>
      <c r="X98" s="105"/>
      <c r="Y98" s="105"/>
      <c r="Z98" s="105"/>
      <c r="AA98" s="105"/>
    </row>
    <row r="99" ht="15.75" hidden="1" customHeight="1">
      <c r="A99" s="105"/>
      <c r="B99" s="105"/>
      <c r="C99" s="105"/>
      <c r="D99" s="105"/>
      <c r="E99" s="105"/>
      <c r="F99" s="105"/>
      <c r="G99" s="105"/>
      <c r="H99" s="105"/>
      <c r="I99" s="105"/>
      <c r="J99" s="105"/>
      <c r="K99" s="105"/>
      <c r="L99" s="105"/>
      <c r="M99" s="105"/>
      <c r="N99" s="105"/>
      <c r="O99" s="105"/>
      <c r="P99" s="105"/>
      <c r="Q99" s="105"/>
      <c r="R99" s="105"/>
      <c r="S99" s="105"/>
      <c r="T99" s="105"/>
      <c r="U99" s="105"/>
      <c r="V99" s="105"/>
      <c r="W99" s="105"/>
      <c r="X99" s="105"/>
      <c r="Y99" s="105"/>
      <c r="Z99" s="105"/>
      <c r="AA99" s="105"/>
    </row>
    <row r="100" ht="15.75" hidden="1" customHeight="1">
      <c r="A100" s="105"/>
      <c r="B100" s="105"/>
      <c r="C100" s="105"/>
      <c r="D100" s="105"/>
      <c r="E100" s="105"/>
      <c r="F100" s="105"/>
      <c r="G100" s="105"/>
      <c r="H100" s="105"/>
      <c r="I100" s="105"/>
      <c r="J100" s="105"/>
      <c r="K100" s="105"/>
      <c r="L100" s="105"/>
      <c r="M100" s="105"/>
      <c r="N100" s="105"/>
      <c r="O100" s="105"/>
      <c r="P100" s="105"/>
      <c r="Q100" s="105"/>
      <c r="R100" s="105"/>
      <c r="S100" s="105"/>
      <c r="T100" s="105"/>
      <c r="U100" s="105"/>
      <c r="V100" s="105"/>
      <c r="W100" s="105"/>
      <c r="X100" s="105"/>
      <c r="Y100" s="105"/>
      <c r="Z100" s="105"/>
      <c r="AA100" s="105"/>
    </row>
    <row r="101" ht="15.75" hidden="1" customHeight="1">
      <c r="A101" s="105"/>
      <c r="B101" s="105"/>
      <c r="C101" s="105"/>
      <c r="D101" s="105"/>
      <c r="E101" s="105"/>
      <c r="F101" s="105"/>
      <c r="G101" s="105"/>
      <c r="H101" s="105"/>
      <c r="I101" s="105"/>
      <c r="J101" s="105"/>
      <c r="K101" s="105"/>
      <c r="L101" s="105"/>
      <c r="M101" s="105"/>
      <c r="N101" s="105"/>
      <c r="O101" s="105"/>
      <c r="P101" s="105"/>
      <c r="Q101" s="105"/>
      <c r="R101" s="105"/>
      <c r="S101" s="105"/>
      <c r="T101" s="105"/>
      <c r="U101" s="105"/>
      <c r="V101" s="105"/>
      <c r="W101" s="105"/>
      <c r="X101" s="105"/>
      <c r="Y101" s="105"/>
      <c r="Z101" s="105"/>
      <c r="AA101" s="105"/>
    </row>
    <row r="102" ht="15.75" hidden="1" customHeight="1">
      <c r="A102" s="105"/>
      <c r="B102" s="105"/>
      <c r="C102" s="105"/>
      <c r="D102" s="105"/>
      <c r="E102" s="105"/>
      <c r="F102" s="105"/>
      <c r="G102" s="105"/>
      <c r="H102" s="105"/>
      <c r="I102" s="105"/>
      <c r="J102" s="105"/>
      <c r="K102" s="105"/>
      <c r="L102" s="105"/>
      <c r="M102" s="105"/>
      <c r="N102" s="105"/>
      <c r="O102" s="105"/>
      <c r="P102" s="105"/>
      <c r="Q102" s="105"/>
      <c r="R102" s="105"/>
      <c r="S102" s="105"/>
      <c r="T102" s="105"/>
      <c r="U102" s="105"/>
      <c r="V102" s="105"/>
      <c r="W102" s="105"/>
      <c r="X102" s="105"/>
      <c r="Y102" s="105"/>
      <c r="Z102" s="105"/>
      <c r="AA102" s="105"/>
    </row>
    <row r="103" ht="15.75" hidden="1" customHeight="1">
      <c r="A103" s="105"/>
      <c r="B103" s="105"/>
      <c r="C103" s="105"/>
      <c r="D103" s="105"/>
      <c r="E103" s="105"/>
      <c r="F103" s="105"/>
      <c r="G103" s="105"/>
      <c r="H103" s="105"/>
      <c r="I103" s="105"/>
      <c r="J103" s="105"/>
      <c r="K103" s="105"/>
      <c r="L103" s="105"/>
      <c r="M103" s="105"/>
      <c r="N103" s="105"/>
      <c r="O103" s="105"/>
      <c r="P103" s="105"/>
      <c r="Q103" s="105"/>
      <c r="R103" s="105"/>
      <c r="S103" s="105"/>
      <c r="T103" s="105"/>
      <c r="U103" s="105"/>
      <c r="V103" s="105"/>
      <c r="W103" s="105"/>
      <c r="X103" s="105"/>
      <c r="Y103" s="105"/>
      <c r="Z103" s="105"/>
      <c r="AA103" s="105"/>
    </row>
    <row r="104" ht="15.75" hidden="1" customHeight="1">
      <c r="A104" s="105"/>
      <c r="B104" s="105"/>
      <c r="C104" s="105"/>
      <c r="D104" s="105"/>
      <c r="E104" s="105"/>
      <c r="F104" s="105"/>
      <c r="G104" s="105"/>
      <c r="H104" s="105"/>
      <c r="I104" s="105"/>
      <c r="J104" s="105"/>
      <c r="K104" s="105"/>
      <c r="L104" s="105"/>
      <c r="M104" s="105"/>
      <c r="N104" s="105"/>
      <c r="O104" s="105"/>
      <c r="P104" s="105"/>
      <c r="Q104" s="105"/>
      <c r="R104" s="105"/>
      <c r="S104" s="105"/>
      <c r="T104" s="105"/>
      <c r="U104" s="105"/>
      <c r="V104" s="105"/>
      <c r="W104" s="105"/>
      <c r="X104" s="105"/>
      <c r="Y104" s="105"/>
      <c r="Z104" s="105"/>
      <c r="AA104" s="105"/>
    </row>
    <row r="105" ht="15.75" hidden="1" customHeight="1">
      <c r="A105" s="105"/>
      <c r="B105" s="105"/>
      <c r="C105" s="105"/>
      <c r="D105" s="105"/>
      <c r="E105" s="105"/>
      <c r="F105" s="105"/>
      <c r="G105" s="105"/>
      <c r="H105" s="105"/>
      <c r="I105" s="105"/>
      <c r="J105" s="105"/>
      <c r="K105" s="105"/>
      <c r="L105" s="105"/>
      <c r="M105" s="105"/>
      <c r="N105" s="105"/>
      <c r="O105" s="105"/>
      <c r="P105" s="105"/>
      <c r="Q105" s="105"/>
      <c r="R105" s="105"/>
      <c r="S105" s="105"/>
      <c r="T105" s="105"/>
      <c r="U105" s="105"/>
      <c r="V105" s="105"/>
      <c r="W105" s="105"/>
      <c r="X105" s="105"/>
      <c r="Y105" s="105"/>
      <c r="Z105" s="105"/>
      <c r="AA105" s="105"/>
    </row>
    <row r="106" ht="15.75" hidden="1" customHeight="1">
      <c r="A106" s="105"/>
      <c r="B106" s="105"/>
      <c r="C106" s="105"/>
      <c r="D106" s="105"/>
      <c r="E106" s="105"/>
      <c r="F106" s="105"/>
      <c r="G106" s="105"/>
      <c r="H106" s="105"/>
      <c r="I106" s="105"/>
      <c r="J106" s="105"/>
      <c r="K106" s="105"/>
      <c r="L106" s="105"/>
      <c r="M106" s="105"/>
      <c r="N106" s="105"/>
      <c r="O106" s="105"/>
      <c r="P106" s="105"/>
      <c r="Q106" s="105"/>
      <c r="R106" s="105"/>
      <c r="S106" s="105"/>
      <c r="T106" s="105"/>
      <c r="U106" s="105"/>
      <c r="V106" s="105"/>
      <c r="W106" s="105"/>
      <c r="X106" s="105"/>
      <c r="Y106" s="105"/>
      <c r="Z106" s="105"/>
      <c r="AA106" s="105"/>
    </row>
    <row r="107" ht="15.75" hidden="1" customHeight="1">
      <c r="A107" s="105"/>
      <c r="B107" s="105"/>
      <c r="C107" s="105"/>
      <c r="D107" s="105"/>
      <c r="E107" s="105"/>
      <c r="F107" s="105"/>
      <c r="G107" s="105"/>
      <c r="H107" s="105"/>
      <c r="I107" s="105"/>
      <c r="J107" s="105"/>
      <c r="K107" s="105"/>
      <c r="L107" s="105"/>
      <c r="M107" s="105"/>
      <c r="N107" s="105"/>
      <c r="O107" s="105"/>
      <c r="P107" s="105"/>
      <c r="Q107" s="105"/>
      <c r="R107" s="105"/>
      <c r="S107" s="105"/>
      <c r="T107" s="105"/>
      <c r="U107" s="105"/>
      <c r="V107" s="105"/>
      <c r="W107" s="105"/>
      <c r="X107" s="105"/>
      <c r="Y107" s="105"/>
      <c r="Z107" s="105"/>
      <c r="AA107" s="105"/>
    </row>
    <row r="108" ht="15.75" hidden="1" customHeight="1">
      <c r="A108" s="105"/>
      <c r="B108" s="105"/>
      <c r="C108" s="105"/>
      <c r="D108" s="105"/>
      <c r="E108" s="105"/>
      <c r="F108" s="105"/>
      <c r="G108" s="105"/>
      <c r="H108" s="105"/>
      <c r="I108" s="105"/>
      <c r="J108" s="105"/>
      <c r="K108" s="105"/>
      <c r="L108" s="105"/>
      <c r="M108" s="105"/>
      <c r="N108" s="105"/>
      <c r="O108" s="105"/>
      <c r="P108" s="105"/>
      <c r="Q108" s="105"/>
      <c r="R108" s="105"/>
      <c r="S108" s="105"/>
      <c r="T108" s="105"/>
      <c r="U108" s="105"/>
      <c r="V108" s="105"/>
      <c r="W108" s="105"/>
      <c r="X108" s="105"/>
      <c r="Y108" s="105"/>
      <c r="Z108" s="105"/>
      <c r="AA108" s="105"/>
    </row>
    <row r="109" ht="15.75" hidden="1" customHeight="1">
      <c r="A109" s="105"/>
      <c r="B109" s="105"/>
      <c r="C109" s="105"/>
      <c r="D109" s="105"/>
      <c r="E109" s="105"/>
      <c r="F109" s="105"/>
      <c r="G109" s="105"/>
      <c r="H109" s="105"/>
      <c r="I109" s="105"/>
      <c r="J109" s="105"/>
      <c r="K109" s="105"/>
      <c r="L109" s="105"/>
      <c r="M109" s="105"/>
      <c r="N109" s="105"/>
      <c r="O109" s="105"/>
      <c r="P109" s="105"/>
      <c r="Q109" s="105"/>
      <c r="R109" s="105"/>
      <c r="S109" s="105"/>
      <c r="T109" s="105"/>
      <c r="U109" s="105"/>
      <c r="V109" s="105"/>
      <c r="W109" s="105"/>
      <c r="X109" s="105"/>
      <c r="Y109" s="105"/>
      <c r="Z109" s="105"/>
      <c r="AA109" s="105"/>
    </row>
    <row r="110" ht="15.75" hidden="1" customHeight="1">
      <c r="A110" s="105"/>
      <c r="B110" s="105"/>
      <c r="C110" s="105"/>
      <c r="D110" s="105"/>
      <c r="E110" s="105"/>
      <c r="F110" s="105"/>
      <c r="G110" s="105"/>
      <c r="H110" s="105"/>
      <c r="I110" s="105"/>
      <c r="J110" s="105"/>
      <c r="K110" s="105"/>
      <c r="L110" s="105"/>
      <c r="M110" s="105"/>
      <c r="N110" s="105"/>
      <c r="O110" s="105"/>
      <c r="P110" s="105"/>
      <c r="Q110" s="105"/>
      <c r="R110" s="105"/>
      <c r="S110" s="105"/>
      <c r="T110" s="105"/>
      <c r="U110" s="105"/>
      <c r="V110" s="105"/>
      <c r="W110" s="105"/>
      <c r="X110" s="105"/>
      <c r="Y110" s="105"/>
      <c r="Z110" s="105"/>
      <c r="AA110" s="105"/>
    </row>
    <row r="111" ht="15.75" hidden="1" customHeight="1">
      <c r="A111" s="105"/>
      <c r="B111" s="105"/>
      <c r="C111" s="105"/>
      <c r="D111" s="105"/>
      <c r="E111" s="105"/>
      <c r="F111" s="105"/>
      <c r="G111" s="105"/>
      <c r="H111" s="105"/>
      <c r="I111" s="105"/>
      <c r="J111" s="105"/>
      <c r="K111" s="105"/>
      <c r="L111" s="105"/>
      <c r="M111" s="105"/>
      <c r="N111" s="105"/>
      <c r="O111" s="105"/>
      <c r="P111" s="105"/>
      <c r="Q111" s="105"/>
      <c r="R111" s="105"/>
      <c r="S111" s="105"/>
      <c r="T111" s="105"/>
      <c r="U111" s="105"/>
      <c r="V111" s="105"/>
      <c r="W111" s="105"/>
      <c r="X111" s="105"/>
      <c r="Y111" s="105"/>
      <c r="Z111" s="105"/>
      <c r="AA111" s="105"/>
    </row>
    <row r="112" ht="15.75" hidden="1" customHeight="1">
      <c r="A112" s="105"/>
      <c r="B112" s="105"/>
      <c r="C112" s="105"/>
      <c r="D112" s="105"/>
      <c r="E112" s="105"/>
      <c r="F112" s="105"/>
      <c r="G112" s="105"/>
      <c r="H112" s="105"/>
      <c r="I112" s="105"/>
      <c r="J112" s="105"/>
      <c r="K112" s="105"/>
      <c r="L112" s="105"/>
      <c r="M112" s="105"/>
      <c r="N112" s="105"/>
      <c r="O112" s="105"/>
      <c r="P112" s="105"/>
      <c r="Q112" s="105"/>
      <c r="R112" s="105"/>
      <c r="S112" s="105"/>
      <c r="T112" s="105"/>
      <c r="U112" s="105"/>
      <c r="V112" s="105"/>
      <c r="W112" s="105"/>
      <c r="X112" s="105"/>
      <c r="Y112" s="105"/>
      <c r="Z112" s="105"/>
      <c r="AA112" s="105"/>
    </row>
    <row r="113" ht="15.75" hidden="1" customHeight="1">
      <c r="A113" s="105"/>
      <c r="B113" s="105"/>
      <c r="C113" s="105"/>
      <c r="D113" s="105"/>
      <c r="E113" s="105"/>
      <c r="F113" s="105"/>
      <c r="G113" s="105"/>
      <c r="H113" s="105"/>
      <c r="I113" s="105"/>
      <c r="J113" s="105"/>
      <c r="K113" s="105"/>
      <c r="L113" s="105"/>
      <c r="M113" s="105"/>
      <c r="N113" s="105"/>
      <c r="O113" s="105"/>
      <c r="P113" s="105"/>
      <c r="Q113" s="105"/>
      <c r="R113" s="105"/>
      <c r="S113" s="105"/>
      <c r="T113" s="105"/>
      <c r="U113" s="105"/>
      <c r="V113" s="105"/>
      <c r="W113" s="105"/>
      <c r="X113" s="105"/>
      <c r="Y113" s="105"/>
      <c r="Z113" s="105"/>
      <c r="AA113" s="105"/>
    </row>
    <row r="114" ht="15.75" hidden="1" customHeight="1">
      <c r="A114" s="105"/>
      <c r="B114" s="105"/>
      <c r="C114" s="105"/>
      <c r="D114" s="105"/>
      <c r="E114" s="105"/>
      <c r="F114" s="105"/>
      <c r="G114" s="105"/>
      <c r="H114" s="105"/>
      <c r="I114" s="105"/>
      <c r="J114" s="105"/>
      <c r="K114" s="105"/>
      <c r="L114" s="105"/>
      <c r="M114" s="105"/>
      <c r="N114" s="105"/>
      <c r="O114" s="105"/>
      <c r="P114" s="105"/>
      <c r="Q114" s="105"/>
      <c r="R114" s="105"/>
      <c r="S114" s="105"/>
      <c r="T114" s="105"/>
      <c r="U114" s="105"/>
      <c r="V114" s="105"/>
      <c r="W114" s="105"/>
      <c r="X114" s="105"/>
      <c r="Y114" s="105"/>
      <c r="Z114" s="105"/>
      <c r="AA114" s="105"/>
    </row>
    <row r="115" ht="15.75" hidden="1" customHeight="1">
      <c r="A115" s="105"/>
      <c r="B115" s="105"/>
      <c r="C115" s="105"/>
      <c r="D115" s="105"/>
      <c r="E115" s="105"/>
      <c r="F115" s="105"/>
      <c r="G115" s="105"/>
      <c r="H115" s="105"/>
      <c r="I115" s="105"/>
      <c r="J115" s="105"/>
      <c r="K115" s="105"/>
      <c r="L115" s="105"/>
      <c r="M115" s="105"/>
      <c r="N115" s="105"/>
      <c r="O115" s="105"/>
      <c r="P115" s="105"/>
      <c r="Q115" s="105"/>
      <c r="R115" s="105"/>
      <c r="S115" s="105"/>
      <c r="T115" s="105"/>
      <c r="U115" s="105"/>
      <c r="V115" s="105"/>
      <c r="W115" s="105"/>
      <c r="X115" s="105"/>
      <c r="Y115" s="105"/>
      <c r="Z115" s="105"/>
      <c r="AA115" s="105"/>
    </row>
    <row r="116" ht="15.75" hidden="1" customHeight="1">
      <c r="A116" s="105"/>
      <c r="B116" s="105"/>
      <c r="C116" s="105"/>
      <c r="D116" s="105"/>
      <c r="E116" s="105"/>
      <c r="F116" s="105"/>
      <c r="G116" s="105"/>
      <c r="H116" s="105"/>
      <c r="I116" s="105"/>
      <c r="J116" s="105"/>
      <c r="K116" s="105"/>
      <c r="L116" s="105"/>
      <c r="M116" s="105"/>
      <c r="N116" s="105"/>
      <c r="O116" s="105"/>
      <c r="P116" s="105"/>
      <c r="Q116" s="105"/>
      <c r="R116" s="105"/>
      <c r="S116" s="105"/>
      <c r="T116" s="105"/>
      <c r="U116" s="105"/>
      <c r="V116" s="105"/>
      <c r="W116" s="105"/>
      <c r="X116" s="105"/>
      <c r="Y116" s="105"/>
      <c r="Z116" s="105"/>
      <c r="AA116" s="105"/>
    </row>
    <row r="117" ht="15.75" hidden="1" customHeight="1">
      <c r="A117" s="105"/>
      <c r="B117" s="105"/>
      <c r="C117" s="105"/>
      <c r="D117" s="105"/>
      <c r="E117" s="105"/>
      <c r="F117" s="105"/>
      <c r="G117" s="105"/>
      <c r="H117" s="105"/>
      <c r="I117" s="105"/>
      <c r="J117" s="105"/>
      <c r="K117" s="105"/>
      <c r="L117" s="105"/>
      <c r="M117" s="105"/>
      <c r="N117" s="105"/>
      <c r="O117" s="105"/>
      <c r="P117" s="105"/>
      <c r="Q117" s="105"/>
      <c r="R117" s="105"/>
      <c r="S117" s="105"/>
      <c r="T117" s="105"/>
      <c r="U117" s="105"/>
      <c r="V117" s="105"/>
      <c r="W117" s="105"/>
      <c r="X117" s="105"/>
      <c r="Y117" s="105"/>
      <c r="Z117" s="105"/>
      <c r="AA117" s="105"/>
    </row>
    <row r="118" ht="15.75" hidden="1" customHeight="1">
      <c r="A118" s="105"/>
      <c r="B118" s="105"/>
      <c r="C118" s="105"/>
      <c r="D118" s="105"/>
      <c r="E118" s="105"/>
      <c r="F118" s="105"/>
      <c r="G118" s="105"/>
      <c r="H118" s="105"/>
      <c r="I118" s="105"/>
      <c r="J118" s="105"/>
      <c r="K118" s="105"/>
      <c r="L118" s="105"/>
      <c r="M118" s="105"/>
      <c r="N118" s="105"/>
      <c r="O118" s="105"/>
      <c r="P118" s="105"/>
      <c r="Q118" s="105"/>
      <c r="R118" s="105"/>
      <c r="S118" s="105"/>
      <c r="T118" s="105"/>
      <c r="U118" s="105"/>
      <c r="V118" s="105"/>
      <c r="W118" s="105"/>
      <c r="X118" s="105"/>
      <c r="Y118" s="105"/>
      <c r="Z118" s="105"/>
      <c r="AA118" s="105"/>
    </row>
    <row r="119" ht="15.75" hidden="1" customHeight="1">
      <c r="A119" s="105"/>
      <c r="B119" s="105"/>
      <c r="C119" s="105"/>
      <c r="D119" s="105"/>
      <c r="E119" s="105"/>
      <c r="F119" s="105"/>
      <c r="G119" s="105"/>
      <c r="H119" s="105"/>
      <c r="I119" s="105"/>
      <c r="J119" s="105"/>
      <c r="K119" s="105"/>
      <c r="L119" s="105"/>
      <c r="M119" s="105"/>
      <c r="N119" s="105"/>
      <c r="O119" s="105"/>
      <c r="P119" s="105"/>
      <c r="Q119" s="105"/>
      <c r="R119" s="105"/>
      <c r="S119" s="105"/>
      <c r="T119" s="105"/>
      <c r="U119" s="105"/>
      <c r="V119" s="105"/>
      <c r="W119" s="105"/>
      <c r="X119" s="105"/>
      <c r="Y119" s="105"/>
      <c r="Z119" s="105"/>
      <c r="AA119" s="105"/>
    </row>
    <row r="120" ht="15.75" hidden="1" customHeight="1">
      <c r="A120" s="105"/>
      <c r="B120" s="105"/>
      <c r="C120" s="105"/>
      <c r="D120" s="105"/>
      <c r="E120" s="105"/>
      <c r="F120" s="105"/>
      <c r="G120" s="105"/>
      <c r="H120" s="105"/>
      <c r="I120" s="105"/>
      <c r="J120" s="105"/>
      <c r="K120" s="105"/>
      <c r="L120" s="105"/>
      <c r="M120" s="105"/>
      <c r="N120" s="105"/>
      <c r="O120" s="105"/>
      <c r="P120" s="105"/>
      <c r="Q120" s="105"/>
      <c r="R120" s="105"/>
      <c r="S120" s="105"/>
      <c r="T120" s="105"/>
      <c r="U120" s="105"/>
      <c r="V120" s="105"/>
      <c r="W120" s="105"/>
      <c r="X120" s="105"/>
      <c r="Y120" s="105"/>
      <c r="Z120" s="105"/>
      <c r="AA120" s="105"/>
    </row>
    <row r="121" ht="15.75" hidden="1" customHeight="1">
      <c r="A121" s="105"/>
      <c r="B121" s="105"/>
      <c r="C121" s="105"/>
      <c r="D121" s="105"/>
      <c r="E121" s="105"/>
      <c r="F121" s="105"/>
      <c r="G121" s="105"/>
      <c r="H121" s="105"/>
      <c r="I121" s="105"/>
      <c r="J121" s="105"/>
      <c r="K121" s="105"/>
      <c r="L121" s="105"/>
      <c r="M121" s="105"/>
      <c r="N121" s="105"/>
      <c r="O121" s="105"/>
      <c r="P121" s="105"/>
      <c r="Q121" s="105"/>
      <c r="R121" s="105"/>
      <c r="S121" s="105"/>
      <c r="T121" s="105"/>
      <c r="U121" s="105"/>
      <c r="V121" s="105"/>
      <c r="W121" s="105"/>
      <c r="X121" s="105"/>
      <c r="Y121" s="105"/>
      <c r="Z121" s="105"/>
      <c r="AA121" s="105"/>
    </row>
    <row r="122" ht="15.75" hidden="1" customHeight="1">
      <c r="A122" s="105"/>
      <c r="B122" s="105"/>
      <c r="C122" s="105"/>
      <c r="D122" s="105"/>
      <c r="E122" s="105"/>
      <c r="F122" s="105"/>
      <c r="G122" s="105"/>
      <c r="H122" s="105"/>
      <c r="I122" s="105"/>
      <c r="J122" s="105"/>
      <c r="K122" s="105"/>
      <c r="L122" s="105"/>
      <c r="M122" s="105"/>
      <c r="N122" s="105"/>
      <c r="O122" s="105"/>
      <c r="P122" s="105"/>
      <c r="Q122" s="105"/>
      <c r="R122" s="105"/>
      <c r="S122" s="105"/>
      <c r="T122" s="105"/>
      <c r="U122" s="105"/>
      <c r="V122" s="105"/>
      <c r="W122" s="105"/>
      <c r="X122" s="105"/>
      <c r="Y122" s="105"/>
      <c r="Z122" s="105"/>
      <c r="AA122" s="105"/>
    </row>
    <row r="123" ht="15.75" hidden="1" customHeight="1">
      <c r="A123" s="105"/>
      <c r="B123" s="105"/>
      <c r="C123" s="105"/>
      <c r="D123" s="105"/>
      <c r="E123" s="105"/>
      <c r="F123" s="105"/>
      <c r="G123" s="105"/>
      <c r="H123" s="105"/>
      <c r="I123" s="105"/>
      <c r="J123" s="105"/>
      <c r="K123" s="105"/>
      <c r="L123" s="105"/>
      <c r="M123" s="105"/>
      <c r="N123" s="105"/>
      <c r="O123" s="105"/>
      <c r="P123" s="105"/>
      <c r="Q123" s="105"/>
      <c r="R123" s="105"/>
      <c r="S123" s="105"/>
      <c r="T123" s="105"/>
      <c r="U123" s="105"/>
      <c r="V123" s="105"/>
      <c r="W123" s="105"/>
      <c r="X123" s="105"/>
      <c r="Y123" s="105"/>
      <c r="Z123" s="105"/>
      <c r="AA123" s="105"/>
    </row>
    <row r="124" ht="15.75" hidden="1" customHeight="1">
      <c r="A124" s="105"/>
      <c r="B124" s="105"/>
      <c r="C124" s="105"/>
      <c r="D124" s="105"/>
      <c r="E124" s="105"/>
      <c r="F124" s="105"/>
      <c r="G124" s="105"/>
      <c r="H124" s="105"/>
      <c r="I124" s="105"/>
      <c r="J124" s="105"/>
      <c r="K124" s="105"/>
      <c r="L124" s="105"/>
      <c r="M124" s="105"/>
      <c r="N124" s="105"/>
      <c r="O124" s="105"/>
      <c r="P124" s="105"/>
      <c r="Q124" s="105"/>
      <c r="R124" s="105"/>
      <c r="S124" s="105"/>
      <c r="T124" s="105"/>
      <c r="U124" s="105"/>
      <c r="V124" s="105"/>
      <c r="W124" s="105"/>
      <c r="X124" s="105"/>
      <c r="Y124" s="105"/>
      <c r="Z124" s="105"/>
      <c r="AA124" s="105"/>
    </row>
    <row r="125" ht="15.75" hidden="1" customHeight="1">
      <c r="A125" s="105"/>
      <c r="B125" s="105"/>
      <c r="C125" s="105"/>
      <c r="D125" s="105"/>
      <c r="E125" s="105"/>
      <c r="F125" s="105"/>
      <c r="G125" s="105"/>
      <c r="H125" s="105"/>
      <c r="I125" s="105"/>
      <c r="J125" s="105"/>
      <c r="K125" s="105"/>
      <c r="L125" s="105"/>
      <c r="M125" s="105"/>
      <c r="N125" s="105"/>
      <c r="O125" s="105"/>
      <c r="P125" s="105"/>
      <c r="Q125" s="105"/>
      <c r="R125" s="105"/>
      <c r="S125" s="105"/>
      <c r="T125" s="105"/>
      <c r="U125" s="105"/>
      <c r="V125" s="105"/>
      <c r="W125" s="105"/>
      <c r="X125" s="105"/>
      <c r="Y125" s="105"/>
      <c r="Z125" s="105"/>
      <c r="AA125" s="105"/>
    </row>
    <row r="126" ht="15.75" hidden="1" customHeight="1">
      <c r="A126" s="105"/>
      <c r="B126" s="105"/>
      <c r="C126" s="105"/>
      <c r="D126" s="105"/>
      <c r="E126" s="105"/>
      <c r="F126" s="105"/>
      <c r="G126" s="105"/>
      <c r="H126" s="105"/>
      <c r="I126" s="105"/>
      <c r="J126" s="105"/>
      <c r="K126" s="105"/>
      <c r="L126" s="105"/>
      <c r="M126" s="105"/>
      <c r="N126" s="105"/>
      <c r="O126" s="105"/>
      <c r="P126" s="105"/>
      <c r="Q126" s="105"/>
      <c r="R126" s="105"/>
      <c r="S126" s="105"/>
      <c r="T126" s="105"/>
      <c r="U126" s="105"/>
      <c r="V126" s="105"/>
      <c r="W126" s="105"/>
      <c r="X126" s="105"/>
      <c r="Y126" s="105"/>
      <c r="Z126" s="105"/>
      <c r="AA126" s="105"/>
    </row>
    <row r="127" ht="15.75" hidden="1" customHeight="1">
      <c r="A127" s="105"/>
      <c r="B127" s="105"/>
      <c r="C127" s="105"/>
      <c r="D127" s="105"/>
      <c r="E127" s="105"/>
      <c r="F127" s="105"/>
      <c r="G127" s="105"/>
      <c r="H127" s="105"/>
      <c r="I127" s="105"/>
      <c r="J127" s="105"/>
      <c r="K127" s="105"/>
      <c r="L127" s="105"/>
      <c r="M127" s="105"/>
      <c r="N127" s="105"/>
      <c r="O127" s="105"/>
      <c r="P127" s="105"/>
      <c r="Q127" s="105"/>
      <c r="R127" s="105"/>
      <c r="S127" s="105"/>
      <c r="T127" s="105"/>
      <c r="U127" s="105"/>
      <c r="V127" s="105"/>
      <c r="W127" s="105"/>
      <c r="X127" s="105"/>
      <c r="Y127" s="105"/>
      <c r="Z127" s="105"/>
      <c r="AA127" s="105"/>
    </row>
    <row r="128" ht="15.75" hidden="1" customHeight="1">
      <c r="A128" s="105"/>
      <c r="B128" s="105"/>
      <c r="C128" s="105"/>
      <c r="D128" s="105"/>
      <c r="E128" s="105"/>
      <c r="F128" s="105"/>
      <c r="G128" s="105"/>
      <c r="H128" s="105"/>
      <c r="I128" s="105"/>
      <c r="J128" s="105"/>
      <c r="K128" s="105"/>
      <c r="L128" s="105"/>
      <c r="M128" s="105"/>
      <c r="N128" s="105"/>
      <c r="O128" s="105"/>
      <c r="P128" s="105"/>
      <c r="Q128" s="105"/>
      <c r="R128" s="105"/>
      <c r="S128" s="105"/>
      <c r="T128" s="105"/>
      <c r="U128" s="105"/>
      <c r="V128" s="105"/>
      <c r="W128" s="105"/>
      <c r="X128" s="105"/>
      <c r="Y128" s="105"/>
      <c r="Z128" s="105"/>
      <c r="AA128" s="105"/>
    </row>
    <row r="129" ht="15.75" hidden="1" customHeight="1">
      <c r="A129" s="105"/>
      <c r="B129" s="105"/>
      <c r="C129" s="105"/>
      <c r="D129" s="105"/>
      <c r="E129" s="105"/>
      <c r="F129" s="105"/>
      <c r="G129" s="105"/>
      <c r="H129" s="105"/>
      <c r="I129" s="105"/>
      <c r="J129" s="105"/>
      <c r="K129" s="105"/>
      <c r="L129" s="105"/>
      <c r="M129" s="105"/>
      <c r="N129" s="105"/>
      <c r="O129" s="105"/>
      <c r="P129" s="105"/>
      <c r="Q129" s="105"/>
      <c r="R129" s="105"/>
      <c r="S129" s="105"/>
      <c r="T129" s="105"/>
      <c r="U129" s="105"/>
      <c r="V129" s="105"/>
      <c r="W129" s="105"/>
      <c r="X129" s="105"/>
      <c r="Y129" s="105"/>
      <c r="Z129" s="105"/>
      <c r="AA129" s="105"/>
    </row>
    <row r="130" ht="15.75" hidden="1" customHeight="1">
      <c r="A130" s="105"/>
      <c r="B130" s="105"/>
      <c r="C130" s="105"/>
      <c r="D130" s="105"/>
      <c r="E130" s="105"/>
      <c r="F130" s="105"/>
      <c r="G130" s="105"/>
      <c r="H130" s="105"/>
      <c r="I130" s="105"/>
      <c r="J130" s="105"/>
      <c r="K130" s="105"/>
      <c r="L130" s="105"/>
      <c r="M130" s="105"/>
      <c r="N130" s="105"/>
      <c r="O130" s="105"/>
      <c r="P130" s="105"/>
      <c r="Q130" s="105"/>
      <c r="R130" s="105"/>
      <c r="S130" s="105"/>
      <c r="T130" s="105"/>
      <c r="U130" s="105"/>
      <c r="V130" s="105"/>
      <c r="W130" s="105"/>
      <c r="X130" s="105"/>
      <c r="Y130" s="105"/>
      <c r="Z130" s="105"/>
      <c r="AA130" s="105"/>
    </row>
    <row r="131" ht="15.75" hidden="1" customHeight="1">
      <c r="A131" s="105"/>
      <c r="B131" s="105"/>
      <c r="C131" s="105"/>
      <c r="D131" s="105"/>
      <c r="E131" s="105"/>
      <c r="F131" s="105"/>
      <c r="G131" s="105"/>
      <c r="H131" s="105"/>
      <c r="I131" s="105"/>
      <c r="J131" s="105"/>
      <c r="K131" s="105"/>
      <c r="L131" s="105"/>
      <c r="M131" s="105"/>
      <c r="N131" s="105"/>
      <c r="O131" s="105"/>
      <c r="P131" s="105"/>
      <c r="Q131" s="105"/>
      <c r="R131" s="105"/>
      <c r="S131" s="105"/>
      <c r="T131" s="105"/>
      <c r="U131" s="105"/>
      <c r="V131" s="105"/>
      <c r="W131" s="105"/>
      <c r="X131" s="105"/>
      <c r="Y131" s="105"/>
      <c r="Z131" s="105"/>
      <c r="AA131" s="105"/>
    </row>
    <row r="132" ht="15.75" hidden="1" customHeight="1">
      <c r="A132" s="105"/>
      <c r="B132" s="105"/>
      <c r="C132" s="105"/>
      <c r="D132" s="105"/>
      <c r="E132" s="105"/>
      <c r="F132" s="105"/>
      <c r="G132" s="105"/>
      <c r="H132" s="105"/>
      <c r="I132" s="105"/>
      <c r="J132" s="105"/>
      <c r="K132" s="105"/>
      <c r="L132" s="105"/>
      <c r="M132" s="105"/>
      <c r="N132" s="105"/>
      <c r="O132" s="105"/>
      <c r="P132" s="105"/>
      <c r="Q132" s="105"/>
      <c r="R132" s="105"/>
      <c r="S132" s="105"/>
      <c r="T132" s="105"/>
      <c r="U132" s="105"/>
      <c r="V132" s="105"/>
      <c r="W132" s="105"/>
      <c r="X132" s="105"/>
      <c r="Y132" s="105"/>
      <c r="Z132" s="105"/>
      <c r="AA132" s="105"/>
    </row>
    <row r="133" ht="15.75" hidden="1" customHeight="1">
      <c r="A133" s="105"/>
      <c r="B133" s="105"/>
      <c r="C133" s="105"/>
      <c r="D133" s="105"/>
      <c r="E133" s="105"/>
      <c r="F133" s="105"/>
      <c r="G133" s="105"/>
      <c r="H133" s="105"/>
      <c r="I133" s="105"/>
      <c r="J133" s="105"/>
      <c r="K133" s="105"/>
      <c r="L133" s="105"/>
      <c r="M133" s="105"/>
      <c r="N133" s="105"/>
      <c r="O133" s="105"/>
      <c r="P133" s="105"/>
      <c r="Q133" s="105"/>
      <c r="R133" s="105"/>
      <c r="S133" s="105"/>
      <c r="T133" s="105"/>
      <c r="U133" s="105"/>
      <c r="V133" s="105"/>
      <c r="W133" s="105"/>
      <c r="X133" s="105"/>
      <c r="Y133" s="105"/>
      <c r="Z133" s="105"/>
      <c r="AA133" s="105"/>
    </row>
    <row r="134" ht="15.75" hidden="1" customHeight="1">
      <c r="A134" s="105"/>
      <c r="B134" s="105"/>
      <c r="C134" s="105"/>
      <c r="D134" s="105"/>
      <c r="E134" s="105"/>
      <c r="F134" s="105"/>
      <c r="G134" s="105"/>
      <c r="H134" s="105"/>
      <c r="I134" s="105"/>
      <c r="J134" s="105"/>
      <c r="K134" s="105"/>
      <c r="L134" s="105"/>
      <c r="M134" s="105"/>
      <c r="N134" s="105"/>
      <c r="O134" s="105"/>
      <c r="P134" s="105"/>
      <c r="Q134" s="105"/>
      <c r="R134" s="105"/>
      <c r="S134" s="105"/>
      <c r="T134" s="105"/>
      <c r="U134" s="105"/>
      <c r="V134" s="105"/>
      <c r="W134" s="105"/>
      <c r="X134" s="105"/>
      <c r="Y134" s="105"/>
      <c r="Z134" s="105"/>
      <c r="AA134" s="105"/>
    </row>
    <row r="135" ht="15.75" hidden="1" customHeight="1">
      <c r="A135" s="105"/>
      <c r="B135" s="105"/>
      <c r="C135" s="105"/>
      <c r="D135" s="105"/>
      <c r="E135" s="105"/>
      <c r="F135" s="105"/>
      <c r="G135" s="105"/>
      <c r="H135" s="105"/>
      <c r="I135" s="105"/>
      <c r="J135" s="105"/>
      <c r="K135" s="105"/>
      <c r="L135" s="105"/>
      <c r="M135" s="105"/>
      <c r="N135" s="105"/>
      <c r="O135" s="105"/>
      <c r="P135" s="105"/>
      <c r="Q135" s="105"/>
      <c r="R135" s="105"/>
      <c r="S135" s="105"/>
      <c r="T135" s="105"/>
      <c r="U135" s="105"/>
      <c r="V135" s="105"/>
      <c r="W135" s="105"/>
      <c r="X135" s="105"/>
      <c r="Y135" s="105"/>
      <c r="Z135" s="105"/>
      <c r="AA135" s="105"/>
    </row>
    <row r="136" ht="15.75" hidden="1" customHeight="1">
      <c r="A136" s="105"/>
      <c r="B136" s="105"/>
      <c r="C136" s="105"/>
      <c r="D136" s="105"/>
      <c r="E136" s="105"/>
      <c r="F136" s="105"/>
      <c r="G136" s="105"/>
      <c r="H136" s="105"/>
      <c r="I136" s="105"/>
      <c r="J136" s="105"/>
      <c r="K136" s="105"/>
      <c r="L136" s="105"/>
      <c r="M136" s="105"/>
      <c r="N136" s="105"/>
      <c r="O136" s="105"/>
      <c r="P136" s="105"/>
      <c r="Q136" s="105"/>
      <c r="R136" s="105"/>
      <c r="S136" s="105"/>
      <c r="T136" s="105"/>
      <c r="U136" s="105"/>
      <c r="V136" s="105"/>
      <c r="W136" s="105"/>
      <c r="X136" s="105"/>
      <c r="Y136" s="105"/>
      <c r="Z136" s="105"/>
      <c r="AA136" s="105"/>
    </row>
    <row r="137" ht="15.75" hidden="1" customHeight="1">
      <c r="A137" s="105"/>
      <c r="B137" s="105"/>
      <c r="C137" s="105"/>
      <c r="D137" s="105"/>
      <c r="E137" s="105"/>
      <c r="F137" s="105"/>
      <c r="G137" s="105"/>
      <c r="H137" s="105"/>
      <c r="I137" s="105"/>
      <c r="J137" s="105"/>
      <c r="K137" s="105"/>
      <c r="L137" s="105"/>
      <c r="M137" s="105"/>
      <c r="N137" s="105"/>
      <c r="O137" s="105"/>
      <c r="P137" s="105"/>
      <c r="Q137" s="105"/>
      <c r="R137" s="105"/>
      <c r="S137" s="105"/>
      <c r="T137" s="105"/>
      <c r="U137" s="105"/>
      <c r="V137" s="105"/>
      <c r="W137" s="105"/>
      <c r="X137" s="105"/>
      <c r="Y137" s="105"/>
      <c r="Z137" s="105"/>
      <c r="AA137" s="105"/>
    </row>
    <row r="138" ht="15.75" hidden="1" customHeight="1">
      <c r="A138" s="105"/>
      <c r="B138" s="105"/>
      <c r="C138" s="105"/>
      <c r="D138" s="105"/>
      <c r="E138" s="105"/>
      <c r="F138" s="105"/>
      <c r="G138" s="105"/>
      <c r="H138" s="105"/>
      <c r="I138" s="105"/>
      <c r="J138" s="105"/>
      <c r="K138" s="105"/>
      <c r="L138" s="105"/>
      <c r="M138" s="105"/>
      <c r="N138" s="105"/>
      <c r="O138" s="105"/>
      <c r="P138" s="105"/>
      <c r="Q138" s="105"/>
      <c r="R138" s="105"/>
      <c r="S138" s="105"/>
      <c r="T138" s="105"/>
      <c r="U138" s="105"/>
      <c r="V138" s="105"/>
      <c r="W138" s="105"/>
      <c r="X138" s="105"/>
      <c r="Y138" s="105"/>
      <c r="Z138" s="105"/>
      <c r="AA138" s="105"/>
    </row>
    <row r="139" ht="15.75" hidden="1" customHeight="1">
      <c r="A139" s="105"/>
      <c r="B139" s="105"/>
      <c r="C139" s="105"/>
      <c r="D139" s="105"/>
      <c r="E139" s="105"/>
      <c r="F139" s="105"/>
      <c r="G139" s="105"/>
      <c r="H139" s="105"/>
      <c r="I139" s="105"/>
      <c r="J139" s="105"/>
      <c r="K139" s="105"/>
      <c r="L139" s="105"/>
      <c r="M139" s="105"/>
      <c r="N139" s="105"/>
      <c r="O139" s="105"/>
      <c r="P139" s="105"/>
      <c r="Q139" s="105"/>
      <c r="R139" s="105"/>
      <c r="S139" s="105"/>
      <c r="T139" s="105"/>
      <c r="U139" s="105"/>
      <c r="V139" s="105"/>
      <c r="W139" s="105"/>
      <c r="X139" s="105"/>
      <c r="Y139" s="105"/>
      <c r="Z139" s="105"/>
      <c r="AA139" s="105"/>
    </row>
    <row r="140" ht="15.75" hidden="1" customHeight="1">
      <c r="A140" s="105"/>
      <c r="B140" s="105"/>
      <c r="C140" s="105"/>
      <c r="D140" s="105"/>
      <c r="E140" s="105"/>
      <c r="F140" s="105"/>
      <c r="G140" s="105"/>
      <c r="H140" s="105"/>
      <c r="I140" s="105"/>
      <c r="J140" s="105"/>
      <c r="K140" s="105"/>
      <c r="L140" s="105"/>
      <c r="M140" s="105"/>
      <c r="N140" s="105"/>
      <c r="O140" s="105"/>
      <c r="P140" s="105"/>
      <c r="Q140" s="105"/>
      <c r="R140" s="105"/>
      <c r="S140" s="105"/>
      <c r="T140" s="105"/>
      <c r="U140" s="105"/>
      <c r="V140" s="105"/>
      <c r="W140" s="105"/>
      <c r="X140" s="105"/>
      <c r="Y140" s="105"/>
      <c r="Z140" s="105"/>
      <c r="AA140" s="105"/>
    </row>
    <row r="141" ht="15.75" hidden="1" customHeight="1">
      <c r="A141" s="105"/>
      <c r="B141" s="105"/>
      <c r="C141" s="105"/>
      <c r="D141" s="105"/>
      <c r="E141" s="105"/>
      <c r="F141" s="105"/>
      <c r="G141" s="105"/>
      <c r="H141" s="105"/>
      <c r="I141" s="105"/>
      <c r="J141" s="105"/>
      <c r="K141" s="105"/>
      <c r="L141" s="105"/>
      <c r="M141" s="105"/>
      <c r="N141" s="105"/>
      <c r="O141" s="105"/>
      <c r="P141" s="105"/>
      <c r="Q141" s="105"/>
      <c r="R141" s="105"/>
      <c r="S141" s="105"/>
      <c r="T141" s="105"/>
      <c r="U141" s="105"/>
      <c r="V141" s="105"/>
      <c r="W141" s="105"/>
      <c r="X141" s="105"/>
      <c r="Y141" s="105"/>
      <c r="Z141" s="105"/>
      <c r="AA141" s="105"/>
    </row>
    <row r="142" ht="15.75" hidden="1" customHeight="1">
      <c r="A142" s="105"/>
      <c r="B142" s="105"/>
      <c r="C142" s="105"/>
      <c r="D142" s="105"/>
      <c r="E142" s="105"/>
      <c r="F142" s="105"/>
      <c r="G142" s="105"/>
      <c r="H142" s="105"/>
      <c r="I142" s="105"/>
      <c r="J142" s="105"/>
      <c r="K142" s="105"/>
      <c r="L142" s="105"/>
      <c r="M142" s="105"/>
      <c r="N142" s="105"/>
      <c r="O142" s="105"/>
      <c r="P142" s="105"/>
      <c r="Q142" s="105"/>
      <c r="R142" s="105"/>
      <c r="S142" s="105"/>
      <c r="T142" s="105"/>
      <c r="U142" s="105"/>
      <c r="V142" s="105"/>
      <c r="W142" s="105"/>
      <c r="X142" s="105"/>
      <c r="Y142" s="105"/>
      <c r="Z142" s="105"/>
      <c r="AA142" s="105"/>
    </row>
    <row r="143" ht="15.75" hidden="1" customHeight="1">
      <c r="A143" s="105"/>
      <c r="B143" s="105"/>
      <c r="C143" s="105"/>
      <c r="D143" s="105"/>
      <c r="E143" s="105"/>
      <c r="F143" s="105"/>
      <c r="G143" s="105"/>
      <c r="H143" s="105"/>
      <c r="I143" s="105"/>
      <c r="J143" s="105"/>
      <c r="K143" s="105"/>
      <c r="L143" s="105"/>
      <c r="M143" s="105"/>
      <c r="N143" s="105"/>
      <c r="O143" s="105"/>
      <c r="P143" s="105"/>
      <c r="Q143" s="105"/>
      <c r="R143" s="105"/>
      <c r="S143" s="105"/>
      <c r="T143" s="105"/>
      <c r="U143" s="105"/>
      <c r="V143" s="105"/>
      <c r="W143" s="105"/>
      <c r="X143" s="105"/>
      <c r="Y143" s="105"/>
      <c r="Z143" s="105"/>
      <c r="AA143" s="105"/>
    </row>
    <row r="144" ht="15.75" hidden="1" customHeight="1">
      <c r="A144" s="105"/>
      <c r="B144" s="105"/>
      <c r="C144" s="105"/>
      <c r="D144" s="105"/>
      <c r="E144" s="105"/>
      <c r="F144" s="105"/>
      <c r="G144" s="105"/>
      <c r="H144" s="105"/>
      <c r="I144" s="105"/>
      <c r="J144" s="105"/>
      <c r="K144" s="105"/>
      <c r="L144" s="105"/>
      <c r="M144" s="105"/>
      <c r="N144" s="105"/>
      <c r="O144" s="105"/>
      <c r="P144" s="105"/>
      <c r="Q144" s="105"/>
      <c r="R144" s="105"/>
      <c r="S144" s="105"/>
      <c r="T144" s="105"/>
      <c r="U144" s="105"/>
      <c r="V144" s="105"/>
      <c r="W144" s="105"/>
      <c r="X144" s="105"/>
      <c r="Y144" s="105"/>
      <c r="Z144" s="105"/>
      <c r="AA144" s="105"/>
    </row>
    <row r="145" ht="15.75" hidden="1" customHeight="1">
      <c r="A145" s="105"/>
      <c r="B145" s="105"/>
      <c r="C145" s="105"/>
      <c r="D145" s="105"/>
      <c r="E145" s="105"/>
      <c r="F145" s="105"/>
      <c r="G145" s="105"/>
      <c r="H145" s="105"/>
      <c r="I145" s="105"/>
      <c r="J145" s="105"/>
      <c r="K145" s="105"/>
      <c r="L145" s="105"/>
      <c r="M145" s="105"/>
      <c r="N145" s="105"/>
      <c r="O145" s="105"/>
      <c r="P145" s="105"/>
      <c r="Q145" s="105"/>
      <c r="R145" s="105"/>
      <c r="S145" s="105"/>
      <c r="T145" s="105"/>
      <c r="U145" s="105"/>
      <c r="V145" s="105"/>
      <c r="W145" s="105"/>
      <c r="X145" s="105"/>
      <c r="Y145" s="105"/>
      <c r="Z145" s="105"/>
      <c r="AA145" s="105"/>
    </row>
    <row r="146" ht="15.75" hidden="1" customHeight="1">
      <c r="A146" s="105"/>
      <c r="B146" s="105"/>
      <c r="C146" s="105"/>
      <c r="D146" s="105"/>
      <c r="E146" s="105"/>
      <c r="F146" s="105"/>
      <c r="G146" s="105"/>
      <c r="H146" s="105"/>
      <c r="I146" s="105"/>
      <c r="J146" s="105"/>
      <c r="K146" s="105"/>
      <c r="L146" s="105"/>
      <c r="M146" s="105"/>
      <c r="N146" s="105"/>
      <c r="O146" s="105"/>
      <c r="P146" s="105"/>
      <c r="Q146" s="105"/>
      <c r="R146" s="105"/>
      <c r="S146" s="105"/>
      <c r="T146" s="105"/>
      <c r="U146" s="105"/>
      <c r="V146" s="105"/>
      <c r="W146" s="105"/>
      <c r="X146" s="105"/>
      <c r="Y146" s="105"/>
      <c r="Z146" s="105"/>
      <c r="AA146" s="105"/>
    </row>
    <row r="147" ht="15.75" hidden="1" customHeight="1">
      <c r="A147" s="105"/>
      <c r="B147" s="105"/>
      <c r="C147" s="105"/>
      <c r="D147" s="105"/>
      <c r="E147" s="105"/>
      <c r="F147" s="105"/>
      <c r="G147" s="105"/>
      <c r="H147" s="105"/>
      <c r="I147" s="105"/>
      <c r="J147" s="105"/>
      <c r="K147" s="105"/>
      <c r="L147" s="105"/>
      <c r="M147" s="105"/>
      <c r="N147" s="105"/>
      <c r="O147" s="105"/>
      <c r="P147" s="105"/>
      <c r="Q147" s="105"/>
      <c r="R147" s="105"/>
      <c r="S147" s="105"/>
      <c r="T147" s="105"/>
      <c r="U147" s="105"/>
      <c r="V147" s="105"/>
      <c r="W147" s="105"/>
      <c r="X147" s="105"/>
      <c r="Y147" s="105"/>
      <c r="Z147" s="105"/>
      <c r="AA147" s="105"/>
    </row>
    <row r="148" ht="15.75" hidden="1" customHeight="1">
      <c r="A148" s="105"/>
      <c r="B148" s="105"/>
      <c r="C148" s="105"/>
      <c r="D148" s="105"/>
      <c r="E148" s="105"/>
      <c r="F148" s="105"/>
      <c r="G148" s="105"/>
      <c r="H148" s="105"/>
      <c r="I148" s="105"/>
      <c r="J148" s="105"/>
      <c r="K148" s="105"/>
      <c r="L148" s="105"/>
      <c r="M148" s="105"/>
      <c r="N148" s="105"/>
      <c r="O148" s="105"/>
      <c r="P148" s="105"/>
      <c r="Q148" s="105"/>
      <c r="R148" s="105"/>
      <c r="S148" s="105"/>
      <c r="T148" s="105"/>
      <c r="U148" s="105"/>
      <c r="V148" s="105"/>
      <c r="W148" s="105"/>
      <c r="X148" s="105"/>
      <c r="Y148" s="105"/>
      <c r="Z148" s="105"/>
      <c r="AA148" s="105"/>
    </row>
    <row r="149" ht="15.75" hidden="1" customHeight="1">
      <c r="A149" s="105"/>
      <c r="B149" s="105"/>
      <c r="C149" s="105"/>
      <c r="D149" s="105"/>
      <c r="E149" s="105"/>
      <c r="F149" s="105"/>
      <c r="G149" s="105"/>
      <c r="H149" s="105"/>
      <c r="I149" s="105"/>
      <c r="J149" s="105"/>
      <c r="K149" s="105"/>
      <c r="L149" s="105"/>
      <c r="M149" s="105"/>
      <c r="N149" s="105"/>
      <c r="O149" s="105"/>
      <c r="P149" s="105"/>
      <c r="Q149" s="105"/>
      <c r="R149" s="105"/>
      <c r="S149" s="105"/>
      <c r="T149" s="105"/>
      <c r="U149" s="105"/>
      <c r="V149" s="105"/>
      <c r="W149" s="105"/>
      <c r="X149" s="105"/>
      <c r="Y149" s="105"/>
      <c r="Z149" s="105"/>
      <c r="AA149" s="105"/>
    </row>
    <row r="150" ht="15.75" hidden="1" customHeight="1">
      <c r="A150" s="105"/>
      <c r="B150" s="105"/>
      <c r="C150" s="105"/>
      <c r="D150" s="105"/>
      <c r="E150" s="105"/>
      <c r="F150" s="105"/>
      <c r="G150" s="105"/>
      <c r="H150" s="105"/>
      <c r="I150" s="105"/>
      <c r="J150" s="105"/>
      <c r="K150" s="105"/>
      <c r="L150" s="105"/>
      <c r="M150" s="105"/>
      <c r="N150" s="105"/>
      <c r="O150" s="105"/>
      <c r="P150" s="105"/>
      <c r="Q150" s="105"/>
      <c r="R150" s="105"/>
      <c r="S150" s="105"/>
      <c r="T150" s="105"/>
      <c r="U150" s="105"/>
      <c r="V150" s="105"/>
      <c r="W150" s="105"/>
      <c r="X150" s="105"/>
      <c r="Y150" s="105"/>
      <c r="Z150" s="105"/>
      <c r="AA150" s="105"/>
    </row>
    <row r="151" ht="15.75" hidden="1" customHeight="1">
      <c r="A151" s="105"/>
      <c r="B151" s="105"/>
      <c r="C151" s="105"/>
      <c r="D151" s="105"/>
      <c r="E151" s="105"/>
      <c r="F151" s="105"/>
      <c r="G151" s="105"/>
      <c r="H151" s="105"/>
      <c r="I151" s="105"/>
      <c r="J151" s="105"/>
      <c r="K151" s="105"/>
      <c r="L151" s="105"/>
      <c r="M151" s="105"/>
      <c r="N151" s="105"/>
      <c r="O151" s="105"/>
      <c r="P151" s="105"/>
      <c r="Q151" s="105"/>
      <c r="R151" s="105"/>
      <c r="S151" s="105"/>
      <c r="T151" s="105"/>
      <c r="U151" s="105"/>
      <c r="V151" s="105"/>
      <c r="W151" s="105"/>
      <c r="X151" s="105"/>
      <c r="Y151" s="105"/>
      <c r="Z151" s="105"/>
      <c r="AA151" s="105"/>
    </row>
    <row r="152" ht="15.75" hidden="1" customHeight="1">
      <c r="A152" s="105"/>
      <c r="B152" s="105"/>
      <c r="C152" s="105"/>
      <c r="D152" s="105"/>
      <c r="E152" s="105"/>
      <c r="F152" s="105"/>
      <c r="G152" s="105"/>
      <c r="H152" s="105"/>
      <c r="I152" s="105"/>
      <c r="J152" s="105"/>
      <c r="K152" s="105"/>
      <c r="L152" s="105"/>
      <c r="M152" s="105"/>
      <c r="N152" s="105"/>
      <c r="O152" s="105"/>
      <c r="P152" s="105"/>
      <c r="Q152" s="105"/>
      <c r="R152" s="105"/>
      <c r="S152" s="105"/>
      <c r="T152" s="105"/>
      <c r="U152" s="105"/>
      <c r="V152" s="105"/>
      <c r="W152" s="105"/>
      <c r="X152" s="105"/>
      <c r="Y152" s="105"/>
      <c r="Z152" s="105"/>
      <c r="AA152" s="105"/>
    </row>
    <row r="153" ht="15.75" hidden="1" customHeight="1">
      <c r="A153" s="105"/>
      <c r="B153" s="105"/>
      <c r="C153" s="105"/>
      <c r="D153" s="105"/>
      <c r="E153" s="105"/>
      <c r="F153" s="105"/>
      <c r="G153" s="105"/>
      <c r="H153" s="105"/>
      <c r="I153" s="105"/>
      <c r="J153" s="105"/>
      <c r="K153" s="105"/>
      <c r="L153" s="105"/>
      <c r="M153" s="105"/>
      <c r="N153" s="105"/>
      <c r="O153" s="105"/>
      <c r="P153" s="105"/>
      <c r="Q153" s="105"/>
      <c r="R153" s="105"/>
      <c r="S153" s="105"/>
      <c r="T153" s="105"/>
      <c r="U153" s="105"/>
      <c r="V153" s="105"/>
      <c r="W153" s="105"/>
      <c r="X153" s="105"/>
      <c r="Y153" s="105"/>
      <c r="Z153" s="105"/>
      <c r="AA153" s="105"/>
    </row>
    <row r="154" ht="15.75" hidden="1" customHeight="1">
      <c r="A154" s="105"/>
      <c r="B154" s="105"/>
      <c r="C154" s="105"/>
      <c r="D154" s="105"/>
      <c r="E154" s="105"/>
      <c r="F154" s="105"/>
      <c r="G154" s="105"/>
      <c r="H154" s="105"/>
      <c r="I154" s="105"/>
      <c r="J154" s="105"/>
      <c r="K154" s="105"/>
      <c r="L154" s="105"/>
      <c r="M154" s="105"/>
      <c r="N154" s="105"/>
      <c r="O154" s="105"/>
      <c r="P154" s="105"/>
      <c r="Q154" s="105"/>
      <c r="R154" s="105"/>
      <c r="S154" s="105"/>
      <c r="T154" s="105"/>
      <c r="U154" s="105"/>
      <c r="V154" s="105"/>
      <c r="W154" s="105"/>
      <c r="X154" s="105"/>
      <c r="Y154" s="105"/>
      <c r="Z154" s="105"/>
      <c r="AA154" s="105"/>
    </row>
    <row r="155" ht="15.75" hidden="1" customHeight="1">
      <c r="A155" s="105"/>
      <c r="B155" s="105"/>
      <c r="C155" s="105"/>
      <c r="D155" s="105"/>
      <c r="E155" s="105"/>
      <c r="F155" s="105"/>
      <c r="G155" s="105"/>
      <c r="H155" s="105"/>
      <c r="I155" s="105"/>
      <c r="J155" s="105"/>
      <c r="K155" s="105"/>
      <c r="L155" s="105"/>
      <c r="M155" s="105"/>
      <c r="N155" s="105"/>
      <c r="O155" s="105"/>
      <c r="P155" s="105"/>
      <c r="Q155" s="105"/>
      <c r="R155" s="105"/>
      <c r="S155" s="105"/>
      <c r="T155" s="105"/>
      <c r="U155" s="105"/>
      <c r="V155" s="105"/>
      <c r="W155" s="105"/>
      <c r="X155" s="105"/>
      <c r="Y155" s="105"/>
      <c r="Z155" s="105"/>
      <c r="AA155" s="105"/>
    </row>
    <row r="156" ht="15.75" hidden="1" customHeight="1">
      <c r="A156" s="105"/>
      <c r="B156" s="105"/>
      <c r="C156" s="105"/>
      <c r="D156" s="105"/>
      <c r="E156" s="105"/>
      <c r="F156" s="105"/>
      <c r="G156" s="105"/>
      <c r="H156" s="105"/>
      <c r="I156" s="105"/>
      <c r="J156" s="105"/>
      <c r="K156" s="105"/>
      <c r="L156" s="105"/>
      <c r="M156" s="105"/>
      <c r="N156" s="105"/>
      <c r="O156" s="105"/>
      <c r="P156" s="105"/>
      <c r="Q156" s="105"/>
      <c r="R156" s="105"/>
      <c r="S156" s="105"/>
      <c r="T156" s="105"/>
      <c r="U156" s="105"/>
      <c r="V156" s="105"/>
      <c r="W156" s="105"/>
      <c r="X156" s="105"/>
      <c r="Y156" s="105"/>
      <c r="Z156" s="105"/>
      <c r="AA156" s="105"/>
    </row>
    <row r="157" ht="15.75" hidden="1" customHeight="1">
      <c r="A157" s="105"/>
      <c r="B157" s="105"/>
      <c r="C157" s="105"/>
      <c r="D157" s="105"/>
      <c r="E157" s="105"/>
      <c r="F157" s="105"/>
      <c r="G157" s="105"/>
      <c r="H157" s="105"/>
      <c r="I157" s="105"/>
      <c r="J157" s="105"/>
      <c r="K157" s="105"/>
      <c r="L157" s="105"/>
      <c r="M157" s="105"/>
      <c r="N157" s="105"/>
      <c r="O157" s="105"/>
      <c r="P157" s="105"/>
      <c r="Q157" s="105"/>
      <c r="R157" s="105"/>
      <c r="S157" s="105"/>
      <c r="T157" s="105"/>
      <c r="U157" s="105"/>
      <c r="V157" s="105"/>
      <c r="W157" s="105"/>
      <c r="X157" s="105"/>
      <c r="Y157" s="105"/>
      <c r="Z157" s="105"/>
      <c r="AA157" s="105"/>
    </row>
    <row r="158" ht="15.75" hidden="1" customHeight="1">
      <c r="A158" s="105"/>
      <c r="B158" s="105"/>
      <c r="C158" s="105"/>
      <c r="D158" s="105"/>
      <c r="E158" s="105"/>
      <c r="F158" s="105"/>
      <c r="G158" s="105"/>
      <c r="H158" s="105"/>
      <c r="I158" s="105"/>
      <c r="J158" s="105"/>
      <c r="K158" s="105"/>
      <c r="L158" s="105"/>
      <c r="M158" s="105"/>
      <c r="N158" s="105"/>
      <c r="O158" s="105"/>
      <c r="P158" s="105"/>
      <c r="Q158" s="105"/>
      <c r="R158" s="105"/>
      <c r="S158" s="105"/>
      <c r="T158" s="105"/>
      <c r="U158" s="105"/>
      <c r="V158" s="105"/>
      <c r="W158" s="105"/>
      <c r="X158" s="105"/>
      <c r="Y158" s="105"/>
      <c r="Z158" s="105"/>
      <c r="AA158" s="105"/>
    </row>
    <row r="159" ht="15.75" hidden="1" customHeight="1">
      <c r="A159" s="105"/>
      <c r="B159" s="105"/>
      <c r="C159" s="105"/>
      <c r="D159" s="105"/>
      <c r="E159" s="105"/>
      <c r="F159" s="105"/>
      <c r="G159" s="105"/>
      <c r="H159" s="105"/>
      <c r="I159" s="105"/>
      <c r="J159" s="105"/>
      <c r="K159" s="105"/>
      <c r="L159" s="105"/>
      <c r="M159" s="105"/>
      <c r="N159" s="105"/>
      <c r="O159" s="105"/>
      <c r="P159" s="105"/>
      <c r="Q159" s="105"/>
      <c r="R159" s="105"/>
      <c r="S159" s="105"/>
      <c r="T159" s="105"/>
      <c r="U159" s="105"/>
      <c r="V159" s="105"/>
      <c r="W159" s="105"/>
      <c r="X159" s="105"/>
      <c r="Y159" s="105"/>
      <c r="Z159" s="105"/>
      <c r="AA159" s="105"/>
    </row>
    <row r="160" ht="15.75" hidden="1" customHeight="1">
      <c r="A160" s="105"/>
      <c r="B160" s="105"/>
      <c r="C160" s="105"/>
      <c r="D160" s="105"/>
      <c r="E160" s="105"/>
      <c r="F160" s="105"/>
      <c r="G160" s="105"/>
      <c r="H160" s="105"/>
      <c r="I160" s="105"/>
      <c r="J160" s="105"/>
      <c r="K160" s="105"/>
      <c r="L160" s="105"/>
      <c r="M160" s="105"/>
      <c r="N160" s="105"/>
      <c r="O160" s="105"/>
      <c r="P160" s="105"/>
      <c r="Q160" s="105"/>
      <c r="R160" s="105"/>
      <c r="S160" s="105"/>
      <c r="T160" s="105"/>
      <c r="U160" s="105"/>
      <c r="V160" s="105"/>
      <c r="W160" s="105"/>
      <c r="X160" s="105"/>
      <c r="Y160" s="105"/>
      <c r="Z160" s="105"/>
      <c r="AA160" s="105"/>
    </row>
    <row r="161" ht="15.75" hidden="1" customHeight="1">
      <c r="A161" s="105"/>
      <c r="B161" s="105"/>
      <c r="C161" s="105"/>
      <c r="D161" s="105"/>
      <c r="E161" s="105"/>
      <c r="F161" s="105"/>
      <c r="G161" s="105"/>
      <c r="H161" s="105"/>
      <c r="I161" s="105"/>
      <c r="J161" s="105"/>
      <c r="K161" s="105"/>
      <c r="L161" s="105"/>
      <c r="M161" s="105"/>
      <c r="N161" s="105"/>
      <c r="O161" s="105"/>
      <c r="P161" s="105"/>
      <c r="Q161" s="105"/>
      <c r="R161" s="105"/>
      <c r="S161" s="105"/>
      <c r="T161" s="105"/>
      <c r="U161" s="105"/>
      <c r="V161" s="105"/>
      <c r="W161" s="105"/>
      <c r="X161" s="105"/>
      <c r="Y161" s="105"/>
      <c r="Z161" s="105"/>
      <c r="AA161" s="105"/>
    </row>
    <row r="162" ht="15.75" hidden="1" customHeight="1">
      <c r="A162" s="105"/>
      <c r="B162" s="105"/>
      <c r="C162" s="105"/>
      <c r="D162" s="105"/>
      <c r="E162" s="105"/>
      <c r="F162" s="105"/>
      <c r="G162" s="105"/>
      <c r="H162" s="105"/>
      <c r="I162" s="105"/>
      <c r="J162" s="105"/>
      <c r="K162" s="105"/>
      <c r="L162" s="105"/>
      <c r="M162" s="105"/>
      <c r="N162" s="105"/>
      <c r="O162" s="105"/>
      <c r="P162" s="105"/>
      <c r="Q162" s="105"/>
      <c r="R162" s="105"/>
      <c r="S162" s="105"/>
      <c r="T162" s="105"/>
      <c r="U162" s="105"/>
      <c r="V162" s="105"/>
      <c r="W162" s="105"/>
      <c r="X162" s="105"/>
      <c r="Y162" s="105"/>
      <c r="Z162" s="105"/>
      <c r="AA162" s="105"/>
    </row>
    <row r="163" ht="15.75" hidden="1" customHeight="1">
      <c r="A163" s="105"/>
      <c r="B163" s="105"/>
      <c r="C163" s="105"/>
      <c r="D163" s="105"/>
      <c r="E163" s="105"/>
      <c r="F163" s="105"/>
      <c r="G163" s="105"/>
      <c r="H163" s="105"/>
      <c r="I163" s="105"/>
      <c r="J163" s="105"/>
      <c r="K163" s="105"/>
      <c r="L163" s="105"/>
      <c r="M163" s="105"/>
      <c r="N163" s="105"/>
      <c r="O163" s="105"/>
      <c r="P163" s="105"/>
      <c r="Q163" s="105"/>
      <c r="R163" s="105"/>
      <c r="S163" s="105"/>
      <c r="T163" s="105"/>
      <c r="U163" s="105"/>
      <c r="V163" s="105"/>
      <c r="W163" s="105"/>
      <c r="X163" s="105"/>
      <c r="Y163" s="105"/>
      <c r="Z163" s="105"/>
      <c r="AA163" s="105"/>
    </row>
    <row r="164" ht="15.75" hidden="1" customHeight="1">
      <c r="A164" s="105"/>
      <c r="B164" s="105"/>
      <c r="C164" s="105"/>
      <c r="D164" s="105"/>
      <c r="E164" s="105"/>
      <c r="F164" s="105"/>
      <c r="G164" s="105"/>
      <c r="H164" s="105"/>
      <c r="I164" s="105"/>
      <c r="J164" s="105"/>
      <c r="K164" s="105"/>
      <c r="L164" s="105"/>
      <c r="M164" s="105"/>
      <c r="N164" s="105"/>
      <c r="O164" s="105"/>
      <c r="P164" s="105"/>
      <c r="Q164" s="105"/>
      <c r="R164" s="105"/>
      <c r="S164" s="105"/>
      <c r="T164" s="105"/>
      <c r="U164" s="105"/>
      <c r="V164" s="105"/>
      <c r="W164" s="105"/>
      <c r="X164" s="105"/>
      <c r="Y164" s="105"/>
      <c r="Z164" s="105"/>
      <c r="AA164" s="105"/>
    </row>
    <row r="165" ht="15.75" hidden="1" customHeight="1">
      <c r="A165" s="105"/>
      <c r="B165" s="105"/>
      <c r="C165" s="105"/>
      <c r="D165" s="105"/>
      <c r="E165" s="105"/>
      <c r="F165" s="105"/>
      <c r="G165" s="105"/>
      <c r="H165" s="105"/>
      <c r="I165" s="105"/>
      <c r="J165" s="105"/>
      <c r="K165" s="105"/>
      <c r="L165" s="105"/>
      <c r="M165" s="105"/>
      <c r="N165" s="105"/>
      <c r="O165" s="105"/>
      <c r="P165" s="105"/>
      <c r="Q165" s="105"/>
      <c r="R165" s="105"/>
      <c r="S165" s="105"/>
      <c r="T165" s="105"/>
      <c r="U165" s="105"/>
      <c r="V165" s="105"/>
      <c r="W165" s="105"/>
      <c r="X165" s="105"/>
      <c r="Y165" s="105"/>
      <c r="Z165" s="105"/>
      <c r="AA165" s="105"/>
    </row>
    <row r="166" ht="15.75" hidden="1" customHeight="1">
      <c r="A166" s="105"/>
      <c r="B166" s="105"/>
      <c r="C166" s="105"/>
      <c r="D166" s="105"/>
      <c r="E166" s="105"/>
      <c r="F166" s="105"/>
      <c r="G166" s="105"/>
      <c r="H166" s="105"/>
      <c r="I166" s="105"/>
      <c r="J166" s="105"/>
      <c r="K166" s="105"/>
      <c r="L166" s="105"/>
      <c r="M166" s="105"/>
      <c r="N166" s="105"/>
      <c r="O166" s="105"/>
      <c r="P166" s="105"/>
      <c r="Q166" s="105"/>
      <c r="R166" s="105"/>
      <c r="S166" s="105"/>
      <c r="T166" s="105"/>
      <c r="U166" s="105"/>
      <c r="V166" s="105"/>
      <c r="W166" s="105"/>
      <c r="X166" s="105"/>
      <c r="Y166" s="105"/>
      <c r="Z166" s="105"/>
      <c r="AA166" s="105"/>
    </row>
    <row r="167" ht="15.75" hidden="1" customHeight="1">
      <c r="A167" s="105"/>
      <c r="B167" s="105"/>
      <c r="C167" s="105"/>
      <c r="D167" s="105"/>
      <c r="E167" s="105"/>
      <c r="F167" s="105"/>
      <c r="G167" s="105"/>
      <c r="H167" s="105"/>
      <c r="I167" s="105"/>
      <c r="J167" s="105"/>
      <c r="K167" s="105"/>
      <c r="L167" s="105"/>
      <c r="M167" s="105"/>
      <c r="N167" s="105"/>
      <c r="O167" s="105"/>
      <c r="P167" s="105"/>
      <c r="Q167" s="105"/>
      <c r="R167" s="105"/>
      <c r="S167" s="105"/>
      <c r="T167" s="105"/>
      <c r="U167" s="105"/>
      <c r="V167" s="105"/>
      <c r="W167" s="105"/>
      <c r="X167" s="105"/>
      <c r="Y167" s="105"/>
      <c r="Z167" s="105"/>
      <c r="AA167" s="105"/>
    </row>
    <row r="168" ht="15.75" hidden="1" customHeight="1">
      <c r="A168" s="105"/>
      <c r="B168" s="105"/>
      <c r="C168" s="105"/>
      <c r="D168" s="105"/>
      <c r="E168" s="105"/>
      <c r="F168" s="105"/>
      <c r="G168" s="105"/>
      <c r="H168" s="105"/>
      <c r="I168" s="105"/>
      <c r="J168" s="105"/>
      <c r="K168" s="105"/>
      <c r="L168" s="105"/>
      <c r="M168" s="105"/>
      <c r="N168" s="105"/>
      <c r="O168" s="105"/>
      <c r="P168" s="105"/>
      <c r="Q168" s="105"/>
      <c r="R168" s="105"/>
      <c r="S168" s="105"/>
      <c r="T168" s="105"/>
      <c r="U168" s="105"/>
      <c r="V168" s="105"/>
      <c r="W168" s="105"/>
      <c r="X168" s="105"/>
      <c r="Y168" s="105"/>
      <c r="Z168" s="105"/>
      <c r="AA168" s="105"/>
    </row>
    <row r="169" ht="15.75" hidden="1" customHeight="1">
      <c r="A169" s="105"/>
      <c r="B169" s="105"/>
      <c r="C169" s="105"/>
      <c r="D169" s="105"/>
      <c r="E169" s="105"/>
      <c r="F169" s="105"/>
      <c r="G169" s="105"/>
      <c r="H169" s="105"/>
      <c r="I169" s="105"/>
      <c r="J169" s="105"/>
      <c r="K169" s="105"/>
      <c r="L169" s="105"/>
      <c r="M169" s="105"/>
      <c r="N169" s="105"/>
      <c r="O169" s="105"/>
      <c r="P169" s="105"/>
      <c r="Q169" s="105"/>
      <c r="R169" s="105"/>
      <c r="S169" s="105"/>
      <c r="T169" s="105"/>
      <c r="U169" s="105"/>
      <c r="V169" s="105"/>
      <c r="W169" s="105"/>
      <c r="X169" s="105"/>
      <c r="Y169" s="105"/>
      <c r="Z169" s="105"/>
      <c r="AA169" s="105"/>
    </row>
    <row r="170" ht="15.75" hidden="1" customHeight="1">
      <c r="A170" s="105"/>
      <c r="B170" s="105"/>
      <c r="C170" s="105"/>
      <c r="D170" s="105"/>
      <c r="E170" s="105"/>
      <c r="F170" s="105"/>
      <c r="G170" s="105"/>
      <c r="H170" s="105"/>
      <c r="I170" s="105"/>
      <c r="J170" s="105"/>
      <c r="K170" s="105"/>
      <c r="L170" s="105"/>
      <c r="M170" s="105"/>
      <c r="N170" s="105"/>
      <c r="O170" s="105"/>
      <c r="P170" s="105"/>
      <c r="Q170" s="105"/>
      <c r="R170" s="105"/>
      <c r="S170" s="105"/>
      <c r="T170" s="105"/>
      <c r="U170" s="105"/>
      <c r="V170" s="105"/>
      <c r="W170" s="105"/>
      <c r="X170" s="105"/>
      <c r="Y170" s="105"/>
      <c r="Z170" s="105"/>
      <c r="AA170" s="105"/>
    </row>
    <row r="171" ht="15.75" hidden="1" customHeight="1">
      <c r="A171" s="105"/>
      <c r="B171" s="105"/>
      <c r="C171" s="105"/>
      <c r="D171" s="105"/>
      <c r="E171" s="105"/>
      <c r="F171" s="105"/>
      <c r="G171" s="105"/>
      <c r="H171" s="105"/>
      <c r="I171" s="105"/>
      <c r="J171" s="105"/>
      <c r="K171" s="105"/>
      <c r="L171" s="105"/>
      <c r="M171" s="105"/>
      <c r="N171" s="105"/>
      <c r="O171" s="105"/>
      <c r="P171" s="105"/>
      <c r="Q171" s="105"/>
      <c r="R171" s="105"/>
      <c r="S171" s="105"/>
      <c r="T171" s="105"/>
      <c r="U171" s="105"/>
      <c r="V171" s="105"/>
      <c r="W171" s="105"/>
      <c r="X171" s="105"/>
      <c r="Y171" s="105"/>
      <c r="Z171" s="105"/>
      <c r="AA171" s="105"/>
    </row>
    <row r="172" ht="15.75" hidden="1" customHeight="1">
      <c r="A172" s="105"/>
      <c r="B172" s="105"/>
      <c r="C172" s="105"/>
      <c r="D172" s="105"/>
      <c r="E172" s="105"/>
      <c r="F172" s="105"/>
      <c r="G172" s="105"/>
      <c r="H172" s="105"/>
      <c r="I172" s="105"/>
      <c r="J172" s="105"/>
      <c r="K172" s="105"/>
      <c r="L172" s="105"/>
      <c r="M172" s="105"/>
      <c r="N172" s="105"/>
      <c r="O172" s="105"/>
      <c r="P172" s="105"/>
      <c r="Q172" s="105"/>
      <c r="R172" s="105"/>
      <c r="S172" s="105"/>
      <c r="T172" s="105"/>
      <c r="U172" s="105"/>
      <c r="V172" s="105"/>
      <c r="W172" s="105"/>
      <c r="X172" s="105"/>
      <c r="Y172" s="105"/>
      <c r="Z172" s="105"/>
      <c r="AA172" s="105"/>
    </row>
    <row r="173" ht="15.75" hidden="1" customHeight="1">
      <c r="A173" s="105"/>
      <c r="B173" s="105"/>
      <c r="C173" s="105"/>
      <c r="D173" s="105"/>
      <c r="E173" s="105"/>
      <c r="F173" s="105"/>
      <c r="G173" s="105"/>
      <c r="H173" s="105"/>
      <c r="I173" s="105"/>
      <c r="J173" s="105"/>
      <c r="K173" s="105"/>
      <c r="L173" s="105"/>
      <c r="M173" s="105"/>
      <c r="N173" s="105"/>
      <c r="O173" s="105"/>
      <c r="P173" s="105"/>
      <c r="Q173" s="105"/>
      <c r="R173" s="105"/>
      <c r="S173" s="105"/>
      <c r="T173" s="105"/>
      <c r="U173" s="105"/>
      <c r="V173" s="105"/>
      <c r="W173" s="105"/>
      <c r="X173" s="105"/>
      <c r="Y173" s="105"/>
      <c r="Z173" s="105"/>
      <c r="AA173" s="105"/>
    </row>
    <row r="174" ht="15.75" hidden="1" customHeight="1">
      <c r="A174" s="105"/>
      <c r="B174" s="105"/>
      <c r="C174" s="105"/>
      <c r="D174" s="105"/>
      <c r="E174" s="105"/>
      <c r="F174" s="105"/>
      <c r="G174" s="105"/>
      <c r="H174" s="105"/>
      <c r="I174" s="105"/>
      <c r="J174" s="105"/>
      <c r="K174" s="105"/>
      <c r="L174" s="105"/>
      <c r="M174" s="105"/>
      <c r="N174" s="105"/>
      <c r="O174" s="105"/>
      <c r="P174" s="105"/>
      <c r="Q174" s="105"/>
      <c r="R174" s="105"/>
      <c r="S174" s="105"/>
      <c r="T174" s="105"/>
      <c r="U174" s="105"/>
      <c r="V174" s="105"/>
      <c r="W174" s="105"/>
      <c r="X174" s="105"/>
      <c r="Y174" s="105"/>
      <c r="Z174" s="105"/>
      <c r="AA174" s="105"/>
    </row>
    <row r="175" ht="15.75" hidden="1" customHeight="1">
      <c r="A175" s="105"/>
      <c r="B175" s="105"/>
      <c r="C175" s="105"/>
      <c r="D175" s="105"/>
      <c r="E175" s="105"/>
      <c r="F175" s="105"/>
      <c r="G175" s="105"/>
      <c r="H175" s="105"/>
      <c r="I175" s="105"/>
      <c r="J175" s="105"/>
      <c r="K175" s="105"/>
      <c r="L175" s="105"/>
      <c r="M175" s="105"/>
      <c r="N175" s="105"/>
      <c r="O175" s="105"/>
      <c r="P175" s="105"/>
      <c r="Q175" s="105"/>
      <c r="R175" s="105"/>
      <c r="S175" s="105"/>
      <c r="T175" s="105"/>
      <c r="U175" s="105"/>
      <c r="V175" s="105"/>
      <c r="W175" s="105"/>
      <c r="X175" s="105"/>
      <c r="Y175" s="105"/>
      <c r="Z175" s="105"/>
      <c r="AA175" s="105"/>
    </row>
    <row r="176" ht="15.75" hidden="1" customHeight="1">
      <c r="A176" s="105"/>
      <c r="B176" s="105"/>
      <c r="C176" s="105"/>
      <c r="D176" s="105"/>
      <c r="E176" s="105"/>
      <c r="F176" s="105"/>
      <c r="G176" s="105"/>
      <c r="H176" s="105"/>
      <c r="I176" s="105"/>
      <c r="J176" s="105"/>
      <c r="K176" s="105"/>
      <c r="L176" s="105"/>
      <c r="M176" s="105"/>
      <c r="N176" s="105"/>
      <c r="O176" s="105"/>
      <c r="P176" s="105"/>
      <c r="Q176" s="105"/>
      <c r="R176" s="105"/>
      <c r="S176" s="105"/>
      <c r="T176" s="105"/>
      <c r="U176" s="105"/>
      <c r="V176" s="105"/>
      <c r="W176" s="105"/>
      <c r="X176" s="105"/>
      <c r="Y176" s="105"/>
      <c r="Z176" s="105"/>
      <c r="AA176" s="105"/>
    </row>
    <row r="177" ht="15.75" hidden="1" customHeight="1">
      <c r="A177" s="105"/>
      <c r="B177" s="105"/>
      <c r="C177" s="105"/>
      <c r="D177" s="105"/>
      <c r="E177" s="105"/>
      <c r="F177" s="105"/>
      <c r="G177" s="105"/>
      <c r="H177" s="105"/>
      <c r="I177" s="105"/>
      <c r="J177" s="105"/>
      <c r="K177" s="105"/>
      <c r="L177" s="105"/>
      <c r="M177" s="105"/>
      <c r="N177" s="105"/>
      <c r="O177" s="105"/>
      <c r="P177" s="105"/>
      <c r="Q177" s="105"/>
      <c r="R177" s="105"/>
      <c r="S177" s="105"/>
      <c r="T177" s="105"/>
      <c r="U177" s="105"/>
      <c r="V177" s="105"/>
      <c r="W177" s="105"/>
      <c r="X177" s="105"/>
      <c r="Y177" s="105"/>
      <c r="Z177" s="105"/>
      <c r="AA177" s="105"/>
    </row>
    <row r="178" ht="15.75" hidden="1" customHeight="1">
      <c r="A178" s="105"/>
      <c r="B178" s="105"/>
      <c r="C178" s="105"/>
      <c r="D178" s="105"/>
      <c r="E178" s="105"/>
      <c r="F178" s="105"/>
      <c r="G178" s="105"/>
      <c r="H178" s="105"/>
      <c r="I178" s="105"/>
      <c r="J178" s="105"/>
      <c r="K178" s="105"/>
      <c r="L178" s="105"/>
      <c r="M178" s="105"/>
      <c r="N178" s="105"/>
      <c r="O178" s="105"/>
      <c r="P178" s="105"/>
      <c r="Q178" s="105"/>
      <c r="R178" s="105"/>
      <c r="S178" s="105"/>
      <c r="T178" s="105"/>
      <c r="U178" s="105"/>
      <c r="V178" s="105"/>
      <c r="W178" s="105"/>
      <c r="X178" s="105"/>
      <c r="Y178" s="105"/>
      <c r="Z178" s="105"/>
      <c r="AA178" s="105"/>
    </row>
    <row r="179" ht="15.75" hidden="1" customHeight="1">
      <c r="A179" s="105"/>
      <c r="B179" s="105"/>
      <c r="C179" s="105"/>
      <c r="D179" s="105"/>
      <c r="E179" s="105"/>
      <c r="F179" s="105"/>
      <c r="G179" s="105"/>
      <c r="H179" s="105"/>
      <c r="I179" s="105"/>
      <c r="J179" s="105"/>
      <c r="K179" s="105"/>
      <c r="L179" s="105"/>
      <c r="M179" s="105"/>
      <c r="N179" s="105"/>
      <c r="O179" s="105"/>
      <c r="P179" s="105"/>
      <c r="Q179" s="105"/>
      <c r="R179" s="105"/>
      <c r="S179" s="105"/>
      <c r="T179" s="105"/>
      <c r="U179" s="105"/>
      <c r="V179" s="105"/>
      <c r="W179" s="105"/>
      <c r="X179" s="105"/>
      <c r="Y179" s="105"/>
      <c r="Z179" s="105"/>
      <c r="AA179" s="105"/>
    </row>
    <row r="180" ht="15.75" hidden="1" customHeight="1">
      <c r="A180" s="105"/>
      <c r="B180" s="105"/>
      <c r="C180" s="105"/>
      <c r="D180" s="105"/>
      <c r="E180" s="105"/>
      <c r="F180" s="105"/>
      <c r="G180" s="105"/>
      <c r="H180" s="105"/>
      <c r="I180" s="105"/>
      <c r="J180" s="105"/>
      <c r="K180" s="105"/>
      <c r="L180" s="105"/>
      <c r="M180" s="105"/>
      <c r="N180" s="105"/>
      <c r="O180" s="105"/>
      <c r="P180" s="105"/>
      <c r="Q180" s="105"/>
      <c r="R180" s="105"/>
      <c r="S180" s="105"/>
      <c r="T180" s="105"/>
      <c r="U180" s="105"/>
      <c r="V180" s="105"/>
      <c r="W180" s="105"/>
      <c r="X180" s="105"/>
      <c r="Y180" s="105"/>
      <c r="Z180" s="105"/>
      <c r="AA180" s="105"/>
    </row>
    <row r="181" ht="15.75" hidden="1" customHeight="1">
      <c r="A181" s="105"/>
      <c r="B181" s="105"/>
      <c r="C181" s="105"/>
      <c r="D181" s="105"/>
      <c r="E181" s="105"/>
      <c r="F181" s="105"/>
      <c r="G181" s="105"/>
      <c r="H181" s="105"/>
      <c r="I181" s="105"/>
      <c r="J181" s="105"/>
      <c r="K181" s="105"/>
      <c r="L181" s="105"/>
      <c r="M181" s="105"/>
      <c r="N181" s="105"/>
      <c r="O181" s="105"/>
      <c r="P181" s="105"/>
      <c r="Q181" s="105"/>
      <c r="R181" s="105"/>
      <c r="S181" s="105"/>
      <c r="T181" s="105"/>
      <c r="U181" s="105"/>
      <c r="V181" s="105"/>
      <c r="W181" s="105"/>
      <c r="X181" s="105"/>
      <c r="Y181" s="105"/>
      <c r="Z181" s="105"/>
      <c r="AA181" s="105"/>
    </row>
    <row r="182" ht="15.75" hidden="1" customHeight="1">
      <c r="A182" s="105"/>
      <c r="B182" s="105"/>
      <c r="C182" s="105"/>
      <c r="D182" s="105"/>
      <c r="E182" s="105"/>
      <c r="F182" s="105"/>
      <c r="G182" s="105"/>
      <c r="H182" s="105"/>
      <c r="I182" s="105"/>
      <c r="J182" s="105"/>
      <c r="K182" s="105"/>
      <c r="L182" s="105"/>
      <c r="M182" s="105"/>
      <c r="N182" s="105"/>
      <c r="O182" s="105"/>
      <c r="P182" s="105"/>
      <c r="Q182" s="105"/>
      <c r="R182" s="105"/>
      <c r="S182" s="105"/>
      <c r="T182" s="105"/>
      <c r="U182" s="105"/>
      <c r="V182" s="105"/>
      <c r="W182" s="105"/>
      <c r="X182" s="105"/>
      <c r="Y182" s="105"/>
      <c r="Z182" s="105"/>
      <c r="AA182" s="105"/>
    </row>
    <row r="183" ht="15.75" hidden="1" customHeight="1">
      <c r="A183" s="105"/>
      <c r="B183" s="105"/>
      <c r="C183" s="105"/>
      <c r="D183" s="105"/>
      <c r="E183" s="105"/>
      <c r="F183" s="105"/>
      <c r="G183" s="105"/>
      <c r="H183" s="105"/>
      <c r="I183" s="105"/>
      <c r="J183" s="105"/>
      <c r="K183" s="105"/>
      <c r="L183" s="105"/>
      <c r="M183" s="105"/>
      <c r="N183" s="105"/>
      <c r="O183" s="105"/>
      <c r="P183" s="105"/>
      <c r="Q183" s="105"/>
      <c r="R183" s="105"/>
      <c r="S183" s="105"/>
      <c r="T183" s="105"/>
      <c r="U183" s="105"/>
      <c r="V183" s="105"/>
      <c r="W183" s="105"/>
      <c r="X183" s="105"/>
      <c r="Y183" s="105"/>
      <c r="Z183" s="105"/>
      <c r="AA183" s="105"/>
    </row>
    <row r="184" ht="15.75" hidden="1" customHeight="1">
      <c r="A184" s="105"/>
      <c r="B184" s="105"/>
      <c r="C184" s="105"/>
      <c r="D184" s="105"/>
      <c r="E184" s="105"/>
      <c r="F184" s="105"/>
      <c r="G184" s="105"/>
      <c r="H184" s="105"/>
      <c r="I184" s="105"/>
      <c r="J184" s="105"/>
      <c r="K184" s="105"/>
      <c r="L184" s="105"/>
      <c r="M184" s="105"/>
      <c r="N184" s="105"/>
      <c r="O184" s="105"/>
      <c r="P184" s="105"/>
      <c r="Q184" s="105"/>
      <c r="R184" s="105"/>
      <c r="S184" s="105"/>
      <c r="T184" s="105"/>
      <c r="U184" s="105"/>
      <c r="V184" s="105"/>
      <c r="W184" s="105"/>
      <c r="X184" s="105"/>
      <c r="Y184" s="105"/>
      <c r="Z184" s="105"/>
      <c r="AA184" s="105"/>
    </row>
    <row r="185" ht="15.75" hidden="1" customHeight="1">
      <c r="A185" s="105"/>
      <c r="B185" s="105"/>
      <c r="C185" s="105"/>
      <c r="D185" s="105"/>
      <c r="E185" s="105"/>
      <c r="F185" s="105"/>
      <c r="G185" s="105"/>
      <c r="H185" s="105"/>
      <c r="I185" s="105"/>
      <c r="J185" s="105"/>
      <c r="K185" s="105"/>
      <c r="L185" s="105"/>
      <c r="M185" s="105"/>
      <c r="N185" s="105"/>
      <c r="O185" s="105"/>
      <c r="P185" s="105"/>
      <c r="Q185" s="105"/>
      <c r="R185" s="105"/>
      <c r="S185" s="105"/>
      <c r="T185" s="105"/>
      <c r="U185" s="105"/>
      <c r="V185" s="105"/>
      <c r="W185" s="105"/>
      <c r="X185" s="105"/>
      <c r="Y185" s="105"/>
      <c r="Z185" s="105"/>
      <c r="AA185" s="105"/>
    </row>
    <row r="186" ht="15.75" hidden="1" customHeight="1">
      <c r="A186" s="105"/>
      <c r="B186" s="105"/>
      <c r="C186" s="105"/>
      <c r="D186" s="105"/>
      <c r="E186" s="105"/>
      <c r="F186" s="105"/>
      <c r="G186" s="105"/>
      <c r="H186" s="105"/>
      <c r="I186" s="105"/>
      <c r="J186" s="105"/>
      <c r="K186" s="105"/>
      <c r="L186" s="105"/>
      <c r="M186" s="105"/>
      <c r="N186" s="105"/>
      <c r="O186" s="105"/>
      <c r="P186" s="105"/>
      <c r="Q186" s="105"/>
      <c r="R186" s="105"/>
      <c r="S186" s="105"/>
      <c r="T186" s="105"/>
      <c r="U186" s="105"/>
      <c r="V186" s="105"/>
      <c r="W186" s="105"/>
      <c r="X186" s="105"/>
      <c r="Y186" s="105"/>
      <c r="Z186" s="105"/>
      <c r="AA186" s="105"/>
    </row>
    <row r="187" ht="15.75" hidden="1" customHeight="1">
      <c r="A187" s="105"/>
      <c r="B187" s="105"/>
      <c r="C187" s="105"/>
      <c r="D187" s="105"/>
      <c r="E187" s="105"/>
      <c r="F187" s="105"/>
      <c r="G187" s="105"/>
      <c r="H187" s="105"/>
      <c r="I187" s="105"/>
      <c r="J187" s="105"/>
      <c r="K187" s="105"/>
      <c r="L187" s="105"/>
      <c r="M187" s="105"/>
      <c r="N187" s="105"/>
      <c r="O187" s="105"/>
      <c r="P187" s="105"/>
      <c r="Q187" s="105"/>
      <c r="R187" s="105"/>
      <c r="S187" s="105"/>
      <c r="T187" s="105"/>
      <c r="U187" s="105"/>
      <c r="V187" s="105"/>
      <c r="W187" s="105"/>
      <c r="X187" s="105"/>
      <c r="Y187" s="105"/>
      <c r="Z187" s="105"/>
      <c r="AA187" s="105"/>
    </row>
    <row r="188" ht="15.75" hidden="1" customHeight="1">
      <c r="A188" s="105"/>
      <c r="B188" s="105"/>
      <c r="C188" s="105"/>
      <c r="D188" s="105"/>
      <c r="E188" s="105"/>
      <c r="F188" s="105"/>
      <c r="G188" s="105"/>
      <c r="H188" s="105"/>
      <c r="I188" s="105"/>
      <c r="J188" s="105"/>
      <c r="K188" s="105"/>
      <c r="L188" s="105"/>
      <c r="M188" s="105"/>
      <c r="N188" s="105"/>
      <c r="O188" s="105"/>
      <c r="P188" s="105"/>
      <c r="Q188" s="105"/>
      <c r="R188" s="105"/>
      <c r="S188" s="105"/>
      <c r="T188" s="105"/>
      <c r="U188" s="105"/>
      <c r="V188" s="105"/>
      <c r="W188" s="105"/>
      <c r="X188" s="105"/>
      <c r="Y188" s="105"/>
      <c r="Z188" s="105"/>
      <c r="AA188" s="105"/>
    </row>
    <row r="189" ht="15.75" hidden="1" customHeight="1">
      <c r="A189" s="105"/>
      <c r="B189" s="105"/>
      <c r="C189" s="105"/>
      <c r="D189" s="105"/>
      <c r="E189" s="105"/>
      <c r="F189" s="105"/>
      <c r="G189" s="105"/>
      <c r="H189" s="105"/>
      <c r="I189" s="105"/>
      <c r="J189" s="105"/>
      <c r="K189" s="105"/>
      <c r="L189" s="105"/>
      <c r="M189" s="105"/>
      <c r="N189" s="105"/>
      <c r="O189" s="105"/>
      <c r="P189" s="105"/>
      <c r="Q189" s="105"/>
      <c r="R189" s="105"/>
      <c r="S189" s="105"/>
      <c r="T189" s="105"/>
      <c r="U189" s="105"/>
      <c r="V189" s="105"/>
      <c r="W189" s="105"/>
      <c r="X189" s="105"/>
      <c r="Y189" s="105"/>
      <c r="Z189" s="105"/>
      <c r="AA189" s="105"/>
    </row>
    <row r="190" ht="15.75" hidden="1" customHeight="1">
      <c r="A190" s="105"/>
      <c r="B190" s="105"/>
      <c r="C190" s="105"/>
      <c r="D190" s="105"/>
      <c r="E190" s="105"/>
      <c r="F190" s="105"/>
      <c r="G190" s="105"/>
      <c r="H190" s="105"/>
      <c r="I190" s="105"/>
      <c r="J190" s="105"/>
      <c r="K190" s="105"/>
      <c r="L190" s="105"/>
      <c r="M190" s="105"/>
      <c r="N190" s="105"/>
      <c r="O190" s="105"/>
      <c r="P190" s="105"/>
      <c r="Q190" s="105"/>
      <c r="R190" s="105"/>
      <c r="S190" s="105"/>
      <c r="T190" s="105"/>
      <c r="U190" s="105"/>
      <c r="V190" s="105"/>
      <c r="W190" s="105"/>
      <c r="X190" s="105"/>
      <c r="Y190" s="105"/>
      <c r="Z190" s="105"/>
      <c r="AA190" s="105"/>
    </row>
    <row r="191" ht="15.75" hidden="1" customHeight="1">
      <c r="A191" s="105"/>
      <c r="B191" s="105"/>
      <c r="C191" s="105"/>
      <c r="D191" s="105"/>
      <c r="E191" s="105"/>
      <c r="F191" s="105"/>
      <c r="G191" s="105"/>
      <c r="H191" s="105"/>
      <c r="I191" s="105"/>
      <c r="J191" s="105"/>
      <c r="K191" s="105"/>
      <c r="L191" s="105"/>
      <c r="M191" s="105"/>
      <c r="N191" s="105"/>
      <c r="O191" s="105"/>
      <c r="P191" s="105"/>
      <c r="Q191" s="105"/>
      <c r="R191" s="105"/>
      <c r="S191" s="105"/>
      <c r="T191" s="105"/>
      <c r="U191" s="105"/>
      <c r="V191" s="105"/>
      <c r="W191" s="105"/>
      <c r="X191" s="105"/>
      <c r="Y191" s="105"/>
      <c r="Z191" s="105"/>
      <c r="AA191" s="105"/>
    </row>
    <row r="192" ht="15.75" hidden="1" customHeight="1">
      <c r="A192" s="105"/>
      <c r="B192" s="105"/>
      <c r="C192" s="105"/>
      <c r="D192" s="105"/>
      <c r="E192" s="105"/>
      <c r="F192" s="105"/>
      <c r="G192" s="105"/>
      <c r="H192" s="105"/>
      <c r="I192" s="105"/>
      <c r="J192" s="105"/>
      <c r="K192" s="105"/>
      <c r="L192" s="105"/>
      <c r="M192" s="105"/>
      <c r="N192" s="105"/>
      <c r="O192" s="105"/>
      <c r="P192" s="105"/>
      <c r="Q192" s="105"/>
      <c r="R192" s="105"/>
      <c r="S192" s="105"/>
      <c r="T192" s="105"/>
      <c r="U192" s="105"/>
      <c r="V192" s="105"/>
      <c r="W192" s="105"/>
      <c r="X192" s="105"/>
      <c r="Y192" s="105"/>
      <c r="Z192" s="105"/>
      <c r="AA192" s="105"/>
    </row>
    <row r="193" ht="15.75" hidden="1" customHeight="1">
      <c r="A193" s="105"/>
      <c r="B193" s="105"/>
      <c r="C193" s="105"/>
      <c r="D193" s="105"/>
      <c r="E193" s="105"/>
      <c r="F193" s="105"/>
      <c r="G193" s="105"/>
      <c r="H193" s="105"/>
      <c r="I193" s="105"/>
      <c r="J193" s="105"/>
      <c r="K193" s="105"/>
      <c r="L193" s="105"/>
      <c r="M193" s="105"/>
      <c r="N193" s="105"/>
      <c r="O193" s="105"/>
      <c r="P193" s="105"/>
      <c r="Q193" s="105"/>
      <c r="R193" s="105"/>
      <c r="S193" s="105"/>
      <c r="T193" s="105"/>
      <c r="U193" s="105"/>
      <c r="V193" s="105"/>
      <c r="W193" s="105"/>
      <c r="X193" s="105"/>
      <c r="Y193" s="105"/>
      <c r="Z193" s="105"/>
      <c r="AA193" s="105"/>
    </row>
    <row r="194" ht="15.75" hidden="1" customHeight="1">
      <c r="A194" s="105"/>
      <c r="B194" s="105"/>
      <c r="C194" s="105"/>
      <c r="D194" s="105"/>
      <c r="E194" s="105"/>
      <c r="F194" s="105"/>
      <c r="G194" s="105"/>
      <c r="H194" s="105"/>
      <c r="I194" s="105"/>
      <c r="J194" s="105"/>
      <c r="K194" s="105"/>
      <c r="L194" s="105"/>
      <c r="M194" s="105"/>
      <c r="N194" s="105"/>
      <c r="O194" s="105"/>
      <c r="P194" s="105"/>
      <c r="Q194" s="105"/>
      <c r="R194" s="105"/>
      <c r="S194" s="105"/>
      <c r="T194" s="105"/>
      <c r="U194" s="105"/>
      <c r="V194" s="105"/>
      <c r="W194" s="105"/>
      <c r="X194" s="105"/>
      <c r="Y194" s="105"/>
      <c r="Z194" s="105"/>
      <c r="AA194" s="105"/>
    </row>
    <row r="195" ht="15.75" hidden="1" customHeight="1">
      <c r="A195" s="105"/>
      <c r="B195" s="105"/>
      <c r="C195" s="105"/>
      <c r="D195" s="105"/>
      <c r="E195" s="105"/>
      <c r="F195" s="105"/>
      <c r="G195" s="105"/>
      <c r="H195" s="105"/>
      <c r="I195" s="105"/>
      <c r="J195" s="105"/>
      <c r="K195" s="105"/>
      <c r="L195" s="105"/>
      <c r="M195" s="105"/>
      <c r="N195" s="105"/>
      <c r="O195" s="105"/>
      <c r="P195" s="105"/>
      <c r="Q195" s="105"/>
      <c r="R195" s="105"/>
      <c r="S195" s="105"/>
      <c r="T195" s="105"/>
      <c r="U195" s="105"/>
      <c r="V195" s="105"/>
      <c r="W195" s="105"/>
      <c r="X195" s="105"/>
      <c r="Y195" s="105"/>
      <c r="Z195" s="105"/>
      <c r="AA195" s="105"/>
    </row>
    <row r="196" ht="15.75" hidden="1" customHeight="1">
      <c r="A196" s="105"/>
      <c r="B196" s="105"/>
      <c r="C196" s="105"/>
      <c r="D196" s="105"/>
      <c r="E196" s="105"/>
      <c r="F196" s="105"/>
      <c r="G196" s="105"/>
      <c r="H196" s="105"/>
      <c r="I196" s="105"/>
      <c r="J196" s="105"/>
      <c r="K196" s="105"/>
      <c r="L196" s="105"/>
      <c r="M196" s="105"/>
      <c r="N196" s="105"/>
      <c r="O196" s="105"/>
      <c r="P196" s="105"/>
      <c r="Q196" s="105"/>
      <c r="R196" s="105"/>
      <c r="S196" s="105"/>
      <c r="T196" s="105"/>
      <c r="U196" s="105"/>
      <c r="V196" s="105"/>
      <c r="W196" s="105"/>
      <c r="X196" s="105"/>
      <c r="Y196" s="105"/>
      <c r="Z196" s="105"/>
      <c r="AA196" s="105"/>
    </row>
    <row r="197" ht="15.75" hidden="1" customHeight="1">
      <c r="A197" s="105"/>
      <c r="B197" s="105"/>
      <c r="C197" s="105"/>
      <c r="D197" s="105"/>
      <c r="E197" s="105"/>
      <c r="F197" s="105"/>
      <c r="G197" s="105"/>
      <c r="H197" s="105"/>
      <c r="I197" s="105"/>
      <c r="J197" s="105"/>
      <c r="K197" s="105"/>
      <c r="L197" s="105"/>
      <c r="M197" s="105"/>
      <c r="N197" s="105"/>
      <c r="O197" s="105"/>
      <c r="P197" s="105"/>
      <c r="Q197" s="105"/>
      <c r="R197" s="105"/>
      <c r="S197" s="105"/>
      <c r="T197" s="105"/>
      <c r="U197" s="105"/>
      <c r="V197" s="105"/>
      <c r="W197" s="105"/>
      <c r="X197" s="105"/>
      <c r="Y197" s="105"/>
      <c r="Z197" s="105"/>
      <c r="AA197" s="105"/>
    </row>
    <row r="198" ht="15.75" hidden="1" customHeight="1">
      <c r="A198" s="105"/>
      <c r="B198" s="105"/>
      <c r="C198" s="105"/>
      <c r="D198" s="105"/>
      <c r="E198" s="105"/>
      <c r="F198" s="105"/>
      <c r="G198" s="105"/>
      <c r="H198" s="105"/>
      <c r="I198" s="105"/>
      <c r="J198" s="105"/>
      <c r="K198" s="105"/>
      <c r="L198" s="105"/>
      <c r="M198" s="105"/>
      <c r="N198" s="105"/>
      <c r="O198" s="105"/>
      <c r="P198" s="105"/>
      <c r="Q198" s="105"/>
      <c r="R198" s="105"/>
      <c r="S198" s="105"/>
      <c r="T198" s="105"/>
      <c r="U198" s="105"/>
      <c r="V198" s="105"/>
      <c r="W198" s="105"/>
      <c r="X198" s="105"/>
      <c r="Y198" s="105"/>
      <c r="Z198" s="105"/>
      <c r="AA198" s="105"/>
    </row>
    <row r="199" ht="15.75" hidden="1" customHeight="1">
      <c r="A199" s="105"/>
      <c r="B199" s="105"/>
      <c r="C199" s="105"/>
      <c r="D199" s="105"/>
      <c r="E199" s="105"/>
      <c r="F199" s="105"/>
      <c r="G199" s="105"/>
      <c r="H199" s="105"/>
      <c r="I199" s="105"/>
      <c r="J199" s="105"/>
      <c r="K199" s="105"/>
      <c r="L199" s="105"/>
      <c r="M199" s="105"/>
      <c r="N199" s="105"/>
      <c r="O199" s="105"/>
      <c r="P199" s="105"/>
      <c r="Q199" s="105"/>
      <c r="R199" s="105"/>
      <c r="S199" s="105"/>
      <c r="T199" s="105"/>
      <c r="U199" s="105"/>
      <c r="V199" s="105"/>
      <c r="W199" s="105"/>
      <c r="X199" s="105"/>
      <c r="Y199" s="105"/>
      <c r="Z199" s="105"/>
      <c r="AA199" s="105"/>
    </row>
    <row r="200" ht="15.75" hidden="1" customHeight="1">
      <c r="A200" s="105"/>
      <c r="B200" s="105"/>
      <c r="C200" s="105"/>
      <c r="D200" s="105"/>
      <c r="E200" s="105"/>
      <c r="F200" s="105"/>
      <c r="G200" s="105"/>
      <c r="H200" s="105"/>
      <c r="I200" s="105"/>
      <c r="J200" s="105"/>
      <c r="K200" s="105"/>
      <c r="L200" s="105"/>
      <c r="M200" s="105"/>
      <c r="N200" s="105"/>
      <c r="O200" s="105"/>
      <c r="P200" s="105"/>
      <c r="Q200" s="105"/>
      <c r="R200" s="105"/>
      <c r="S200" s="105"/>
      <c r="T200" s="105"/>
      <c r="U200" s="105"/>
      <c r="V200" s="105"/>
      <c r="W200" s="105"/>
      <c r="X200" s="105"/>
      <c r="Y200" s="105"/>
      <c r="Z200" s="105"/>
      <c r="AA200" s="105"/>
    </row>
    <row r="201" ht="15.75" hidden="1" customHeight="1">
      <c r="A201" s="105"/>
      <c r="B201" s="105"/>
      <c r="C201" s="105"/>
      <c r="D201" s="105"/>
      <c r="E201" s="105"/>
      <c r="F201" s="105"/>
      <c r="G201" s="105"/>
      <c r="H201" s="105"/>
      <c r="I201" s="105"/>
      <c r="J201" s="105"/>
      <c r="K201" s="105"/>
      <c r="L201" s="105"/>
      <c r="M201" s="105"/>
      <c r="N201" s="105"/>
      <c r="O201" s="105"/>
      <c r="P201" s="105"/>
      <c r="Q201" s="105"/>
      <c r="R201" s="105"/>
      <c r="S201" s="105"/>
      <c r="T201" s="105"/>
      <c r="U201" s="105"/>
      <c r="V201" s="105"/>
      <c r="W201" s="105"/>
      <c r="X201" s="105"/>
      <c r="Y201" s="105"/>
      <c r="Z201" s="105"/>
      <c r="AA201" s="105"/>
    </row>
    <row r="202" ht="15.75" hidden="1" customHeight="1">
      <c r="A202" s="105"/>
      <c r="B202" s="105"/>
      <c r="C202" s="105"/>
      <c r="D202" s="105"/>
      <c r="E202" s="105"/>
      <c r="F202" s="105"/>
      <c r="G202" s="105"/>
      <c r="H202" s="105"/>
      <c r="I202" s="105"/>
      <c r="J202" s="105"/>
      <c r="K202" s="105"/>
      <c r="L202" s="105"/>
      <c r="M202" s="105"/>
      <c r="N202" s="105"/>
      <c r="O202" s="105"/>
      <c r="P202" s="105"/>
      <c r="Q202" s="105"/>
      <c r="R202" s="105"/>
      <c r="S202" s="105"/>
      <c r="T202" s="105"/>
      <c r="U202" s="105"/>
      <c r="V202" s="105"/>
      <c r="W202" s="105"/>
      <c r="X202" s="105"/>
      <c r="Y202" s="105"/>
      <c r="Z202" s="105"/>
      <c r="AA202" s="105"/>
    </row>
    <row r="203" ht="15.75" hidden="1" customHeight="1">
      <c r="A203" s="105"/>
      <c r="B203" s="105"/>
      <c r="C203" s="105"/>
      <c r="D203" s="105"/>
      <c r="E203" s="105"/>
      <c r="F203" s="105"/>
      <c r="G203" s="105"/>
      <c r="H203" s="105"/>
      <c r="I203" s="105"/>
      <c r="J203" s="105"/>
      <c r="K203" s="105"/>
      <c r="L203" s="105"/>
      <c r="M203" s="105"/>
      <c r="N203" s="105"/>
      <c r="O203" s="105"/>
      <c r="P203" s="105"/>
      <c r="Q203" s="105"/>
      <c r="R203" s="105"/>
      <c r="S203" s="105"/>
      <c r="T203" s="105"/>
      <c r="U203" s="105"/>
      <c r="V203" s="105"/>
      <c r="W203" s="105"/>
      <c r="X203" s="105"/>
      <c r="Y203" s="105"/>
      <c r="Z203" s="105"/>
      <c r="AA203" s="105"/>
    </row>
    <row r="204" ht="15.75" hidden="1" customHeight="1">
      <c r="A204" s="105"/>
      <c r="B204" s="105"/>
      <c r="C204" s="105"/>
      <c r="D204" s="105"/>
      <c r="E204" s="105"/>
      <c r="F204" s="105"/>
      <c r="G204" s="105"/>
      <c r="H204" s="105"/>
      <c r="I204" s="105"/>
      <c r="J204" s="105"/>
      <c r="K204" s="105"/>
      <c r="L204" s="105"/>
      <c r="M204" s="105"/>
      <c r="N204" s="105"/>
      <c r="O204" s="105"/>
      <c r="P204" s="105"/>
      <c r="Q204" s="105"/>
      <c r="R204" s="105"/>
      <c r="S204" s="105"/>
      <c r="T204" s="105"/>
      <c r="U204" s="105"/>
      <c r="V204" s="105"/>
      <c r="W204" s="105"/>
      <c r="X204" s="105"/>
      <c r="Y204" s="105"/>
      <c r="Z204" s="105"/>
      <c r="AA204" s="105"/>
    </row>
    <row r="205" ht="15.75" hidden="1" customHeight="1">
      <c r="A205" s="105"/>
      <c r="B205" s="105"/>
      <c r="C205" s="105"/>
      <c r="D205" s="105"/>
      <c r="E205" s="105"/>
      <c r="F205" s="105"/>
      <c r="G205" s="105"/>
      <c r="H205" s="105"/>
      <c r="I205" s="105"/>
      <c r="J205" s="105"/>
      <c r="K205" s="105"/>
      <c r="L205" s="105"/>
      <c r="M205" s="105"/>
      <c r="N205" s="105"/>
      <c r="O205" s="105"/>
      <c r="P205" s="105"/>
      <c r="Q205" s="105"/>
      <c r="R205" s="105"/>
      <c r="S205" s="105"/>
      <c r="T205" s="105"/>
      <c r="U205" s="105"/>
      <c r="V205" s="105"/>
      <c r="W205" s="105"/>
      <c r="X205" s="105"/>
      <c r="Y205" s="105"/>
      <c r="Z205" s="105"/>
      <c r="AA205" s="105"/>
    </row>
    <row r="206" ht="15.75" hidden="1" customHeight="1">
      <c r="A206" s="105"/>
      <c r="B206" s="105"/>
      <c r="C206" s="105"/>
      <c r="D206" s="105"/>
      <c r="E206" s="105"/>
      <c r="F206" s="105"/>
      <c r="G206" s="105"/>
      <c r="H206" s="105"/>
      <c r="I206" s="105"/>
      <c r="J206" s="105"/>
      <c r="K206" s="105"/>
      <c r="L206" s="105"/>
      <c r="M206" s="105"/>
      <c r="N206" s="105"/>
      <c r="O206" s="105"/>
      <c r="P206" s="105"/>
      <c r="Q206" s="105"/>
      <c r="R206" s="105"/>
      <c r="S206" s="105"/>
      <c r="T206" s="105"/>
      <c r="U206" s="105"/>
      <c r="V206" s="105"/>
      <c r="W206" s="105"/>
      <c r="X206" s="105"/>
      <c r="Y206" s="105"/>
      <c r="Z206" s="105"/>
      <c r="AA206" s="105"/>
    </row>
    <row r="207" ht="15.75" hidden="1" customHeight="1">
      <c r="A207" s="105"/>
      <c r="B207" s="105"/>
      <c r="C207" s="105"/>
      <c r="D207" s="105"/>
      <c r="E207" s="105"/>
      <c r="F207" s="105"/>
      <c r="G207" s="105"/>
      <c r="H207" s="105"/>
      <c r="I207" s="105"/>
      <c r="J207" s="105"/>
      <c r="K207" s="105"/>
      <c r="L207" s="105"/>
      <c r="M207" s="105"/>
      <c r="N207" s="105"/>
      <c r="O207" s="105"/>
      <c r="P207" s="105"/>
      <c r="Q207" s="105"/>
      <c r="R207" s="105"/>
      <c r="S207" s="105"/>
      <c r="T207" s="105"/>
      <c r="U207" s="105"/>
      <c r="V207" s="105"/>
      <c r="W207" s="105"/>
      <c r="X207" s="105"/>
      <c r="Y207" s="105"/>
      <c r="Z207" s="105"/>
      <c r="AA207" s="105"/>
    </row>
    <row r="208" ht="15.75" hidden="1" customHeight="1">
      <c r="A208" s="105"/>
      <c r="B208" s="105"/>
      <c r="C208" s="105"/>
      <c r="D208" s="105"/>
      <c r="E208" s="105"/>
      <c r="F208" s="105"/>
      <c r="G208" s="105"/>
      <c r="H208" s="105"/>
      <c r="I208" s="105"/>
      <c r="J208" s="105"/>
      <c r="K208" s="105"/>
      <c r="L208" s="105"/>
      <c r="M208" s="105"/>
      <c r="N208" s="105"/>
      <c r="O208" s="105"/>
      <c r="P208" s="105"/>
      <c r="Q208" s="105"/>
      <c r="R208" s="105"/>
      <c r="S208" s="105"/>
      <c r="T208" s="105"/>
      <c r="U208" s="105"/>
      <c r="V208" s="105"/>
      <c r="W208" s="105"/>
      <c r="X208" s="105"/>
      <c r="Y208" s="105"/>
      <c r="Z208" s="105"/>
      <c r="AA208" s="105"/>
    </row>
    <row r="209" ht="15.75" hidden="1" customHeight="1">
      <c r="A209" s="105"/>
      <c r="B209" s="105"/>
      <c r="C209" s="105"/>
      <c r="D209" s="105"/>
      <c r="E209" s="105"/>
      <c r="F209" s="105"/>
      <c r="G209" s="105"/>
      <c r="H209" s="105"/>
      <c r="I209" s="105"/>
      <c r="J209" s="105"/>
      <c r="K209" s="105"/>
      <c r="L209" s="105"/>
      <c r="M209" s="105"/>
      <c r="N209" s="105"/>
      <c r="O209" s="105"/>
      <c r="P209" s="105"/>
      <c r="Q209" s="105"/>
      <c r="R209" s="105"/>
      <c r="S209" s="105"/>
      <c r="T209" s="105"/>
      <c r="U209" s="105"/>
      <c r="V209" s="105"/>
      <c r="W209" s="105"/>
      <c r="X209" s="105"/>
      <c r="Y209" s="105"/>
      <c r="Z209" s="105"/>
      <c r="AA209" s="105"/>
    </row>
    <row r="210" ht="15.75" hidden="1" customHeight="1">
      <c r="A210" s="105"/>
      <c r="B210" s="105"/>
      <c r="C210" s="105"/>
      <c r="D210" s="105"/>
      <c r="E210" s="105"/>
      <c r="F210" s="105"/>
      <c r="G210" s="105"/>
      <c r="H210" s="105"/>
      <c r="I210" s="105"/>
      <c r="J210" s="105"/>
      <c r="K210" s="105"/>
      <c r="L210" s="105"/>
      <c r="M210" s="105"/>
      <c r="N210" s="105"/>
      <c r="O210" s="105"/>
      <c r="P210" s="105"/>
      <c r="Q210" s="105"/>
      <c r="R210" s="105"/>
      <c r="S210" s="105"/>
      <c r="T210" s="105"/>
      <c r="U210" s="105"/>
      <c r="V210" s="105"/>
      <c r="W210" s="105"/>
      <c r="X210" s="105"/>
      <c r="Y210" s="105"/>
      <c r="Z210" s="105"/>
      <c r="AA210" s="105"/>
    </row>
    <row r="211" ht="15.75" hidden="1" customHeight="1">
      <c r="A211" s="105"/>
      <c r="B211" s="105"/>
      <c r="C211" s="105"/>
      <c r="D211" s="105"/>
      <c r="E211" s="105"/>
      <c r="F211" s="105"/>
      <c r="G211" s="105"/>
      <c r="H211" s="105"/>
      <c r="I211" s="105"/>
      <c r="J211" s="105"/>
      <c r="K211" s="105"/>
      <c r="L211" s="105"/>
      <c r="M211" s="105"/>
      <c r="N211" s="105"/>
      <c r="O211" s="105"/>
      <c r="P211" s="105"/>
      <c r="Q211" s="105"/>
      <c r="R211" s="105"/>
      <c r="S211" s="105"/>
      <c r="T211" s="105"/>
      <c r="U211" s="105"/>
      <c r="V211" s="105"/>
      <c r="W211" s="105"/>
      <c r="X211" s="105"/>
      <c r="Y211" s="105"/>
      <c r="Z211" s="105"/>
      <c r="AA211" s="105"/>
    </row>
    <row r="212" ht="15.75" hidden="1" customHeight="1">
      <c r="A212" s="105"/>
      <c r="B212" s="105"/>
      <c r="C212" s="105"/>
      <c r="D212" s="105"/>
      <c r="E212" s="105"/>
      <c r="F212" s="105"/>
      <c r="G212" s="105"/>
      <c r="H212" s="105"/>
      <c r="I212" s="105"/>
      <c r="J212" s="105"/>
      <c r="K212" s="105"/>
      <c r="L212" s="105"/>
      <c r="M212" s="105"/>
      <c r="N212" s="105"/>
      <c r="O212" s="105"/>
      <c r="P212" s="105"/>
      <c r="Q212" s="105"/>
      <c r="R212" s="105"/>
      <c r="S212" s="105"/>
      <c r="T212" s="105"/>
      <c r="U212" s="105"/>
      <c r="V212" s="105"/>
      <c r="W212" s="105"/>
      <c r="X212" s="105"/>
      <c r="Y212" s="105"/>
      <c r="Z212" s="105"/>
      <c r="AA212" s="105"/>
    </row>
    <row r="213" ht="15.75" hidden="1" customHeight="1">
      <c r="A213" s="105"/>
      <c r="B213" s="105"/>
      <c r="C213" s="105"/>
      <c r="D213" s="105"/>
      <c r="E213" s="105"/>
      <c r="F213" s="105"/>
      <c r="G213" s="105"/>
      <c r="H213" s="105"/>
      <c r="I213" s="105"/>
      <c r="J213" s="105"/>
      <c r="K213" s="105"/>
      <c r="L213" s="105"/>
      <c r="M213" s="105"/>
      <c r="N213" s="105"/>
      <c r="O213" s="105"/>
      <c r="P213" s="105"/>
      <c r="Q213" s="105"/>
      <c r="R213" s="105"/>
      <c r="S213" s="105"/>
      <c r="T213" s="105"/>
      <c r="U213" s="105"/>
      <c r="V213" s="105"/>
      <c r="W213" s="105"/>
      <c r="X213" s="105"/>
      <c r="Y213" s="105"/>
      <c r="Z213" s="105"/>
      <c r="AA213" s="105"/>
    </row>
    <row r="214" ht="15.75" hidden="1" customHeight="1">
      <c r="A214" s="105"/>
      <c r="B214" s="105"/>
      <c r="C214" s="105"/>
      <c r="D214" s="105"/>
      <c r="E214" s="105"/>
      <c r="F214" s="105"/>
      <c r="G214" s="105"/>
      <c r="H214" s="105"/>
      <c r="I214" s="105"/>
      <c r="J214" s="105"/>
      <c r="K214" s="105"/>
      <c r="L214" s="105"/>
      <c r="M214" s="105"/>
      <c r="N214" s="105"/>
      <c r="O214" s="105"/>
      <c r="P214" s="105"/>
      <c r="Q214" s="105"/>
      <c r="R214" s="105"/>
      <c r="S214" s="105"/>
      <c r="T214" s="105"/>
      <c r="U214" s="105"/>
      <c r="V214" s="105"/>
      <c r="W214" s="105"/>
      <c r="X214" s="105"/>
      <c r="Y214" s="105"/>
      <c r="Z214" s="105"/>
      <c r="AA214" s="105"/>
    </row>
    <row r="215" ht="15.75" hidden="1" customHeight="1">
      <c r="A215" s="105"/>
      <c r="B215" s="105"/>
      <c r="C215" s="105"/>
      <c r="D215" s="105"/>
      <c r="E215" s="105"/>
      <c r="F215" s="105"/>
      <c r="G215" s="105"/>
      <c r="H215" s="105"/>
      <c r="I215" s="105"/>
      <c r="J215" s="105"/>
      <c r="K215" s="105"/>
      <c r="L215" s="105"/>
      <c r="M215" s="105"/>
      <c r="N215" s="105"/>
      <c r="O215" s="105"/>
      <c r="P215" s="105"/>
      <c r="Q215" s="105"/>
      <c r="R215" s="105"/>
      <c r="S215" s="105"/>
      <c r="T215" s="105"/>
      <c r="U215" s="105"/>
      <c r="V215" s="105"/>
      <c r="W215" s="105"/>
      <c r="X215" s="105"/>
      <c r="Y215" s="105"/>
      <c r="Z215" s="105"/>
      <c r="AA215" s="105"/>
    </row>
    <row r="216" ht="15.75" hidden="1" customHeight="1">
      <c r="A216" s="105"/>
      <c r="B216" s="105"/>
      <c r="C216" s="105"/>
      <c r="D216" s="105"/>
      <c r="E216" s="105"/>
      <c r="F216" s="105"/>
      <c r="G216" s="105"/>
      <c r="H216" s="105"/>
      <c r="I216" s="105"/>
      <c r="J216" s="105"/>
      <c r="K216" s="105"/>
      <c r="L216" s="105"/>
      <c r="M216" s="105"/>
      <c r="N216" s="105"/>
      <c r="O216" s="105"/>
      <c r="P216" s="105"/>
      <c r="Q216" s="105"/>
      <c r="R216" s="105"/>
      <c r="S216" s="105"/>
      <c r="T216" s="105"/>
      <c r="U216" s="105"/>
      <c r="V216" s="105"/>
      <c r="W216" s="105"/>
      <c r="X216" s="105"/>
      <c r="Y216" s="105"/>
      <c r="Z216" s="105"/>
      <c r="AA216" s="105"/>
    </row>
    <row r="217" ht="15.75" hidden="1" customHeight="1">
      <c r="A217" s="105"/>
      <c r="B217" s="105"/>
      <c r="C217" s="105"/>
      <c r="D217" s="105"/>
      <c r="E217" s="105"/>
      <c r="F217" s="105"/>
      <c r="G217" s="105"/>
      <c r="H217" s="105"/>
      <c r="I217" s="105"/>
      <c r="J217" s="105"/>
      <c r="K217" s="105"/>
      <c r="L217" s="105"/>
      <c r="M217" s="105"/>
      <c r="N217" s="105"/>
      <c r="O217" s="105"/>
      <c r="P217" s="105"/>
      <c r="Q217" s="105"/>
      <c r="R217" s="105"/>
      <c r="S217" s="105"/>
      <c r="T217" s="105"/>
      <c r="U217" s="105"/>
      <c r="V217" s="105"/>
      <c r="W217" s="105"/>
      <c r="X217" s="105"/>
      <c r="Y217" s="105"/>
      <c r="Z217" s="105"/>
      <c r="AA217" s="105"/>
    </row>
    <row r="218" ht="15.75" hidden="1" customHeight="1">
      <c r="A218" s="105"/>
      <c r="B218" s="105"/>
      <c r="C218" s="105"/>
      <c r="D218" s="105"/>
      <c r="E218" s="105"/>
      <c r="F218" s="105"/>
      <c r="G218" s="105"/>
      <c r="H218" s="105"/>
      <c r="I218" s="105"/>
      <c r="J218" s="105"/>
      <c r="K218" s="105"/>
      <c r="L218" s="105"/>
      <c r="M218" s="105"/>
      <c r="N218" s="105"/>
      <c r="O218" s="105"/>
      <c r="P218" s="105"/>
      <c r="Q218" s="105"/>
      <c r="R218" s="105"/>
      <c r="S218" s="105"/>
      <c r="T218" s="105"/>
      <c r="U218" s="105"/>
      <c r="V218" s="105"/>
      <c r="W218" s="105"/>
      <c r="X218" s="105"/>
      <c r="Y218" s="105"/>
      <c r="Z218" s="105"/>
      <c r="AA218" s="105"/>
    </row>
    <row r="219" ht="15.75" hidden="1" customHeight="1">
      <c r="A219" s="105"/>
      <c r="B219" s="105"/>
      <c r="C219" s="105"/>
      <c r="D219" s="105"/>
      <c r="E219" s="105"/>
      <c r="F219" s="105"/>
      <c r="G219" s="105"/>
      <c r="H219" s="105"/>
      <c r="I219" s="105"/>
      <c r="J219" s="105"/>
      <c r="K219" s="105"/>
      <c r="L219" s="105"/>
      <c r="M219" s="105"/>
      <c r="N219" s="105"/>
      <c r="O219" s="105"/>
      <c r="P219" s="105"/>
      <c r="Q219" s="105"/>
      <c r="R219" s="105"/>
      <c r="S219" s="105"/>
      <c r="T219" s="105"/>
      <c r="U219" s="105"/>
      <c r="V219" s="105"/>
      <c r="W219" s="105"/>
      <c r="X219" s="105"/>
      <c r="Y219" s="105"/>
      <c r="Z219" s="105"/>
      <c r="AA219" s="105"/>
    </row>
    <row r="220" ht="15.75" hidden="1" customHeight="1">
      <c r="A220" s="105"/>
      <c r="B220" s="105"/>
      <c r="C220" s="105"/>
      <c r="D220" s="105"/>
      <c r="E220" s="105"/>
      <c r="F220" s="105"/>
      <c r="G220" s="105"/>
      <c r="H220" s="105"/>
      <c r="I220" s="105"/>
      <c r="J220" s="105"/>
      <c r="K220" s="105"/>
      <c r="L220" s="105"/>
      <c r="M220" s="105"/>
      <c r="N220" s="105"/>
      <c r="O220" s="105"/>
      <c r="P220" s="105"/>
      <c r="Q220" s="105"/>
      <c r="R220" s="105"/>
      <c r="S220" s="105"/>
      <c r="T220" s="105"/>
      <c r="U220" s="105"/>
      <c r="V220" s="105"/>
      <c r="W220" s="105"/>
      <c r="X220" s="105"/>
      <c r="Y220" s="105"/>
      <c r="Z220" s="105"/>
      <c r="AA220" s="105"/>
    </row>
    <row r="221" ht="15.75" hidden="1" customHeight="1">
      <c r="A221" s="105"/>
      <c r="B221" s="105"/>
      <c r="C221" s="105"/>
      <c r="D221" s="105"/>
      <c r="E221" s="105"/>
      <c r="F221" s="105"/>
      <c r="G221" s="105"/>
      <c r="H221" s="105"/>
      <c r="I221" s="105"/>
      <c r="J221" s="105"/>
      <c r="K221" s="105"/>
      <c r="L221" s="105"/>
      <c r="M221" s="105"/>
      <c r="N221" s="105"/>
      <c r="O221" s="105"/>
      <c r="P221" s="105"/>
      <c r="Q221" s="105"/>
      <c r="R221" s="105"/>
      <c r="S221" s="105"/>
      <c r="T221" s="105"/>
      <c r="U221" s="105"/>
      <c r="V221" s="105"/>
      <c r="W221" s="105"/>
      <c r="X221" s="105"/>
      <c r="Y221" s="105"/>
      <c r="Z221" s="105"/>
      <c r="AA221" s="105"/>
    </row>
    <row r="222" ht="15.75" hidden="1" customHeight="1">
      <c r="A222" s="105"/>
      <c r="B222" s="105"/>
      <c r="C222" s="105"/>
      <c r="D222" s="105"/>
      <c r="E222" s="105"/>
      <c r="F222" s="105"/>
      <c r="G222" s="105"/>
      <c r="H222" s="105"/>
      <c r="I222" s="105"/>
      <c r="J222" s="105"/>
      <c r="K222" s="105"/>
      <c r="L222" s="105"/>
      <c r="M222" s="105"/>
      <c r="N222" s="105"/>
      <c r="O222" s="105"/>
      <c r="P222" s="105"/>
      <c r="Q222" s="105"/>
      <c r="R222" s="105"/>
      <c r="S222" s="105"/>
      <c r="T222" s="105"/>
      <c r="U222" s="105"/>
      <c r="V222" s="105"/>
      <c r="W222" s="105"/>
      <c r="X222" s="105"/>
      <c r="Y222" s="105"/>
      <c r="Z222" s="105"/>
      <c r="AA222" s="105"/>
    </row>
    <row r="223" ht="15.75" hidden="1" customHeight="1">
      <c r="A223" s="105"/>
      <c r="B223" s="105"/>
      <c r="C223" s="105"/>
      <c r="D223" s="105"/>
      <c r="E223" s="105"/>
      <c r="F223" s="105"/>
      <c r="G223" s="105"/>
      <c r="H223" s="105"/>
      <c r="I223" s="105"/>
      <c r="J223" s="105"/>
      <c r="K223" s="105"/>
      <c r="L223" s="105"/>
      <c r="M223" s="105"/>
      <c r="N223" s="105"/>
      <c r="O223" s="105"/>
      <c r="P223" s="105"/>
      <c r="Q223" s="105"/>
      <c r="R223" s="105"/>
      <c r="S223" s="105"/>
      <c r="T223" s="105"/>
      <c r="U223" s="105"/>
      <c r="V223" s="105"/>
      <c r="W223" s="105"/>
      <c r="X223" s="105"/>
      <c r="Y223" s="105"/>
      <c r="Z223" s="105"/>
      <c r="AA223" s="105"/>
    </row>
    <row r="224" ht="15.75" hidden="1" customHeight="1">
      <c r="A224" s="105"/>
      <c r="B224" s="105"/>
      <c r="C224" s="105"/>
      <c r="D224" s="105"/>
      <c r="E224" s="105"/>
      <c r="F224" s="105"/>
      <c r="G224" s="105"/>
      <c r="H224" s="105"/>
      <c r="I224" s="105"/>
      <c r="J224" s="105"/>
      <c r="K224" s="105"/>
      <c r="L224" s="105"/>
      <c r="M224" s="105"/>
      <c r="N224" s="105"/>
      <c r="O224" s="105"/>
      <c r="P224" s="105"/>
      <c r="Q224" s="105"/>
      <c r="R224" s="105"/>
      <c r="S224" s="105"/>
      <c r="T224" s="105"/>
      <c r="U224" s="105"/>
      <c r="V224" s="105"/>
      <c r="W224" s="105"/>
      <c r="X224" s="105"/>
      <c r="Y224" s="105"/>
      <c r="Z224" s="105"/>
      <c r="AA224" s="105"/>
    </row>
    <row r="225" ht="15.75" hidden="1" customHeight="1">
      <c r="A225" s="105"/>
      <c r="B225" s="105"/>
      <c r="C225" s="105"/>
      <c r="D225" s="105"/>
      <c r="E225" s="105"/>
      <c r="F225" s="105"/>
      <c r="G225" s="105"/>
      <c r="H225" s="105"/>
      <c r="I225" s="105"/>
      <c r="J225" s="105"/>
      <c r="K225" s="105"/>
      <c r="L225" s="105"/>
      <c r="M225" s="105"/>
      <c r="N225" s="105"/>
      <c r="O225" s="105"/>
      <c r="P225" s="105"/>
      <c r="Q225" s="105"/>
      <c r="R225" s="105"/>
      <c r="S225" s="105"/>
      <c r="T225" s="105"/>
      <c r="U225" s="105"/>
      <c r="V225" s="105"/>
      <c r="W225" s="105"/>
      <c r="X225" s="105"/>
      <c r="Y225" s="105"/>
      <c r="Z225" s="105"/>
      <c r="AA225" s="105"/>
    </row>
    <row r="226" ht="15.75" hidden="1" customHeight="1">
      <c r="A226" s="105"/>
      <c r="B226" s="105"/>
      <c r="C226" s="105"/>
      <c r="D226" s="105"/>
      <c r="E226" s="105"/>
      <c r="F226" s="105"/>
      <c r="G226" s="105"/>
      <c r="H226" s="105"/>
      <c r="I226" s="105"/>
      <c r="J226" s="105"/>
      <c r="K226" s="105"/>
      <c r="L226" s="105"/>
      <c r="M226" s="105"/>
      <c r="N226" s="105"/>
      <c r="O226" s="105"/>
      <c r="P226" s="105"/>
      <c r="Q226" s="105"/>
      <c r="R226" s="105"/>
      <c r="S226" s="105"/>
      <c r="T226" s="105"/>
      <c r="U226" s="105"/>
      <c r="V226" s="105"/>
      <c r="W226" s="105"/>
      <c r="X226" s="105"/>
      <c r="Y226" s="105"/>
      <c r="Z226" s="105"/>
      <c r="AA226" s="105"/>
    </row>
    <row r="227" ht="15.75" hidden="1" customHeight="1">
      <c r="A227" s="105"/>
      <c r="B227" s="105"/>
      <c r="C227" s="105"/>
      <c r="D227" s="105"/>
      <c r="E227" s="105"/>
      <c r="F227" s="105"/>
      <c r="G227" s="105"/>
      <c r="H227" s="105"/>
      <c r="I227" s="105"/>
      <c r="J227" s="105"/>
      <c r="K227" s="105"/>
      <c r="L227" s="105"/>
      <c r="M227" s="105"/>
      <c r="N227" s="105"/>
      <c r="O227" s="105"/>
      <c r="P227" s="105"/>
      <c r="Q227" s="105"/>
      <c r="R227" s="105"/>
      <c r="S227" s="105"/>
      <c r="T227" s="105"/>
      <c r="U227" s="105"/>
      <c r="V227" s="105"/>
      <c r="W227" s="105"/>
      <c r="X227" s="105"/>
      <c r="Y227" s="105"/>
      <c r="Z227" s="105"/>
      <c r="AA227" s="105"/>
    </row>
    <row r="228" ht="15.75" hidden="1" customHeight="1">
      <c r="A228" s="105"/>
      <c r="B228" s="105"/>
      <c r="C228" s="105"/>
      <c r="D228" s="105"/>
      <c r="E228" s="105"/>
      <c r="F228" s="105"/>
      <c r="G228" s="105"/>
      <c r="H228" s="105"/>
      <c r="I228" s="105"/>
      <c r="J228" s="105"/>
      <c r="K228" s="105"/>
      <c r="L228" s="105"/>
      <c r="M228" s="105"/>
      <c r="N228" s="105"/>
      <c r="O228" s="105"/>
      <c r="P228" s="105"/>
      <c r="Q228" s="105"/>
      <c r="R228" s="105"/>
      <c r="S228" s="105"/>
      <c r="T228" s="105"/>
      <c r="U228" s="105"/>
      <c r="V228" s="105"/>
      <c r="W228" s="105"/>
      <c r="X228" s="105"/>
      <c r="Y228" s="105"/>
      <c r="Z228" s="105"/>
      <c r="AA228" s="105"/>
    </row>
    <row r="229" ht="15.75" hidden="1" customHeight="1">
      <c r="A229" s="105"/>
      <c r="B229" s="105"/>
      <c r="C229" s="105"/>
      <c r="D229" s="105"/>
      <c r="E229" s="105"/>
      <c r="F229" s="105"/>
      <c r="G229" s="105"/>
      <c r="H229" s="105"/>
      <c r="I229" s="105"/>
      <c r="J229" s="105"/>
      <c r="K229" s="105"/>
      <c r="L229" s="105"/>
      <c r="M229" s="105"/>
      <c r="N229" s="105"/>
      <c r="O229" s="105"/>
      <c r="P229" s="105"/>
      <c r="Q229" s="105"/>
      <c r="R229" s="105"/>
      <c r="S229" s="105"/>
      <c r="T229" s="105"/>
      <c r="U229" s="105"/>
      <c r="V229" s="105"/>
      <c r="W229" s="105"/>
      <c r="X229" s="105"/>
      <c r="Y229" s="105"/>
      <c r="Z229" s="105"/>
      <c r="AA229" s="105"/>
    </row>
    <row r="230" ht="15.75" hidden="1" customHeight="1">
      <c r="A230" s="105"/>
      <c r="B230" s="105"/>
      <c r="C230" s="105"/>
      <c r="D230" s="105"/>
      <c r="E230" s="105"/>
      <c r="F230" s="105"/>
      <c r="G230" s="105"/>
      <c r="H230" s="105"/>
      <c r="I230" s="105"/>
      <c r="J230" s="105"/>
      <c r="K230" s="105"/>
      <c r="L230" s="105"/>
      <c r="M230" s="105"/>
      <c r="N230" s="105"/>
      <c r="O230" s="105"/>
      <c r="P230" s="105"/>
      <c r="Q230" s="105"/>
      <c r="R230" s="105"/>
      <c r="S230" s="105"/>
      <c r="T230" s="105"/>
      <c r="U230" s="105"/>
      <c r="V230" s="105"/>
      <c r="W230" s="105"/>
      <c r="X230" s="105"/>
      <c r="Y230" s="105"/>
      <c r="Z230" s="105"/>
      <c r="AA230" s="105"/>
    </row>
    <row r="231" ht="15.75" hidden="1" customHeight="1">
      <c r="A231" s="105"/>
      <c r="B231" s="105"/>
      <c r="C231" s="105"/>
      <c r="D231" s="105"/>
      <c r="E231" s="105"/>
      <c r="F231" s="105"/>
      <c r="G231" s="105"/>
      <c r="H231" s="105"/>
      <c r="I231" s="105"/>
      <c r="J231" s="105"/>
      <c r="K231" s="105"/>
      <c r="L231" s="105"/>
      <c r="M231" s="105"/>
      <c r="N231" s="105"/>
      <c r="O231" s="105"/>
      <c r="P231" s="105"/>
      <c r="Q231" s="105"/>
      <c r="R231" s="105"/>
      <c r="S231" s="105"/>
      <c r="T231" s="105"/>
      <c r="U231" s="105"/>
      <c r="V231" s="105"/>
      <c r="W231" s="105"/>
      <c r="X231" s="105"/>
      <c r="Y231" s="105"/>
      <c r="Z231" s="105"/>
      <c r="AA231" s="105"/>
    </row>
    <row r="232" ht="15.75" hidden="1" customHeight="1">
      <c r="A232" s="105"/>
      <c r="B232" s="105"/>
      <c r="C232" s="105"/>
      <c r="D232" s="105"/>
      <c r="E232" s="105"/>
      <c r="F232" s="105"/>
      <c r="G232" s="105"/>
      <c r="H232" s="105"/>
      <c r="I232" s="105"/>
      <c r="J232" s="105"/>
      <c r="K232" s="105"/>
      <c r="L232" s="105"/>
      <c r="M232" s="105"/>
      <c r="N232" s="105"/>
      <c r="O232" s="105"/>
      <c r="P232" s="105"/>
      <c r="Q232" s="105"/>
      <c r="R232" s="105"/>
      <c r="S232" s="105"/>
      <c r="T232" s="105"/>
      <c r="U232" s="105"/>
      <c r="V232" s="105"/>
      <c r="W232" s="105"/>
      <c r="X232" s="105"/>
      <c r="Y232" s="105"/>
      <c r="Z232" s="105"/>
      <c r="AA232" s="105"/>
    </row>
    <row r="233" ht="15.75" hidden="1" customHeight="1">
      <c r="A233" s="105"/>
      <c r="B233" s="105"/>
      <c r="C233" s="105"/>
      <c r="D233" s="105"/>
      <c r="E233" s="105"/>
      <c r="F233" s="105"/>
      <c r="G233" s="105"/>
      <c r="H233" s="105"/>
      <c r="I233" s="105"/>
      <c r="J233" s="105"/>
      <c r="K233" s="105"/>
      <c r="L233" s="105"/>
      <c r="M233" s="105"/>
      <c r="N233" s="105"/>
      <c r="O233" s="105"/>
      <c r="P233" s="105"/>
      <c r="Q233" s="105"/>
      <c r="R233" s="105"/>
      <c r="S233" s="105"/>
      <c r="T233" s="105"/>
      <c r="U233" s="105"/>
      <c r="V233" s="105"/>
      <c r="W233" s="105"/>
      <c r="X233" s="105"/>
      <c r="Y233" s="105"/>
      <c r="Z233" s="105"/>
      <c r="AA233" s="105"/>
    </row>
    <row r="234" ht="15.75" hidden="1" customHeight="1">
      <c r="A234" s="105"/>
      <c r="B234" s="105"/>
      <c r="C234" s="105"/>
      <c r="D234" s="105"/>
      <c r="E234" s="105"/>
      <c r="F234" s="105"/>
      <c r="G234" s="105"/>
      <c r="H234" s="105"/>
      <c r="I234" s="105"/>
      <c r="J234" s="105"/>
      <c r="K234" s="105"/>
      <c r="L234" s="105"/>
      <c r="M234" s="105"/>
      <c r="N234" s="105"/>
      <c r="O234" s="105"/>
      <c r="P234" s="105"/>
      <c r="Q234" s="105"/>
      <c r="R234" s="105"/>
      <c r="S234" s="105"/>
      <c r="T234" s="105"/>
      <c r="U234" s="105"/>
      <c r="V234" s="105"/>
      <c r="W234" s="105"/>
      <c r="X234" s="105"/>
      <c r="Y234" s="105"/>
      <c r="Z234" s="105"/>
      <c r="AA234" s="105"/>
    </row>
    <row r="235" ht="15.75" hidden="1" customHeight="1">
      <c r="A235" s="105"/>
      <c r="B235" s="105"/>
      <c r="C235" s="105"/>
      <c r="D235" s="105"/>
      <c r="E235" s="105"/>
      <c r="F235" s="105"/>
      <c r="G235" s="105"/>
      <c r="H235" s="105"/>
      <c r="I235" s="105"/>
      <c r="J235" s="105"/>
      <c r="K235" s="105"/>
      <c r="L235" s="105"/>
      <c r="M235" s="105"/>
      <c r="N235" s="105"/>
      <c r="O235" s="105"/>
      <c r="P235" s="105"/>
      <c r="Q235" s="105"/>
      <c r="R235" s="105"/>
      <c r="S235" s="105"/>
      <c r="T235" s="105"/>
      <c r="U235" s="105"/>
      <c r="V235" s="105"/>
      <c r="W235" s="105"/>
      <c r="X235" s="105"/>
      <c r="Y235" s="105"/>
      <c r="Z235" s="105"/>
      <c r="AA235" s="105"/>
    </row>
    <row r="236" ht="15.75" hidden="1" customHeight="1">
      <c r="A236" s="105"/>
      <c r="B236" s="105"/>
      <c r="C236" s="105"/>
      <c r="D236" s="105"/>
      <c r="E236" s="105"/>
      <c r="F236" s="105"/>
      <c r="G236" s="105"/>
      <c r="H236" s="105"/>
      <c r="I236" s="105"/>
      <c r="J236" s="105"/>
      <c r="K236" s="105"/>
      <c r="L236" s="105"/>
      <c r="M236" s="105"/>
      <c r="N236" s="105"/>
      <c r="O236" s="105"/>
      <c r="P236" s="105"/>
      <c r="Q236" s="105"/>
      <c r="R236" s="105"/>
      <c r="S236" s="105"/>
      <c r="T236" s="105"/>
      <c r="U236" s="105"/>
      <c r="V236" s="105"/>
      <c r="W236" s="105"/>
      <c r="X236" s="105"/>
      <c r="Y236" s="105"/>
      <c r="Z236" s="105"/>
      <c r="AA236" s="105"/>
    </row>
    <row r="237" ht="15.75" hidden="1" customHeight="1">
      <c r="A237" s="105"/>
      <c r="B237" s="105"/>
      <c r="C237" s="105"/>
      <c r="D237" s="105"/>
      <c r="E237" s="105"/>
      <c r="F237" s="105"/>
      <c r="G237" s="105"/>
      <c r="H237" s="105"/>
      <c r="I237" s="105"/>
      <c r="J237" s="105"/>
      <c r="K237" s="105"/>
      <c r="L237" s="105"/>
      <c r="M237" s="105"/>
      <c r="N237" s="105"/>
      <c r="O237" s="105"/>
      <c r="P237" s="105"/>
      <c r="Q237" s="105"/>
      <c r="R237" s="105"/>
      <c r="S237" s="105"/>
      <c r="T237" s="105"/>
      <c r="U237" s="105"/>
      <c r="V237" s="105"/>
      <c r="W237" s="105"/>
      <c r="X237" s="105"/>
      <c r="Y237" s="105"/>
      <c r="Z237" s="105"/>
      <c r="AA237" s="105"/>
    </row>
    <row r="238" ht="15.75" hidden="1" customHeight="1">
      <c r="A238" s="105"/>
      <c r="B238" s="105"/>
      <c r="C238" s="105"/>
      <c r="D238" s="105"/>
      <c r="E238" s="105"/>
      <c r="F238" s="105"/>
      <c r="G238" s="105"/>
      <c r="H238" s="105"/>
      <c r="I238" s="105"/>
      <c r="J238" s="105"/>
      <c r="K238" s="105"/>
      <c r="L238" s="105"/>
      <c r="M238" s="105"/>
      <c r="N238" s="105"/>
      <c r="O238" s="105"/>
      <c r="P238" s="105"/>
      <c r="Q238" s="105"/>
      <c r="R238" s="105"/>
      <c r="S238" s="105"/>
      <c r="T238" s="105"/>
      <c r="U238" s="105"/>
      <c r="V238" s="105"/>
      <c r="W238" s="105"/>
      <c r="X238" s="105"/>
      <c r="Y238" s="105"/>
      <c r="Z238" s="105"/>
      <c r="AA238" s="105"/>
    </row>
    <row r="239" ht="15.75" hidden="1" customHeight="1">
      <c r="A239" s="105"/>
      <c r="B239" s="105"/>
      <c r="C239" s="105"/>
      <c r="D239" s="105"/>
      <c r="E239" s="105"/>
      <c r="F239" s="105"/>
      <c r="G239" s="105"/>
      <c r="H239" s="105"/>
      <c r="I239" s="105"/>
      <c r="J239" s="105"/>
      <c r="K239" s="105"/>
      <c r="L239" s="105"/>
      <c r="M239" s="105"/>
      <c r="N239" s="105"/>
      <c r="O239" s="105"/>
      <c r="P239" s="105"/>
      <c r="Q239" s="105"/>
      <c r="R239" s="105"/>
      <c r="S239" s="105"/>
      <c r="T239" s="105"/>
      <c r="U239" s="105"/>
      <c r="V239" s="105"/>
      <c r="W239" s="105"/>
      <c r="X239" s="105"/>
      <c r="Y239" s="105"/>
      <c r="Z239" s="105"/>
      <c r="AA239" s="105"/>
    </row>
    <row r="240" ht="15.75" hidden="1" customHeight="1">
      <c r="A240" s="105"/>
      <c r="B240" s="105"/>
      <c r="C240" s="105"/>
      <c r="D240" s="105"/>
      <c r="E240" s="105"/>
      <c r="F240" s="105"/>
      <c r="G240" s="105"/>
      <c r="H240" s="105"/>
      <c r="I240" s="105"/>
      <c r="J240" s="105"/>
      <c r="K240" s="105"/>
      <c r="L240" s="105"/>
      <c r="M240" s="105"/>
      <c r="N240" s="105"/>
      <c r="O240" s="105"/>
      <c r="P240" s="105"/>
      <c r="Q240" s="105"/>
      <c r="R240" s="105"/>
      <c r="S240" s="105"/>
      <c r="T240" s="105"/>
      <c r="U240" s="105"/>
      <c r="V240" s="105"/>
      <c r="W240" s="105"/>
      <c r="X240" s="105"/>
      <c r="Y240" s="105"/>
      <c r="Z240" s="105"/>
      <c r="AA240" s="105"/>
    </row>
    <row r="241" ht="15.75" hidden="1" customHeight="1">
      <c r="A241" s="105"/>
      <c r="B241" s="105"/>
      <c r="C241" s="105"/>
      <c r="D241" s="105"/>
      <c r="E241" s="105"/>
      <c r="F241" s="105"/>
      <c r="G241" s="105"/>
      <c r="H241" s="105"/>
      <c r="I241" s="105"/>
      <c r="J241" s="105"/>
      <c r="K241" s="105"/>
      <c r="L241" s="105"/>
      <c r="M241" s="105"/>
      <c r="N241" s="105"/>
      <c r="O241" s="105"/>
      <c r="P241" s="105"/>
      <c r="Q241" s="105"/>
      <c r="R241" s="105"/>
      <c r="S241" s="105"/>
      <c r="T241" s="105"/>
      <c r="U241" s="105"/>
      <c r="V241" s="105"/>
      <c r="W241" s="105"/>
      <c r="X241" s="105"/>
      <c r="Y241" s="105"/>
      <c r="Z241" s="105"/>
      <c r="AA241" s="105"/>
    </row>
    <row r="242" ht="15.75" hidden="1" customHeight="1">
      <c r="A242" s="105"/>
      <c r="B242" s="105"/>
      <c r="C242" s="105"/>
      <c r="D242" s="105"/>
      <c r="E242" s="105"/>
      <c r="F242" s="105"/>
      <c r="G242" s="105"/>
      <c r="H242" s="105"/>
      <c r="I242" s="105"/>
      <c r="J242" s="105"/>
      <c r="K242" s="105"/>
      <c r="L242" s="105"/>
      <c r="M242" s="105"/>
      <c r="N242" s="105"/>
      <c r="O242" s="105"/>
      <c r="P242" s="105"/>
      <c r="Q242" s="105"/>
      <c r="R242" s="105"/>
      <c r="S242" s="105"/>
      <c r="T242" s="105"/>
      <c r="U242" s="105"/>
      <c r="V242" s="105"/>
      <c r="W242" s="105"/>
      <c r="X242" s="105"/>
      <c r="Y242" s="105"/>
      <c r="Z242" s="105"/>
      <c r="AA242" s="105"/>
    </row>
    <row r="243" ht="15.75" hidden="1" customHeight="1">
      <c r="A243" s="105"/>
      <c r="B243" s="105"/>
      <c r="C243" s="105"/>
      <c r="D243" s="105"/>
      <c r="E243" s="105"/>
      <c r="F243" s="105"/>
      <c r="G243" s="105"/>
      <c r="H243" s="105"/>
      <c r="I243" s="105"/>
      <c r="J243" s="105"/>
      <c r="K243" s="105"/>
      <c r="L243" s="105"/>
      <c r="M243" s="105"/>
      <c r="N243" s="105"/>
      <c r="O243" s="105"/>
      <c r="P243" s="105"/>
      <c r="Q243" s="105"/>
      <c r="R243" s="105"/>
      <c r="S243" s="105"/>
      <c r="T243" s="105"/>
      <c r="U243" s="105"/>
      <c r="V243" s="105"/>
      <c r="W243" s="105"/>
      <c r="X243" s="105"/>
      <c r="Y243" s="105"/>
      <c r="Z243" s="105"/>
      <c r="AA243" s="105"/>
    </row>
    <row r="244" ht="15.75" hidden="1" customHeight="1">
      <c r="A244" s="105"/>
      <c r="B244" s="105"/>
      <c r="C244" s="105"/>
      <c r="D244" s="105"/>
      <c r="E244" s="105"/>
      <c r="F244" s="105"/>
      <c r="G244" s="105"/>
      <c r="H244" s="105"/>
      <c r="I244" s="105"/>
      <c r="J244" s="105"/>
      <c r="K244" s="105"/>
      <c r="L244" s="105"/>
      <c r="M244" s="105"/>
      <c r="N244" s="105"/>
      <c r="O244" s="105"/>
      <c r="P244" s="105"/>
      <c r="Q244" s="105"/>
      <c r="R244" s="105"/>
      <c r="S244" s="105"/>
      <c r="T244" s="105"/>
      <c r="U244" s="105"/>
      <c r="V244" s="105"/>
      <c r="W244" s="105"/>
      <c r="X244" s="105"/>
      <c r="Y244" s="105"/>
      <c r="Z244" s="105"/>
      <c r="AA244" s="105"/>
    </row>
    <row r="245" ht="15.75" hidden="1" customHeight="1">
      <c r="A245" s="105"/>
      <c r="B245" s="105"/>
      <c r="C245" s="105"/>
      <c r="D245" s="105"/>
      <c r="E245" s="105"/>
      <c r="F245" s="105"/>
      <c r="G245" s="105"/>
      <c r="H245" s="105"/>
      <c r="I245" s="105"/>
      <c r="J245" s="105"/>
      <c r="K245" s="105"/>
      <c r="L245" s="105"/>
      <c r="M245" s="105"/>
      <c r="N245" s="105"/>
      <c r="O245" s="105"/>
      <c r="P245" s="105"/>
      <c r="Q245" s="105"/>
      <c r="R245" s="105"/>
      <c r="S245" s="105"/>
      <c r="T245" s="105"/>
      <c r="U245" s="105"/>
      <c r="V245" s="105"/>
      <c r="W245" s="105"/>
      <c r="X245" s="105"/>
      <c r="Y245" s="105"/>
      <c r="Z245" s="105"/>
      <c r="AA245" s="105"/>
    </row>
    <row r="246" ht="15.75" hidden="1" customHeight="1">
      <c r="A246" s="105"/>
      <c r="B246" s="105"/>
      <c r="C246" s="105"/>
      <c r="D246" s="105"/>
      <c r="E246" s="105"/>
      <c r="F246" s="105"/>
      <c r="G246" s="105"/>
      <c r="H246" s="105"/>
      <c r="I246" s="105"/>
      <c r="J246" s="105"/>
      <c r="K246" s="105"/>
      <c r="L246" s="105"/>
      <c r="M246" s="105"/>
      <c r="N246" s="105"/>
      <c r="O246" s="105"/>
      <c r="P246" s="105"/>
      <c r="Q246" s="105"/>
      <c r="R246" s="105"/>
      <c r="S246" s="105"/>
      <c r="T246" s="105"/>
      <c r="U246" s="105"/>
      <c r="V246" s="105"/>
      <c r="W246" s="105"/>
      <c r="X246" s="105"/>
      <c r="Y246" s="105"/>
      <c r="Z246" s="105"/>
      <c r="AA246" s="105"/>
    </row>
    <row r="247" ht="15.75" hidden="1" customHeight="1">
      <c r="A247" s="105"/>
      <c r="B247" s="105"/>
      <c r="C247" s="105"/>
      <c r="D247" s="105"/>
      <c r="E247" s="105"/>
      <c r="F247" s="105"/>
      <c r="G247" s="105"/>
      <c r="H247" s="105"/>
      <c r="I247" s="105"/>
      <c r="J247" s="105"/>
      <c r="K247" s="105"/>
      <c r="L247" s="105"/>
      <c r="M247" s="105"/>
      <c r="N247" s="105"/>
      <c r="O247" s="105"/>
      <c r="P247" s="105"/>
      <c r="Q247" s="105"/>
      <c r="R247" s="105"/>
      <c r="S247" s="105"/>
      <c r="T247" s="105"/>
      <c r="U247" s="105"/>
      <c r="V247" s="105"/>
      <c r="W247" s="105"/>
      <c r="X247" s="105"/>
      <c r="Y247" s="105"/>
      <c r="Z247" s="105"/>
      <c r="AA247" s="105"/>
    </row>
    <row r="248" ht="15.75" hidden="1" customHeight="1">
      <c r="A248" s="105"/>
      <c r="B248" s="105"/>
      <c r="C248" s="105"/>
      <c r="D248" s="105"/>
      <c r="E248" s="105"/>
      <c r="F248" s="105"/>
      <c r="G248" s="105"/>
      <c r="H248" s="105"/>
      <c r="I248" s="105"/>
      <c r="J248" s="105"/>
      <c r="K248" s="105"/>
      <c r="L248" s="105"/>
      <c r="M248" s="105"/>
      <c r="N248" s="105"/>
      <c r="O248" s="105"/>
      <c r="P248" s="105"/>
      <c r="Q248" s="105"/>
      <c r="R248" s="105"/>
      <c r="S248" s="105"/>
      <c r="T248" s="105"/>
      <c r="U248" s="105"/>
      <c r="V248" s="105"/>
      <c r="W248" s="105"/>
      <c r="X248" s="105"/>
      <c r="Y248" s="105"/>
      <c r="Z248" s="105"/>
      <c r="AA248" s="105"/>
    </row>
    <row r="249" ht="15.75" hidden="1" customHeight="1">
      <c r="A249" s="105"/>
      <c r="B249" s="105"/>
      <c r="C249" s="105"/>
      <c r="D249" s="105"/>
      <c r="E249" s="105"/>
      <c r="F249" s="105"/>
      <c r="G249" s="105"/>
      <c r="H249" s="105"/>
      <c r="I249" s="105"/>
      <c r="J249" s="105"/>
      <c r="K249" s="105"/>
      <c r="L249" s="105"/>
      <c r="M249" s="105"/>
      <c r="N249" s="105"/>
      <c r="O249" s="105"/>
      <c r="P249" s="105"/>
      <c r="Q249" s="105"/>
      <c r="R249" s="105"/>
      <c r="S249" s="105"/>
      <c r="T249" s="105"/>
      <c r="U249" s="105"/>
      <c r="V249" s="105"/>
      <c r="W249" s="105"/>
      <c r="X249" s="105"/>
      <c r="Y249" s="105"/>
      <c r="Z249" s="105"/>
      <c r="AA249" s="105"/>
    </row>
    <row r="250" ht="15.75" hidden="1" customHeight="1">
      <c r="A250" s="105"/>
      <c r="B250" s="105"/>
      <c r="C250" s="105"/>
      <c r="D250" s="105"/>
      <c r="E250" s="105"/>
      <c r="F250" s="105"/>
      <c r="G250" s="105"/>
      <c r="H250" s="105"/>
      <c r="I250" s="105"/>
      <c r="J250" s="105"/>
      <c r="K250" s="105"/>
      <c r="L250" s="105"/>
      <c r="M250" s="105"/>
      <c r="N250" s="105"/>
      <c r="O250" s="105"/>
      <c r="P250" s="105"/>
      <c r="Q250" s="105"/>
      <c r="R250" s="105"/>
      <c r="S250" s="105"/>
      <c r="T250" s="105"/>
      <c r="U250" s="105"/>
      <c r="V250" s="105"/>
      <c r="W250" s="105"/>
      <c r="X250" s="105"/>
      <c r="Y250" s="105"/>
      <c r="Z250" s="105"/>
      <c r="AA250" s="105"/>
    </row>
    <row r="251" ht="15.75" hidden="1" customHeight="1">
      <c r="A251" s="105"/>
      <c r="B251" s="105"/>
      <c r="C251" s="105"/>
      <c r="D251" s="105"/>
      <c r="E251" s="105"/>
      <c r="F251" s="105"/>
      <c r="G251" s="105"/>
      <c r="H251" s="105"/>
      <c r="I251" s="105"/>
      <c r="J251" s="105"/>
      <c r="K251" s="105"/>
      <c r="L251" s="105"/>
      <c r="M251" s="105"/>
      <c r="N251" s="105"/>
      <c r="O251" s="105"/>
      <c r="P251" s="105"/>
      <c r="Q251" s="105"/>
      <c r="R251" s="105"/>
      <c r="S251" s="105"/>
      <c r="T251" s="105"/>
      <c r="U251" s="105"/>
      <c r="V251" s="105"/>
      <c r="W251" s="105"/>
      <c r="X251" s="105"/>
      <c r="Y251" s="105"/>
      <c r="Z251" s="105"/>
      <c r="AA251" s="105"/>
    </row>
    <row r="252" ht="15.75" hidden="1" customHeight="1">
      <c r="A252" s="105"/>
      <c r="B252" s="105"/>
      <c r="C252" s="105"/>
      <c r="D252" s="105"/>
      <c r="E252" s="105"/>
      <c r="F252" s="105"/>
      <c r="G252" s="105"/>
      <c r="H252" s="105"/>
      <c r="I252" s="105"/>
      <c r="J252" s="105"/>
      <c r="K252" s="105"/>
      <c r="L252" s="105"/>
      <c r="M252" s="105"/>
      <c r="N252" s="105"/>
      <c r="O252" s="105"/>
      <c r="P252" s="105"/>
      <c r="Q252" s="105"/>
      <c r="R252" s="105"/>
      <c r="S252" s="105"/>
      <c r="T252" s="105"/>
      <c r="U252" s="105"/>
      <c r="V252" s="105"/>
      <c r="W252" s="105"/>
      <c r="X252" s="105"/>
      <c r="Y252" s="105"/>
      <c r="Z252" s="105"/>
      <c r="AA252" s="105"/>
    </row>
    <row r="253" ht="15.75" hidden="1" customHeight="1">
      <c r="A253" s="105"/>
      <c r="B253" s="105"/>
      <c r="C253" s="105"/>
      <c r="D253" s="105"/>
      <c r="E253" s="105"/>
      <c r="F253" s="105"/>
      <c r="G253" s="105"/>
      <c r="H253" s="105"/>
      <c r="I253" s="105"/>
      <c r="J253" s="105"/>
      <c r="K253" s="105"/>
      <c r="L253" s="105"/>
      <c r="M253" s="105"/>
      <c r="N253" s="105"/>
      <c r="O253" s="105"/>
      <c r="P253" s="105"/>
      <c r="Q253" s="105"/>
      <c r="R253" s="105"/>
      <c r="S253" s="105"/>
      <c r="T253" s="105"/>
      <c r="U253" s="105"/>
      <c r="V253" s="105"/>
      <c r="W253" s="105"/>
      <c r="X253" s="105"/>
      <c r="Y253" s="105"/>
      <c r="Z253" s="105"/>
      <c r="AA253" s="105"/>
    </row>
    <row r="254" ht="15.75" hidden="1" customHeight="1">
      <c r="A254" s="105"/>
      <c r="B254" s="105"/>
      <c r="C254" s="105"/>
      <c r="D254" s="105"/>
      <c r="E254" s="105"/>
      <c r="F254" s="105"/>
      <c r="G254" s="105"/>
      <c r="H254" s="105"/>
      <c r="I254" s="105"/>
      <c r="J254" s="105"/>
      <c r="K254" s="105"/>
      <c r="L254" s="105"/>
      <c r="M254" s="105"/>
      <c r="N254" s="105"/>
      <c r="O254" s="105"/>
      <c r="P254" s="105"/>
      <c r="Q254" s="105"/>
      <c r="R254" s="105"/>
      <c r="S254" s="105"/>
      <c r="T254" s="105"/>
      <c r="U254" s="105"/>
      <c r="V254" s="105"/>
      <c r="W254" s="105"/>
      <c r="X254" s="105"/>
      <c r="Y254" s="105"/>
      <c r="Z254" s="105"/>
      <c r="AA254" s="105"/>
    </row>
    <row r="255" ht="15.75" hidden="1" customHeight="1">
      <c r="A255" s="105"/>
      <c r="B255" s="105"/>
      <c r="C255" s="105"/>
      <c r="D255" s="105"/>
      <c r="E255" s="105"/>
      <c r="F255" s="105"/>
      <c r="G255" s="105"/>
      <c r="H255" s="105"/>
      <c r="I255" s="105"/>
      <c r="J255" s="105"/>
      <c r="K255" s="105"/>
      <c r="L255" s="105"/>
      <c r="M255" s="105"/>
      <c r="N255" s="105"/>
      <c r="O255" s="105"/>
      <c r="P255" s="105"/>
      <c r="Q255" s="105"/>
      <c r="R255" s="105"/>
      <c r="S255" s="105"/>
      <c r="T255" s="105"/>
      <c r="U255" s="105"/>
      <c r="V255" s="105"/>
      <c r="W255" s="105"/>
      <c r="X255" s="105"/>
      <c r="Y255" s="105"/>
      <c r="Z255" s="105"/>
      <c r="AA255" s="105"/>
    </row>
    <row r="256" ht="15.75" hidden="1" customHeight="1">
      <c r="A256" s="105"/>
      <c r="B256" s="105"/>
      <c r="C256" s="105"/>
      <c r="D256" s="105"/>
      <c r="E256" s="105"/>
      <c r="F256" s="105"/>
      <c r="G256" s="105"/>
      <c r="H256" s="105"/>
      <c r="I256" s="105"/>
      <c r="J256" s="105"/>
      <c r="K256" s="105"/>
      <c r="L256" s="105"/>
      <c r="M256" s="105"/>
      <c r="N256" s="105"/>
      <c r="O256" s="105"/>
      <c r="P256" s="105"/>
      <c r="Q256" s="105"/>
      <c r="R256" s="105"/>
      <c r="S256" s="105"/>
      <c r="T256" s="105"/>
      <c r="U256" s="105"/>
      <c r="V256" s="105"/>
      <c r="W256" s="105"/>
      <c r="X256" s="105"/>
      <c r="Y256" s="105"/>
      <c r="Z256" s="105"/>
      <c r="AA256" s="105"/>
    </row>
    <row r="257" ht="15.75" hidden="1" customHeight="1">
      <c r="A257" s="105"/>
      <c r="B257" s="105"/>
      <c r="C257" s="105"/>
      <c r="D257" s="105"/>
      <c r="E257" s="105"/>
      <c r="F257" s="105"/>
      <c r="G257" s="105"/>
      <c r="H257" s="105"/>
      <c r="I257" s="105"/>
      <c r="J257" s="105"/>
      <c r="K257" s="105"/>
      <c r="L257" s="105"/>
      <c r="M257" s="105"/>
      <c r="N257" s="105"/>
      <c r="O257" s="105"/>
      <c r="P257" s="105"/>
      <c r="Q257" s="105"/>
      <c r="R257" s="105"/>
      <c r="S257" s="105"/>
      <c r="T257" s="105"/>
      <c r="U257" s="105"/>
      <c r="V257" s="105"/>
      <c r="W257" s="105"/>
      <c r="X257" s="105"/>
      <c r="Y257" s="105"/>
      <c r="Z257" s="105"/>
      <c r="AA257" s="105"/>
    </row>
    <row r="258" ht="15.75" hidden="1" customHeight="1">
      <c r="A258" s="105"/>
      <c r="B258" s="105"/>
      <c r="C258" s="105"/>
      <c r="D258" s="105"/>
      <c r="E258" s="105"/>
      <c r="F258" s="105"/>
      <c r="G258" s="105"/>
      <c r="H258" s="105"/>
      <c r="I258" s="105"/>
      <c r="J258" s="105"/>
      <c r="K258" s="105"/>
      <c r="L258" s="105"/>
      <c r="M258" s="105"/>
      <c r="N258" s="105"/>
      <c r="O258" s="105"/>
      <c r="P258" s="105"/>
      <c r="Q258" s="105"/>
      <c r="R258" s="105"/>
      <c r="S258" s="105"/>
      <c r="T258" s="105"/>
      <c r="U258" s="105"/>
      <c r="V258" s="105"/>
      <c r="W258" s="105"/>
      <c r="X258" s="105"/>
      <c r="Y258" s="105"/>
      <c r="Z258" s="105"/>
      <c r="AA258" s="105"/>
    </row>
    <row r="259" ht="15.75" hidden="1" customHeight="1">
      <c r="A259" s="105"/>
      <c r="B259" s="105"/>
      <c r="C259" s="105"/>
      <c r="D259" s="105"/>
      <c r="E259" s="105"/>
      <c r="F259" s="105"/>
      <c r="G259" s="105"/>
      <c r="H259" s="105"/>
      <c r="I259" s="105"/>
      <c r="J259" s="105"/>
      <c r="K259" s="105"/>
      <c r="L259" s="105"/>
      <c r="M259" s="105"/>
      <c r="N259" s="105"/>
      <c r="O259" s="105"/>
      <c r="P259" s="105"/>
      <c r="Q259" s="105"/>
      <c r="R259" s="105"/>
      <c r="S259" s="105"/>
      <c r="T259" s="105"/>
      <c r="U259" s="105"/>
      <c r="V259" s="105"/>
      <c r="W259" s="105"/>
      <c r="X259" s="105"/>
      <c r="Y259" s="105"/>
      <c r="Z259" s="105"/>
      <c r="AA259" s="105"/>
    </row>
    <row r="260" ht="15.75" hidden="1" customHeight="1">
      <c r="A260" s="105"/>
      <c r="B260" s="105"/>
      <c r="C260" s="105"/>
      <c r="D260" s="105"/>
      <c r="E260" s="105"/>
      <c r="F260" s="105"/>
      <c r="G260" s="105"/>
      <c r="H260" s="105"/>
      <c r="I260" s="105"/>
      <c r="J260" s="105"/>
      <c r="K260" s="105"/>
      <c r="L260" s="105"/>
      <c r="M260" s="105"/>
      <c r="N260" s="105"/>
      <c r="O260" s="105"/>
      <c r="P260" s="105"/>
      <c r="Q260" s="105"/>
      <c r="R260" s="105"/>
      <c r="S260" s="105"/>
      <c r="T260" s="105"/>
      <c r="U260" s="105"/>
      <c r="V260" s="105"/>
      <c r="W260" s="105"/>
      <c r="X260" s="105"/>
      <c r="Y260" s="105"/>
      <c r="Z260" s="105"/>
      <c r="AA260" s="105"/>
    </row>
    <row r="261" ht="15.75" hidden="1" customHeight="1">
      <c r="A261" s="105"/>
      <c r="B261" s="105"/>
      <c r="C261" s="105"/>
      <c r="D261" s="105"/>
      <c r="E261" s="105"/>
      <c r="F261" s="105"/>
      <c r="G261" s="105"/>
      <c r="H261" s="105"/>
      <c r="I261" s="105"/>
      <c r="J261" s="105"/>
      <c r="K261" s="105"/>
      <c r="L261" s="105"/>
      <c r="M261" s="105"/>
      <c r="N261" s="105"/>
      <c r="O261" s="105"/>
      <c r="P261" s="105"/>
      <c r="Q261" s="105"/>
      <c r="R261" s="105"/>
      <c r="S261" s="105"/>
      <c r="T261" s="105"/>
      <c r="U261" s="105"/>
      <c r="V261" s="105"/>
      <c r="W261" s="105"/>
      <c r="X261" s="105"/>
      <c r="Y261" s="105"/>
      <c r="Z261" s="105"/>
      <c r="AA261" s="105"/>
    </row>
    <row r="262" ht="15.75" hidden="1" customHeight="1">
      <c r="A262" s="105"/>
      <c r="B262" s="105"/>
      <c r="C262" s="105"/>
      <c r="D262" s="105"/>
      <c r="E262" s="105"/>
      <c r="F262" s="105"/>
      <c r="G262" s="105"/>
      <c r="H262" s="105"/>
      <c r="I262" s="105"/>
      <c r="J262" s="105"/>
      <c r="K262" s="105"/>
      <c r="L262" s="105"/>
      <c r="M262" s="105"/>
      <c r="N262" s="105"/>
      <c r="O262" s="105"/>
      <c r="P262" s="105"/>
      <c r="Q262" s="105"/>
      <c r="R262" s="105"/>
      <c r="S262" s="105"/>
      <c r="T262" s="105"/>
      <c r="U262" s="105"/>
      <c r="V262" s="105"/>
      <c r="W262" s="105"/>
      <c r="X262" s="105"/>
      <c r="Y262" s="105"/>
      <c r="Z262" s="105"/>
      <c r="AA262" s="105"/>
    </row>
    <row r="263" ht="15.75" hidden="1" customHeight="1">
      <c r="A263" s="105"/>
      <c r="B263" s="105"/>
      <c r="C263" s="105"/>
      <c r="D263" s="105"/>
      <c r="E263" s="105"/>
      <c r="F263" s="105"/>
      <c r="G263" s="105"/>
      <c r="H263" s="105"/>
      <c r="I263" s="105"/>
      <c r="J263" s="105"/>
      <c r="K263" s="105"/>
      <c r="L263" s="105"/>
      <c r="M263" s="105"/>
      <c r="N263" s="105"/>
      <c r="O263" s="105"/>
      <c r="P263" s="105"/>
      <c r="Q263" s="105"/>
      <c r="R263" s="105"/>
      <c r="S263" s="105"/>
      <c r="T263" s="105"/>
      <c r="U263" s="105"/>
      <c r="V263" s="105"/>
      <c r="W263" s="105"/>
      <c r="X263" s="105"/>
      <c r="Y263" s="105"/>
      <c r="Z263" s="105"/>
      <c r="AA263" s="105"/>
    </row>
    <row r="264" ht="15.75" hidden="1" customHeight="1">
      <c r="A264" s="105"/>
      <c r="B264" s="105"/>
      <c r="C264" s="105"/>
      <c r="D264" s="105"/>
      <c r="E264" s="105"/>
      <c r="F264" s="105"/>
      <c r="G264" s="105"/>
      <c r="H264" s="105"/>
      <c r="I264" s="105"/>
      <c r="J264" s="105"/>
      <c r="K264" s="105"/>
      <c r="L264" s="105"/>
      <c r="M264" s="105"/>
      <c r="N264" s="105"/>
      <c r="O264" s="105"/>
      <c r="P264" s="105"/>
      <c r="Q264" s="105"/>
      <c r="R264" s="105"/>
      <c r="S264" s="105"/>
      <c r="T264" s="105"/>
      <c r="U264" s="105"/>
      <c r="V264" s="105"/>
      <c r="W264" s="105"/>
      <c r="X264" s="105"/>
      <c r="Y264" s="105"/>
      <c r="Z264" s="105"/>
      <c r="AA264" s="105"/>
    </row>
    <row r="265" ht="15.75" hidden="1" customHeight="1">
      <c r="A265" s="105"/>
      <c r="B265" s="105"/>
      <c r="C265" s="105"/>
      <c r="D265" s="105"/>
      <c r="E265" s="105"/>
      <c r="F265" s="105"/>
      <c r="G265" s="105"/>
      <c r="H265" s="105"/>
      <c r="I265" s="105"/>
      <c r="J265" s="105"/>
      <c r="K265" s="105"/>
      <c r="L265" s="105"/>
      <c r="M265" s="105"/>
      <c r="N265" s="105"/>
      <c r="O265" s="105"/>
      <c r="P265" s="105"/>
      <c r="Q265" s="105"/>
      <c r="R265" s="105"/>
      <c r="S265" s="105"/>
      <c r="T265" s="105"/>
      <c r="U265" s="105"/>
      <c r="V265" s="105"/>
      <c r="W265" s="105"/>
      <c r="X265" s="105"/>
      <c r="Y265" s="105"/>
      <c r="Z265" s="105"/>
      <c r="AA265" s="105"/>
    </row>
    <row r="266" ht="15.75" hidden="1" customHeight="1">
      <c r="A266" s="105"/>
      <c r="B266" s="105"/>
      <c r="C266" s="105"/>
      <c r="D266" s="105"/>
      <c r="E266" s="105"/>
      <c r="F266" s="105"/>
      <c r="G266" s="105"/>
      <c r="H266" s="105"/>
      <c r="I266" s="105"/>
      <c r="J266" s="105"/>
      <c r="K266" s="105"/>
      <c r="L266" s="105"/>
      <c r="M266" s="105"/>
      <c r="N266" s="105"/>
      <c r="O266" s="105"/>
      <c r="P266" s="105"/>
      <c r="Q266" s="105"/>
      <c r="R266" s="105"/>
      <c r="S266" s="105"/>
      <c r="T266" s="105"/>
      <c r="U266" s="105"/>
      <c r="V266" s="105"/>
      <c r="W266" s="105"/>
      <c r="X266" s="105"/>
      <c r="Y266" s="105"/>
      <c r="Z266" s="105"/>
      <c r="AA266" s="105"/>
    </row>
    <row r="267" ht="15.75" hidden="1" customHeight="1">
      <c r="A267" s="105"/>
      <c r="B267" s="105"/>
      <c r="C267" s="105"/>
      <c r="D267" s="105"/>
      <c r="E267" s="105"/>
      <c r="F267" s="105"/>
      <c r="G267" s="105"/>
      <c r="H267" s="105"/>
      <c r="I267" s="105"/>
      <c r="J267" s="105"/>
      <c r="K267" s="105"/>
      <c r="L267" s="105"/>
      <c r="M267" s="105"/>
      <c r="N267" s="105"/>
      <c r="O267" s="105"/>
      <c r="P267" s="105"/>
      <c r="Q267" s="105"/>
      <c r="R267" s="105"/>
      <c r="S267" s="105"/>
      <c r="T267" s="105"/>
      <c r="U267" s="105"/>
      <c r="V267" s="105"/>
      <c r="W267" s="105"/>
      <c r="X267" s="105"/>
      <c r="Y267" s="105"/>
      <c r="Z267" s="105"/>
      <c r="AA267" s="105"/>
    </row>
    <row r="268" ht="15.75" hidden="1" customHeight="1">
      <c r="A268" s="105"/>
      <c r="B268" s="105"/>
      <c r="C268" s="105"/>
      <c r="D268" s="105"/>
      <c r="E268" s="105"/>
      <c r="F268" s="105"/>
      <c r="G268" s="105"/>
      <c r="H268" s="105"/>
      <c r="I268" s="105"/>
      <c r="J268" s="105"/>
      <c r="K268" s="105"/>
      <c r="L268" s="105"/>
      <c r="M268" s="105"/>
      <c r="N268" s="105"/>
      <c r="O268" s="105"/>
      <c r="P268" s="105"/>
      <c r="Q268" s="105"/>
      <c r="R268" s="105"/>
      <c r="S268" s="105"/>
      <c r="T268" s="105"/>
      <c r="U268" s="105"/>
      <c r="V268" s="105"/>
      <c r="W268" s="105"/>
      <c r="X268" s="105"/>
      <c r="Y268" s="105"/>
      <c r="Z268" s="105"/>
      <c r="AA268" s="105"/>
    </row>
    <row r="269" ht="15.75" hidden="1" customHeight="1">
      <c r="A269" s="105"/>
      <c r="B269" s="105"/>
      <c r="C269" s="105"/>
      <c r="D269" s="105"/>
      <c r="E269" s="105"/>
      <c r="F269" s="105"/>
      <c r="G269" s="105"/>
      <c r="H269" s="105"/>
      <c r="I269" s="105"/>
      <c r="J269" s="105"/>
      <c r="K269" s="105"/>
      <c r="L269" s="105"/>
      <c r="M269" s="105"/>
      <c r="N269" s="105"/>
      <c r="O269" s="105"/>
      <c r="P269" s="105"/>
      <c r="Q269" s="105"/>
      <c r="R269" s="105"/>
      <c r="S269" s="105"/>
      <c r="T269" s="105"/>
      <c r="U269" s="105"/>
      <c r="V269" s="105"/>
      <c r="W269" s="105"/>
      <c r="X269" s="105"/>
      <c r="Y269" s="105"/>
      <c r="Z269" s="105"/>
      <c r="AA269" s="105"/>
    </row>
    <row r="270" ht="15.75" hidden="1" customHeight="1">
      <c r="A270" s="105"/>
      <c r="B270" s="105"/>
      <c r="C270" s="105"/>
      <c r="D270" s="105"/>
      <c r="E270" s="105"/>
      <c r="F270" s="105"/>
      <c r="G270" s="105"/>
      <c r="H270" s="105"/>
      <c r="I270" s="105"/>
      <c r="J270" s="105"/>
      <c r="K270" s="105"/>
      <c r="L270" s="105"/>
      <c r="M270" s="105"/>
      <c r="N270" s="105"/>
      <c r="O270" s="105"/>
      <c r="P270" s="105"/>
      <c r="Q270" s="105"/>
      <c r="R270" s="105"/>
      <c r="S270" s="105"/>
      <c r="T270" s="105"/>
      <c r="U270" s="105"/>
      <c r="V270" s="105"/>
      <c r="W270" s="105"/>
      <c r="X270" s="105"/>
      <c r="Y270" s="105"/>
      <c r="Z270" s="105"/>
      <c r="AA270" s="105"/>
    </row>
    <row r="271" ht="15.75" hidden="1" customHeight="1">
      <c r="A271" s="105"/>
      <c r="B271" s="105"/>
      <c r="C271" s="105"/>
      <c r="D271" s="105"/>
      <c r="E271" s="105"/>
      <c r="F271" s="105"/>
      <c r="G271" s="105"/>
      <c r="H271" s="105"/>
      <c r="I271" s="105"/>
      <c r="J271" s="105"/>
      <c r="K271" s="105"/>
      <c r="L271" s="105"/>
      <c r="M271" s="105"/>
      <c r="N271" s="105"/>
      <c r="O271" s="105"/>
      <c r="P271" s="105"/>
      <c r="Q271" s="105"/>
      <c r="R271" s="105"/>
      <c r="S271" s="105"/>
      <c r="T271" s="105"/>
      <c r="U271" s="105"/>
      <c r="V271" s="105"/>
      <c r="W271" s="105"/>
      <c r="X271" s="105"/>
      <c r="Y271" s="105"/>
      <c r="Z271" s="105"/>
      <c r="AA271" s="105"/>
    </row>
    <row r="272" ht="15.75" hidden="1" customHeight="1">
      <c r="A272" s="105"/>
      <c r="B272" s="105"/>
      <c r="C272" s="105"/>
      <c r="D272" s="105"/>
      <c r="E272" s="105"/>
      <c r="F272" s="105"/>
      <c r="G272" s="105"/>
      <c r="H272" s="105"/>
      <c r="I272" s="105"/>
      <c r="J272" s="105"/>
      <c r="K272" s="105"/>
      <c r="L272" s="105"/>
      <c r="M272" s="105"/>
      <c r="N272" s="105"/>
      <c r="O272" s="105"/>
      <c r="P272" s="105"/>
      <c r="Q272" s="105"/>
      <c r="R272" s="105"/>
      <c r="S272" s="105"/>
      <c r="T272" s="105"/>
      <c r="U272" s="105"/>
      <c r="V272" s="105"/>
      <c r="W272" s="105"/>
      <c r="X272" s="105"/>
      <c r="Y272" s="105"/>
      <c r="Z272" s="105"/>
      <c r="AA272" s="105"/>
    </row>
    <row r="273" ht="15.75" hidden="1" customHeight="1">
      <c r="A273" s="105"/>
      <c r="B273" s="105"/>
      <c r="C273" s="105"/>
      <c r="D273" s="105"/>
      <c r="E273" s="105"/>
      <c r="F273" s="105"/>
      <c r="G273" s="105"/>
      <c r="H273" s="105"/>
      <c r="I273" s="105"/>
      <c r="J273" s="105"/>
      <c r="K273" s="105"/>
      <c r="L273" s="105"/>
      <c r="M273" s="105"/>
      <c r="N273" s="105"/>
      <c r="O273" s="105"/>
      <c r="P273" s="105"/>
      <c r="Q273" s="105"/>
      <c r="R273" s="105"/>
      <c r="S273" s="105"/>
      <c r="T273" s="105"/>
      <c r="U273" s="105"/>
      <c r="V273" s="105"/>
      <c r="W273" s="105"/>
      <c r="X273" s="105"/>
      <c r="Y273" s="105"/>
      <c r="Z273" s="105"/>
      <c r="AA273" s="105"/>
    </row>
    <row r="274" ht="15.75" hidden="1" customHeight="1">
      <c r="A274" s="105"/>
      <c r="B274" s="105"/>
      <c r="C274" s="105"/>
      <c r="D274" s="105"/>
      <c r="E274" s="105"/>
      <c r="F274" s="105"/>
      <c r="G274" s="105"/>
      <c r="H274" s="105"/>
      <c r="I274" s="105"/>
      <c r="J274" s="105"/>
      <c r="K274" s="105"/>
      <c r="L274" s="105"/>
      <c r="M274" s="105"/>
      <c r="N274" s="105"/>
      <c r="O274" s="105"/>
      <c r="P274" s="105"/>
      <c r="Q274" s="105"/>
      <c r="R274" s="105"/>
      <c r="S274" s="105"/>
      <c r="T274" s="105"/>
      <c r="U274" s="105"/>
      <c r="V274" s="105"/>
      <c r="W274" s="105"/>
      <c r="X274" s="105"/>
      <c r="Y274" s="105"/>
      <c r="Z274" s="105"/>
      <c r="AA274" s="105"/>
    </row>
    <row r="275" ht="15.75" hidden="1" customHeight="1">
      <c r="A275" s="105"/>
      <c r="B275" s="105"/>
      <c r="C275" s="105"/>
      <c r="D275" s="105"/>
      <c r="E275" s="105"/>
      <c r="F275" s="105"/>
      <c r="G275" s="105"/>
      <c r="H275" s="105"/>
      <c r="I275" s="105"/>
      <c r="J275" s="105"/>
      <c r="K275" s="105"/>
      <c r="L275" s="105"/>
      <c r="M275" s="105"/>
      <c r="N275" s="105"/>
      <c r="O275" s="105"/>
      <c r="P275" s="105"/>
      <c r="Q275" s="105"/>
      <c r="R275" s="105"/>
      <c r="S275" s="105"/>
      <c r="T275" s="105"/>
      <c r="U275" s="105"/>
      <c r="V275" s="105"/>
      <c r="W275" s="105"/>
      <c r="X275" s="105"/>
      <c r="Y275" s="105"/>
      <c r="Z275" s="105"/>
      <c r="AA275" s="105"/>
    </row>
    <row r="276" ht="15.75" hidden="1" customHeight="1">
      <c r="A276" s="105"/>
      <c r="B276" s="105"/>
      <c r="C276" s="105"/>
      <c r="D276" s="105"/>
      <c r="E276" s="105"/>
      <c r="F276" s="105"/>
      <c r="G276" s="105"/>
      <c r="H276" s="105"/>
      <c r="I276" s="105"/>
      <c r="J276" s="105"/>
      <c r="K276" s="105"/>
      <c r="L276" s="105"/>
      <c r="M276" s="105"/>
      <c r="N276" s="105"/>
      <c r="O276" s="105"/>
      <c r="P276" s="105"/>
      <c r="Q276" s="105"/>
      <c r="R276" s="105"/>
      <c r="S276" s="105"/>
      <c r="T276" s="105"/>
      <c r="U276" s="105"/>
      <c r="V276" s="105"/>
      <c r="W276" s="105"/>
      <c r="X276" s="105"/>
      <c r="Y276" s="105"/>
      <c r="Z276" s="105"/>
      <c r="AA276" s="105"/>
    </row>
    <row r="277" ht="15.75" hidden="1" customHeight="1">
      <c r="A277" s="105"/>
      <c r="B277" s="105"/>
      <c r="C277" s="105"/>
      <c r="D277" s="105"/>
      <c r="E277" s="105"/>
      <c r="F277" s="105"/>
      <c r="G277" s="105"/>
      <c r="H277" s="105"/>
      <c r="I277" s="105"/>
      <c r="J277" s="105"/>
      <c r="K277" s="105"/>
      <c r="L277" s="105"/>
      <c r="M277" s="105"/>
      <c r="N277" s="105"/>
      <c r="O277" s="105"/>
      <c r="P277" s="105"/>
      <c r="Q277" s="105"/>
      <c r="R277" s="105"/>
      <c r="S277" s="105"/>
      <c r="T277" s="105"/>
      <c r="U277" s="105"/>
      <c r="V277" s="105"/>
      <c r="W277" s="105"/>
      <c r="X277" s="105"/>
      <c r="Y277" s="105"/>
      <c r="Z277" s="105"/>
      <c r="AA277" s="105"/>
    </row>
    <row r="278" ht="15.75" hidden="1" customHeight="1">
      <c r="A278" s="105"/>
      <c r="B278" s="105"/>
      <c r="C278" s="105"/>
      <c r="D278" s="105"/>
      <c r="E278" s="105"/>
      <c r="F278" s="105"/>
      <c r="G278" s="105"/>
      <c r="H278" s="105"/>
      <c r="I278" s="105"/>
      <c r="J278" s="105"/>
      <c r="K278" s="105"/>
      <c r="L278" s="105"/>
      <c r="M278" s="105"/>
      <c r="N278" s="105"/>
      <c r="O278" s="105"/>
      <c r="P278" s="105"/>
      <c r="Q278" s="105"/>
      <c r="R278" s="105"/>
      <c r="S278" s="105"/>
      <c r="T278" s="105"/>
      <c r="U278" s="105"/>
      <c r="V278" s="105"/>
      <c r="W278" s="105"/>
      <c r="X278" s="105"/>
      <c r="Y278" s="105"/>
      <c r="Z278" s="105"/>
      <c r="AA278" s="105"/>
    </row>
    <row r="279" ht="15.75" hidden="1" customHeight="1">
      <c r="A279" s="105"/>
      <c r="B279" s="105"/>
      <c r="C279" s="105"/>
      <c r="D279" s="105"/>
      <c r="E279" s="105"/>
      <c r="F279" s="105"/>
      <c r="G279" s="105"/>
      <c r="H279" s="105"/>
      <c r="I279" s="105"/>
      <c r="J279" s="105"/>
      <c r="K279" s="105"/>
      <c r="L279" s="105"/>
      <c r="M279" s="105"/>
      <c r="N279" s="105"/>
      <c r="O279" s="105"/>
      <c r="P279" s="105"/>
      <c r="Q279" s="105"/>
      <c r="R279" s="105"/>
      <c r="S279" s="105"/>
      <c r="T279" s="105"/>
      <c r="U279" s="105"/>
      <c r="V279" s="105"/>
      <c r="W279" s="105"/>
      <c r="X279" s="105"/>
      <c r="Y279" s="105"/>
      <c r="Z279" s="105"/>
      <c r="AA279" s="105"/>
    </row>
    <row r="280" ht="15.75" hidden="1" customHeight="1">
      <c r="A280" s="105"/>
      <c r="B280" s="105"/>
      <c r="C280" s="105"/>
      <c r="D280" s="105"/>
      <c r="E280" s="105"/>
      <c r="F280" s="105"/>
      <c r="G280" s="105"/>
      <c r="H280" s="105"/>
      <c r="I280" s="105"/>
      <c r="J280" s="105"/>
      <c r="K280" s="105"/>
      <c r="L280" s="105"/>
      <c r="M280" s="105"/>
      <c r="N280" s="105"/>
      <c r="O280" s="105"/>
      <c r="P280" s="105"/>
      <c r="Q280" s="105"/>
      <c r="R280" s="105"/>
      <c r="S280" s="105"/>
      <c r="T280" s="105"/>
      <c r="U280" s="105"/>
      <c r="V280" s="105"/>
      <c r="W280" s="105"/>
      <c r="X280" s="105"/>
      <c r="Y280" s="105"/>
      <c r="Z280" s="105"/>
      <c r="AA280" s="105"/>
    </row>
    <row r="281" ht="15.75" hidden="1" customHeight="1">
      <c r="A281" s="105"/>
      <c r="B281" s="105"/>
      <c r="C281" s="105"/>
      <c r="D281" s="105"/>
      <c r="E281" s="105"/>
      <c r="F281" s="105"/>
      <c r="G281" s="105"/>
      <c r="H281" s="105"/>
      <c r="I281" s="105"/>
      <c r="J281" s="105"/>
      <c r="K281" s="105"/>
      <c r="L281" s="105"/>
      <c r="M281" s="105"/>
      <c r="N281" s="105"/>
      <c r="O281" s="105"/>
      <c r="P281" s="105"/>
      <c r="Q281" s="105"/>
      <c r="R281" s="105"/>
      <c r="S281" s="105"/>
      <c r="T281" s="105"/>
      <c r="U281" s="105"/>
      <c r="V281" s="105"/>
      <c r="W281" s="105"/>
      <c r="X281" s="105"/>
      <c r="Y281" s="105"/>
      <c r="Z281" s="105"/>
      <c r="AA281" s="105"/>
    </row>
    <row r="282" ht="15.75" hidden="1" customHeight="1">
      <c r="A282" s="105"/>
      <c r="B282" s="105"/>
      <c r="C282" s="105"/>
      <c r="D282" s="105"/>
      <c r="E282" s="105"/>
      <c r="F282" s="105"/>
      <c r="G282" s="105"/>
      <c r="H282" s="105"/>
      <c r="I282" s="105"/>
      <c r="J282" s="105"/>
      <c r="K282" s="105"/>
      <c r="L282" s="105"/>
      <c r="M282" s="105"/>
      <c r="N282" s="105"/>
      <c r="O282" s="105"/>
      <c r="P282" s="105"/>
      <c r="Q282" s="105"/>
      <c r="R282" s="105"/>
      <c r="S282" s="105"/>
      <c r="T282" s="105"/>
      <c r="U282" s="105"/>
      <c r="V282" s="105"/>
      <c r="W282" s="105"/>
      <c r="X282" s="105"/>
      <c r="Y282" s="105"/>
      <c r="Z282" s="105"/>
      <c r="AA282" s="105"/>
    </row>
    <row r="283" ht="15.75" hidden="1" customHeight="1">
      <c r="A283" s="105"/>
      <c r="B283" s="105"/>
      <c r="C283" s="105"/>
      <c r="D283" s="105"/>
      <c r="E283" s="105"/>
      <c r="F283" s="105"/>
      <c r="G283" s="105"/>
      <c r="H283" s="105"/>
      <c r="I283" s="105"/>
      <c r="J283" s="105"/>
      <c r="K283" s="105"/>
      <c r="L283" s="105"/>
      <c r="M283" s="105"/>
      <c r="N283" s="105"/>
      <c r="O283" s="105"/>
      <c r="P283" s="105"/>
      <c r="Q283" s="105"/>
      <c r="R283" s="105"/>
      <c r="S283" s="105"/>
      <c r="T283" s="105"/>
      <c r="U283" s="105"/>
      <c r="V283" s="105"/>
      <c r="W283" s="105"/>
      <c r="X283" s="105"/>
      <c r="Y283" s="105"/>
      <c r="Z283" s="105"/>
      <c r="AA283" s="105"/>
    </row>
    <row r="284" ht="15.75" hidden="1" customHeight="1">
      <c r="A284" s="105"/>
      <c r="B284" s="105"/>
      <c r="C284" s="105"/>
      <c r="D284" s="105"/>
      <c r="E284" s="105"/>
      <c r="F284" s="105"/>
      <c r="G284" s="105"/>
      <c r="H284" s="105"/>
      <c r="I284" s="105"/>
      <c r="J284" s="105"/>
      <c r="K284" s="105"/>
      <c r="L284" s="105"/>
      <c r="M284" s="105"/>
      <c r="N284" s="105"/>
      <c r="O284" s="105"/>
      <c r="P284" s="105"/>
      <c r="Q284" s="105"/>
      <c r="R284" s="105"/>
      <c r="S284" s="105"/>
      <c r="T284" s="105"/>
      <c r="U284" s="105"/>
      <c r="V284" s="105"/>
      <c r="W284" s="105"/>
      <c r="X284" s="105"/>
      <c r="Y284" s="105"/>
      <c r="Z284" s="105"/>
      <c r="AA284" s="105"/>
    </row>
    <row r="285" ht="15.75" hidden="1" customHeight="1">
      <c r="A285" s="105"/>
      <c r="B285" s="105"/>
      <c r="C285" s="105"/>
      <c r="D285" s="105"/>
      <c r="E285" s="105"/>
      <c r="F285" s="105"/>
      <c r="G285" s="105"/>
      <c r="H285" s="105"/>
      <c r="I285" s="105"/>
      <c r="J285" s="105"/>
      <c r="K285" s="105"/>
      <c r="L285" s="105"/>
      <c r="M285" s="105"/>
      <c r="N285" s="105"/>
      <c r="O285" s="105"/>
      <c r="P285" s="105"/>
      <c r="Q285" s="105"/>
      <c r="R285" s="105"/>
      <c r="S285" s="105"/>
      <c r="T285" s="105"/>
      <c r="U285" s="105"/>
      <c r="V285" s="105"/>
      <c r="W285" s="105"/>
      <c r="X285" s="105"/>
      <c r="Y285" s="105"/>
      <c r="Z285" s="105"/>
      <c r="AA285" s="105"/>
    </row>
    <row r="286" ht="15.75" hidden="1" customHeight="1">
      <c r="A286" s="105"/>
      <c r="B286" s="105"/>
      <c r="C286" s="105"/>
      <c r="D286" s="105"/>
      <c r="E286" s="105"/>
      <c r="F286" s="105"/>
      <c r="G286" s="105"/>
      <c r="H286" s="105"/>
      <c r="I286" s="105"/>
      <c r="J286" s="105"/>
      <c r="K286" s="105"/>
      <c r="L286" s="105"/>
      <c r="M286" s="105"/>
      <c r="N286" s="105"/>
      <c r="O286" s="105"/>
      <c r="P286" s="105"/>
      <c r="Q286" s="105"/>
      <c r="R286" s="105"/>
      <c r="S286" s="105"/>
      <c r="T286" s="105"/>
      <c r="U286" s="105"/>
      <c r="V286" s="105"/>
      <c r="W286" s="105"/>
      <c r="X286" s="105"/>
      <c r="Y286" s="105"/>
      <c r="Z286" s="105"/>
      <c r="AA286" s="105"/>
    </row>
    <row r="287" ht="15.75" hidden="1" customHeight="1">
      <c r="A287" s="105"/>
      <c r="B287" s="105"/>
      <c r="C287" s="105"/>
      <c r="D287" s="105"/>
      <c r="E287" s="105"/>
      <c r="F287" s="105"/>
      <c r="G287" s="105"/>
      <c r="H287" s="105"/>
      <c r="I287" s="105"/>
      <c r="J287" s="105"/>
      <c r="K287" s="105"/>
      <c r="L287" s="105"/>
      <c r="M287" s="105"/>
      <c r="N287" s="105"/>
      <c r="O287" s="105"/>
      <c r="P287" s="105"/>
      <c r="Q287" s="105"/>
      <c r="R287" s="105"/>
      <c r="S287" s="105"/>
      <c r="T287" s="105"/>
      <c r="U287" s="105"/>
      <c r="V287" s="105"/>
      <c r="W287" s="105"/>
      <c r="X287" s="105"/>
      <c r="Y287" s="105"/>
      <c r="Z287" s="105"/>
      <c r="AA287" s="105"/>
    </row>
    <row r="288" ht="15.75" hidden="1" customHeight="1">
      <c r="A288" s="105"/>
      <c r="B288" s="105"/>
      <c r="C288" s="105"/>
      <c r="D288" s="105"/>
      <c r="E288" s="105"/>
      <c r="F288" s="105"/>
      <c r="G288" s="105"/>
      <c r="H288" s="105"/>
      <c r="I288" s="105"/>
      <c r="J288" s="105"/>
      <c r="K288" s="105"/>
      <c r="L288" s="105"/>
      <c r="M288" s="105"/>
      <c r="N288" s="105"/>
      <c r="O288" s="105"/>
      <c r="P288" s="105"/>
      <c r="Q288" s="105"/>
      <c r="R288" s="105"/>
      <c r="S288" s="105"/>
      <c r="T288" s="105"/>
      <c r="U288" s="105"/>
      <c r="V288" s="105"/>
      <c r="W288" s="105"/>
      <c r="X288" s="105"/>
      <c r="Y288" s="105"/>
      <c r="Z288" s="105"/>
      <c r="AA288" s="105"/>
    </row>
    <row r="289" ht="15.75" hidden="1" customHeight="1">
      <c r="A289" s="105"/>
      <c r="B289" s="105"/>
      <c r="C289" s="105"/>
      <c r="D289" s="105"/>
      <c r="E289" s="105"/>
      <c r="F289" s="105"/>
      <c r="G289" s="105"/>
      <c r="H289" s="105"/>
      <c r="I289" s="105"/>
      <c r="J289" s="105"/>
      <c r="K289" s="105"/>
      <c r="L289" s="105"/>
      <c r="M289" s="105"/>
      <c r="N289" s="105"/>
      <c r="O289" s="105"/>
      <c r="P289" s="105"/>
      <c r="Q289" s="105"/>
      <c r="R289" s="105"/>
      <c r="S289" s="105"/>
      <c r="T289" s="105"/>
      <c r="U289" s="105"/>
      <c r="V289" s="105"/>
      <c r="W289" s="105"/>
      <c r="X289" s="105"/>
      <c r="Y289" s="105"/>
      <c r="Z289" s="105"/>
      <c r="AA289" s="105"/>
    </row>
    <row r="290" ht="15.75" hidden="1" customHeight="1">
      <c r="A290" s="105"/>
      <c r="B290" s="105"/>
      <c r="C290" s="105"/>
      <c r="D290" s="105"/>
      <c r="E290" s="105"/>
      <c r="F290" s="105"/>
      <c r="G290" s="105"/>
      <c r="H290" s="105"/>
      <c r="I290" s="105"/>
      <c r="J290" s="105"/>
      <c r="K290" s="105"/>
      <c r="L290" s="105"/>
      <c r="M290" s="105"/>
      <c r="N290" s="105"/>
      <c r="O290" s="105"/>
      <c r="P290" s="105"/>
      <c r="Q290" s="105"/>
      <c r="R290" s="105"/>
      <c r="S290" s="105"/>
      <c r="T290" s="105"/>
      <c r="U290" s="105"/>
      <c r="V290" s="105"/>
      <c r="W290" s="105"/>
      <c r="X290" s="105"/>
      <c r="Y290" s="105"/>
      <c r="Z290" s="105"/>
      <c r="AA290" s="105"/>
    </row>
    <row r="291" ht="15.75" hidden="1" customHeight="1">
      <c r="A291" s="105"/>
      <c r="B291" s="105"/>
      <c r="C291" s="105"/>
      <c r="D291" s="105"/>
      <c r="E291" s="105"/>
      <c r="F291" s="105"/>
      <c r="G291" s="105"/>
      <c r="H291" s="105"/>
      <c r="I291" s="105"/>
      <c r="J291" s="105"/>
      <c r="K291" s="105"/>
      <c r="L291" s="105"/>
      <c r="M291" s="105"/>
      <c r="N291" s="105"/>
      <c r="O291" s="105"/>
      <c r="P291" s="105"/>
      <c r="Q291" s="105"/>
      <c r="R291" s="105"/>
      <c r="S291" s="105"/>
      <c r="T291" s="105"/>
      <c r="U291" s="105"/>
      <c r="V291" s="105"/>
      <c r="W291" s="105"/>
      <c r="X291" s="105"/>
      <c r="Y291" s="105"/>
      <c r="Z291" s="105"/>
      <c r="AA291" s="105"/>
    </row>
    <row r="292" ht="15.75" hidden="1" customHeight="1">
      <c r="A292" s="105"/>
      <c r="B292" s="105"/>
      <c r="C292" s="105"/>
      <c r="D292" s="105"/>
      <c r="E292" s="105"/>
      <c r="F292" s="105"/>
      <c r="G292" s="105"/>
      <c r="H292" s="105"/>
      <c r="I292" s="105"/>
      <c r="J292" s="105"/>
      <c r="K292" s="105"/>
      <c r="L292" s="105"/>
      <c r="M292" s="105"/>
      <c r="N292" s="105"/>
      <c r="O292" s="105"/>
      <c r="P292" s="105"/>
      <c r="Q292" s="105"/>
      <c r="R292" s="105"/>
      <c r="S292" s="105"/>
      <c r="T292" s="105"/>
      <c r="U292" s="105"/>
      <c r="V292" s="105"/>
      <c r="W292" s="105"/>
      <c r="X292" s="105"/>
      <c r="Y292" s="105"/>
      <c r="Z292" s="105"/>
      <c r="AA292" s="105"/>
    </row>
    <row r="293" ht="15.75" hidden="1" customHeight="1">
      <c r="A293" s="105"/>
      <c r="B293" s="105"/>
      <c r="C293" s="105"/>
      <c r="D293" s="105"/>
      <c r="E293" s="105"/>
      <c r="F293" s="105"/>
      <c r="G293" s="105"/>
      <c r="H293" s="105"/>
      <c r="I293" s="105"/>
      <c r="J293" s="105"/>
      <c r="K293" s="105"/>
      <c r="L293" s="105"/>
      <c r="M293" s="105"/>
      <c r="N293" s="105"/>
      <c r="O293" s="105"/>
      <c r="P293" s="105"/>
      <c r="Q293" s="105"/>
      <c r="R293" s="105"/>
      <c r="S293" s="105"/>
      <c r="T293" s="105"/>
      <c r="U293" s="105"/>
      <c r="V293" s="105"/>
      <c r="W293" s="105"/>
      <c r="X293" s="105"/>
      <c r="Y293" s="105"/>
      <c r="Z293" s="105"/>
      <c r="AA293" s="105"/>
    </row>
    <row r="294" ht="15.75" hidden="1" customHeight="1">
      <c r="A294" s="105"/>
      <c r="B294" s="105"/>
      <c r="C294" s="105"/>
      <c r="D294" s="105"/>
      <c r="E294" s="105"/>
      <c r="F294" s="105"/>
      <c r="G294" s="105"/>
      <c r="H294" s="105"/>
      <c r="I294" s="105"/>
      <c r="J294" s="105"/>
      <c r="K294" s="105"/>
      <c r="L294" s="105"/>
      <c r="M294" s="105"/>
      <c r="N294" s="105"/>
      <c r="O294" s="105"/>
      <c r="P294" s="105"/>
      <c r="Q294" s="105"/>
      <c r="R294" s="105"/>
      <c r="S294" s="105"/>
      <c r="T294" s="105"/>
      <c r="U294" s="105"/>
      <c r="V294" s="105"/>
      <c r="W294" s="105"/>
      <c r="X294" s="105"/>
      <c r="Y294" s="105"/>
      <c r="Z294" s="105"/>
      <c r="AA294" s="105"/>
    </row>
    <row r="295" ht="15.75" hidden="1" customHeight="1">
      <c r="A295" s="105"/>
      <c r="B295" s="105"/>
      <c r="C295" s="105"/>
      <c r="D295" s="105"/>
      <c r="E295" s="105"/>
      <c r="F295" s="105"/>
      <c r="G295" s="105"/>
      <c r="H295" s="105"/>
      <c r="I295" s="105"/>
      <c r="J295" s="105"/>
      <c r="K295" s="105"/>
      <c r="L295" s="105"/>
      <c r="M295" s="105"/>
      <c r="N295" s="105"/>
      <c r="O295" s="105"/>
      <c r="P295" s="105"/>
      <c r="Q295" s="105"/>
      <c r="R295" s="105"/>
      <c r="S295" s="105"/>
      <c r="T295" s="105"/>
      <c r="U295" s="105"/>
      <c r="V295" s="105"/>
      <c r="W295" s="105"/>
      <c r="X295" s="105"/>
      <c r="Y295" s="105"/>
      <c r="Z295" s="105"/>
      <c r="AA295" s="105"/>
    </row>
    <row r="296" ht="15.75" hidden="1" customHeight="1">
      <c r="A296" s="105"/>
      <c r="B296" s="105"/>
      <c r="C296" s="105"/>
      <c r="D296" s="105"/>
      <c r="E296" s="105"/>
      <c r="F296" s="105"/>
      <c r="G296" s="105"/>
      <c r="H296" s="105"/>
      <c r="I296" s="105"/>
      <c r="J296" s="105"/>
      <c r="K296" s="105"/>
      <c r="L296" s="105"/>
      <c r="M296" s="105"/>
      <c r="N296" s="105"/>
      <c r="O296" s="105"/>
      <c r="P296" s="105"/>
      <c r="Q296" s="105"/>
      <c r="R296" s="105"/>
      <c r="S296" s="105"/>
      <c r="T296" s="105"/>
      <c r="U296" s="105"/>
      <c r="V296" s="105"/>
      <c r="W296" s="105"/>
      <c r="X296" s="105"/>
      <c r="Y296" s="105"/>
      <c r="Z296" s="105"/>
      <c r="AA296" s="105"/>
    </row>
    <row r="297" ht="15.75" hidden="1" customHeight="1">
      <c r="A297" s="105"/>
      <c r="B297" s="105"/>
      <c r="C297" s="105"/>
      <c r="D297" s="105"/>
      <c r="E297" s="105"/>
      <c r="F297" s="105"/>
      <c r="G297" s="105"/>
      <c r="H297" s="105"/>
      <c r="I297" s="105"/>
      <c r="J297" s="105"/>
      <c r="K297" s="105"/>
      <c r="L297" s="105"/>
      <c r="M297" s="105"/>
      <c r="N297" s="105"/>
      <c r="O297" s="105"/>
      <c r="P297" s="105"/>
      <c r="Q297" s="105"/>
      <c r="R297" s="105"/>
      <c r="S297" s="105"/>
      <c r="T297" s="105"/>
      <c r="U297" s="105"/>
      <c r="V297" s="105"/>
      <c r="W297" s="105"/>
      <c r="X297" s="105"/>
      <c r="Y297" s="105"/>
      <c r="Z297" s="105"/>
      <c r="AA297" s="105"/>
    </row>
    <row r="298" ht="15.75" hidden="1" customHeight="1">
      <c r="A298" s="105"/>
      <c r="B298" s="105"/>
      <c r="C298" s="105"/>
      <c r="D298" s="105"/>
      <c r="E298" s="105"/>
      <c r="F298" s="105"/>
      <c r="G298" s="105"/>
      <c r="H298" s="105"/>
      <c r="I298" s="105"/>
      <c r="J298" s="105"/>
      <c r="K298" s="105"/>
      <c r="L298" s="105"/>
      <c r="M298" s="105"/>
      <c r="N298" s="105"/>
      <c r="O298" s="105"/>
      <c r="P298" s="105"/>
      <c r="Q298" s="105"/>
      <c r="R298" s="105"/>
      <c r="S298" s="105"/>
      <c r="T298" s="105"/>
      <c r="U298" s="105"/>
      <c r="V298" s="105"/>
      <c r="W298" s="105"/>
      <c r="X298" s="105"/>
      <c r="Y298" s="105"/>
      <c r="Z298" s="105"/>
      <c r="AA298" s="105"/>
    </row>
    <row r="299" ht="15.75" hidden="1" customHeight="1">
      <c r="A299" s="105"/>
      <c r="B299" s="105"/>
      <c r="C299" s="105"/>
      <c r="D299" s="105"/>
      <c r="E299" s="105"/>
      <c r="F299" s="105"/>
      <c r="G299" s="105"/>
      <c r="H299" s="105"/>
      <c r="I299" s="105"/>
      <c r="J299" s="105"/>
      <c r="K299" s="105"/>
      <c r="L299" s="105"/>
      <c r="M299" s="105"/>
      <c r="N299" s="105"/>
      <c r="O299" s="105"/>
      <c r="P299" s="105"/>
      <c r="Q299" s="105"/>
      <c r="R299" s="105"/>
      <c r="S299" s="105"/>
      <c r="T299" s="105"/>
      <c r="U299" s="105"/>
      <c r="V299" s="105"/>
      <c r="W299" s="105"/>
      <c r="X299" s="105"/>
      <c r="Y299" s="105"/>
      <c r="Z299" s="105"/>
      <c r="AA299" s="105"/>
    </row>
    <row r="300" ht="15.75" hidden="1" customHeight="1">
      <c r="A300" s="105"/>
      <c r="B300" s="105"/>
      <c r="C300" s="105"/>
      <c r="D300" s="105"/>
      <c r="E300" s="105"/>
      <c r="F300" s="105"/>
      <c r="G300" s="105"/>
      <c r="H300" s="105"/>
      <c r="I300" s="105"/>
      <c r="J300" s="105"/>
      <c r="K300" s="105"/>
      <c r="L300" s="105"/>
      <c r="M300" s="105"/>
      <c r="N300" s="105"/>
      <c r="O300" s="105"/>
      <c r="P300" s="105"/>
      <c r="Q300" s="105"/>
      <c r="R300" s="105"/>
      <c r="S300" s="105"/>
      <c r="T300" s="105"/>
      <c r="U300" s="105"/>
      <c r="V300" s="105"/>
      <c r="W300" s="105"/>
      <c r="X300" s="105"/>
      <c r="Y300" s="105"/>
      <c r="Z300" s="105"/>
      <c r="AA300" s="105"/>
    </row>
    <row r="301" ht="15.75" hidden="1" customHeight="1">
      <c r="A301" s="105"/>
      <c r="B301" s="105"/>
      <c r="C301" s="105"/>
      <c r="D301" s="105"/>
      <c r="E301" s="105"/>
      <c r="F301" s="105"/>
      <c r="G301" s="105"/>
      <c r="H301" s="105"/>
      <c r="I301" s="105"/>
      <c r="J301" s="105"/>
      <c r="K301" s="105"/>
      <c r="L301" s="105"/>
      <c r="M301" s="105"/>
      <c r="N301" s="105"/>
      <c r="O301" s="105"/>
      <c r="P301" s="105"/>
      <c r="Q301" s="105"/>
      <c r="R301" s="105"/>
      <c r="S301" s="105"/>
      <c r="T301" s="105"/>
      <c r="U301" s="105"/>
      <c r="V301" s="105"/>
      <c r="W301" s="105"/>
      <c r="X301" s="105"/>
      <c r="Y301" s="105"/>
      <c r="Z301" s="105"/>
      <c r="AA301" s="105"/>
    </row>
    <row r="302" ht="15.75" hidden="1" customHeight="1">
      <c r="A302" s="105"/>
      <c r="B302" s="105"/>
      <c r="C302" s="105"/>
      <c r="D302" s="105"/>
      <c r="E302" s="105"/>
      <c r="F302" s="105"/>
      <c r="G302" s="105"/>
      <c r="H302" s="105"/>
      <c r="I302" s="105"/>
      <c r="J302" s="105"/>
      <c r="K302" s="105"/>
      <c r="L302" s="105"/>
      <c r="M302" s="105"/>
      <c r="N302" s="105"/>
      <c r="O302" s="105"/>
      <c r="P302" s="105"/>
      <c r="Q302" s="105"/>
      <c r="R302" s="105"/>
      <c r="S302" s="105"/>
      <c r="T302" s="105"/>
      <c r="U302" s="105"/>
      <c r="V302" s="105"/>
      <c r="W302" s="105"/>
      <c r="X302" s="105"/>
      <c r="Y302" s="105"/>
      <c r="Z302" s="105"/>
      <c r="AA302" s="105"/>
    </row>
    <row r="303" ht="15.75" hidden="1" customHeight="1">
      <c r="A303" s="105"/>
      <c r="B303" s="105"/>
      <c r="C303" s="105"/>
      <c r="D303" s="105"/>
      <c r="E303" s="105"/>
      <c r="F303" s="105"/>
      <c r="G303" s="105"/>
      <c r="H303" s="105"/>
      <c r="I303" s="105"/>
      <c r="J303" s="105"/>
      <c r="K303" s="105"/>
      <c r="L303" s="105"/>
      <c r="M303" s="105"/>
      <c r="N303" s="105"/>
      <c r="O303" s="105"/>
      <c r="P303" s="105"/>
      <c r="Q303" s="105"/>
      <c r="R303" s="105"/>
      <c r="S303" s="105"/>
      <c r="T303" s="105"/>
      <c r="U303" s="105"/>
      <c r="V303" s="105"/>
      <c r="W303" s="105"/>
      <c r="X303" s="105"/>
      <c r="Y303" s="105"/>
      <c r="Z303" s="105"/>
      <c r="AA303" s="105"/>
    </row>
    <row r="304" ht="15.75" hidden="1" customHeight="1">
      <c r="A304" s="105"/>
      <c r="B304" s="105"/>
      <c r="C304" s="105"/>
      <c r="D304" s="105"/>
      <c r="E304" s="105"/>
      <c r="F304" s="105"/>
      <c r="G304" s="105"/>
      <c r="H304" s="105"/>
      <c r="I304" s="105"/>
      <c r="J304" s="105"/>
      <c r="K304" s="105"/>
      <c r="L304" s="105"/>
      <c r="M304" s="105"/>
      <c r="N304" s="105"/>
      <c r="O304" s="105"/>
      <c r="P304" s="105"/>
      <c r="Q304" s="105"/>
      <c r="R304" s="105"/>
      <c r="S304" s="105"/>
      <c r="T304" s="105"/>
      <c r="U304" s="105"/>
      <c r="V304" s="105"/>
      <c r="W304" s="105"/>
      <c r="X304" s="105"/>
      <c r="Y304" s="105"/>
      <c r="Z304" s="105"/>
      <c r="AA304" s="105"/>
    </row>
    <row r="305" ht="15.75" hidden="1" customHeight="1">
      <c r="A305" s="105"/>
      <c r="B305" s="105"/>
      <c r="C305" s="105"/>
      <c r="D305" s="105"/>
      <c r="E305" s="105"/>
      <c r="F305" s="105"/>
      <c r="G305" s="105"/>
      <c r="H305" s="105"/>
      <c r="I305" s="105"/>
      <c r="J305" s="105"/>
      <c r="K305" s="105"/>
      <c r="L305" s="105"/>
      <c r="M305" s="105"/>
      <c r="N305" s="105"/>
      <c r="O305" s="105"/>
      <c r="P305" s="105"/>
      <c r="Q305" s="105"/>
      <c r="R305" s="105"/>
      <c r="S305" s="105"/>
      <c r="T305" s="105"/>
      <c r="U305" s="105"/>
      <c r="V305" s="105"/>
      <c r="W305" s="105"/>
      <c r="X305" s="105"/>
      <c r="Y305" s="105"/>
      <c r="Z305" s="105"/>
      <c r="AA305" s="105"/>
    </row>
    <row r="306" ht="15.75" hidden="1" customHeight="1">
      <c r="A306" s="105"/>
      <c r="B306" s="105"/>
      <c r="C306" s="105"/>
      <c r="D306" s="105"/>
      <c r="E306" s="105"/>
      <c r="F306" s="105"/>
      <c r="G306" s="105"/>
      <c r="H306" s="105"/>
      <c r="I306" s="105"/>
      <c r="J306" s="105"/>
      <c r="K306" s="105"/>
      <c r="L306" s="105"/>
      <c r="M306" s="105"/>
      <c r="N306" s="105"/>
      <c r="O306" s="105"/>
      <c r="P306" s="105"/>
      <c r="Q306" s="105"/>
      <c r="R306" s="105"/>
      <c r="S306" s="105"/>
      <c r="T306" s="105"/>
      <c r="U306" s="105"/>
      <c r="V306" s="105"/>
      <c r="W306" s="105"/>
      <c r="X306" s="105"/>
      <c r="Y306" s="105"/>
      <c r="Z306" s="105"/>
      <c r="AA306" s="105"/>
    </row>
    <row r="307" ht="15.75" hidden="1" customHeight="1">
      <c r="A307" s="105"/>
      <c r="B307" s="105"/>
      <c r="C307" s="105"/>
      <c r="D307" s="105"/>
      <c r="E307" s="105"/>
      <c r="F307" s="105"/>
      <c r="G307" s="105"/>
      <c r="H307" s="105"/>
      <c r="I307" s="105"/>
      <c r="J307" s="105"/>
      <c r="K307" s="105"/>
      <c r="L307" s="105"/>
      <c r="M307" s="105"/>
      <c r="N307" s="105"/>
      <c r="O307" s="105"/>
      <c r="P307" s="105"/>
      <c r="Q307" s="105"/>
      <c r="R307" s="105"/>
      <c r="S307" s="105"/>
      <c r="T307" s="105"/>
      <c r="U307" s="105"/>
      <c r="V307" s="105"/>
      <c r="W307" s="105"/>
      <c r="X307" s="105"/>
      <c r="Y307" s="105"/>
      <c r="Z307" s="105"/>
      <c r="AA307" s="105"/>
    </row>
    <row r="308" ht="15.75" hidden="1" customHeight="1">
      <c r="A308" s="105"/>
      <c r="B308" s="105"/>
      <c r="C308" s="105"/>
      <c r="D308" s="105"/>
      <c r="E308" s="105"/>
      <c r="F308" s="105"/>
      <c r="G308" s="105"/>
      <c r="H308" s="105"/>
      <c r="I308" s="105"/>
      <c r="J308" s="105"/>
      <c r="K308" s="105"/>
      <c r="L308" s="105"/>
      <c r="M308" s="105"/>
      <c r="N308" s="105"/>
      <c r="O308" s="105"/>
      <c r="P308" s="105"/>
      <c r="Q308" s="105"/>
      <c r="R308" s="105"/>
      <c r="S308" s="105"/>
      <c r="T308" s="105"/>
      <c r="U308" s="105"/>
      <c r="V308" s="105"/>
      <c r="W308" s="105"/>
      <c r="X308" s="105"/>
      <c r="Y308" s="105"/>
      <c r="Z308" s="105"/>
      <c r="AA308" s="105"/>
    </row>
    <row r="309" ht="15.75" hidden="1" customHeight="1">
      <c r="A309" s="105"/>
      <c r="B309" s="105"/>
      <c r="C309" s="105"/>
      <c r="D309" s="105"/>
      <c r="E309" s="105"/>
      <c r="F309" s="105"/>
      <c r="G309" s="105"/>
      <c r="H309" s="105"/>
      <c r="I309" s="105"/>
      <c r="J309" s="105"/>
      <c r="K309" s="105"/>
      <c r="L309" s="105"/>
      <c r="M309" s="105"/>
      <c r="N309" s="105"/>
      <c r="O309" s="105"/>
      <c r="P309" s="105"/>
      <c r="Q309" s="105"/>
      <c r="R309" s="105"/>
      <c r="S309" s="105"/>
      <c r="T309" s="105"/>
      <c r="U309" s="105"/>
      <c r="V309" s="105"/>
      <c r="W309" s="105"/>
      <c r="X309" s="105"/>
      <c r="Y309" s="105"/>
      <c r="Z309" s="105"/>
      <c r="AA309" s="105"/>
    </row>
    <row r="310" ht="15.75" hidden="1" customHeight="1">
      <c r="A310" s="105"/>
      <c r="B310" s="105"/>
      <c r="C310" s="105"/>
      <c r="D310" s="105"/>
      <c r="E310" s="105"/>
      <c r="F310" s="105"/>
      <c r="G310" s="105"/>
      <c r="H310" s="105"/>
      <c r="I310" s="105"/>
      <c r="J310" s="105"/>
      <c r="K310" s="105"/>
      <c r="L310" s="105"/>
      <c r="M310" s="105"/>
      <c r="N310" s="105"/>
      <c r="O310" s="105"/>
      <c r="P310" s="105"/>
      <c r="Q310" s="105"/>
      <c r="R310" s="105"/>
      <c r="S310" s="105"/>
      <c r="T310" s="105"/>
      <c r="U310" s="105"/>
      <c r="V310" s="105"/>
      <c r="W310" s="105"/>
      <c r="X310" s="105"/>
      <c r="Y310" s="105"/>
      <c r="Z310" s="105"/>
      <c r="AA310" s="105"/>
    </row>
    <row r="311" ht="15.75" hidden="1" customHeight="1">
      <c r="A311" s="105"/>
      <c r="B311" s="105"/>
      <c r="C311" s="105"/>
      <c r="D311" s="105"/>
      <c r="E311" s="105"/>
      <c r="F311" s="105"/>
      <c r="G311" s="105"/>
      <c r="H311" s="105"/>
      <c r="I311" s="105"/>
      <c r="J311" s="105"/>
      <c r="K311" s="105"/>
      <c r="L311" s="105"/>
      <c r="M311" s="105"/>
      <c r="N311" s="105"/>
      <c r="O311" s="105"/>
      <c r="P311" s="105"/>
      <c r="Q311" s="105"/>
      <c r="R311" s="105"/>
      <c r="S311" s="105"/>
      <c r="T311" s="105"/>
      <c r="U311" s="105"/>
      <c r="V311" s="105"/>
      <c r="W311" s="105"/>
      <c r="X311" s="105"/>
      <c r="Y311" s="105"/>
      <c r="Z311" s="105"/>
      <c r="AA311" s="105"/>
    </row>
    <row r="312" ht="15.75" hidden="1" customHeight="1">
      <c r="A312" s="105"/>
      <c r="B312" s="105"/>
      <c r="C312" s="105"/>
      <c r="D312" s="105"/>
      <c r="E312" s="105"/>
      <c r="F312" s="105"/>
      <c r="G312" s="105"/>
      <c r="H312" s="105"/>
      <c r="I312" s="105"/>
      <c r="J312" s="105"/>
      <c r="K312" s="105"/>
      <c r="L312" s="105"/>
      <c r="M312" s="105"/>
      <c r="N312" s="105"/>
      <c r="O312" s="105"/>
      <c r="P312" s="105"/>
      <c r="Q312" s="105"/>
      <c r="R312" s="105"/>
      <c r="S312" s="105"/>
      <c r="T312" s="105"/>
      <c r="U312" s="105"/>
      <c r="V312" s="105"/>
      <c r="W312" s="105"/>
      <c r="X312" s="105"/>
      <c r="Y312" s="105"/>
      <c r="Z312" s="105"/>
      <c r="AA312" s="105"/>
    </row>
    <row r="313" ht="15.75" hidden="1" customHeight="1">
      <c r="A313" s="105"/>
      <c r="B313" s="105"/>
      <c r="C313" s="105"/>
      <c r="D313" s="105"/>
      <c r="E313" s="105"/>
      <c r="F313" s="105"/>
      <c r="G313" s="105"/>
      <c r="H313" s="105"/>
      <c r="I313" s="105"/>
      <c r="J313" s="105"/>
      <c r="K313" s="105"/>
      <c r="L313" s="105"/>
      <c r="M313" s="105"/>
      <c r="N313" s="105"/>
      <c r="O313" s="105"/>
      <c r="P313" s="105"/>
      <c r="Q313" s="105"/>
      <c r="R313" s="105"/>
      <c r="S313" s="105"/>
      <c r="T313" s="105"/>
      <c r="U313" s="105"/>
      <c r="V313" s="105"/>
      <c r="W313" s="105"/>
      <c r="X313" s="105"/>
      <c r="Y313" s="105"/>
      <c r="Z313" s="105"/>
      <c r="AA313" s="105"/>
    </row>
    <row r="314" ht="15.75" hidden="1" customHeight="1">
      <c r="A314" s="105"/>
      <c r="B314" s="105"/>
      <c r="C314" s="105"/>
      <c r="D314" s="105"/>
      <c r="E314" s="105"/>
      <c r="F314" s="105"/>
      <c r="G314" s="105"/>
      <c r="H314" s="105"/>
      <c r="I314" s="105"/>
      <c r="J314" s="105"/>
      <c r="K314" s="105"/>
      <c r="L314" s="105"/>
      <c r="M314" s="105"/>
      <c r="N314" s="105"/>
      <c r="O314" s="105"/>
      <c r="P314" s="105"/>
      <c r="Q314" s="105"/>
      <c r="R314" s="105"/>
      <c r="S314" s="105"/>
      <c r="T314" s="105"/>
      <c r="U314" s="105"/>
      <c r="V314" s="105"/>
      <c r="W314" s="105"/>
      <c r="X314" s="105"/>
      <c r="Y314" s="105"/>
      <c r="Z314" s="105"/>
      <c r="AA314" s="105"/>
    </row>
    <row r="315" ht="15.75" hidden="1" customHeight="1">
      <c r="A315" s="105"/>
      <c r="B315" s="105"/>
      <c r="C315" s="105"/>
      <c r="D315" s="105"/>
      <c r="E315" s="105"/>
      <c r="F315" s="105"/>
      <c r="G315" s="105"/>
      <c r="H315" s="105"/>
      <c r="I315" s="105"/>
      <c r="J315" s="105"/>
      <c r="K315" s="105"/>
      <c r="L315" s="105"/>
      <c r="M315" s="105"/>
      <c r="N315" s="105"/>
      <c r="O315" s="105"/>
      <c r="P315" s="105"/>
      <c r="Q315" s="105"/>
      <c r="R315" s="105"/>
      <c r="S315" s="105"/>
      <c r="T315" s="105"/>
      <c r="U315" s="105"/>
      <c r="V315" s="105"/>
      <c r="W315" s="105"/>
      <c r="X315" s="105"/>
      <c r="Y315" s="105"/>
      <c r="Z315" s="105"/>
      <c r="AA315" s="105"/>
    </row>
    <row r="316" ht="15.75" hidden="1" customHeight="1">
      <c r="A316" s="105"/>
      <c r="B316" s="105"/>
      <c r="C316" s="105"/>
      <c r="D316" s="105"/>
      <c r="E316" s="105"/>
      <c r="F316" s="105"/>
      <c r="G316" s="105"/>
      <c r="H316" s="105"/>
      <c r="I316" s="105"/>
      <c r="J316" s="105"/>
      <c r="K316" s="105"/>
      <c r="L316" s="105"/>
      <c r="M316" s="105"/>
      <c r="N316" s="105"/>
      <c r="O316" s="105"/>
      <c r="P316" s="105"/>
      <c r="Q316" s="105"/>
      <c r="R316" s="105"/>
      <c r="S316" s="105"/>
      <c r="T316" s="105"/>
      <c r="U316" s="105"/>
      <c r="V316" s="105"/>
      <c r="W316" s="105"/>
      <c r="X316" s="105"/>
      <c r="Y316" s="105"/>
      <c r="Z316" s="105"/>
      <c r="AA316" s="105"/>
    </row>
    <row r="317" ht="15.75" hidden="1" customHeight="1">
      <c r="A317" s="105"/>
      <c r="B317" s="105"/>
      <c r="C317" s="105"/>
      <c r="D317" s="105"/>
      <c r="E317" s="105"/>
      <c r="F317" s="105"/>
      <c r="G317" s="105"/>
      <c r="H317" s="105"/>
      <c r="I317" s="105"/>
      <c r="J317" s="105"/>
      <c r="K317" s="105"/>
      <c r="L317" s="105"/>
      <c r="M317" s="105"/>
      <c r="N317" s="105"/>
      <c r="O317" s="105"/>
      <c r="P317" s="105"/>
      <c r="Q317" s="105"/>
      <c r="R317" s="105"/>
      <c r="S317" s="105"/>
      <c r="T317" s="105"/>
      <c r="U317" s="105"/>
      <c r="V317" s="105"/>
      <c r="W317" s="105"/>
      <c r="X317" s="105"/>
      <c r="Y317" s="105"/>
      <c r="Z317" s="105"/>
      <c r="AA317" s="105"/>
    </row>
    <row r="318" ht="15.75" hidden="1" customHeight="1">
      <c r="A318" s="105"/>
      <c r="B318" s="105"/>
      <c r="C318" s="105"/>
      <c r="D318" s="105"/>
      <c r="E318" s="105"/>
      <c r="F318" s="105"/>
      <c r="G318" s="105"/>
      <c r="H318" s="105"/>
      <c r="I318" s="105"/>
      <c r="J318" s="105"/>
      <c r="K318" s="105"/>
      <c r="L318" s="105"/>
      <c r="M318" s="105"/>
      <c r="N318" s="105"/>
      <c r="O318" s="105"/>
      <c r="P318" s="105"/>
      <c r="Q318" s="105"/>
      <c r="R318" s="105"/>
      <c r="S318" s="105"/>
      <c r="T318" s="105"/>
      <c r="U318" s="105"/>
      <c r="V318" s="105"/>
      <c r="W318" s="105"/>
      <c r="X318" s="105"/>
      <c r="Y318" s="105"/>
      <c r="Z318" s="105"/>
      <c r="AA318" s="105"/>
    </row>
    <row r="319" ht="15.75" hidden="1" customHeight="1">
      <c r="A319" s="105"/>
      <c r="B319" s="105"/>
      <c r="C319" s="105"/>
      <c r="D319" s="105"/>
      <c r="E319" s="105"/>
      <c r="F319" s="105"/>
      <c r="G319" s="105"/>
      <c r="H319" s="105"/>
      <c r="I319" s="105"/>
      <c r="J319" s="105"/>
      <c r="K319" s="105"/>
      <c r="L319" s="105"/>
      <c r="M319" s="105"/>
      <c r="N319" s="105"/>
      <c r="O319" s="105"/>
      <c r="P319" s="105"/>
      <c r="Q319" s="105"/>
      <c r="R319" s="105"/>
      <c r="S319" s="105"/>
      <c r="T319" s="105"/>
      <c r="U319" s="105"/>
      <c r="V319" s="105"/>
      <c r="W319" s="105"/>
      <c r="X319" s="105"/>
      <c r="Y319" s="105"/>
      <c r="Z319" s="105"/>
      <c r="AA319" s="105"/>
    </row>
    <row r="320" ht="15.75" hidden="1" customHeight="1">
      <c r="A320" s="105"/>
      <c r="B320" s="105"/>
      <c r="C320" s="105"/>
      <c r="D320" s="105"/>
      <c r="E320" s="105"/>
      <c r="F320" s="105"/>
      <c r="G320" s="105"/>
      <c r="H320" s="105"/>
      <c r="I320" s="105"/>
      <c r="J320" s="105"/>
      <c r="K320" s="105"/>
      <c r="L320" s="105"/>
      <c r="M320" s="105"/>
      <c r="N320" s="105"/>
      <c r="O320" s="105"/>
      <c r="P320" s="105"/>
      <c r="Q320" s="105"/>
      <c r="R320" s="105"/>
      <c r="S320" s="105"/>
      <c r="T320" s="105"/>
      <c r="U320" s="105"/>
      <c r="V320" s="105"/>
      <c r="W320" s="105"/>
      <c r="X320" s="105"/>
      <c r="Y320" s="105"/>
      <c r="Z320" s="105"/>
      <c r="AA320" s="105"/>
    </row>
    <row r="321" ht="15.75" hidden="1" customHeight="1">
      <c r="A321" s="105"/>
      <c r="B321" s="105"/>
      <c r="C321" s="105"/>
      <c r="D321" s="105"/>
      <c r="E321" s="105"/>
      <c r="F321" s="105"/>
      <c r="G321" s="105"/>
      <c r="H321" s="105"/>
      <c r="I321" s="105"/>
      <c r="J321" s="105"/>
      <c r="K321" s="105"/>
      <c r="L321" s="105"/>
      <c r="M321" s="105"/>
      <c r="N321" s="105"/>
      <c r="O321" s="105"/>
      <c r="P321" s="105"/>
      <c r="Q321" s="105"/>
      <c r="R321" s="105"/>
      <c r="S321" s="105"/>
      <c r="T321" s="105"/>
      <c r="U321" s="105"/>
      <c r="V321" s="105"/>
      <c r="W321" s="105"/>
      <c r="X321" s="105"/>
      <c r="Y321" s="105"/>
      <c r="Z321" s="105"/>
      <c r="AA321" s="105"/>
    </row>
    <row r="322" ht="15.75" hidden="1" customHeight="1">
      <c r="A322" s="105"/>
      <c r="B322" s="105"/>
      <c r="C322" s="105"/>
      <c r="D322" s="105"/>
      <c r="E322" s="105"/>
      <c r="F322" s="105"/>
      <c r="G322" s="105"/>
      <c r="H322" s="105"/>
      <c r="I322" s="105"/>
      <c r="J322" s="105"/>
      <c r="K322" s="105"/>
      <c r="L322" s="105"/>
      <c r="M322" s="105"/>
      <c r="N322" s="105"/>
      <c r="O322" s="105"/>
      <c r="P322" s="105"/>
      <c r="Q322" s="105"/>
      <c r="R322" s="105"/>
      <c r="S322" s="105"/>
      <c r="T322" s="105"/>
      <c r="U322" s="105"/>
      <c r="V322" s="105"/>
      <c r="W322" s="105"/>
      <c r="X322" s="105"/>
      <c r="Y322" s="105"/>
      <c r="Z322" s="105"/>
      <c r="AA322" s="105"/>
    </row>
    <row r="323" ht="15.75" hidden="1" customHeight="1">
      <c r="A323" s="105"/>
      <c r="B323" s="105"/>
      <c r="C323" s="105"/>
      <c r="D323" s="105"/>
      <c r="E323" s="105"/>
      <c r="F323" s="105"/>
      <c r="G323" s="105"/>
      <c r="H323" s="105"/>
      <c r="I323" s="105"/>
      <c r="J323" s="105"/>
      <c r="K323" s="105"/>
      <c r="L323" s="105"/>
      <c r="M323" s="105"/>
      <c r="N323" s="105"/>
      <c r="O323" s="105"/>
      <c r="P323" s="105"/>
      <c r="Q323" s="105"/>
      <c r="R323" s="105"/>
      <c r="S323" s="105"/>
      <c r="T323" s="105"/>
      <c r="U323" s="105"/>
      <c r="V323" s="105"/>
      <c r="W323" s="105"/>
      <c r="X323" s="105"/>
      <c r="Y323" s="105"/>
      <c r="Z323" s="105"/>
      <c r="AA323" s="105"/>
    </row>
    <row r="324" ht="15.75" hidden="1" customHeight="1">
      <c r="A324" s="105"/>
      <c r="B324" s="105"/>
      <c r="C324" s="105"/>
      <c r="D324" s="105"/>
      <c r="E324" s="105"/>
      <c r="F324" s="105"/>
      <c r="G324" s="105"/>
      <c r="H324" s="105"/>
      <c r="I324" s="105"/>
      <c r="J324" s="105"/>
      <c r="K324" s="105"/>
      <c r="L324" s="105"/>
      <c r="M324" s="105"/>
      <c r="N324" s="105"/>
      <c r="O324" s="105"/>
      <c r="P324" s="105"/>
      <c r="Q324" s="105"/>
      <c r="R324" s="105"/>
      <c r="S324" s="105"/>
      <c r="T324" s="105"/>
      <c r="U324" s="105"/>
      <c r="V324" s="105"/>
      <c r="W324" s="105"/>
      <c r="X324" s="105"/>
      <c r="Y324" s="105"/>
      <c r="Z324" s="105"/>
      <c r="AA324" s="105"/>
    </row>
    <row r="325" ht="15.75" hidden="1" customHeight="1">
      <c r="A325" s="105"/>
      <c r="B325" s="105"/>
      <c r="C325" s="105"/>
      <c r="D325" s="105"/>
      <c r="E325" s="105"/>
      <c r="F325" s="105"/>
      <c r="G325" s="105"/>
      <c r="H325" s="105"/>
      <c r="I325" s="105"/>
      <c r="J325" s="105"/>
      <c r="K325" s="105"/>
      <c r="L325" s="105"/>
      <c r="M325" s="105"/>
      <c r="N325" s="105"/>
      <c r="O325" s="105"/>
      <c r="P325" s="105"/>
      <c r="Q325" s="105"/>
      <c r="R325" s="105"/>
      <c r="S325" s="105"/>
      <c r="T325" s="105"/>
      <c r="U325" s="105"/>
      <c r="V325" s="105"/>
      <c r="W325" s="105"/>
      <c r="X325" s="105"/>
      <c r="Y325" s="105"/>
      <c r="Z325" s="105"/>
      <c r="AA325" s="105"/>
    </row>
    <row r="326" ht="15.75" hidden="1" customHeight="1">
      <c r="A326" s="105"/>
      <c r="B326" s="105"/>
      <c r="C326" s="105"/>
      <c r="D326" s="105"/>
      <c r="E326" s="105"/>
      <c r="F326" s="105"/>
      <c r="G326" s="105"/>
      <c r="H326" s="105"/>
      <c r="I326" s="105"/>
      <c r="J326" s="105"/>
      <c r="K326" s="105"/>
      <c r="L326" s="105"/>
      <c r="M326" s="105"/>
      <c r="N326" s="105"/>
      <c r="O326" s="105"/>
      <c r="P326" s="105"/>
      <c r="Q326" s="105"/>
      <c r="R326" s="105"/>
      <c r="S326" s="105"/>
      <c r="T326" s="105"/>
      <c r="U326" s="105"/>
      <c r="V326" s="105"/>
      <c r="W326" s="105"/>
      <c r="X326" s="105"/>
      <c r="Y326" s="105"/>
      <c r="Z326" s="105"/>
      <c r="AA326" s="105"/>
    </row>
    <row r="327" ht="15.75" hidden="1" customHeight="1">
      <c r="A327" s="105"/>
      <c r="B327" s="105"/>
      <c r="C327" s="105"/>
      <c r="D327" s="105"/>
      <c r="E327" s="105"/>
      <c r="F327" s="105"/>
      <c r="G327" s="105"/>
      <c r="H327" s="105"/>
      <c r="I327" s="105"/>
      <c r="J327" s="105"/>
      <c r="K327" s="105"/>
      <c r="L327" s="105"/>
      <c r="M327" s="105"/>
      <c r="N327" s="105"/>
      <c r="O327" s="105"/>
      <c r="P327" s="105"/>
      <c r="Q327" s="105"/>
      <c r="R327" s="105"/>
      <c r="S327" s="105"/>
      <c r="T327" s="105"/>
      <c r="U327" s="105"/>
      <c r="V327" s="105"/>
      <c r="W327" s="105"/>
      <c r="X327" s="105"/>
      <c r="Y327" s="105"/>
      <c r="Z327" s="105"/>
      <c r="AA327" s="105"/>
    </row>
    <row r="328" ht="15.75" hidden="1" customHeight="1">
      <c r="A328" s="105"/>
      <c r="B328" s="105"/>
      <c r="C328" s="105"/>
      <c r="D328" s="105"/>
      <c r="E328" s="105"/>
      <c r="F328" s="105"/>
      <c r="G328" s="105"/>
      <c r="H328" s="105"/>
      <c r="I328" s="105"/>
      <c r="J328" s="105"/>
      <c r="K328" s="105"/>
      <c r="L328" s="105"/>
      <c r="M328" s="105"/>
      <c r="N328" s="105"/>
      <c r="O328" s="105"/>
      <c r="P328" s="105"/>
      <c r="Q328" s="105"/>
      <c r="R328" s="105"/>
      <c r="S328" s="105"/>
      <c r="T328" s="105"/>
      <c r="U328" s="105"/>
      <c r="V328" s="105"/>
      <c r="W328" s="105"/>
      <c r="X328" s="105"/>
      <c r="Y328" s="105"/>
      <c r="Z328" s="105"/>
      <c r="AA328" s="105"/>
    </row>
    <row r="329" ht="15.75" hidden="1" customHeight="1">
      <c r="A329" s="105"/>
      <c r="B329" s="105"/>
      <c r="C329" s="105"/>
      <c r="D329" s="105"/>
      <c r="E329" s="105"/>
      <c r="F329" s="105"/>
      <c r="G329" s="105"/>
      <c r="H329" s="105"/>
      <c r="I329" s="105"/>
      <c r="J329" s="105"/>
      <c r="K329" s="105"/>
      <c r="L329" s="105"/>
      <c r="M329" s="105"/>
      <c r="N329" s="105"/>
      <c r="O329" s="105"/>
      <c r="P329" s="105"/>
      <c r="Q329" s="105"/>
      <c r="R329" s="105"/>
      <c r="S329" s="105"/>
      <c r="T329" s="105"/>
      <c r="U329" s="105"/>
      <c r="V329" s="105"/>
      <c r="W329" s="105"/>
      <c r="X329" s="105"/>
      <c r="Y329" s="105"/>
      <c r="Z329" s="105"/>
      <c r="AA329" s="105"/>
    </row>
    <row r="330" ht="15.75" hidden="1" customHeight="1">
      <c r="A330" s="105"/>
      <c r="B330" s="105"/>
      <c r="C330" s="105"/>
      <c r="D330" s="105"/>
      <c r="E330" s="105"/>
      <c r="F330" s="105"/>
      <c r="G330" s="105"/>
      <c r="H330" s="105"/>
      <c r="I330" s="105"/>
      <c r="J330" s="105"/>
      <c r="K330" s="105"/>
      <c r="L330" s="105"/>
      <c r="M330" s="105"/>
      <c r="N330" s="105"/>
      <c r="O330" s="105"/>
      <c r="P330" s="105"/>
      <c r="Q330" s="105"/>
      <c r="R330" s="105"/>
      <c r="S330" s="105"/>
      <c r="T330" s="105"/>
      <c r="U330" s="105"/>
      <c r="V330" s="105"/>
      <c r="W330" s="105"/>
      <c r="X330" s="105"/>
      <c r="Y330" s="105"/>
      <c r="Z330" s="105"/>
      <c r="AA330" s="105"/>
    </row>
    <row r="331" ht="15.75" hidden="1" customHeight="1">
      <c r="A331" s="105"/>
      <c r="B331" s="105"/>
      <c r="C331" s="105"/>
      <c r="D331" s="105"/>
      <c r="E331" s="105"/>
      <c r="F331" s="105"/>
      <c r="G331" s="105"/>
      <c r="H331" s="105"/>
      <c r="I331" s="105"/>
      <c r="J331" s="105"/>
      <c r="K331" s="105"/>
      <c r="L331" s="105"/>
      <c r="M331" s="105"/>
      <c r="N331" s="105"/>
      <c r="O331" s="105"/>
      <c r="P331" s="105"/>
      <c r="Q331" s="105"/>
      <c r="R331" s="105"/>
      <c r="S331" s="105"/>
      <c r="T331" s="105"/>
      <c r="U331" s="105"/>
      <c r="V331" s="105"/>
      <c r="W331" s="105"/>
      <c r="X331" s="105"/>
      <c r="Y331" s="105"/>
      <c r="Z331" s="105"/>
      <c r="AA331" s="105"/>
    </row>
    <row r="332" ht="15.75" hidden="1" customHeight="1">
      <c r="A332" s="105"/>
      <c r="B332" s="105"/>
      <c r="C332" s="105"/>
      <c r="D332" s="105"/>
      <c r="E332" s="105"/>
      <c r="F332" s="105"/>
      <c r="G332" s="105"/>
      <c r="H332" s="105"/>
      <c r="I332" s="105"/>
      <c r="J332" s="105"/>
      <c r="K332" s="105"/>
      <c r="L332" s="105"/>
      <c r="M332" s="105"/>
      <c r="N332" s="105"/>
      <c r="O332" s="105"/>
      <c r="P332" s="105"/>
      <c r="Q332" s="105"/>
      <c r="R332" s="105"/>
      <c r="S332" s="105"/>
      <c r="T332" s="105"/>
      <c r="U332" s="105"/>
      <c r="V332" s="105"/>
      <c r="W332" s="105"/>
      <c r="X332" s="105"/>
      <c r="Y332" s="105"/>
      <c r="Z332" s="105"/>
      <c r="AA332" s="105"/>
    </row>
    <row r="333" ht="15.75" hidden="1" customHeight="1">
      <c r="A333" s="105"/>
      <c r="B333" s="105"/>
      <c r="C333" s="105"/>
      <c r="D333" s="105"/>
      <c r="E333" s="105"/>
      <c r="F333" s="105"/>
      <c r="G333" s="105"/>
      <c r="H333" s="105"/>
      <c r="I333" s="105"/>
      <c r="J333" s="105"/>
      <c r="K333" s="105"/>
      <c r="L333" s="105"/>
      <c r="M333" s="105"/>
      <c r="N333" s="105"/>
      <c r="O333" s="105"/>
      <c r="P333" s="105"/>
      <c r="Q333" s="105"/>
      <c r="R333" s="105"/>
      <c r="S333" s="105"/>
      <c r="T333" s="105"/>
      <c r="U333" s="105"/>
      <c r="V333" s="105"/>
      <c r="W333" s="105"/>
      <c r="X333" s="105"/>
      <c r="Y333" s="105"/>
      <c r="Z333" s="105"/>
      <c r="AA333" s="105"/>
    </row>
    <row r="334" ht="15.75" hidden="1" customHeight="1">
      <c r="A334" s="105"/>
      <c r="B334" s="105"/>
      <c r="C334" s="105"/>
      <c r="D334" s="105"/>
      <c r="E334" s="105"/>
      <c r="F334" s="105"/>
      <c r="G334" s="105"/>
      <c r="H334" s="105"/>
      <c r="I334" s="105"/>
      <c r="J334" s="105"/>
      <c r="K334" s="105"/>
      <c r="L334" s="105"/>
      <c r="M334" s="105"/>
      <c r="N334" s="105"/>
      <c r="O334" s="105"/>
      <c r="P334" s="105"/>
      <c r="Q334" s="105"/>
      <c r="R334" s="105"/>
      <c r="S334" s="105"/>
      <c r="T334" s="105"/>
      <c r="U334" s="105"/>
      <c r="V334" s="105"/>
      <c r="W334" s="105"/>
      <c r="X334" s="105"/>
      <c r="Y334" s="105"/>
      <c r="Z334" s="105"/>
      <c r="AA334" s="105"/>
    </row>
    <row r="335" ht="15.75" hidden="1" customHeight="1">
      <c r="A335" s="105"/>
      <c r="B335" s="105"/>
      <c r="C335" s="105"/>
      <c r="D335" s="105"/>
      <c r="E335" s="105"/>
      <c r="F335" s="105"/>
      <c r="G335" s="105"/>
      <c r="H335" s="105"/>
      <c r="I335" s="105"/>
      <c r="J335" s="105"/>
      <c r="K335" s="105"/>
      <c r="L335" s="105"/>
      <c r="M335" s="105"/>
      <c r="N335" s="105"/>
      <c r="O335" s="105"/>
      <c r="P335" s="105"/>
      <c r="Q335" s="105"/>
      <c r="R335" s="105"/>
      <c r="S335" s="105"/>
      <c r="T335" s="105"/>
      <c r="U335" s="105"/>
      <c r="V335" s="105"/>
      <c r="W335" s="105"/>
      <c r="X335" s="105"/>
      <c r="Y335" s="105"/>
      <c r="Z335" s="105"/>
      <c r="AA335" s="105"/>
    </row>
    <row r="336" ht="15.75" hidden="1" customHeight="1">
      <c r="A336" s="105"/>
      <c r="B336" s="105"/>
      <c r="C336" s="105"/>
      <c r="D336" s="105"/>
      <c r="E336" s="105"/>
      <c r="F336" s="105"/>
      <c r="G336" s="105"/>
      <c r="H336" s="105"/>
      <c r="I336" s="105"/>
      <c r="J336" s="105"/>
      <c r="K336" s="105"/>
      <c r="L336" s="105"/>
      <c r="M336" s="105"/>
      <c r="N336" s="105"/>
      <c r="O336" s="105"/>
      <c r="P336" s="105"/>
      <c r="Q336" s="105"/>
      <c r="R336" s="105"/>
      <c r="S336" s="105"/>
      <c r="T336" s="105"/>
      <c r="U336" s="105"/>
      <c r="V336" s="105"/>
      <c r="W336" s="105"/>
      <c r="X336" s="105"/>
      <c r="Y336" s="105"/>
      <c r="Z336" s="105"/>
      <c r="AA336" s="105"/>
    </row>
    <row r="337" ht="15.75" hidden="1" customHeight="1">
      <c r="A337" s="105"/>
      <c r="B337" s="105"/>
      <c r="C337" s="105"/>
      <c r="D337" s="105"/>
      <c r="E337" s="105"/>
      <c r="F337" s="105"/>
      <c r="G337" s="105"/>
      <c r="H337" s="105"/>
      <c r="I337" s="105"/>
      <c r="J337" s="105"/>
      <c r="K337" s="105"/>
      <c r="L337" s="105"/>
      <c r="M337" s="105"/>
      <c r="N337" s="105"/>
      <c r="O337" s="105"/>
      <c r="P337" s="105"/>
      <c r="Q337" s="105"/>
      <c r="R337" s="105"/>
      <c r="S337" s="105"/>
      <c r="T337" s="105"/>
      <c r="U337" s="105"/>
      <c r="V337" s="105"/>
      <c r="W337" s="105"/>
      <c r="X337" s="105"/>
      <c r="Y337" s="105"/>
      <c r="Z337" s="105"/>
      <c r="AA337" s="105"/>
    </row>
    <row r="338" ht="15.75" hidden="1" customHeight="1">
      <c r="A338" s="105"/>
      <c r="B338" s="105"/>
      <c r="C338" s="105"/>
      <c r="D338" s="105"/>
      <c r="E338" s="105"/>
      <c r="F338" s="105"/>
      <c r="G338" s="105"/>
      <c r="H338" s="105"/>
      <c r="I338" s="105"/>
      <c r="J338" s="105"/>
      <c r="K338" s="105"/>
      <c r="L338" s="105"/>
      <c r="M338" s="105"/>
      <c r="N338" s="105"/>
      <c r="O338" s="105"/>
      <c r="P338" s="105"/>
      <c r="Q338" s="105"/>
      <c r="R338" s="105"/>
      <c r="S338" s="105"/>
      <c r="T338" s="105"/>
      <c r="U338" s="105"/>
      <c r="V338" s="105"/>
      <c r="W338" s="105"/>
      <c r="X338" s="105"/>
      <c r="Y338" s="105"/>
      <c r="Z338" s="105"/>
      <c r="AA338" s="105"/>
    </row>
    <row r="339" ht="15.75" hidden="1" customHeight="1">
      <c r="A339" s="105"/>
      <c r="B339" s="105"/>
      <c r="C339" s="105"/>
      <c r="D339" s="105"/>
      <c r="E339" s="105"/>
      <c r="F339" s="105"/>
      <c r="G339" s="105"/>
      <c r="H339" s="105"/>
      <c r="I339" s="105"/>
      <c r="J339" s="105"/>
      <c r="K339" s="105"/>
      <c r="L339" s="105"/>
      <c r="M339" s="105"/>
      <c r="N339" s="105"/>
      <c r="O339" s="105"/>
      <c r="P339" s="105"/>
      <c r="Q339" s="105"/>
      <c r="R339" s="105"/>
      <c r="S339" s="105"/>
      <c r="T339" s="105"/>
      <c r="U339" s="105"/>
      <c r="V339" s="105"/>
      <c r="W339" s="105"/>
      <c r="X339" s="105"/>
      <c r="Y339" s="105"/>
      <c r="Z339" s="105"/>
      <c r="AA339" s="105"/>
    </row>
    <row r="340" ht="15.75" hidden="1" customHeight="1">
      <c r="A340" s="105"/>
      <c r="B340" s="105"/>
      <c r="C340" s="105"/>
      <c r="D340" s="105"/>
      <c r="E340" s="105"/>
      <c r="F340" s="105"/>
      <c r="G340" s="105"/>
      <c r="H340" s="105"/>
      <c r="I340" s="105"/>
      <c r="J340" s="105"/>
      <c r="K340" s="105"/>
      <c r="L340" s="105"/>
      <c r="M340" s="105"/>
      <c r="N340" s="105"/>
      <c r="O340" s="105"/>
      <c r="P340" s="105"/>
      <c r="Q340" s="105"/>
      <c r="R340" s="105"/>
      <c r="S340" s="105"/>
      <c r="T340" s="105"/>
      <c r="U340" s="105"/>
      <c r="V340" s="105"/>
      <c r="W340" s="105"/>
      <c r="X340" s="105"/>
      <c r="Y340" s="105"/>
      <c r="Z340" s="105"/>
      <c r="AA340" s="105"/>
    </row>
    <row r="341" ht="15.75" hidden="1" customHeight="1">
      <c r="A341" s="105"/>
      <c r="B341" s="105"/>
      <c r="C341" s="105"/>
      <c r="D341" s="105"/>
      <c r="E341" s="105"/>
      <c r="F341" s="105"/>
      <c r="G341" s="105"/>
      <c r="H341" s="105"/>
      <c r="I341" s="105"/>
      <c r="J341" s="105"/>
      <c r="K341" s="105"/>
      <c r="L341" s="105"/>
      <c r="M341" s="105"/>
      <c r="N341" s="105"/>
      <c r="O341" s="105"/>
      <c r="P341" s="105"/>
      <c r="Q341" s="105"/>
      <c r="R341" s="105"/>
      <c r="S341" s="105"/>
      <c r="T341" s="105"/>
      <c r="U341" s="105"/>
      <c r="V341" s="105"/>
      <c r="W341" s="105"/>
      <c r="X341" s="105"/>
      <c r="Y341" s="105"/>
      <c r="Z341" s="105"/>
      <c r="AA341" s="105"/>
    </row>
    <row r="342" ht="15.75" hidden="1" customHeight="1">
      <c r="A342" s="105"/>
      <c r="B342" s="105"/>
      <c r="C342" s="105"/>
      <c r="D342" s="105"/>
      <c r="E342" s="105"/>
      <c r="F342" s="105"/>
      <c r="G342" s="105"/>
      <c r="H342" s="105"/>
      <c r="I342" s="105"/>
      <c r="J342" s="105"/>
      <c r="K342" s="105"/>
      <c r="L342" s="105"/>
      <c r="M342" s="105"/>
      <c r="N342" s="105"/>
      <c r="O342" s="105"/>
      <c r="P342" s="105"/>
      <c r="Q342" s="105"/>
      <c r="R342" s="105"/>
      <c r="S342" s="105"/>
      <c r="T342" s="105"/>
      <c r="U342" s="105"/>
      <c r="V342" s="105"/>
      <c r="W342" s="105"/>
      <c r="X342" s="105"/>
      <c r="Y342" s="105"/>
      <c r="Z342" s="105"/>
      <c r="AA342" s="105"/>
    </row>
    <row r="343" ht="15.75" hidden="1" customHeight="1">
      <c r="A343" s="105"/>
      <c r="B343" s="105"/>
      <c r="C343" s="105"/>
      <c r="D343" s="105"/>
      <c r="E343" s="105"/>
      <c r="F343" s="105"/>
      <c r="G343" s="105"/>
      <c r="H343" s="105"/>
      <c r="I343" s="105"/>
      <c r="J343" s="105"/>
      <c r="K343" s="105"/>
      <c r="L343" s="105"/>
      <c r="M343" s="105"/>
      <c r="N343" s="105"/>
      <c r="O343" s="105"/>
      <c r="P343" s="105"/>
      <c r="Q343" s="105"/>
      <c r="R343" s="105"/>
      <c r="S343" s="105"/>
      <c r="T343" s="105"/>
      <c r="U343" s="105"/>
      <c r="V343" s="105"/>
      <c r="W343" s="105"/>
      <c r="X343" s="105"/>
      <c r="Y343" s="105"/>
      <c r="Z343" s="105"/>
      <c r="AA343" s="105"/>
    </row>
    <row r="344" ht="15.75" hidden="1" customHeight="1">
      <c r="A344" s="105"/>
      <c r="B344" s="105"/>
      <c r="C344" s="105"/>
      <c r="D344" s="105"/>
      <c r="E344" s="105"/>
      <c r="F344" s="105"/>
      <c r="G344" s="105"/>
      <c r="H344" s="105"/>
      <c r="I344" s="105"/>
      <c r="J344" s="105"/>
      <c r="K344" s="105"/>
      <c r="L344" s="105"/>
      <c r="M344" s="105"/>
      <c r="N344" s="105"/>
      <c r="O344" s="105"/>
      <c r="P344" s="105"/>
      <c r="Q344" s="105"/>
      <c r="R344" s="105"/>
      <c r="S344" s="105"/>
      <c r="T344" s="105"/>
      <c r="U344" s="105"/>
      <c r="V344" s="105"/>
      <c r="W344" s="105"/>
      <c r="X344" s="105"/>
      <c r="Y344" s="105"/>
      <c r="Z344" s="105"/>
      <c r="AA344" s="105"/>
    </row>
    <row r="345" ht="15.75" hidden="1" customHeight="1">
      <c r="A345" s="105"/>
      <c r="B345" s="105"/>
      <c r="C345" s="105"/>
      <c r="D345" s="105"/>
      <c r="E345" s="105"/>
      <c r="F345" s="105"/>
      <c r="G345" s="105"/>
      <c r="H345" s="105"/>
      <c r="I345" s="105"/>
      <c r="J345" s="105"/>
      <c r="K345" s="105"/>
      <c r="L345" s="105"/>
      <c r="M345" s="105"/>
      <c r="N345" s="105"/>
      <c r="O345" s="105"/>
      <c r="P345" s="105"/>
      <c r="Q345" s="105"/>
      <c r="R345" s="105"/>
      <c r="S345" s="105"/>
      <c r="T345" s="105"/>
      <c r="U345" s="105"/>
      <c r="V345" s="105"/>
      <c r="W345" s="105"/>
      <c r="X345" s="105"/>
      <c r="Y345" s="105"/>
      <c r="Z345" s="105"/>
      <c r="AA345" s="105"/>
    </row>
    <row r="346" ht="15.75" hidden="1" customHeight="1">
      <c r="A346" s="105"/>
      <c r="B346" s="105"/>
      <c r="C346" s="105"/>
      <c r="D346" s="105"/>
      <c r="E346" s="105"/>
      <c r="F346" s="105"/>
      <c r="G346" s="105"/>
      <c r="H346" s="105"/>
      <c r="I346" s="105"/>
      <c r="J346" s="105"/>
      <c r="K346" s="105"/>
      <c r="L346" s="105"/>
      <c r="M346" s="105"/>
      <c r="N346" s="105"/>
      <c r="O346" s="105"/>
      <c r="P346" s="105"/>
      <c r="Q346" s="105"/>
      <c r="R346" s="105"/>
      <c r="S346" s="105"/>
      <c r="T346" s="105"/>
      <c r="U346" s="105"/>
      <c r="V346" s="105"/>
      <c r="W346" s="105"/>
      <c r="X346" s="105"/>
      <c r="Y346" s="105"/>
      <c r="Z346" s="105"/>
      <c r="AA346" s="105"/>
    </row>
    <row r="347" ht="15.75" hidden="1" customHeight="1">
      <c r="A347" s="105"/>
      <c r="B347" s="105"/>
      <c r="C347" s="105"/>
      <c r="D347" s="105"/>
      <c r="E347" s="105"/>
      <c r="F347" s="105"/>
      <c r="G347" s="105"/>
      <c r="H347" s="105"/>
      <c r="I347" s="105"/>
      <c r="J347" s="105"/>
      <c r="K347" s="105"/>
      <c r="L347" s="105"/>
      <c r="M347" s="105"/>
      <c r="N347" s="105"/>
      <c r="O347" s="105"/>
      <c r="P347" s="105"/>
      <c r="Q347" s="105"/>
      <c r="R347" s="105"/>
      <c r="S347" s="105"/>
      <c r="T347" s="105"/>
      <c r="U347" s="105"/>
      <c r="V347" s="105"/>
      <c r="W347" s="105"/>
      <c r="X347" s="105"/>
      <c r="Y347" s="105"/>
      <c r="Z347" s="105"/>
      <c r="AA347" s="105"/>
    </row>
    <row r="348" ht="15.75" hidden="1" customHeight="1">
      <c r="A348" s="105"/>
      <c r="B348" s="105"/>
      <c r="C348" s="105"/>
      <c r="D348" s="105"/>
      <c r="E348" s="105"/>
      <c r="F348" s="105"/>
      <c r="G348" s="105"/>
      <c r="H348" s="105"/>
      <c r="I348" s="105"/>
      <c r="J348" s="105"/>
      <c r="K348" s="105"/>
      <c r="L348" s="105"/>
      <c r="M348" s="105"/>
      <c r="N348" s="105"/>
      <c r="O348" s="105"/>
      <c r="P348" s="105"/>
      <c r="Q348" s="105"/>
      <c r="R348" s="105"/>
      <c r="S348" s="105"/>
      <c r="T348" s="105"/>
      <c r="U348" s="105"/>
      <c r="V348" s="105"/>
      <c r="W348" s="105"/>
      <c r="X348" s="105"/>
      <c r="Y348" s="105"/>
      <c r="Z348" s="105"/>
      <c r="AA348" s="105"/>
    </row>
    <row r="349" ht="15.75" hidden="1" customHeight="1">
      <c r="A349" s="105"/>
      <c r="B349" s="105"/>
      <c r="C349" s="105"/>
      <c r="D349" s="105"/>
      <c r="E349" s="105"/>
      <c r="F349" s="105"/>
      <c r="G349" s="105"/>
      <c r="H349" s="105"/>
      <c r="I349" s="105"/>
      <c r="J349" s="105"/>
      <c r="K349" s="105"/>
      <c r="L349" s="105"/>
      <c r="M349" s="105"/>
      <c r="N349" s="105"/>
      <c r="O349" s="105"/>
      <c r="P349" s="105"/>
      <c r="Q349" s="105"/>
      <c r="R349" s="105"/>
      <c r="S349" s="105"/>
      <c r="T349" s="105"/>
      <c r="U349" s="105"/>
      <c r="V349" s="105"/>
      <c r="W349" s="105"/>
      <c r="X349" s="105"/>
      <c r="Y349" s="105"/>
      <c r="Z349" s="105"/>
      <c r="AA349" s="105"/>
    </row>
    <row r="350" ht="15.75" hidden="1" customHeight="1">
      <c r="A350" s="105"/>
      <c r="B350" s="105"/>
      <c r="C350" s="105"/>
      <c r="D350" s="105"/>
      <c r="E350" s="105"/>
      <c r="F350" s="105"/>
      <c r="G350" s="105"/>
      <c r="H350" s="105"/>
      <c r="I350" s="105"/>
      <c r="J350" s="105"/>
      <c r="K350" s="105"/>
      <c r="L350" s="105"/>
      <c r="M350" s="105"/>
      <c r="N350" s="105"/>
      <c r="O350" s="105"/>
      <c r="P350" s="105"/>
      <c r="Q350" s="105"/>
      <c r="R350" s="105"/>
      <c r="S350" s="105"/>
      <c r="T350" s="105"/>
      <c r="U350" s="105"/>
      <c r="V350" s="105"/>
      <c r="W350" s="105"/>
      <c r="X350" s="105"/>
      <c r="Y350" s="105"/>
      <c r="Z350" s="105"/>
      <c r="AA350" s="105"/>
    </row>
    <row r="351" ht="15.75" hidden="1" customHeight="1">
      <c r="A351" s="105"/>
      <c r="B351" s="105"/>
      <c r="C351" s="105"/>
      <c r="D351" s="105"/>
      <c r="E351" s="105"/>
      <c r="F351" s="105"/>
      <c r="G351" s="105"/>
      <c r="H351" s="105"/>
      <c r="I351" s="105"/>
      <c r="J351" s="105"/>
      <c r="K351" s="105"/>
      <c r="L351" s="105"/>
      <c r="M351" s="105"/>
      <c r="N351" s="105"/>
      <c r="O351" s="105"/>
      <c r="P351" s="105"/>
      <c r="Q351" s="105"/>
      <c r="R351" s="105"/>
      <c r="S351" s="105"/>
      <c r="T351" s="105"/>
      <c r="U351" s="105"/>
      <c r="V351" s="105"/>
      <c r="W351" s="105"/>
      <c r="X351" s="105"/>
      <c r="Y351" s="105"/>
      <c r="Z351" s="105"/>
      <c r="AA351" s="105"/>
    </row>
    <row r="352" ht="15.75" hidden="1" customHeight="1">
      <c r="A352" s="105"/>
      <c r="B352" s="105"/>
      <c r="C352" s="105"/>
      <c r="D352" s="105"/>
      <c r="E352" s="105"/>
      <c r="F352" s="105"/>
      <c r="G352" s="105"/>
      <c r="H352" s="105"/>
      <c r="I352" s="105"/>
      <c r="J352" s="105"/>
      <c r="K352" s="105"/>
      <c r="L352" s="105"/>
      <c r="M352" s="105"/>
      <c r="N352" s="105"/>
      <c r="O352" s="105"/>
      <c r="P352" s="105"/>
      <c r="Q352" s="105"/>
      <c r="R352" s="105"/>
      <c r="S352" s="105"/>
      <c r="T352" s="105"/>
      <c r="U352" s="105"/>
      <c r="V352" s="105"/>
      <c r="W352" s="105"/>
      <c r="X352" s="105"/>
      <c r="Y352" s="105"/>
      <c r="Z352" s="105"/>
      <c r="AA352" s="105"/>
    </row>
    <row r="353" ht="15.75" hidden="1" customHeight="1">
      <c r="A353" s="105"/>
      <c r="B353" s="105"/>
      <c r="C353" s="105"/>
      <c r="D353" s="105"/>
      <c r="E353" s="105"/>
      <c r="F353" s="105"/>
      <c r="G353" s="105"/>
      <c r="H353" s="105"/>
      <c r="I353" s="105"/>
      <c r="J353" s="105"/>
      <c r="K353" s="105"/>
      <c r="L353" s="105"/>
      <c r="M353" s="105"/>
      <c r="N353" s="105"/>
      <c r="O353" s="105"/>
      <c r="P353" s="105"/>
      <c r="Q353" s="105"/>
      <c r="R353" s="105"/>
      <c r="S353" s="105"/>
      <c r="T353" s="105"/>
      <c r="U353" s="105"/>
      <c r="V353" s="105"/>
      <c r="W353" s="105"/>
      <c r="X353" s="105"/>
      <c r="Y353" s="105"/>
      <c r="Z353" s="105"/>
      <c r="AA353" s="105"/>
    </row>
    <row r="354" ht="15.75" hidden="1" customHeight="1">
      <c r="A354" s="105"/>
      <c r="B354" s="105"/>
      <c r="C354" s="105"/>
      <c r="D354" s="105"/>
      <c r="E354" s="105"/>
      <c r="F354" s="105"/>
      <c r="G354" s="105"/>
      <c r="H354" s="105"/>
      <c r="I354" s="105"/>
      <c r="J354" s="105"/>
      <c r="K354" s="105"/>
      <c r="L354" s="105"/>
      <c r="M354" s="105"/>
      <c r="N354" s="105"/>
      <c r="O354" s="105"/>
      <c r="P354" s="105"/>
      <c r="Q354" s="105"/>
      <c r="R354" s="105"/>
      <c r="S354" s="105"/>
      <c r="T354" s="105"/>
      <c r="U354" s="105"/>
      <c r="V354" s="105"/>
      <c r="W354" s="105"/>
      <c r="X354" s="105"/>
      <c r="Y354" s="105"/>
      <c r="Z354" s="105"/>
      <c r="AA354" s="105"/>
    </row>
    <row r="355" ht="15.75" hidden="1" customHeight="1">
      <c r="A355" s="105"/>
      <c r="B355" s="105"/>
      <c r="C355" s="105"/>
      <c r="D355" s="105"/>
      <c r="E355" s="105"/>
      <c r="F355" s="105"/>
      <c r="G355" s="105"/>
      <c r="H355" s="105"/>
      <c r="I355" s="105"/>
      <c r="J355" s="105"/>
      <c r="K355" s="105"/>
      <c r="L355" s="105"/>
      <c r="M355" s="105"/>
      <c r="N355" s="105"/>
      <c r="O355" s="105"/>
      <c r="P355" s="105"/>
      <c r="Q355" s="105"/>
      <c r="R355" s="105"/>
      <c r="S355" s="105"/>
      <c r="T355" s="105"/>
      <c r="U355" s="105"/>
      <c r="V355" s="105"/>
      <c r="W355" s="105"/>
      <c r="X355" s="105"/>
      <c r="Y355" s="105"/>
      <c r="Z355" s="105"/>
      <c r="AA355" s="105"/>
    </row>
    <row r="356" ht="15.75" hidden="1" customHeight="1">
      <c r="A356" s="105"/>
      <c r="B356" s="105"/>
      <c r="C356" s="105"/>
      <c r="D356" s="105"/>
      <c r="E356" s="105"/>
      <c r="F356" s="105"/>
      <c r="G356" s="105"/>
      <c r="H356" s="105"/>
      <c r="I356" s="105"/>
      <c r="J356" s="105"/>
      <c r="K356" s="105"/>
      <c r="L356" s="105"/>
      <c r="M356" s="105"/>
      <c r="N356" s="105"/>
      <c r="O356" s="105"/>
      <c r="P356" s="105"/>
      <c r="Q356" s="105"/>
      <c r="R356" s="105"/>
      <c r="S356" s="105"/>
      <c r="T356" s="105"/>
      <c r="U356" s="105"/>
      <c r="V356" s="105"/>
      <c r="W356" s="105"/>
      <c r="X356" s="105"/>
      <c r="Y356" s="105"/>
      <c r="Z356" s="105"/>
      <c r="AA356" s="105"/>
    </row>
    <row r="357" ht="15.75" hidden="1" customHeight="1">
      <c r="A357" s="105"/>
      <c r="B357" s="105"/>
      <c r="C357" s="105"/>
      <c r="D357" s="105"/>
      <c r="E357" s="105"/>
      <c r="F357" s="105"/>
      <c r="G357" s="105"/>
      <c r="H357" s="105"/>
      <c r="I357" s="105"/>
      <c r="J357" s="105"/>
      <c r="K357" s="105"/>
      <c r="L357" s="105"/>
      <c r="M357" s="105"/>
      <c r="N357" s="105"/>
      <c r="O357" s="105"/>
      <c r="P357" s="105"/>
      <c r="Q357" s="105"/>
      <c r="R357" s="105"/>
      <c r="S357" s="105"/>
      <c r="T357" s="105"/>
      <c r="U357" s="105"/>
      <c r="V357" s="105"/>
      <c r="W357" s="105"/>
      <c r="X357" s="105"/>
      <c r="Y357" s="105"/>
      <c r="Z357" s="105"/>
      <c r="AA357" s="105"/>
    </row>
    <row r="358" ht="15.75" hidden="1" customHeight="1">
      <c r="A358" s="105"/>
      <c r="B358" s="105"/>
      <c r="C358" s="105"/>
      <c r="D358" s="105"/>
      <c r="E358" s="105"/>
      <c r="F358" s="105"/>
      <c r="G358" s="105"/>
      <c r="H358" s="105"/>
      <c r="I358" s="105"/>
      <c r="J358" s="105"/>
      <c r="K358" s="105"/>
      <c r="L358" s="105"/>
      <c r="M358" s="105"/>
      <c r="N358" s="105"/>
      <c r="O358" s="105"/>
      <c r="P358" s="105"/>
      <c r="Q358" s="105"/>
      <c r="R358" s="105"/>
      <c r="S358" s="105"/>
      <c r="T358" s="105"/>
      <c r="U358" s="105"/>
      <c r="V358" s="105"/>
      <c r="W358" s="105"/>
      <c r="X358" s="105"/>
      <c r="Y358" s="105"/>
      <c r="Z358" s="105"/>
      <c r="AA358" s="105"/>
    </row>
    <row r="359" ht="15.75" hidden="1" customHeight="1">
      <c r="A359" s="105"/>
      <c r="B359" s="105"/>
      <c r="C359" s="105"/>
      <c r="D359" s="105"/>
      <c r="E359" s="105"/>
      <c r="F359" s="105"/>
      <c r="G359" s="105"/>
      <c r="H359" s="105"/>
      <c r="I359" s="105"/>
      <c r="J359" s="105"/>
      <c r="K359" s="105"/>
      <c r="L359" s="105"/>
      <c r="M359" s="105"/>
      <c r="N359" s="105"/>
      <c r="O359" s="105"/>
      <c r="P359" s="105"/>
      <c r="Q359" s="105"/>
      <c r="R359" s="105"/>
      <c r="S359" s="105"/>
      <c r="T359" s="105"/>
      <c r="U359" s="105"/>
      <c r="V359" s="105"/>
      <c r="W359" s="105"/>
      <c r="X359" s="105"/>
      <c r="Y359" s="105"/>
      <c r="Z359" s="105"/>
      <c r="AA359" s="105"/>
    </row>
    <row r="360" ht="15.75" hidden="1" customHeight="1">
      <c r="A360" s="105"/>
      <c r="B360" s="105"/>
      <c r="C360" s="105"/>
      <c r="D360" s="105"/>
      <c r="E360" s="105"/>
      <c r="F360" s="105"/>
      <c r="G360" s="105"/>
      <c r="H360" s="105"/>
      <c r="I360" s="105"/>
      <c r="J360" s="105"/>
      <c r="K360" s="105"/>
      <c r="L360" s="105"/>
      <c r="M360" s="105"/>
      <c r="N360" s="105"/>
      <c r="O360" s="105"/>
      <c r="P360" s="105"/>
      <c r="Q360" s="105"/>
      <c r="R360" s="105"/>
      <c r="S360" s="105"/>
      <c r="T360" s="105"/>
      <c r="U360" s="105"/>
      <c r="V360" s="105"/>
      <c r="W360" s="105"/>
      <c r="X360" s="105"/>
      <c r="Y360" s="105"/>
      <c r="Z360" s="105"/>
      <c r="AA360" s="105"/>
    </row>
    <row r="361" ht="15.75" hidden="1" customHeight="1">
      <c r="A361" s="105"/>
      <c r="B361" s="105"/>
      <c r="C361" s="105"/>
      <c r="D361" s="105"/>
      <c r="E361" s="105"/>
      <c r="F361" s="105"/>
      <c r="G361" s="105"/>
      <c r="H361" s="105"/>
      <c r="I361" s="105"/>
      <c r="J361" s="105"/>
      <c r="K361" s="105"/>
      <c r="L361" s="105"/>
      <c r="M361" s="105"/>
      <c r="N361" s="105"/>
      <c r="O361" s="105"/>
      <c r="P361" s="105"/>
      <c r="Q361" s="105"/>
      <c r="R361" s="105"/>
      <c r="S361" s="105"/>
      <c r="T361" s="105"/>
      <c r="U361" s="105"/>
      <c r="V361" s="105"/>
      <c r="W361" s="105"/>
      <c r="X361" s="105"/>
      <c r="Y361" s="105"/>
      <c r="Z361" s="105"/>
      <c r="AA361" s="105"/>
    </row>
    <row r="362" ht="15.75" hidden="1" customHeight="1">
      <c r="A362" s="105"/>
      <c r="B362" s="105"/>
      <c r="C362" s="105"/>
      <c r="D362" s="105"/>
      <c r="E362" s="105"/>
      <c r="F362" s="105"/>
      <c r="G362" s="105"/>
      <c r="H362" s="105"/>
      <c r="I362" s="105"/>
      <c r="J362" s="105"/>
      <c r="K362" s="105"/>
      <c r="L362" s="105"/>
      <c r="M362" s="105"/>
      <c r="N362" s="105"/>
      <c r="O362" s="105"/>
      <c r="P362" s="105"/>
      <c r="Q362" s="105"/>
      <c r="R362" s="105"/>
      <c r="S362" s="105"/>
      <c r="T362" s="105"/>
      <c r="U362" s="105"/>
      <c r="V362" s="105"/>
      <c r="W362" s="105"/>
      <c r="X362" s="105"/>
      <c r="Y362" s="105"/>
      <c r="Z362" s="105"/>
      <c r="AA362" s="105"/>
    </row>
    <row r="363" ht="15.75" hidden="1" customHeight="1">
      <c r="A363" s="105"/>
      <c r="B363" s="105"/>
      <c r="C363" s="105"/>
      <c r="D363" s="105"/>
      <c r="E363" s="105"/>
      <c r="F363" s="105"/>
      <c r="G363" s="105"/>
      <c r="H363" s="105"/>
      <c r="I363" s="105"/>
      <c r="J363" s="105"/>
      <c r="K363" s="105"/>
      <c r="L363" s="105"/>
      <c r="M363" s="105"/>
      <c r="N363" s="105"/>
      <c r="O363" s="105"/>
      <c r="P363" s="105"/>
      <c r="Q363" s="105"/>
      <c r="R363" s="105"/>
      <c r="S363" s="105"/>
      <c r="T363" s="105"/>
      <c r="U363" s="105"/>
      <c r="V363" s="105"/>
      <c r="W363" s="105"/>
      <c r="X363" s="105"/>
      <c r="Y363" s="105"/>
      <c r="Z363" s="105"/>
      <c r="AA363" s="105"/>
    </row>
    <row r="364" ht="15.75" hidden="1" customHeight="1">
      <c r="A364" s="105"/>
      <c r="B364" s="105"/>
      <c r="C364" s="105"/>
      <c r="D364" s="105"/>
      <c r="E364" s="105"/>
      <c r="F364" s="105"/>
      <c r="G364" s="105"/>
      <c r="H364" s="105"/>
      <c r="I364" s="105"/>
      <c r="J364" s="105"/>
      <c r="K364" s="105"/>
      <c r="L364" s="105"/>
      <c r="M364" s="105"/>
      <c r="N364" s="105"/>
      <c r="O364" s="105"/>
      <c r="P364" s="105"/>
      <c r="Q364" s="105"/>
      <c r="R364" s="105"/>
      <c r="S364" s="105"/>
      <c r="T364" s="105"/>
      <c r="U364" s="105"/>
      <c r="V364" s="105"/>
      <c r="W364" s="105"/>
      <c r="X364" s="105"/>
      <c r="Y364" s="105"/>
      <c r="Z364" s="105"/>
      <c r="AA364" s="105"/>
    </row>
    <row r="365" ht="15.75" hidden="1" customHeight="1">
      <c r="A365" s="105"/>
      <c r="B365" s="105"/>
      <c r="C365" s="105"/>
      <c r="D365" s="105"/>
      <c r="E365" s="105"/>
      <c r="F365" s="105"/>
      <c r="G365" s="105"/>
      <c r="H365" s="105"/>
      <c r="I365" s="105"/>
      <c r="J365" s="105"/>
      <c r="K365" s="105"/>
      <c r="L365" s="105"/>
      <c r="M365" s="105"/>
      <c r="N365" s="105"/>
      <c r="O365" s="105"/>
      <c r="P365" s="105"/>
      <c r="Q365" s="105"/>
      <c r="R365" s="105"/>
      <c r="S365" s="105"/>
      <c r="T365" s="105"/>
      <c r="U365" s="105"/>
      <c r="V365" s="105"/>
      <c r="W365" s="105"/>
      <c r="X365" s="105"/>
      <c r="Y365" s="105"/>
      <c r="Z365" s="105"/>
      <c r="AA365" s="105"/>
    </row>
    <row r="366" ht="15.75" hidden="1" customHeight="1">
      <c r="A366" s="105"/>
      <c r="B366" s="105"/>
      <c r="C366" s="105"/>
      <c r="D366" s="105"/>
      <c r="E366" s="105"/>
      <c r="F366" s="105"/>
      <c r="G366" s="105"/>
      <c r="H366" s="105"/>
      <c r="I366" s="105"/>
      <c r="J366" s="105"/>
      <c r="K366" s="105"/>
      <c r="L366" s="105"/>
      <c r="M366" s="105"/>
      <c r="N366" s="105"/>
      <c r="O366" s="105"/>
      <c r="P366" s="105"/>
      <c r="Q366" s="105"/>
      <c r="R366" s="105"/>
      <c r="S366" s="105"/>
      <c r="T366" s="105"/>
      <c r="U366" s="105"/>
      <c r="V366" s="105"/>
      <c r="W366" s="105"/>
      <c r="X366" s="105"/>
      <c r="Y366" s="105"/>
      <c r="Z366" s="105"/>
      <c r="AA366" s="105"/>
    </row>
    <row r="367" ht="15.75" hidden="1" customHeight="1">
      <c r="A367" s="105"/>
      <c r="B367" s="105"/>
      <c r="C367" s="105"/>
      <c r="D367" s="105"/>
      <c r="E367" s="105"/>
      <c r="F367" s="105"/>
      <c r="G367" s="105"/>
      <c r="H367" s="105"/>
      <c r="I367" s="105"/>
      <c r="J367" s="105"/>
      <c r="K367" s="105"/>
      <c r="L367" s="105"/>
      <c r="M367" s="105"/>
      <c r="N367" s="105"/>
      <c r="O367" s="105"/>
      <c r="P367" s="105"/>
      <c r="Q367" s="105"/>
      <c r="R367" s="105"/>
      <c r="S367" s="105"/>
      <c r="T367" s="105"/>
      <c r="U367" s="105"/>
      <c r="V367" s="105"/>
      <c r="W367" s="105"/>
      <c r="X367" s="105"/>
      <c r="Y367" s="105"/>
      <c r="Z367" s="105"/>
      <c r="AA367" s="105"/>
    </row>
    <row r="368" ht="15.75" hidden="1" customHeight="1">
      <c r="A368" s="105"/>
      <c r="B368" s="105"/>
      <c r="C368" s="105"/>
      <c r="D368" s="105"/>
      <c r="E368" s="105"/>
      <c r="F368" s="105"/>
      <c r="G368" s="105"/>
      <c r="H368" s="105"/>
      <c r="I368" s="105"/>
      <c r="J368" s="105"/>
      <c r="K368" s="105"/>
      <c r="L368" s="105"/>
      <c r="M368" s="105"/>
      <c r="N368" s="105"/>
      <c r="O368" s="105"/>
      <c r="P368" s="105"/>
      <c r="Q368" s="105"/>
      <c r="R368" s="105"/>
      <c r="S368" s="105"/>
      <c r="T368" s="105"/>
      <c r="U368" s="105"/>
      <c r="V368" s="105"/>
      <c r="W368" s="105"/>
      <c r="X368" s="105"/>
      <c r="Y368" s="105"/>
      <c r="Z368" s="105"/>
      <c r="AA368" s="105"/>
    </row>
    <row r="369" ht="15.75" hidden="1" customHeight="1">
      <c r="A369" s="105"/>
      <c r="B369" s="105"/>
      <c r="C369" s="105"/>
      <c r="D369" s="105"/>
      <c r="E369" s="105"/>
      <c r="F369" s="105"/>
      <c r="G369" s="105"/>
      <c r="H369" s="105"/>
      <c r="I369" s="105"/>
      <c r="J369" s="105"/>
      <c r="K369" s="105"/>
      <c r="L369" s="105"/>
      <c r="M369" s="105"/>
      <c r="N369" s="105"/>
      <c r="O369" s="105"/>
      <c r="P369" s="105"/>
      <c r="Q369" s="105"/>
      <c r="R369" s="105"/>
      <c r="S369" s="105"/>
      <c r="T369" s="105"/>
      <c r="U369" s="105"/>
      <c r="V369" s="105"/>
      <c r="W369" s="105"/>
      <c r="X369" s="105"/>
      <c r="Y369" s="105"/>
      <c r="Z369" s="105"/>
      <c r="AA369" s="105"/>
    </row>
    <row r="370" ht="15.75" hidden="1" customHeight="1">
      <c r="A370" s="105"/>
      <c r="B370" s="105"/>
      <c r="C370" s="105"/>
      <c r="D370" s="105"/>
      <c r="E370" s="105"/>
      <c r="F370" s="105"/>
      <c r="G370" s="105"/>
      <c r="H370" s="105"/>
      <c r="I370" s="105"/>
      <c r="J370" s="105"/>
      <c r="K370" s="105"/>
      <c r="L370" s="105"/>
      <c r="M370" s="105"/>
      <c r="N370" s="105"/>
      <c r="O370" s="105"/>
      <c r="P370" s="105"/>
      <c r="Q370" s="105"/>
      <c r="R370" s="105"/>
      <c r="S370" s="105"/>
      <c r="T370" s="105"/>
      <c r="U370" s="105"/>
      <c r="V370" s="105"/>
      <c r="W370" s="105"/>
      <c r="X370" s="105"/>
      <c r="Y370" s="105"/>
      <c r="Z370" s="105"/>
      <c r="AA370" s="105"/>
    </row>
    <row r="371" ht="15.75" hidden="1" customHeight="1">
      <c r="A371" s="105"/>
      <c r="B371" s="105"/>
      <c r="C371" s="105"/>
      <c r="D371" s="105"/>
      <c r="E371" s="105"/>
      <c r="F371" s="105"/>
      <c r="G371" s="105"/>
      <c r="H371" s="105"/>
      <c r="I371" s="105"/>
      <c r="J371" s="105"/>
      <c r="K371" s="105"/>
      <c r="L371" s="105"/>
      <c r="M371" s="105"/>
      <c r="N371" s="105"/>
      <c r="O371" s="105"/>
      <c r="P371" s="105"/>
      <c r="Q371" s="105"/>
      <c r="R371" s="105"/>
      <c r="S371" s="105"/>
      <c r="T371" s="105"/>
      <c r="U371" s="105"/>
      <c r="V371" s="105"/>
      <c r="W371" s="105"/>
      <c r="X371" s="105"/>
      <c r="Y371" s="105"/>
      <c r="Z371" s="105"/>
      <c r="AA371" s="105"/>
    </row>
    <row r="372" ht="15.75" hidden="1" customHeight="1">
      <c r="A372" s="105"/>
      <c r="B372" s="105"/>
      <c r="C372" s="105"/>
      <c r="D372" s="105"/>
      <c r="E372" s="105"/>
      <c r="F372" s="105"/>
      <c r="G372" s="105"/>
      <c r="H372" s="105"/>
      <c r="I372" s="105"/>
      <c r="J372" s="105"/>
      <c r="K372" s="105"/>
      <c r="L372" s="105"/>
      <c r="M372" s="105"/>
      <c r="N372" s="105"/>
      <c r="O372" s="105"/>
      <c r="P372" s="105"/>
      <c r="Q372" s="105"/>
      <c r="R372" s="105"/>
      <c r="S372" s="105"/>
      <c r="T372" s="105"/>
      <c r="U372" s="105"/>
      <c r="V372" s="105"/>
      <c r="W372" s="105"/>
      <c r="X372" s="105"/>
      <c r="Y372" s="105"/>
      <c r="Z372" s="105"/>
      <c r="AA372" s="105"/>
    </row>
    <row r="373" ht="15.75" hidden="1" customHeight="1">
      <c r="A373" s="105"/>
      <c r="B373" s="105"/>
      <c r="C373" s="105"/>
      <c r="D373" s="105"/>
      <c r="E373" s="105"/>
      <c r="F373" s="105"/>
      <c r="G373" s="105"/>
      <c r="H373" s="105"/>
      <c r="I373" s="105"/>
      <c r="J373" s="105"/>
      <c r="K373" s="105"/>
      <c r="L373" s="105"/>
      <c r="M373" s="105"/>
      <c r="N373" s="105"/>
      <c r="O373" s="105"/>
      <c r="P373" s="105"/>
      <c r="Q373" s="105"/>
      <c r="R373" s="105"/>
      <c r="S373" s="105"/>
      <c r="T373" s="105"/>
      <c r="U373" s="105"/>
      <c r="V373" s="105"/>
      <c r="W373" s="105"/>
      <c r="X373" s="105"/>
      <c r="Y373" s="105"/>
      <c r="Z373" s="105"/>
      <c r="AA373" s="105"/>
    </row>
    <row r="374" ht="15.75" hidden="1" customHeight="1">
      <c r="A374" s="105"/>
      <c r="B374" s="105"/>
      <c r="C374" s="105"/>
      <c r="D374" s="105"/>
      <c r="E374" s="105"/>
      <c r="F374" s="105"/>
      <c r="G374" s="105"/>
      <c r="H374" s="105"/>
      <c r="I374" s="105"/>
      <c r="J374" s="105"/>
      <c r="K374" s="105"/>
      <c r="L374" s="105"/>
      <c r="M374" s="105"/>
      <c r="N374" s="105"/>
      <c r="O374" s="105"/>
      <c r="P374" s="105"/>
      <c r="Q374" s="105"/>
      <c r="R374" s="105"/>
      <c r="S374" s="105"/>
      <c r="T374" s="105"/>
      <c r="U374" s="105"/>
      <c r="V374" s="105"/>
      <c r="W374" s="105"/>
      <c r="X374" s="105"/>
      <c r="Y374" s="105"/>
      <c r="Z374" s="105"/>
      <c r="AA374" s="105"/>
    </row>
    <row r="375" ht="15.75" hidden="1" customHeight="1">
      <c r="A375" s="105"/>
      <c r="B375" s="105"/>
      <c r="C375" s="105"/>
      <c r="D375" s="105"/>
      <c r="E375" s="105"/>
      <c r="F375" s="105"/>
      <c r="G375" s="105"/>
      <c r="H375" s="105"/>
      <c r="I375" s="105"/>
      <c r="J375" s="105"/>
      <c r="K375" s="105"/>
      <c r="L375" s="105"/>
      <c r="M375" s="105"/>
      <c r="N375" s="105"/>
      <c r="O375" s="105"/>
      <c r="P375" s="105"/>
      <c r="Q375" s="105"/>
      <c r="R375" s="105"/>
      <c r="S375" s="105"/>
      <c r="T375" s="105"/>
      <c r="U375" s="105"/>
      <c r="V375" s="105"/>
      <c r="W375" s="105"/>
      <c r="X375" s="105"/>
      <c r="Y375" s="105"/>
      <c r="Z375" s="105"/>
      <c r="AA375" s="105"/>
    </row>
    <row r="376" ht="15.75" hidden="1" customHeight="1">
      <c r="A376" s="105"/>
      <c r="B376" s="105"/>
      <c r="C376" s="105"/>
      <c r="D376" s="105"/>
      <c r="E376" s="105"/>
      <c r="F376" s="105"/>
      <c r="G376" s="105"/>
      <c r="H376" s="105"/>
      <c r="I376" s="105"/>
      <c r="J376" s="105"/>
      <c r="K376" s="105"/>
      <c r="L376" s="105"/>
      <c r="M376" s="105"/>
      <c r="N376" s="105"/>
      <c r="O376" s="105"/>
      <c r="P376" s="105"/>
      <c r="Q376" s="105"/>
      <c r="R376" s="105"/>
      <c r="S376" s="105"/>
      <c r="T376" s="105"/>
      <c r="U376" s="105"/>
      <c r="V376" s="105"/>
      <c r="W376" s="105"/>
      <c r="X376" s="105"/>
      <c r="Y376" s="105"/>
      <c r="Z376" s="105"/>
      <c r="AA376" s="105"/>
    </row>
    <row r="377" ht="15.75" hidden="1" customHeight="1">
      <c r="A377" s="105"/>
      <c r="B377" s="105"/>
      <c r="C377" s="105"/>
      <c r="D377" s="105"/>
      <c r="E377" s="105"/>
      <c r="F377" s="105"/>
      <c r="G377" s="105"/>
      <c r="H377" s="105"/>
      <c r="I377" s="105"/>
      <c r="J377" s="105"/>
      <c r="K377" s="105"/>
      <c r="L377" s="105"/>
      <c r="M377" s="105"/>
      <c r="N377" s="105"/>
      <c r="O377" s="105"/>
      <c r="P377" s="105"/>
      <c r="Q377" s="105"/>
      <c r="R377" s="105"/>
      <c r="S377" s="105"/>
      <c r="T377" s="105"/>
      <c r="U377" s="105"/>
      <c r="V377" s="105"/>
      <c r="W377" s="105"/>
      <c r="X377" s="105"/>
      <c r="Y377" s="105"/>
      <c r="Z377" s="105"/>
      <c r="AA377" s="105"/>
    </row>
    <row r="378" ht="15.75" hidden="1" customHeight="1">
      <c r="A378" s="105"/>
      <c r="B378" s="105"/>
      <c r="C378" s="105"/>
      <c r="D378" s="105"/>
      <c r="E378" s="105"/>
      <c r="F378" s="105"/>
      <c r="G378" s="105"/>
      <c r="H378" s="105"/>
      <c r="I378" s="105"/>
      <c r="J378" s="105"/>
      <c r="K378" s="105"/>
      <c r="L378" s="105"/>
      <c r="M378" s="105"/>
      <c r="N378" s="105"/>
      <c r="O378" s="105"/>
      <c r="P378" s="105"/>
      <c r="Q378" s="105"/>
      <c r="R378" s="105"/>
      <c r="S378" s="105"/>
      <c r="T378" s="105"/>
      <c r="U378" s="105"/>
      <c r="V378" s="105"/>
      <c r="W378" s="105"/>
      <c r="X378" s="105"/>
      <c r="Y378" s="105"/>
      <c r="Z378" s="105"/>
      <c r="AA378" s="105"/>
    </row>
    <row r="379" ht="15.75" hidden="1" customHeight="1">
      <c r="A379" s="105"/>
      <c r="B379" s="105"/>
      <c r="C379" s="105"/>
      <c r="D379" s="105"/>
      <c r="E379" s="105"/>
      <c r="F379" s="105"/>
      <c r="G379" s="105"/>
      <c r="H379" s="105"/>
      <c r="I379" s="105"/>
      <c r="J379" s="105"/>
      <c r="K379" s="105"/>
      <c r="L379" s="105"/>
      <c r="M379" s="105"/>
      <c r="N379" s="105"/>
      <c r="O379" s="105"/>
      <c r="P379" s="105"/>
      <c r="Q379" s="105"/>
      <c r="R379" s="105"/>
      <c r="S379" s="105"/>
      <c r="T379" s="105"/>
      <c r="U379" s="105"/>
      <c r="V379" s="105"/>
      <c r="W379" s="105"/>
      <c r="X379" s="105"/>
      <c r="Y379" s="105"/>
      <c r="Z379" s="105"/>
      <c r="AA379" s="105"/>
    </row>
    <row r="380" ht="15.75" hidden="1" customHeight="1">
      <c r="A380" s="105"/>
      <c r="B380" s="105"/>
      <c r="C380" s="105"/>
      <c r="D380" s="105"/>
      <c r="E380" s="105"/>
      <c r="F380" s="105"/>
      <c r="G380" s="105"/>
      <c r="H380" s="105"/>
      <c r="I380" s="105"/>
      <c r="J380" s="105"/>
      <c r="K380" s="105"/>
      <c r="L380" s="105"/>
      <c r="M380" s="105"/>
      <c r="N380" s="105"/>
      <c r="O380" s="105"/>
      <c r="P380" s="105"/>
      <c r="Q380" s="105"/>
      <c r="R380" s="105"/>
      <c r="S380" s="105"/>
      <c r="T380" s="105"/>
      <c r="U380" s="105"/>
      <c r="V380" s="105"/>
      <c r="W380" s="105"/>
      <c r="X380" s="105"/>
      <c r="Y380" s="105"/>
      <c r="Z380" s="105"/>
      <c r="AA380" s="105"/>
    </row>
    <row r="381" ht="15.75" hidden="1" customHeight="1">
      <c r="A381" s="105"/>
      <c r="B381" s="105"/>
      <c r="C381" s="105"/>
      <c r="D381" s="105"/>
      <c r="E381" s="105"/>
      <c r="F381" s="105"/>
      <c r="G381" s="105"/>
      <c r="H381" s="105"/>
      <c r="I381" s="105"/>
      <c r="J381" s="105"/>
      <c r="K381" s="105"/>
      <c r="L381" s="105"/>
      <c r="M381" s="105"/>
      <c r="N381" s="105"/>
      <c r="O381" s="105"/>
      <c r="P381" s="105"/>
      <c r="Q381" s="105"/>
      <c r="R381" s="105"/>
      <c r="S381" s="105"/>
      <c r="T381" s="105"/>
      <c r="U381" s="105"/>
      <c r="V381" s="105"/>
      <c r="W381" s="105"/>
      <c r="X381" s="105"/>
      <c r="Y381" s="105"/>
      <c r="Z381" s="105"/>
      <c r="AA381" s="105"/>
    </row>
    <row r="382" ht="15.75" hidden="1" customHeight="1">
      <c r="A382" s="105"/>
      <c r="B382" s="105"/>
      <c r="C382" s="105"/>
      <c r="D382" s="105"/>
      <c r="E382" s="105"/>
      <c r="F382" s="105"/>
      <c r="G382" s="105"/>
      <c r="H382" s="105"/>
      <c r="I382" s="105"/>
      <c r="J382" s="105"/>
      <c r="K382" s="105"/>
      <c r="L382" s="105"/>
      <c r="M382" s="105"/>
      <c r="N382" s="105"/>
      <c r="O382" s="105"/>
      <c r="P382" s="105"/>
      <c r="Q382" s="105"/>
      <c r="R382" s="105"/>
      <c r="S382" s="105"/>
      <c r="T382" s="105"/>
      <c r="U382" s="105"/>
      <c r="V382" s="105"/>
      <c r="W382" s="105"/>
      <c r="X382" s="105"/>
      <c r="Y382" s="105"/>
      <c r="Z382" s="105"/>
      <c r="AA382" s="105"/>
    </row>
    <row r="383" ht="15.75" hidden="1" customHeight="1">
      <c r="A383" s="105"/>
      <c r="B383" s="105"/>
      <c r="C383" s="105"/>
      <c r="D383" s="105"/>
      <c r="E383" s="105"/>
      <c r="F383" s="105"/>
      <c r="G383" s="105"/>
      <c r="H383" s="105"/>
      <c r="I383" s="105"/>
      <c r="J383" s="105"/>
      <c r="K383" s="105"/>
      <c r="L383" s="105"/>
      <c r="M383" s="105"/>
      <c r="N383" s="105"/>
      <c r="O383" s="105"/>
      <c r="P383" s="105"/>
      <c r="Q383" s="105"/>
      <c r="R383" s="105"/>
      <c r="S383" s="105"/>
      <c r="T383" s="105"/>
      <c r="U383" s="105"/>
      <c r="V383" s="105"/>
      <c r="W383" s="105"/>
      <c r="X383" s="105"/>
      <c r="Y383" s="105"/>
      <c r="Z383" s="105"/>
      <c r="AA383" s="105"/>
    </row>
    <row r="384" ht="15.75" hidden="1" customHeight="1">
      <c r="A384" s="105"/>
      <c r="B384" s="105"/>
      <c r="C384" s="105"/>
      <c r="D384" s="105"/>
      <c r="E384" s="105"/>
      <c r="F384" s="105"/>
      <c r="G384" s="105"/>
      <c r="H384" s="105"/>
      <c r="I384" s="105"/>
      <c r="J384" s="105"/>
      <c r="K384" s="105"/>
      <c r="L384" s="105"/>
      <c r="M384" s="105"/>
      <c r="N384" s="105"/>
      <c r="O384" s="105"/>
      <c r="P384" s="105"/>
      <c r="Q384" s="105"/>
      <c r="R384" s="105"/>
      <c r="S384" s="105"/>
      <c r="T384" s="105"/>
      <c r="U384" s="105"/>
      <c r="V384" s="105"/>
      <c r="W384" s="105"/>
      <c r="X384" s="105"/>
      <c r="Y384" s="105"/>
      <c r="Z384" s="105"/>
      <c r="AA384" s="105"/>
    </row>
    <row r="385" ht="15.75" hidden="1" customHeight="1">
      <c r="A385" s="105"/>
      <c r="B385" s="105"/>
      <c r="C385" s="105"/>
      <c r="D385" s="105"/>
      <c r="E385" s="105"/>
      <c r="F385" s="105"/>
      <c r="G385" s="105"/>
      <c r="H385" s="105"/>
      <c r="I385" s="105"/>
      <c r="J385" s="105"/>
      <c r="K385" s="105"/>
      <c r="L385" s="105"/>
      <c r="M385" s="105"/>
      <c r="N385" s="105"/>
      <c r="O385" s="105"/>
      <c r="P385" s="105"/>
      <c r="Q385" s="105"/>
      <c r="R385" s="105"/>
      <c r="S385" s="105"/>
      <c r="T385" s="105"/>
      <c r="U385" s="105"/>
      <c r="V385" s="105"/>
      <c r="W385" s="105"/>
      <c r="X385" s="105"/>
      <c r="Y385" s="105"/>
      <c r="Z385" s="105"/>
      <c r="AA385" s="105"/>
    </row>
    <row r="386" ht="15.75" hidden="1" customHeight="1">
      <c r="A386" s="105"/>
      <c r="B386" s="105"/>
      <c r="C386" s="105"/>
      <c r="D386" s="105"/>
      <c r="E386" s="105"/>
      <c r="F386" s="105"/>
      <c r="G386" s="105"/>
      <c r="H386" s="105"/>
      <c r="I386" s="105"/>
      <c r="J386" s="105"/>
      <c r="K386" s="105"/>
      <c r="L386" s="105"/>
      <c r="M386" s="105"/>
      <c r="N386" s="105"/>
      <c r="O386" s="105"/>
      <c r="P386" s="105"/>
      <c r="Q386" s="105"/>
      <c r="R386" s="105"/>
      <c r="S386" s="105"/>
      <c r="T386" s="105"/>
      <c r="U386" s="105"/>
      <c r="V386" s="105"/>
      <c r="W386" s="105"/>
      <c r="X386" s="105"/>
      <c r="Y386" s="105"/>
      <c r="Z386" s="105"/>
      <c r="AA386" s="105"/>
    </row>
    <row r="387" ht="15.75" hidden="1" customHeight="1">
      <c r="A387" s="105"/>
      <c r="B387" s="105"/>
      <c r="C387" s="105"/>
      <c r="D387" s="105"/>
      <c r="E387" s="105"/>
      <c r="F387" s="105"/>
      <c r="G387" s="105"/>
      <c r="H387" s="105"/>
      <c r="I387" s="105"/>
      <c r="J387" s="105"/>
      <c r="K387" s="105"/>
      <c r="L387" s="105"/>
      <c r="M387" s="105"/>
      <c r="N387" s="105"/>
      <c r="O387" s="105"/>
      <c r="P387" s="105"/>
      <c r="Q387" s="105"/>
      <c r="R387" s="105"/>
      <c r="S387" s="105"/>
      <c r="T387" s="105"/>
      <c r="U387" s="105"/>
      <c r="V387" s="105"/>
      <c r="W387" s="105"/>
      <c r="X387" s="105"/>
      <c r="Y387" s="105"/>
      <c r="Z387" s="105"/>
      <c r="AA387" s="105"/>
    </row>
    <row r="388" ht="15.75" hidden="1" customHeight="1">
      <c r="A388" s="105"/>
      <c r="B388" s="105"/>
      <c r="C388" s="105"/>
      <c r="D388" s="105"/>
      <c r="E388" s="105"/>
      <c r="F388" s="105"/>
      <c r="G388" s="105"/>
      <c r="H388" s="105"/>
      <c r="I388" s="105"/>
      <c r="J388" s="105"/>
      <c r="K388" s="105"/>
      <c r="L388" s="105"/>
      <c r="M388" s="105"/>
      <c r="N388" s="105"/>
      <c r="O388" s="105"/>
      <c r="P388" s="105"/>
      <c r="Q388" s="105"/>
      <c r="R388" s="105"/>
      <c r="S388" s="105"/>
      <c r="T388" s="105"/>
      <c r="U388" s="105"/>
      <c r="V388" s="105"/>
      <c r="W388" s="105"/>
      <c r="X388" s="105"/>
      <c r="Y388" s="105"/>
      <c r="Z388" s="105"/>
      <c r="AA388" s="105"/>
    </row>
    <row r="389" ht="15.75" hidden="1" customHeight="1">
      <c r="A389" s="105"/>
      <c r="B389" s="105"/>
      <c r="C389" s="105"/>
      <c r="D389" s="105"/>
      <c r="E389" s="105"/>
      <c r="F389" s="105"/>
      <c r="G389" s="105"/>
      <c r="H389" s="105"/>
      <c r="I389" s="105"/>
      <c r="J389" s="105"/>
      <c r="K389" s="105"/>
      <c r="L389" s="105"/>
      <c r="M389" s="105"/>
      <c r="N389" s="105"/>
      <c r="O389" s="105"/>
      <c r="P389" s="105"/>
      <c r="Q389" s="105"/>
      <c r="R389" s="105"/>
      <c r="S389" s="105"/>
      <c r="T389" s="105"/>
      <c r="U389" s="105"/>
      <c r="V389" s="105"/>
      <c r="W389" s="105"/>
      <c r="X389" s="105"/>
      <c r="Y389" s="105"/>
      <c r="Z389" s="105"/>
      <c r="AA389" s="105"/>
    </row>
    <row r="390" ht="15.75" hidden="1" customHeight="1">
      <c r="A390" s="105"/>
      <c r="B390" s="105"/>
      <c r="C390" s="105"/>
      <c r="D390" s="105"/>
      <c r="E390" s="105"/>
      <c r="F390" s="105"/>
      <c r="G390" s="105"/>
      <c r="H390" s="105"/>
      <c r="I390" s="105"/>
      <c r="J390" s="105"/>
      <c r="K390" s="105"/>
      <c r="L390" s="105"/>
      <c r="M390" s="105"/>
      <c r="N390" s="105"/>
      <c r="O390" s="105"/>
      <c r="P390" s="105"/>
      <c r="Q390" s="105"/>
      <c r="R390" s="105"/>
      <c r="S390" s="105"/>
      <c r="T390" s="105"/>
      <c r="U390" s="105"/>
      <c r="V390" s="105"/>
      <c r="W390" s="105"/>
      <c r="X390" s="105"/>
      <c r="Y390" s="105"/>
      <c r="Z390" s="105"/>
      <c r="AA390" s="105"/>
    </row>
    <row r="391" ht="15.75" hidden="1" customHeight="1">
      <c r="A391" s="105"/>
      <c r="B391" s="105"/>
      <c r="C391" s="105"/>
      <c r="D391" s="105"/>
      <c r="E391" s="105"/>
      <c r="F391" s="105"/>
      <c r="G391" s="105"/>
      <c r="H391" s="105"/>
      <c r="I391" s="105"/>
      <c r="J391" s="105"/>
      <c r="K391" s="105"/>
      <c r="L391" s="105"/>
      <c r="M391" s="105"/>
      <c r="N391" s="105"/>
      <c r="O391" s="105"/>
      <c r="P391" s="105"/>
      <c r="Q391" s="105"/>
      <c r="R391" s="105"/>
      <c r="S391" s="105"/>
      <c r="T391" s="105"/>
      <c r="U391" s="105"/>
      <c r="V391" s="105"/>
      <c r="W391" s="105"/>
      <c r="X391" s="105"/>
      <c r="Y391" s="105"/>
      <c r="Z391" s="105"/>
      <c r="AA391" s="105"/>
    </row>
    <row r="392" ht="15.75" hidden="1" customHeight="1">
      <c r="A392" s="105"/>
      <c r="B392" s="105"/>
      <c r="C392" s="105"/>
      <c r="D392" s="105"/>
      <c r="E392" s="105"/>
      <c r="F392" s="105"/>
      <c r="G392" s="105"/>
      <c r="H392" s="105"/>
      <c r="I392" s="105"/>
      <c r="J392" s="105"/>
      <c r="K392" s="105"/>
      <c r="L392" s="105"/>
      <c r="M392" s="105"/>
      <c r="N392" s="105"/>
      <c r="O392" s="105"/>
      <c r="P392" s="105"/>
      <c r="Q392" s="105"/>
      <c r="R392" s="105"/>
      <c r="S392" s="105"/>
      <c r="T392" s="105"/>
      <c r="U392" s="105"/>
      <c r="V392" s="105"/>
      <c r="W392" s="105"/>
      <c r="X392" s="105"/>
      <c r="Y392" s="105"/>
      <c r="Z392" s="105"/>
      <c r="AA392" s="105"/>
    </row>
    <row r="393" ht="15.75" hidden="1" customHeight="1">
      <c r="A393" s="105"/>
      <c r="B393" s="105"/>
      <c r="C393" s="105"/>
      <c r="D393" s="105"/>
      <c r="E393" s="105"/>
      <c r="F393" s="105"/>
      <c r="G393" s="105"/>
      <c r="H393" s="105"/>
      <c r="I393" s="105"/>
      <c r="J393" s="105"/>
      <c r="K393" s="105"/>
      <c r="L393" s="105"/>
      <c r="M393" s="105"/>
      <c r="N393" s="105"/>
      <c r="O393" s="105"/>
      <c r="P393" s="105"/>
      <c r="Q393" s="105"/>
      <c r="R393" s="105"/>
      <c r="S393" s="105"/>
      <c r="T393" s="105"/>
      <c r="U393" s="105"/>
      <c r="V393" s="105"/>
      <c r="W393" s="105"/>
      <c r="X393" s="105"/>
      <c r="Y393" s="105"/>
      <c r="Z393" s="105"/>
      <c r="AA393" s="105"/>
    </row>
    <row r="394" ht="15.75" hidden="1" customHeight="1">
      <c r="A394" s="105"/>
      <c r="B394" s="105"/>
      <c r="C394" s="105"/>
      <c r="D394" s="105"/>
      <c r="E394" s="105"/>
      <c r="F394" s="105"/>
      <c r="G394" s="105"/>
      <c r="H394" s="105"/>
      <c r="I394" s="105"/>
      <c r="J394" s="105"/>
      <c r="K394" s="105"/>
      <c r="L394" s="105"/>
      <c r="M394" s="105"/>
      <c r="N394" s="105"/>
      <c r="O394" s="105"/>
      <c r="P394" s="105"/>
      <c r="Q394" s="105"/>
      <c r="R394" s="105"/>
      <c r="S394" s="105"/>
      <c r="T394" s="105"/>
      <c r="U394" s="105"/>
      <c r="V394" s="105"/>
      <c r="W394" s="105"/>
      <c r="X394" s="105"/>
      <c r="Y394" s="105"/>
      <c r="Z394" s="105"/>
      <c r="AA394" s="105"/>
    </row>
    <row r="395" ht="15.75" hidden="1" customHeight="1">
      <c r="A395" s="105"/>
      <c r="B395" s="105"/>
      <c r="C395" s="105"/>
      <c r="D395" s="105"/>
      <c r="E395" s="105"/>
      <c r="F395" s="105"/>
      <c r="G395" s="105"/>
      <c r="H395" s="105"/>
      <c r="I395" s="105"/>
      <c r="J395" s="105"/>
      <c r="K395" s="105"/>
      <c r="L395" s="105"/>
      <c r="M395" s="105"/>
      <c r="N395" s="105"/>
      <c r="O395" s="105"/>
      <c r="P395" s="105"/>
      <c r="Q395" s="105"/>
      <c r="R395" s="105"/>
      <c r="S395" s="105"/>
      <c r="T395" s="105"/>
      <c r="U395" s="105"/>
      <c r="V395" s="105"/>
      <c r="W395" s="105"/>
      <c r="X395" s="105"/>
      <c r="Y395" s="105"/>
      <c r="Z395" s="105"/>
      <c r="AA395" s="105"/>
    </row>
    <row r="396" ht="15.75" hidden="1" customHeight="1">
      <c r="A396" s="105"/>
      <c r="B396" s="105"/>
      <c r="C396" s="105"/>
      <c r="D396" s="105"/>
      <c r="E396" s="105"/>
      <c r="F396" s="105"/>
      <c r="G396" s="105"/>
      <c r="H396" s="105"/>
      <c r="I396" s="105"/>
      <c r="J396" s="105"/>
      <c r="K396" s="105"/>
      <c r="L396" s="105"/>
      <c r="M396" s="105"/>
      <c r="N396" s="105"/>
      <c r="O396" s="105"/>
      <c r="P396" s="105"/>
      <c r="Q396" s="105"/>
      <c r="R396" s="105"/>
      <c r="S396" s="105"/>
      <c r="T396" s="105"/>
      <c r="U396" s="105"/>
      <c r="V396" s="105"/>
      <c r="W396" s="105"/>
      <c r="X396" s="105"/>
      <c r="Y396" s="105"/>
      <c r="Z396" s="105"/>
      <c r="AA396" s="105"/>
    </row>
    <row r="397" ht="15.75" hidden="1" customHeight="1">
      <c r="A397" s="105"/>
      <c r="B397" s="105"/>
      <c r="C397" s="105"/>
      <c r="D397" s="105"/>
      <c r="E397" s="105"/>
      <c r="F397" s="105"/>
      <c r="G397" s="105"/>
      <c r="H397" s="105"/>
      <c r="I397" s="105"/>
      <c r="J397" s="105"/>
      <c r="K397" s="105"/>
      <c r="L397" s="105"/>
      <c r="M397" s="105"/>
      <c r="N397" s="105"/>
      <c r="O397" s="105"/>
      <c r="P397" s="105"/>
      <c r="Q397" s="105"/>
      <c r="R397" s="105"/>
      <c r="S397" s="105"/>
      <c r="T397" s="105"/>
      <c r="U397" s="105"/>
      <c r="V397" s="105"/>
      <c r="W397" s="105"/>
      <c r="X397" s="105"/>
      <c r="Y397" s="105"/>
      <c r="Z397" s="105"/>
      <c r="AA397" s="105"/>
    </row>
    <row r="398" ht="15.75" hidden="1" customHeight="1">
      <c r="A398" s="105"/>
      <c r="B398" s="105"/>
      <c r="C398" s="105"/>
      <c r="D398" s="105"/>
      <c r="E398" s="105"/>
      <c r="F398" s="105"/>
      <c r="G398" s="105"/>
      <c r="H398" s="105"/>
      <c r="I398" s="105"/>
      <c r="J398" s="105"/>
      <c r="K398" s="105"/>
      <c r="L398" s="105"/>
      <c r="M398" s="105"/>
      <c r="N398" s="105"/>
      <c r="O398" s="105"/>
      <c r="P398" s="105"/>
      <c r="Q398" s="105"/>
      <c r="R398" s="105"/>
      <c r="S398" s="105"/>
      <c r="T398" s="105"/>
      <c r="U398" s="105"/>
      <c r="V398" s="105"/>
      <c r="W398" s="105"/>
      <c r="X398" s="105"/>
      <c r="Y398" s="105"/>
      <c r="Z398" s="105"/>
      <c r="AA398" s="105"/>
    </row>
    <row r="399" ht="15.75" hidden="1" customHeight="1">
      <c r="A399" s="105"/>
      <c r="B399" s="105"/>
      <c r="C399" s="105"/>
      <c r="D399" s="105"/>
      <c r="E399" s="105"/>
      <c r="F399" s="105"/>
      <c r="G399" s="105"/>
      <c r="H399" s="105"/>
      <c r="I399" s="105"/>
      <c r="J399" s="105"/>
      <c r="K399" s="105"/>
      <c r="L399" s="105"/>
      <c r="M399" s="105"/>
      <c r="N399" s="105"/>
      <c r="O399" s="105"/>
      <c r="P399" s="105"/>
      <c r="Q399" s="105"/>
      <c r="R399" s="105"/>
      <c r="S399" s="105"/>
      <c r="T399" s="105"/>
      <c r="U399" s="105"/>
      <c r="V399" s="105"/>
      <c r="W399" s="105"/>
      <c r="X399" s="105"/>
      <c r="Y399" s="105"/>
      <c r="Z399" s="105"/>
      <c r="AA399" s="105"/>
    </row>
    <row r="400" ht="15.75" hidden="1" customHeight="1">
      <c r="A400" s="105"/>
      <c r="B400" s="105"/>
      <c r="C400" s="105"/>
      <c r="D400" s="105"/>
      <c r="E400" s="105"/>
      <c r="F400" s="105"/>
      <c r="G400" s="105"/>
      <c r="H400" s="105"/>
      <c r="I400" s="105"/>
      <c r="J400" s="105"/>
      <c r="K400" s="105"/>
      <c r="L400" s="105"/>
      <c r="M400" s="105"/>
      <c r="N400" s="105"/>
      <c r="O400" s="105"/>
      <c r="P400" s="105"/>
      <c r="Q400" s="105"/>
      <c r="R400" s="105"/>
      <c r="S400" s="105"/>
      <c r="T400" s="105"/>
      <c r="U400" s="105"/>
      <c r="V400" s="105"/>
      <c r="W400" s="105"/>
      <c r="X400" s="105"/>
      <c r="Y400" s="105"/>
      <c r="Z400" s="105"/>
      <c r="AA400" s="105"/>
    </row>
    <row r="401" ht="15.75" hidden="1" customHeight="1">
      <c r="A401" s="105"/>
      <c r="B401" s="105"/>
      <c r="C401" s="105"/>
      <c r="D401" s="105"/>
      <c r="E401" s="105"/>
      <c r="F401" s="105"/>
      <c r="G401" s="105"/>
      <c r="H401" s="105"/>
      <c r="I401" s="105"/>
      <c r="J401" s="105"/>
      <c r="K401" s="105"/>
      <c r="L401" s="105"/>
      <c r="M401" s="105"/>
      <c r="N401" s="105"/>
      <c r="O401" s="105"/>
      <c r="P401" s="105"/>
      <c r="Q401" s="105"/>
      <c r="R401" s="105"/>
      <c r="S401" s="105"/>
      <c r="T401" s="105"/>
      <c r="U401" s="105"/>
      <c r="V401" s="105"/>
      <c r="W401" s="105"/>
      <c r="X401" s="105"/>
      <c r="Y401" s="105"/>
      <c r="Z401" s="105"/>
      <c r="AA401" s="105"/>
    </row>
    <row r="402" ht="15.75" hidden="1" customHeight="1">
      <c r="A402" s="105"/>
      <c r="B402" s="105"/>
      <c r="C402" s="105"/>
      <c r="D402" s="105"/>
      <c r="E402" s="105"/>
      <c r="F402" s="105"/>
      <c r="G402" s="105"/>
      <c r="H402" s="105"/>
      <c r="I402" s="105"/>
      <c r="J402" s="105"/>
      <c r="K402" s="105"/>
      <c r="L402" s="105"/>
      <c r="M402" s="105"/>
      <c r="N402" s="105"/>
      <c r="O402" s="105"/>
      <c r="P402" s="105"/>
      <c r="Q402" s="105"/>
      <c r="R402" s="105"/>
      <c r="S402" s="105"/>
      <c r="T402" s="105"/>
      <c r="U402" s="105"/>
      <c r="V402" s="105"/>
      <c r="W402" s="105"/>
      <c r="X402" s="105"/>
      <c r="Y402" s="105"/>
      <c r="Z402" s="105"/>
      <c r="AA402" s="105"/>
    </row>
    <row r="403" ht="15.75" hidden="1" customHeight="1">
      <c r="A403" s="105"/>
      <c r="B403" s="105"/>
      <c r="C403" s="105"/>
      <c r="D403" s="105"/>
      <c r="E403" s="105"/>
      <c r="F403" s="105"/>
      <c r="G403" s="105"/>
      <c r="H403" s="105"/>
      <c r="I403" s="105"/>
      <c r="J403" s="105"/>
      <c r="K403" s="105"/>
      <c r="L403" s="105"/>
      <c r="M403" s="105"/>
      <c r="N403" s="105"/>
      <c r="O403" s="105"/>
      <c r="P403" s="105"/>
      <c r="Q403" s="105"/>
      <c r="R403" s="105"/>
      <c r="S403" s="105"/>
      <c r="T403" s="105"/>
      <c r="U403" s="105"/>
      <c r="V403" s="105"/>
      <c r="W403" s="105"/>
      <c r="X403" s="105"/>
      <c r="Y403" s="105"/>
      <c r="Z403" s="105"/>
      <c r="AA403" s="105"/>
    </row>
    <row r="404" ht="15.75" hidden="1" customHeight="1">
      <c r="A404" s="105"/>
      <c r="B404" s="105"/>
      <c r="C404" s="105"/>
      <c r="D404" s="105"/>
      <c r="E404" s="105"/>
      <c r="F404" s="105"/>
      <c r="G404" s="105"/>
      <c r="H404" s="105"/>
      <c r="I404" s="105"/>
      <c r="J404" s="105"/>
      <c r="K404" s="105"/>
      <c r="L404" s="105"/>
      <c r="M404" s="105"/>
      <c r="N404" s="105"/>
      <c r="O404" s="105"/>
      <c r="P404" s="105"/>
      <c r="Q404" s="105"/>
      <c r="R404" s="105"/>
      <c r="S404" s="105"/>
      <c r="T404" s="105"/>
      <c r="U404" s="105"/>
      <c r="V404" s="105"/>
      <c r="W404" s="105"/>
      <c r="X404" s="105"/>
      <c r="Y404" s="105"/>
      <c r="Z404" s="105"/>
      <c r="AA404" s="105"/>
    </row>
    <row r="405" ht="15.75" hidden="1" customHeight="1">
      <c r="A405" s="105"/>
      <c r="B405" s="105"/>
      <c r="C405" s="105"/>
      <c r="D405" s="105"/>
      <c r="E405" s="105"/>
      <c r="F405" s="105"/>
      <c r="G405" s="105"/>
      <c r="H405" s="105"/>
      <c r="I405" s="105"/>
      <c r="J405" s="105"/>
      <c r="K405" s="105"/>
      <c r="L405" s="105"/>
      <c r="M405" s="105"/>
      <c r="N405" s="105"/>
      <c r="O405" s="105"/>
      <c r="P405" s="105"/>
      <c r="Q405" s="105"/>
      <c r="R405" s="105"/>
      <c r="S405" s="105"/>
      <c r="T405" s="105"/>
      <c r="U405" s="105"/>
      <c r="V405" s="105"/>
      <c r="W405" s="105"/>
      <c r="X405" s="105"/>
      <c r="Y405" s="105"/>
      <c r="Z405" s="105"/>
      <c r="AA405" s="105"/>
    </row>
    <row r="406" ht="15.75" hidden="1" customHeight="1">
      <c r="A406" s="105"/>
      <c r="B406" s="105"/>
      <c r="C406" s="105"/>
      <c r="D406" s="105"/>
      <c r="E406" s="105"/>
      <c r="F406" s="105"/>
      <c r="G406" s="105"/>
      <c r="H406" s="105"/>
      <c r="I406" s="105"/>
      <c r="J406" s="105"/>
      <c r="K406" s="105"/>
      <c r="L406" s="105"/>
      <c r="M406" s="105"/>
      <c r="N406" s="105"/>
      <c r="O406" s="105"/>
      <c r="P406" s="105"/>
      <c r="Q406" s="105"/>
      <c r="R406" s="105"/>
      <c r="S406" s="105"/>
      <c r="T406" s="105"/>
      <c r="U406" s="105"/>
      <c r="V406" s="105"/>
      <c r="W406" s="105"/>
      <c r="X406" s="105"/>
      <c r="Y406" s="105"/>
      <c r="Z406" s="105"/>
      <c r="AA406" s="105"/>
    </row>
    <row r="407" ht="15.75" hidden="1" customHeight="1">
      <c r="A407" s="105"/>
      <c r="B407" s="105"/>
      <c r="C407" s="105"/>
      <c r="D407" s="105"/>
      <c r="E407" s="105"/>
      <c r="F407" s="105"/>
      <c r="G407" s="105"/>
      <c r="H407" s="105"/>
      <c r="I407" s="105"/>
      <c r="J407" s="105"/>
      <c r="K407" s="105"/>
      <c r="L407" s="105"/>
      <c r="M407" s="105"/>
      <c r="N407" s="105"/>
      <c r="O407" s="105"/>
      <c r="P407" s="105"/>
      <c r="Q407" s="105"/>
      <c r="R407" s="105"/>
      <c r="S407" s="105"/>
      <c r="T407" s="105"/>
      <c r="U407" s="105"/>
      <c r="V407" s="105"/>
      <c r="W407" s="105"/>
      <c r="X407" s="105"/>
      <c r="Y407" s="105"/>
      <c r="Z407" s="105"/>
      <c r="AA407" s="105"/>
    </row>
    <row r="408" ht="15.75" hidden="1" customHeight="1">
      <c r="A408" s="105"/>
      <c r="B408" s="105"/>
      <c r="C408" s="105"/>
      <c r="D408" s="105"/>
      <c r="E408" s="105"/>
      <c r="F408" s="105"/>
      <c r="G408" s="105"/>
      <c r="H408" s="105"/>
      <c r="I408" s="105"/>
      <c r="J408" s="105"/>
      <c r="K408" s="105"/>
      <c r="L408" s="105"/>
      <c r="M408" s="105"/>
      <c r="N408" s="105"/>
      <c r="O408" s="105"/>
      <c r="P408" s="105"/>
      <c r="Q408" s="105"/>
      <c r="R408" s="105"/>
      <c r="S408" s="105"/>
      <c r="T408" s="105"/>
      <c r="U408" s="105"/>
      <c r="V408" s="105"/>
      <c r="W408" s="105"/>
      <c r="X408" s="105"/>
      <c r="Y408" s="105"/>
      <c r="Z408" s="105"/>
      <c r="AA408" s="105"/>
    </row>
    <row r="409" ht="15.75" hidden="1" customHeight="1">
      <c r="A409" s="105"/>
      <c r="B409" s="105"/>
      <c r="C409" s="105"/>
      <c r="D409" s="105"/>
      <c r="E409" s="105"/>
      <c r="F409" s="105"/>
      <c r="G409" s="105"/>
      <c r="H409" s="105"/>
      <c r="I409" s="105"/>
      <c r="J409" s="105"/>
      <c r="K409" s="105"/>
      <c r="L409" s="105"/>
      <c r="M409" s="105"/>
      <c r="N409" s="105"/>
      <c r="O409" s="105"/>
      <c r="P409" s="105"/>
      <c r="Q409" s="105"/>
      <c r="R409" s="105"/>
      <c r="S409" s="105"/>
      <c r="T409" s="105"/>
      <c r="U409" s="105"/>
      <c r="V409" s="105"/>
      <c r="W409" s="105"/>
      <c r="X409" s="105"/>
      <c r="Y409" s="105"/>
      <c r="Z409" s="105"/>
      <c r="AA409" s="105"/>
    </row>
    <row r="410" ht="15.75" hidden="1" customHeight="1">
      <c r="A410" s="105"/>
      <c r="B410" s="105"/>
      <c r="C410" s="105"/>
      <c r="D410" s="105"/>
      <c r="E410" s="105"/>
      <c r="F410" s="105"/>
      <c r="G410" s="105"/>
      <c r="H410" s="105"/>
      <c r="I410" s="105"/>
      <c r="J410" s="105"/>
      <c r="K410" s="105"/>
      <c r="L410" s="105"/>
      <c r="M410" s="105"/>
      <c r="N410" s="105"/>
      <c r="O410" s="105"/>
      <c r="P410" s="105"/>
      <c r="Q410" s="105"/>
      <c r="R410" s="105"/>
      <c r="S410" s="105"/>
      <c r="T410" s="105"/>
      <c r="U410" s="105"/>
      <c r="V410" s="105"/>
      <c r="W410" s="105"/>
      <c r="X410" s="105"/>
      <c r="Y410" s="105"/>
      <c r="Z410" s="105"/>
      <c r="AA410" s="105"/>
    </row>
    <row r="411" ht="15.75" hidden="1" customHeight="1">
      <c r="A411" s="105"/>
      <c r="B411" s="105"/>
      <c r="C411" s="105"/>
      <c r="D411" s="105"/>
      <c r="E411" s="105"/>
      <c r="F411" s="105"/>
      <c r="G411" s="105"/>
      <c r="H411" s="105"/>
      <c r="I411" s="105"/>
      <c r="J411" s="105"/>
      <c r="K411" s="105"/>
      <c r="L411" s="105"/>
      <c r="M411" s="105"/>
      <c r="N411" s="105"/>
      <c r="O411" s="105"/>
      <c r="P411" s="105"/>
      <c r="Q411" s="105"/>
      <c r="R411" s="105"/>
      <c r="S411" s="105"/>
      <c r="T411" s="105"/>
      <c r="U411" s="105"/>
      <c r="V411" s="105"/>
      <c r="W411" s="105"/>
      <c r="X411" s="105"/>
      <c r="Y411" s="105"/>
      <c r="Z411" s="105"/>
      <c r="AA411" s="105"/>
    </row>
    <row r="412" ht="15.75" hidden="1" customHeight="1">
      <c r="A412" s="105"/>
      <c r="B412" s="105"/>
      <c r="C412" s="105"/>
      <c r="D412" s="105"/>
      <c r="E412" s="105"/>
      <c r="F412" s="105"/>
      <c r="G412" s="105"/>
      <c r="H412" s="105"/>
      <c r="I412" s="105"/>
      <c r="J412" s="105"/>
      <c r="K412" s="105"/>
      <c r="L412" s="105"/>
      <c r="M412" s="105"/>
      <c r="N412" s="105"/>
      <c r="O412" s="105"/>
      <c r="P412" s="105"/>
      <c r="Q412" s="105"/>
      <c r="R412" s="105"/>
      <c r="S412" s="105"/>
      <c r="T412" s="105"/>
      <c r="U412" s="105"/>
      <c r="V412" s="105"/>
      <c r="W412" s="105"/>
      <c r="X412" s="105"/>
      <c r="Y412" s="105"/>
      <c r="Z412" s="105"/>
      <c r="AA412" s="105"/>
    </row>
    <row r="413" ht="15.75" hidden="1" customHeight="1">
      <c r="A413" s="105"/>
      <c r="B413" s="105"/>
      <c r="C413" s="105"/>
      <c r="D413" s="105"/>
      <c r="E413" s="105"/>
      <c r="F413" s="105"/>
      <c r="G413" s="105"/>
      <c r="H413" s="105"/>
      <c r="I413" s="105"/>
      <c r="J413" s="105"/>
      <c r="K413" s="105"/>
      <c r="L413" s="105"/>
      <c r="M413" s="105"/>
      <c r="N413" s="105"/>
      <c r="O413" s="105"/>
      <c r="P413" s="105"/>
      <c r="Q413" s="105"/>
      <c r="R413" s="105"/>
      <c r="S413" s="105"/>
      <c r="T413" s="105"/>
      <c r="U413" s="105"/>
      <c r="V413" s="105"/>
      <c r="W413" s="105"/>
      <c r="X413" s="105"/>
      <c r="Y413" s="105"/>
      <c r="Z413" s="105"/>
      <c r="AA413" s="105"/>
    </row>
    <row r="414" ht="15.75" hidden="1" customHeight="1">
      <c r="A414" s="105"/>
      <c r="B414" s="105"/>
      <c r="C414" s="105"/>
      <c r="D414" s="105"/>
      <c r="E414" s="105"/>
      <c r="F414" s="105"/>
      <c r="G414" s="105"/>
      <c r="H414" s="105"/>
      <c r="I414" s="105"/>
      <c r="J414" s="105"/>
      <c r="K414" s="105"/>
      <c r="L414" s="105"/>
      <c r="M414" s="105"/>
      <c r="N414" s="105"/>
      <c r="O414" s="105"/>
      <c r="P414" s="105"/>
      <c r="Q414" s="105"/>
      <c r="R414" s="105"/>
      <c r="S414" s="105"/>
      <c r="T414" s="105"/>
      <c r="U414" s="105"/>
      <c r="V414" s="105"/>
      <c r="W414" s="105"/>
      <c r="X414" s="105"/>
      <c r="Y414" s="105"/>
      <c r="Z414" s="105"/>
      <c r="AA414" s="105"/>
    </row>
    <row r="415" ht="15.75" hidden="1" customHeight="1">
      <c r="A415" s="105"/>
      <c r="B415" s="105"/>
      <c r="C415" s="105"/>
      <c r="D415" s="105"/>
      <c r="E415" s="105"/>
      <c r="F415" s="105"/>
      <c r="G415" s="105"/>
      <c r="H415" s="105"/>
      <c r="I415" s="105"/>
      <c r="J415" s="105"/>
      <c r="K415" s="105"/>
      <c r="L415" s="105"/>
      <c r="M415" s="105"/>
      <c r="N415" s="105"/>
      <c r="O415" s="105"/>
      <c r="P415" s="105"/>
      <c r="Q415" s="105"/>
      <c r="R415" s="105"/>
      <c r="S415" s="105"/>
      <c r="T415" s="105"/>
      <c r="U415" s="105"/>
      <c r="V415" s="105"/>
      <c r="W415" s="105"/>
      <c r="X415" s="105"/>
      <c r="Y415" s="105"/>
      <c r="Z415" s="105"/>
      <c r="AA415" s="105"/>
    </row>
    <row r="416" ht="15.75" hidden="1" customHeight="1">
      <c r="A416" s="105"/>
      <c r="B416" s="105"/>
      <c r="C416" s="105"/>
      <c r="D416" s="105"/>
      <c r="E416" s="105"/>
      <c r="F416" s="105"/>
      <c r="G416" s="105"/>
      <c r="H416" s="105"/>
      <c r="I416" s="105"/>
      <c r="J416" s="105"/>
      <c r="K416" s="105"/>
      <c r="L416" s="105"/>
      <c r="M416" s="105"/>
      <c r="N416" s="105"/>
      <c r="O416" s="105"/>
      <c r="P416" s="105"/>
      <c r="Q416" s="105"/>
      <c r="R416" s="105"/>
      <c r="S416" s="105"/>
      <c r="T416" s="105"/>
      <c r="U416" s="105"/>
      <c r="V416" s="105"/>
      <c r="W416" s="105"/>
      <c r="X416" s="105"/>
      <c r="Y416" s="105"/>
      <c r="Z416" s="105"/>
      <c r="AA416" s="105"/>
    </row>
    <row r="417" ht="15.75" hidden="1" customHeight="1">
      <c r="A417" s="105"/>
      <c r="B417" s="105"/>
      <c r="C417" s="105"/>
      <c r="D417" s="105"/>
      <c r="E417" s="105"/>
      <c r="F417" s="105"/>
      <c r="G417" s="105"/>
      <c r="H417" s="105"/>
      <c r="I417" s="105"/>
      <c r="J417" s="105"/>
      <c r="K417" s="105"/>
      <c r="L417" s="105"/>
      <c r="M417" s="105"/>
      <c r="N417" s="105"/>
      <c r="O417" s="105"/>
      <c r="P417" s="105"/>
      <c r="Q417" s="105"/>
      <c r="R417" s="105"/>
      <c r="S417" s="105"/>
      <c r="T417" s="105"/>
      <c r="U417" s="105"/>
      <c r="V417" s="105"/>
      <c r="W417" s="105"/>
      <c r="X417" s="105"/>
      <c r="Y417" s="105"/>
      <c r="Z417" s="105"/>
      <c r="AA417" s="105"/>
    </row>
    <row r="418" ht="15.75" hidden="1" customHeight="1">
      <c r="A418" s="105"/>
      <c r="B418" s="105"/>
      <c r="C418" s="105"/>
      <c r="D418" s="105"/>
      <c r="E418" s="105"/>
      <c r="F418" s="105"/>
      <c r="G418" s="105"/>
      <c r="H418" s="105"/>
      <c r="I418" s="105"/>
      <c r="J418" s="105"/>
      <c r="K418" s="105"/>
      <c r="L418" s="105"/>
      <c r="M418" s="105"/>
      <c r="N418" s="105"/>
      <c r="O418" s="105"/>
      <c r="P418" s="105"/>
      <c r="Q418" s="105"/>
      <c r="R418" s="105"/>
      <c r="S418" s="105"/>
      <c r="T418" s="105"/>
      <c r="U418" s="105"/>
      <c r="V418" s="105"/>
      <c r="W418" s="105"/>
      <c r="X418" s="105"/>
      <c r="Y418" s="105"/>
      <c r="Z418" s="105"/>
      <c r="AA418" s="105"/>
    </row>
    <row r="419" ht="15.75" hidden="1" customHeight="1">
      <c r="A419" s="105"/>
      <c r="B419" s="105"/>
      <c r="C419" s="105"/>
      <c r="D419" s="105"/>
      <c r="E419" s="105"/>
      <c r="F419" s="105"/>
      <c r="G419" s="105"/>
      <c r="H419" s="105"/>
      <c r="I419" s="105"/>
      <c r="J419" s="105"/>
      <c r="K419" s="105"/>
      <c r="L419" s="105"/>
      <c r="M419" s="105"/>
      <c r="N419" s="105"/>
      <c r="O419" s="105"/>
      <c r="P419" s="105"/>
      <c r="Q419" s="105"/>
      <c r="R419" s="105"/>
      <c r="S419" s="105"/>
      <c r="T419" s="105"/>
      <c r="U419" s="105"/>
      <c r="V419" s="105"/>
      <c r="W419" s="105"/>
      <c r="X419" s="105"/>
      <c r="Y419" s="105"/>
      <c r="Z419" s="105"/>
      <c r="AA419" s="105"/>
    </row>
    <row r="420" ht="15.75" hidden="1" customHeight="1">
      <c r="A420" s="105"/>
      <c r="B420" s="105"/>
      <c r="C420" s="105"/>
      <c r="D420" s="105"/>
      <c r="E420" s="105"/>
      <c r="F420" s="105"/>
      <c r="G420" s="105"/>
      <c r="H420" s="105"/>
      <c r="I420" s="105"/>
      <c r="J420" s="105"/>
      <c r="K420" s="105"/>
      <c r="L420" s="105"/>
      <c r="M420" s="105"/>
      <c r="N420" s="105"/>
      <c r="O420" s="105"/>
      <c r="P420" s="105"/>
      <c r="Q420" s="105"/>
      <c r="R420" s="105"/>
      <c r="S420" s="105"/>
      <c r="T420" s="105"/>
      <c r="U420" s="105"/>
      <c r="V420" s="105"/>
      <c r="W420" s="105"/>
      <c r="X420" s="105"/>
      <c r="Y420" s="105"/>
      <c r="Z420" s="105"/>
      <c r="AA420" s="105"/>
    </row>
    <row r="421" ht="15.75" hidden="1" customHeight="1">
      <c r="A421" s="105"/>
      <c r="B421" s="105"/>
      <c r="C421" s="105"/>
      <c r="D421" s="105"/>
      <c r="E421" s="105"/>
      <c r="F421" s="105"/>
      <c r="G421" s="105"/>
      <c r="H421" s="105"/>
      <c r="I421" s="105"/>
      <c r="J421" s="105"/>
      <c r="K421" s="105"/>
      <c r="L421" s="105"/>
      <c r="M421" s="105"/>
      <c r="N421" s="105"/>
      <c r="O421" s="105"/>
      <c r="P421" s="105"/>
      <c r="Q421" s="105"/>
      <c r="R421" s="105"/>
      <c r="S421" s="105"/>
      <c r="T421" s="105"/>
      <c r="U421" s="105"/>
      <c r="V421" s="105"/>
      <c r="W421" s="105"/>
      <c r="X421" s="105"/>
      <c r="Y421" s="105"/>
      <c r="Z421" s="105"/>
      <c r="AA421" s="105"/>
    </row>
    <row r="422" ht="15.75" hidden="1" customHeight="1">
      <c r="A422" s="105"/>
      <c r="B422" s="105"/>
      <c r="C422" s="105"/>
      <c r="D422" s="105"/>
      <c r="E422" s="105"/>
      <c r="F422" s="105"/>
      <c r="G422" s="105"/>
      <c r="H422" s="105"/>
      <c r="I422" s="105"/>
      <c r="J422" s="105"/>
      <c r="K422" s="105"/>
      <c r="L422" s="105"/>
      <c r="M422" s="105"/>
      <c r="N422" s="105"/>
      <c r="O422" s="105"/>
      <c r="P422" s="105"/>
      <c r="Q422" s="105"/>
      <c r="R422" s="105"/>
      <c r="S422" s="105"/>
      <c r="T422" s="105"/>
      <c r="U422" s="105"/>
      <c r="V422" s="105"/>
      <c r="W422" s="105"/>
      <c r="X422" s="105"/>
      <c r="Y422" s="105"/>
      <c r="Z422" s="105"/>
      <c r="AA422" s="105"/>
    </row>
    <row r="423" ht="15.75" hidden="1" customHeight="1">
      <c r="A423" s="105"/>
      <c r="B423" s="105"/>
      <c r="C423" s="105"/>
      <c r="D423" s="105"/>
      <c r="E423" s="105"/>
      <c r="F423" s="105"/>
      <c r="G423" s="105"/>
      <c r="H423" s="105"/>
      <c r="I423" s="105"/>
      <c r="J423" s="105"/>
      <c r="K423" s="105"/>
      <c r="L423" s="105"/>
      <c r="M423" s="105"/>
      <c r="N423" s="105"/>
      <c r="O423" s="105"/>
      <c r="P423" s="105"/>
      <c r="Q423" s="105"/>
      <c r="R423" s="105"/>
      <c r="S423" s="105"/>
      <c r="T423" s="105"/>
      <c r="U423" s="105"/>
      <c r="V423" s="105"/>
      <c r="W423" s="105"/>
      <c r="X423" s="105"/>
      <c r="Y423" s="105"/>
      <c r="Z423" s="105"/>
      <c r="AA423" s="105"/>
    </row>
    <row r="424" ht="15.75" hidden="1" customHeight="1">
      <c r="A424" s="105"/>
      <c r="B424" s="105"/>
      <c r="C424" s="105"/>
      <c r="D424" s="105"/>
      <c r="E424" s="105"/>
      <c r="F424" s="105"/>
      <c r="G424" s="105"/>
      <c r="H424" s="105"/>
      <c r="I424" s="105"/>
      <c r="J424" s="105"/>
      <c r="K424" s="105"/>
      <c r="L424" s="105"/>
      <c r="M424" s="105"/>
      <c r="N424" s="105"/>
      <c r="O424" s="105"/>
      <c r="P424" s="105"/>
      <c r="Q424" s="105"/>
      <c r="R424" s="105"/>
      <c r="S424" s="105"/>
      <c r="T424" s="105"/>
      <c r="U424" s="105"/>
      <c r="V424" s="105"/>
      <c r="W424" s="105"/>
      <c r="X424" s="105"/>
      <c r="Y424" s="105"/>
      <c r="Z424" s="105"/>
      <c r="AA424" s="105"/>
    </row>
    <row r="425" ht="15.75" hidden="1" customHeight="1">
      <c r="A425" s="105"/>
      <c r="B425" s="105"/>
      <c r="C425" s="105"/>
      <c r="D425" s="105"/>
      <c r="E425" s="105"/>
      <c r="F425" s="105"/>
      <c r="G425" s="105"/>
      <c r="H425" s="105"/>
      <c r="I425" s="105"/>
      <c r="J425" s="105"/>
      <c r="K425" s="105"/>
      <c r="L425" s="105"/>
      <c r="M425" s="105"/>
      <c r="N425" s="105"/>
      <c r="O425" s="105"/>
      <c r="P425" s="105"/>
      <c r="Q425" s="105"/>
      <c r="R425" s="105"/>
      <c r="S425" s="105"/>
      <c r="T425" s="105"/>
      <c r="U425" s="105"/>
      <c r="V425" s="105"/>
      <c r="W425" s="105"/>
      <c r="X425" s="105"/>
      <c r="Y425" s="105"/>
      <c r="Z425" s="105"/>
      <c r="AA425" s="105"/>
    </row>
    <row r="426" ht="15.75" hidden="1" customHeight="1">
      <c r="A426" s="105"/>
      <c r="B426" s="105"/>
      <c r="C426" s="105"/>
      <c r="D426" s="105"/>
      <c r="E426" s="105"/>
      <c r="F426" s="105"/>
      <c r="G426" s="105"/>
      <c r="H426" s="105"/>
      <c r="I426" s="105"/>
      <c r="J426" s="105"/>
      <c r="K426" s="105"/>
      <c r="L426" s="105"/>
      <c r="M426" s="105"/>
      <c r="N426" s="105"/>
      <c r="O426" s="105"/>
      <c r="P426" s="105"/>
      <c r="Q426" s="105"/>
      <c r="R426" s="105"/>
      <c r="S426" s="105"/>
      <c r="T426" s="105"/>
      <c r="U426" s="105"/>
      <c r="V426" s="105"/>
      <c r="W426" s="105"/>
      <c r="X426" s="105"/>
      <c r="Y426" s="105"/>
      <c r="Z426" s="105"/>
      <c r="AA426" s="105"/>
    </row>
    <row r="427" ht="15.75" hidden="1" customHeight="1">
      <c r="A427" s="105"/>
      <c r="B427" s="105"/>
      <c r="C427" s="105"/>
      <c r="D427" s="105"/>
      <c r="E427" s="105"/>
      <c r="F427" s="105"/>
      <c r="G427" s="105"/>
      <c r="H427" s="105"/>
      <c r="I427" s="105"/>
      <c r="J427" s="105"/>
      <c r="K427" s="105"/>
      <c r="L427" s="105"/>
      <c r="M427" s="105"/>
      <c r="N427" s="105"/>
      <c r="O427" s="105"/>
      <c r="P427" s="105"/>
      <c r="Q427" s="105"/>
      <c r="R427" s="105"/>
      <c r="S427" s="105"/>
      <c r="T427" s="105"/>
      <c r="U427" s="105"/>
      <c r="V427" s="105"/>
      <c r="W427" s="105"/>
      <c r="X427" s="105"/>
      <c r="Y427" s="105"/>
      <c r="Z427" s="105"/>
      <c r="AA427" s="105"/>
    </row>
    <row r="428" ht="15.75" hidden="1" customHeight="1">
      <c r="A428" s="105"/>
      <c r="B428" s="105"/>
      <c r="C428" s="105"/>
      <c r="D428" s="105"/>
      <c r="E428" s="105"/>
      <c r="F428" s="105"/>
      <c r="G428" s="105"/>
      <c r="H428" s="105"/>
      <c r="I428" s="105"/>
      <c r="J428" s="105"/>
      <c r="K428" s="105"/>
      <c r="L428" s="105"/>
      <c r="M428" s="105"/>
      <c r="N428" s="105"/>
      <c r="O428" s="105"/>
      <c r="P428" s="105"/>
      <c r="Q428" s="105"/>
      <c r="R428" s="105"/>
      <c r="S428" s="105"/>
      <c r="T428" s="105"/>
      <c r="U428" s="105"/>
      <c r="V428" s="105"/>
      <c r="W428" s="105"/>
      <c r="X428" s="105"/>
      <c r="Y428" s="105"/>
      <c r="Z428" s="105"/>
      <c r="AA428" s="105"/>
    </row>
    <row r="429" ht="15.75" hidden="1" customHeight="1">
      <c r="A429" s="105"/>
      <c r="B429" s="105"/>
      <c r="C429" s="105"/>
      <c r="D429" s="105"/>
      <c r="E429" s="105"/>
      <c r="F429" s="105"/>
      <c r="G429" s="105"/>
      <c r="H429" s="105"/>
      <c r="I429" s="105"/>
      <c r="J429" s="105"/>
      <c r="K429" s="105"/>
      <c r="L429" s="105"/>
      <c r="M429" s="105"/>
      <c r="N429" s="105"/>
      <c r="O429" s="105"/>
      <c r="P429" s="105"/>
      <c r="Q429" s="105"/>
      <c r="R429" s="105"/>
      <c r="S429" s="105"/>
      <c r="T429" s="105"/>
      <c r="U429" s="105"/>
      <c r="V429" s="105"/>
      <c r="W429" s="105"/>
      <c r="X429" s="105"/>
      <c r="Y429" s="105"/>
      <c r="Z429" s="105"/>
      <c r="AA429" s="105"/>
    </row>
    <row r="430" ht="15.75" hidden="1" customHeight="1">
      <c r="A430" s="105"/>
      <c r="B430" s="105"/>
      <c r="C430" s="105"/>
      <c r="D430" s="105"/>
      <c r="E430" s="105"/>
      <c r="F430" s="105"/>
      <c r="G430" s="105"/>
      <c r="H430" s="105"/>
      <c r="I430" s="105"/>
      <c r="J430" s="105"/>
      <c r="K430" s="105"/>
      <c r="L430" s="105"/>
      <c r="M430" s="105"/>
      <c r="N430" s="105"/>
      <c r="O430" s="105"/>
      <c r="P430" s="105"/>
      <c r="Q430" s="105"/>
      <c r="R430" s="105"/>
      <c r="S430" s="105"/>
      <c r="T430" s="105"/>
      <c r="U430" s="105"/>
      <c r="V430" s="105"/>
      <c r="W430" s="105"/>
      <c r="X430" s="105"/>
      <c r="Y430" s="105"/>
      <c r="Z430" s="105"/>
      <c r="AA430" s="105"/>
    </row>
    <row r="431" ht="15.75" hidden="1" customHeight="1">
      <c r="A431" s="105"/>
      <c r="B431" s="105"/>
      <c r="C431" s="105"/>
      <c r="D431" s="105"/>
      <c r="E431" s="105"/>
      <c r="F431" s="105"/>
      <c r="G431" s="105"/>
      <c r="H431" s="105"/>
      <c r="I431" s="105"/>
      <c r="J431" s="105"/>
      <c r="K431" s="105"/>
      <c r="L431" s="105"/>
      <c r="M431" s="105"/>
      <c r="N431" s="105"/>
      <c r="O431" s="105"/>
      <c r="P431" s="105"/>
      <c r="Q431" s="105"/>
      <c r="R431" s="105"/>
      <c r="S431" s="105"/>
      <c r="T431" s="105"/>
      <c r="U431" s="105"/>
      <c r="V431" s="105"/>
      <c r="W431" s="105"/>
      <c r="X431" s="105"/>
      <c r="Y431" s="105"/>
      <c r="Z431" s="105"/>
      <c r="AA431" s="105"/>
    </row>
    <row r="432" ht="15.75" hidden="1" customHeight="1">
      <c r="A432" s="105"/>
      <c r="B432" s="105"/>
      <c r="C432" s="105"/>
      <c r="D432" s="105"/>
      <c r="E432" s="105"/>
      <c r="F432" s="105"/>
      <c r="G432" s="105"/>
      <c r="H432" s="105"/>
      <c r="I432" s="105"/>
      <c r="J432" s="105"/>
      <c r="K432" s="105"/>
      <c r="L432" s="105"/>
      <c r="M432" s="105"/>
      <c r="N432" s="105"/>
      <c r="O432" s="105"/>
      <c r="P432" s="105"/>
      <c r="Q432" s="105"/>
      <c r="R432" s="105"/>
      <c r="S432" s="105"/>
      <c r="T432" s="105"/>
      <c r="U432" s="105"/>
      <c r="V432" s="105"/>
      <c r="W432" s="105"/>
      <c r="X432" s="105"/>
      <c r="Y432" s="105"/>
      <c r="Z432" s="105"/>
      <c r="AA432" s="105"/>
    </row>
    <row r="433" ht="15.75" hidden="1" customHeight="1">
      <c r="A433" s="105"/>
      <c r="B433" s="105"/>
      <c r="C433" s="105"/>
      <c r="D433" s="105"/>
      <c r="E433" s="105"/>
      <c r="F433" s="105"/>
      <c r="G433" s="105"/>
      <c r="H433" s="105"/>
      <c r="I433" s="105"/>
      <c r="J433" s="105"/>
      <c r="K433" s="105"/>
      <c r="L433" s="105"/>
      <c r="M433" s="105"/>
      <c r="N433" s="105"/>
      <c r="O433" s="105"/>
      <c r="P433" s="105"/>
      <c r="Q433" s="105"/>
      <c r="R433" s="105"/>
      <c r="S433" s="105"/>
      <c r="T433" s="105"/>
      <c r="U433" s="105"/>
      <c r="V433" s="105"/>
      <c r="W433" s="105"/>
      <c r="X433" s="105"/>
      <c r="Y433" s="105"/>
      <c r="Z433" s="105"/>
      <c r="AA433" s="105"/>
    </row>
    <row r="434" ht="15.75" hidden="1" customHeight="1">
      <c r="A434" s="105"/>
      <c r="B434" s="105"/>
      <c r="C434" s="105"/>
      <c r="D434" s="105"/>
      <c r="E434" s="105"/>
      <c r="F434" s="105"/>
      <c r="G434" s="105"/>
      <c r="H434" s="105"/>
      <c r="I434" s="105"/>
      <c r="J434" s="105"/>
      <c r="K434" s="105"/>
      <c r="L434" s="105"/>
      <c r="M434" s="105"/>
      <c r="N434" s="105"/>
      <c r="O434" s="105"/>
      <c r="P434" s="105"/>
      <c r="Q434" s="105"/>
      <c r="R434" s="105"/>
      <c r="S434" s="105"/>
      <c r="T434" s="105"/>
      <c r="U434" s="105"/>
      <c r="V434" s="105"/>
      <c r="W434" s="105"/>
      <c r="X434" s="105"/>
      <c r="Y434" s="105"/>
      <c r="Z434" s="105"/>
      <c r="AA434" s="105"/>
    </row>
    <row r="435" ht="15.75" hidden="1" customHeight="1">
      <c r="A435" s="105"/>
      <c r="B435" s="105"/>
      <c r="C435" s="105"/>
      <c r="D435" s="105"/>
      <c r="E435" s="105"/>
      <c r="F435" s="105"/>
      <c r="G435" s="105"/>
      <c r="H435" s="105"/>
      <c r="I435" s="105"/>
      <c r="J435" s="105"/>
      <c r="K435" s="105"/>
      <c r="L435" s="105"/>
      <c r="M435" s="105"/>
      <c r="N435" s="105"/>
      <c r="O435" s="105"/>
      <c r="P435" s="105"/>
      <c r="Q435" s="105"/>
      <c r="R435" s="105"/>
      <c r="S435" s="105"/>
      <c r="T435" s="105"/>
      <c r="U435" s="105"/>
      <c r="V435" s="105"/>
      <c r="W435" s="105"/>
      <c r="X435" s="105"/>
      <c r="Y435" s="105"/>
      <c r="Z435" s="105"/>
      <c r="AA435" s="105"/>
    </row>
    <row r="436" ht="15.75" hidden="1" customHeight="1">
      <c r="A436" s="105"/>
      <c r="B436" s="105"/>
      <c r="C436" s="105"/>
      <c r="D436" s="105"/>
      <c r="E436" s="105"/>
      <c r="F436" s="105"/>
      <c r="G436" s="105"/>
      <c r="H436" s="105"/>
      <c r="I436" s="105"/>
      <c r="J436" s="105"/>
      <c r="K436" s="105"/>
      <c r="L436" s="105"/>
      <c r="M436" s="105"/>
      <c r="N436" s="105"/>
      <c r="O436" s="105"/>
      <c r="P436" s="105"/>
      <c r="Q436" s="105"/>
      <c r="R436" s="105"/>
      <c r="S436" s="105"/>
      <c r="T436" s="105"/>
      <c r="U436" s="105"/>
      <c r="V436" s="105"/>
      <c r="W436" s="105"/>
      <c r="X436" s="105"/>
      <c r="Y436" s="105"/>
      <c r="Z436" s="105"/>
      <c r="AA436" s="105"/>
    </row>
    <row r="437" ht="15.75" hidden="1" customHeight="1">
      <c r="A437" s="105"/>
      <c r="B437" s="105"/>
      <c r="C437" s="105"/>
      <c r="D437" s="105"/>
      <c r="E437" s="105"/>
      <c r="F437" s="105"/>
      <c r="G437" s="105"/>
      <c r="H437" s="105"/>
      <c r="I437" s="105"/>
      <c r="J437" s="105"/>
      <c r="K437" s="105"/>
      <c r="L437" s="105"/>
      <c r="M437" s="105"/>
      <c r="N437" s="105"/>
      <c r="O437" s="105"/>
      <c r="P437" s="105"/>
      <c r="Q437" s="105"/>
      <c r="R437" s="105"/>
      <c r="S437" s="105"/>
      <c r="T437" s="105"/>
      <c r="U437" s="105"/>
      <c r="V437" s="105"/>
      <c r="W437" s="105"/>
      <c r="X437" s="105"/>
      <c r="Y437" s="105"/>
      <c r="Z437" s="105"/>
      <c r="AA437" s="105"/>
    </row>
    <row r="438" ht="15.75" hidden="1" customHeight="1">
      <c r="A438" s="105"/>
      <c r="B438" s="105"/>
      <c r="C438" s="105"/>
      <c r="D438" s="105"/>
      <c r="E438" s="105"/>
      <c r="F438" s="105"/>
      <c r="G438" s="105"/>
      <c r="H438" s="105"/>
      <c r="I438" s="105"/>
      <c r="J438" s="105"/>
      <c r="K438" s="105"/>
      <c r="L438" s="105"/>
      <c r="M438" s="105"/>
      <c r="N438" s="105"/>
      <c r="O438" s="105"/>
      <c r="P438" s="105"/>
      <c r="Q438" s="105"/>
      <c r="R438" s="105"/>
      <c r="S438" s="105"/>
      <c r="T438" s="105"/>
      <c r="U438" s="105"/>
      <c r="V438" s="105"/>
      <c r="W438" s="105"/>
      <c r="X438" s="105"/>
      <c r="Y438" s="105"/>
      <c r="Z438" s="105"/>
      <c r="AA438" s="105"/>
    </row>
    <row r="439" ht="15.75" hidden="1" customHeight="1">
      <c r="A439" s="105"/>
      <c r="B439" s="105"/>
      <c r="C439" s="105"/>
      <c r="D439" s="105"/>
      <c r="E439" s="105"/>
      <c r="F439" s="105"/>
      <c r="G439" s="105"/>
      <c r="H439" s="105"/>
      <c r="I439" s="105"/>
      <c r="J439" s="105"/>
      <c r="K439" s="105"/>
      <c r="L439" s="105"/>
      <c r="M439" s="105"/>
      <c r="N439" s="105"/>
      <c r="O439" s="105"/>
      <c r="P439" s="105"/>
      <c r="Q439" s="105"/>
      <c r="R439" s="105"/>
      <c r="S439" s="105"/>
      <c r="T439" s="105"/>
      <c r="U439" s="105"/>
      <c r="V439" s="105"/>
      <c r="W439" s="105"/>
      <c r="X439" s="105"/>
      <c r="Y439" s="105"/>
      <c r="Z439" s="105"/>
      <c r="AA439" s="105"/>
    </row>
    <row r="440" ht="15.75" hidden="1" customHeight="1">
      <c r="A440" s="105"/>
      <c r="B440" s="105"/>
      <c r="C440" s="105"/>
      <c r="D440" s="105"/>
      <c r="E440" s="105"/>
      <c r="F440" s="105"/>
      <c r="G440" s="105"/>
      <c r="H440" s="105"/>
      <c r="I440" s="105"/>
      <c r="J440" s="105"/>
      <c r="K440" s="105"/>
      <c r="L440" s="105"/>
      <c r="M440" s="105"/>
      <c r="N440" s="105"/>
      <c r="O440" s="105"/>
      <c r="P440" s="105"/>
      <c r="Q440" s="105"/>
      <c r="R440" s="105"/>
      <c r="S440" s="105"/>
      <c r="T440" s="105"/>
      <c r="U440" s="105"/>
      <c r="V440" s="105"/>
      <c r="W440" s="105"/>
      <c r="X440" s="105"/>
      <c r="Y440" s="105"/>
      <c r="Z440" s="105"/>
      <c r="AA440" s="105"/>
    </row>
    <row r="441" ht="15.75" hidden="1" customHeight="1">
      <c r="A441" s="105"/>
      <c r="B441" s="105"/>
      <c r="C441" s="105"/>
      <c r="D441" s="105"/>
      <c r="E441" s="105"/>
      <c r="F441" s="105"/>
      <c r="G441" s="105"/>
      <c r="H441" s="105"/>
      <c r="I441" s="105"/>
      <c r="J441" s="105"/>
      <c r="K441" s="105"/>
      <c r="L441" s="105"/>
      <c r="M441" s="105"/>
      <c r="N441" s="105"/>
      <c r="O441" s="105"/>
      <c r="P441" s="105"/>
      <c r="Q441" s="105"/>
      <c r="R441" s="105"/>
      <c r="S441" s="105"/>
      <c r="T441" s="105"/>
      <c r="U441" s="105"/>
      <c r="V441" s="105"/>
      <c r="W441" s="105"/>
      <c r="X441" s="105"/>
      <c r="Y441" s="105"/>
      <c r="Z441" s="105"/>
      <c r="AA441" s="105"/>
    </row>
    <row r="442" ht="15.75" hidden="1" customHeight="1">
      <c r="A442" s="105"/>
      <c r="B442" s="105"/>
      <c r="C442" s="105"/>
      <c r="D442" s="105"/>
      <c r="E442" s="105"/>
      <c r="F442" s="105"/>
      <c r="G442" s="105"/>
      <c r="H442" s="105"/>
      <c r="I442" s="105"/>
      <c r="J442" s="105"/>
      <c r="K442" s="105"/>
      <c r="L442" s="105"/>
      <c r="M442" s="105"/>
      <c r="N442" s="105"/>
      <c r="O442" s="105"/>
      <c r="P442" s="105"/>
      <c r="Q442" s="105"/>
      <c r="R442" s="105"/>
      <c r="S442" s="105"/>
      <c r="T442" s="105"/>
      <c r="U442" s="105"/>
      <c r="V442" s="105"/>
      <c r="W442" s="105"/>
      <c r="X442" s="105"/>
      <c r="Y442" s="105"/>
      <c r="Z442" s="105"/>
      <c r="AA442" s="105"/>
    </row>
    <row r="443" ht="15.75" hidden="1" customHeight="1">
      <c r="A443" s="105"/>
      <c r="B443" s="105"/>
      <c r="C443" s="105"/>
      <c r="D443" s="105"/>
      <c r="E443" s="105"/>
      <c r="F443" s="105"/>
      <c r="G443" s="105"/>
      <c r="H443" s="105"/>
      <c r="I443" s="105"/>
      <c r="J443" s="105"/>
      <c r="K443" s="105"/>
      <c r="L443" s="105"/>
      <c r="M443" s="105"/>
      <c r="N443" s="105"/>
      <c r="O443" s="105"/>
      <c r="P443" s="105"/>
      <c r="Q443" s="105"/>
      <c r="R443" s="105"/>
      <c r="S443" s="105"/>
      <c r="T443" s="105"/>
      <c r="U443" s="105"/>
      <c r="V443" s="105"/>
      <c r="W443" s="105"/>
      <c r="X443" s="105"/>
      <c r="Y443" s="105"/>
      <c r="Z443" s="105"/>
      <c r="AA443" s="105"/>
    </row>
    <row r="444" ht="15.75" hidden="1" customHeight="1">
      <c r="A444" s="105"/>
      <c r="B444" s="105"/>
      <c r="C444" s="105"/>
      <c r="D444" s="105"/>
      <c r="E444" s="105"/>
      <c r="F444" s="105"/>
      <c r="G444" s="105"/>
      <c r="H444" s="105"/>
      <c r="I444" s="105"/>
      <c r="J444" s="105"/>
      <c r="K444" s="105"/>
      <c r="L444" s="105"/>
      <c r="M444" s="105"/>
      <c r="N444" s="105"/>
      <c r="O444" s="105"/>
      <c r="P444" s="105"/>
      <c r="Q444" s="105"/>
      <c r="R444" s="105"/>
      <c r="S444" s="105"/>
      <c r="T444" s="105"/>
      <c r="U444" s="105"/>
      <c r="V444" s="105"/>
      <c r="W444" s="105"/>
      <c r="X444" s="105"/>
      <c r="Y444" s="105"/>
      <c r="Z444" s="105"/>
      <c r="AA444" s="105"/>
    </row>
    <row r="445" ht="15.75" hidden="1" customHeight="1">
      <c r="A445" s="105"/>
      <c r="B445" s="105"/>
      <c r="C445" s="105"/>
      <c r="D445" s="105"/>
      <c r="E445" s="105"/>
      <c r="F445" s="105"/>
      <c r="G445" s="105"/>
      <c r="H445" s="105"/>
      <c r="I445" s="105"/>
      <c r="J445" s="105"/>
      <c r="K445" s="105"/>
      <c r="L445" s="105"/>
      <c r="M445" s="105"/>
      <c r="N445" s="105"/>
      <c r="O445" s="105"/>
      <c r="P445" s="105"/>
      <c r="Q445" s="105"/>
      <c r="R445" s="105"/>
      <c r="S445" s="105"/>
      <c r="T445" s="105"/>
      <c r="U445" s="105"/>
      <c r="V445" s="105"/>
      <c r="W445" s="105"/>
      <c r="X445" s="105"/>
      <c r="Y445" s="105"/>
      <c r="Z445" s="105"/>
      <c r="AA445" s="105"/>
    </row>
    <row r="446" ht="15.75" hidden="1" customHeight="1">
      <c r="A446" s="105"/>
      <c r="B446" s="105"/>
      <c r="C446" s="105"/>
      <c r="D446" s="105"/>
      <c r="E446" s="105"/>
      <c r="F446" s="105"/>
      <c r="G446" s="105"/>
      <c r="H446" s="105"/>
      <c r="I446" s="105"/>
      <c r="J446" s="105"/>
      <c r="K446" s="105"/>
      <c r="L446" s="105"/>
      <c r="M446" s="105"/>
      <c r="N446" s="105"/>
      <c r="O446" s="105"/>
      <c r="P446" s="105"/>
      <c r="Q446" s="105"/>
      <c r="R446" s="105"/>
      <c r="S446" s="105"/>
      <c r="T446" s="105"/>
      <c r="U446" s="105"/>
      <c r="V446" s="105"/>
      <c r="W446" s="105"/>
      <c r="X446" s="105"/>
      <c r="Y446" s="105"/>
      <c r="Z446" s="105"/>
      <c r="AA446" s="105"/>
    </row>
    <row r="447" ht="15.75" hidden="1" customHeight="1">
      <c r="A447" s="105"/>
      <c r="B447" s="105"/>
      <c r="C447" s="105"/>
      <c r="D447" s="105"/>
      <c r="E447" s="105"/>
      <c r="F447" s="105"/>
      <c r="G447" s="105"/>
      <c r="H447" s="105"/>
      <c r="I447" s="105"/>
      <c r="J447" s="105"/>
      <c r="K447" s="105"/>
      <c r="L447" s="105"/>
      <c r="M447" s="105"/>
      <c r="N447" s="105"/>
      <c r="O447" s="105"/>
      <c r="P447" s="105"/>
      <c r="Q447" s="105"/>
      <c r="R447" s="105"/>
      <c r="S447" s="105"/>
      <c r="T447" s="105"/>
      <c r="U447" s="105"/>
      <c r="V447" s="105"/>
      <c r="W447" s="105"/>
      <c r="X447" s="105"/>
      <c r="Y447" s="105"/>
      <c r="Z447" s="105"/>
      <c r="AA447" s="105"/>
    </row>
    <row r="448" ht="15.75" hidden="1" customHeight="1">
      <c r="A448" s="105"/>
      <c r="B448" s="105"/>
      <c r="C448" s="105"/>
      <c r="D448" s="105"/>
      <c r="E448" s="105"/>
      <c r="F448" s="105"/>
      <c r="G448" s="105"/>
      <c r="H448" s="105"/>
      <c r="I448" s="105"/>
      <c r="J448" s="105"/>
      <c r="K448" s="105"/>
      <c r="L448" s="105"/>
      <c r="M448" s="105"/>
      <c r="N448" s="105"/>
      <c r="O448" s="105"/>
      <c r="P448" s="105"/>
      <c r="Q448" s="105"/>
      <c r="R448" s="105"/>
      <c r="S448" s="105"/>
      <c r="T448" s="105"/>
      <c r="U448" s="105"/>
      <c r="V448" s="105"/>
      <c r="W448" s="105"/>
      <c r="X448" s="105"/>
      <c r="Y448" s="105"/>
      <c r="Z448" s="105"/>
      <c r="AA448" s="105"/>
    </row>
    <row r="449" ht="15.75" hidden="1" customHeight="1">
      <c r="A449" s="105"/>
      <c r="B449" s="105"/>
      <c r="C449" s="105"/>
      <c r="D449" s="105"/>
      <c r="E449" s="105"/>
      <c r="F449" s="105"/>
      <c r="G449" s="105"/>
      <c r="H449" s="105"/>
      <c r="I449" s="105"/>
      <c r="J449" s="105"/>
      <c r="K449" s="105"/>
      <c r="L449" s="105"/>
      <c r="M449" s="105"/>
      <c r="N449" s="105"/>
      <c r="O449" s="105"/>
      <c r="P449" s="105"/>
      <c r="Q449" s="105"/>
      <c r="R449" s="105"/>
      <c r="S449" s="105"/>
      <c r="T449" s="105"/>
      <c r="U449" s="105"/>
      <c r="V449" s="105"/>
      <c r="W449" s="105"/>
      <c r="X449" s="105"/>
      <c r="Y449" s="105"/>
      <c r="Z449" s="105"/>
      <c r="AA449" s="105"/>
    </row>
    <row r="450" ht="15.75" hidden="1" customHeight="1">
      <c r="A450" s="105"/>
      <c r="B450" s="105"/>
      <c r="C450" s="105"/>
      <c r="D450" s="105"/>
      <c r="E450" s="105"/>
      <c r="F450" s="105"/>
      <c r="G450" s="105"/>
      <c r="H450" s="105"/>
      <c r="I450" s="105"/>
      <c r="J450" s="105"/>
      <c r="K450" s="105"/>
      <c r="L450" s="105"/>
      <c r="M450" s="105"/>
      <c r="N450" s="105"/>
      <c r="O450" s="105"/>
      <c r="P450" s="105"/>
      <c r="Q450" s="105"/>
      <c r="R450" s="105"/>
      <c r="S450" s="105"/>
      <c r="T450" s="105"/>
      <c r="U450" s="105"/>
      <c r="V450" s="105"/>
      <c r="W450" s="105"/>
      <c r="X450" s="105"/>
      <c r="Y450" s="105"/>
      <c r="Z450" s="105"/>
      <c r="AA450" s="105"/>
    </row>
    <row r="451" ht="15.75" hidden="1" customHeight="1">
      <c r="A451" s="105"/>
      <c r="B451" s="105"/>
      <c r="C451" s="105"/>
      <c r="D451" s="105"/>
      <c r="E451" s="105"/>
      <c r="F451" s="105"/>
      <c r="G451" s="105"/>
      <c r="H451" s="105"/>
      <c r="I451" s="105"/>
      <c r="J451" s="105"/>
      <c r="K451" s="105"/>
      <c r="L451" s="105"/>
      <c r="M451" s="105"/>
      <c r="N451" s="105"/>
      <c r="O451" s="105"/>
      <c r="P451" s="105"/>
      <c r="Q451" s="105"/>
      <c r="R451" s="105"/>
      <c r="S451" s="105"/>
      <c r="T451" s="105"/>
      <c r="U451" s="105"/>
      <c r="V451" s="105"/>
      <c r="W451" s="105"/>
      <c r="X451" s="105"/>
      <c r="Y451" s="105"/>
      <c r="Z451" s="105"/>
      <c r="AA451" s="105"/>
    </row>
    <row r="452" ht="15.75" hidden="1" customHeight="1">
      <c r="A452" s="105"/>
      <c r="B452" s="105"/>
      <c r="C452" s="105"/>
      <c r="D452" s="105"/>
      <c r="E452" s="105"/>
      <c r="F452" s="105"/>
      <c r="G452" s="105"/>
      <c r="H452" s="105"/>
      <c r="I452" s="105"/>
      <c r="J452" s="105"/>
      <c r="K452" s="105"/>
      <c r="L452" s="105"/>
      <c r="M452" s="105"/>
      <c r="N452" s="105"/>
      <c r="O452" s="105"/>
      <c r="P452" s="105"/>
      <c r="Q452" s="105"/>
      <c r="R452" s="105"/>
      <c r="S452" s="105"/>
      <c r="T452" s="105"/>
      <c r="U452" s="105"/>
      <c r="V452" s="105"/>
      <c r="W452" s="105"/>
      <c r="X452" s="105"/>
      <c r="Y452" s="105"/>
      <c r="Z452" s="105"/>
      <c r="AA452" s="105"/>
    </row>
    <row r="453" ht="15.75" hidden="1" customHeight="1">
      <c r="A453" s="105"/>
      <c r="B453" s="105"/>
      <c r="C453" s="105"/>
      <c r="D453" s="105"/>
      <c r="E453" s="105"/>
      <c r="F453" s="105"/>
      <c r="G453" s="105"/>
      <c r="H453" s="105"/>
      <c r="I453" s="105"/>
      <c r="J453" s="105"/>
      <c r="K453" s="105"/>
      <c r="L453" s="105"/>
      <c r="M453" s="105"/>
      <c r="N453" s="105"/>
      <c r="O453" s="105"/>
      <c r="P453" s="105"/>
      <c r="Q453" s="105"/>
      <c r="R453" s="105"/>
      <c r="S453" s="105"/>
      <c r="T453" s="105"/>
      <c r="U453" s="105"/>
      <c r="V453" s="105"/>
      <c r="W453" s="105"/>
      <c r="X453" s="105"/>
      <c r="Y453" s="105"/>
      <c r="Z453" s="105"/>
      <c r="AA453" s="105"/>
    </row>
    <row r="454" ht="15.75" hidden="1" customHeight="1">
      <c r="A454" s="105"/>
      <c r="B454" s="105"/>
      <c r="C454" s="105"/>
      <c r="D454" s="105"/>
      <c r="E454" s="105"/>
      <c r="F454" s="105"/>
      <c r="G454" s="105"/>
      <c r="H454" s="105"/>
      <c r="I454" s="105"/>
      <c r="J454" s="105"/>
      <c r="K454" s="105"/>
      <c r="L454" s="105"/>
      <c r="M454" s="105"/>
      <c r="N454" s="105"/>
      <c r="O454" s="105"/>
      <c r="P454" s="105"/>
      <c r="Q454" s="105"/>
      <c r="R454" s="105"/>
      <c r="S454" s="105"/>
      <c r="T454" s="105"/>
      <c r="U454" s="105"/>
      <c r="V454" s="105"/>
      <c r="W454" s="105"/>
      <c r="X454" s="105"/>
      <c r="Y454" s="105"/>
      <c r="Z454" s="105"/>
      <c r="AA454" s="105"/>
    </row>
    <row r="455" ht="15.75" hidden="1" customHeight="1">
      <c r="A455" s="105"/>
      <c r="B455" s="105"/>
      <c r="C455" s="105"/>
      <c r="D455" s="105"/>
      <c r="E455" s="105"/>
      <c r="F455" s="105"/>
      <c r="G455" s="105"/>
      <c r="H455" s="105"/>
      <c r="I455" s="105"/>
      <c r="J455" s="105"/>
      <c r="K455" s="105"/>
      <c r="L455" s="105"/>
      <c r="M455" s="105"/>
      <c r="N455" s="105"/>
      <c r="O455" s="105"/>
      <c r="P455" s="105"/>
      <c r="Q455" s="105"/>
      <c r="R455" s="105"/>
      <c r="S455" s="105"/>
      <c r="T455" s="105"/>
      <c r="U455" s="105"/>
      <c r="V455" s="105"/>
      <c r="W455" s="105"/>
      <c r="X455" s="105"/>
      <c r="Y455" s="105"/>
      <c r="Z455" s="105"/>
      <c r="AA455" s="105"/>
    </row>
    <row r="456" ht="15.75" hidden="1" customHeight="1">
      <c r="A456" s="105"/>
      <c r="B456" s="105"/>
      <c r="C456" s="105"/>
      <c r="D456" s="105"/>
      <c r="E456" s="105"/>
      <c r="F456" s="105"/>
      <c r="G456" s="105"/>
      <c r="H456" s="105"/>
      <c r="I456" s="105"/>
      <c r="J456" s="105"/>
      <c r="K456" s="105"/>
      <c r="L456" s="105"/>
      <c r="M456" s="105"/>
      <c r="N456" s="105"/>
      <c r="O456" s="105"/>
      <c r="P456" s="105"/>
      <c r="Q456" s="105"/>
      <c r="R456" s="105"/>
      <c r="S456" s="105"/>
      <c r="T456" s="105"/>
      <c r="U456" s="105"/>
      <c r="V456" s="105"/>
      <c r="W456" s="105"/>
      <c r="X456" s="105"/>
      <c r="Y456" s="105"/>
      <c r="Z456" s="105"/>
      <c r="AA456" s="105"/>
    </row>
    <row r="457" ht="15.75" hidden="1" customHeight="1">
      <c r="A457" s="105"/>
      <c r="B457" s="105"/>
      <c r="C457" s="105"/>
      <c r="D457" s="105"/>
      <c r="E457" s="105"/>
      <c r="F457" s="105"/>
      <c r="G457" s="105"/>
      <c r="H457" s="105"/>
      <c r="I457" s="105"/>
      <c r="J457" s="105"/>
      <c r="K457" s="105"/>
      <c r="L457" s="105"/>
      <c r="M457" s="105"/>
      <c r="N457" s="105"/>
      <c r="O457" s="105"/>
      <c r="P457" s="105"/>
      <c r="Q457" s="105"/>
      <c r="R457" s="105"/>
      <c r="S457" s="105"/>
      <c r="T457" s="105"/>
      <c r="U457" s="105"/>
      <c r="V457" s="105"/>
      <c r="W457" s="105"/>
      <c r="X457" s="105"/>
      <c r="Y457" s="105"/>
      <c r="Z457" s="105"/>
      <c r="AA457" s="105"/>
    </row>
    <row r="458" ht="15.75" hidden="1" customHeight="1">
      <c r="A458" s="105"/>
      <c r="B458" s="105"/>
      <c r="C458" s="105"/>
      <c r="D458" s="105"/>
      <c r="E458" s="105"/>
      <c r="F458" s="105"/>
      <c r="G458" s="105"/>
      <c r="H458" s="105"/>
      <c r="I458" s="105"/>
      <c r="J458" s="105"/>
      <c r="K458" s="105"/>
      <c r="L458" s="105"/>
      <c r="M458" s="105"/>
      <c r="N458" s="105"/>
      <c r="O458" s="105"/>
      <c r="P458" s="105"/>
      <c r="Q458" s="105"/>
      <c r="R458" s="105"/>
      <c r="S458" s="105"/>
      <c r="T458" s="105"/>
      <c r="U458" s="105"/>
      <c r="V458" s="105"/>
      <c r="W458" s="105"/>
      <c r="X458" s="105"/>
      <c r="Y458" s="105"/>
      <c r="Z458" s="105"/>
      <c r="AA458" s="105"/>
    </row>
    <row r="459" ht="15.75" hidden="1" customHeight="1">
      <c r="A459" s="105"/>
      <c r="B459" s="105"/>
      <c r="C459" s="105"/>
      <c r="D459" s="105"/>
      <c r="E459" s="105"/>
      <c r="F459" s="105"/>
      <c r="G459" s="105"/>
      <c r="H459" s="105"/>
      <c r="I459" s="105"/>
      <c r="J459" s="105"/>
      <c r="K459" s="105"/>
      <c r="L459" s="105"/>
      <c r="M459" s="105"/>
      <c r="N459" s="105"/>
      <c r="O459" s="105"/>
      <c r="P459" s="105"/>
      <c r="Q459" s="105"/>
      <c r="R459" s="105"/>
      <c r="S459" s="105"/>
      <c r="T459" s="105"/>
      <c r="U459" s="105"/>
      <c r="V459" s="105"/>
      <c r="W459" s="105"/>
      <c r="X459" s="105"/>
      <c r="Y459" s="105"/>
      <c r="Z459" s="105"/>
      <c r="AA459" s="105"/>
    </row>
    <row r="460" ht="15.75" hidden="1" customHeight="1">
      <c r="A460" s="105"/>
      <c r="B460" s="105"/>
      <c r="C460" s="105"/>
      <c r="D460" s="105"/>
      <c r="E460" s="105"/>
      <c r="F460" s="105"/>
      <c r="G460" s="105"/>
      <c r="H460" s="105"/>
      <c r="I460" s="105"/>
      <c r="J460" s="105"/>
      <c r="K460" s="105"/>
      <c r="L460" s="105"/>
      <c r="M460" s="105"/>
      <c r="N460" s="105"/>
      <c r="O460" s="105"/>
      <c r="P460" s="105"/>
      <c r="Q460" s="105"/>
      <c r="R460" s="105"/>
      <c r="S460" s="105"/>
      <c r="T460" s="105"/>
      <c r="U460" s="105"/>
      <c r="V460" s="105"/>
      <c r="W460" s="105"/>
      <c r="X460" s="105"/>
      <c r="Y460" s="105"/>
      <c r="Z460" s="105"/>
      <c r="AA460" s="105"/>
    </row>
    <row r="461" ht="15.75" hidden="1" customHeight="1">
      <c r="A461" s="105"/>
      <c r="B461" s="105"/>
      <c r="C461" s="105"/>
      <c r="D461" s="105"/>
      <c r="E461" s="105"/>
      <c r="F461" s="105"/>
      <c r="G461" s="105"/>
      <c r="H461" s="105"/>
      <c r="I461" s="105"/>
      <c r="J461" s="105"/>
      <c r="K461" s="105"/>
      <c r="L461" s="105"/>
      <c r="M461" s="105"/>
      <c r="N461" s="105"/>
      <c r="O461" s="105"/>
      <c r="P461" s="105"/>
      <c r="Q461" s="105"/>
      <c r="R461" s="105"/>
      <c r="S461" s="105"/>
      <c r="T461" s="105"/>
      <c r="U461" s="105"/>
      <c r="V461" s="105"/>
      <c r="W461" s="105"/>
      <c r="X461" s="105"/>
      <c r="Y461" s="105"/>
      <c r="Z461" s="105"/>
      <c r="AA461" s="105"/>
    </row>
    <row r="462" ht="15.75" hidden="1" customHeight="1">
      <c r="A462" s="105"/>
      <c r="B462" s="105"/>
      <c r="C462" s="105"/>
      <c r="D462" s="105"/>
      <c r="E462" s="105"/>
      <c r="F462" s="105"/>
      <c r="G462" s="105"/>
      <c r="H462" s="105"/>
      <c r="I462" s="105"/>
      <c r="J462" s="105"/>
      <c r="K462" s="105"/>
      <c r="L462" s="105"/>
      <c r="M462" s="105"/>
      <c r="N462" s="105"/>
      <c r="O462" s="105"/>
      <c r="P462" s="105"/>
      <c r="Q462" s="105"/>
      <c r="R462" s="105"/>
      <c r="S462" s="105"/>
      <c r="T462" s="105"/>
      <c r="U462" s="105"/>
      <c r="V462" s="105"/>
      <c r="W462" s="105"/>
      <c r="X462" s="105"/>
      <c r="Y462" s="105"/>
      <c r="Z462" s="105"/>
      <c r="AA462" s="105"/>
    </row>
    <row r="463" ht="15.75" hidden="1" customHeight="1">
      <c r="A463" s="105"/>
      <c r="B463" s="105"/>
      <c r="C463" s="105"/>
      <c r="D463" s="105"/>
      <c r="E463" s="105"/>
      <c r="F463" s="105"/>
      <c r="G463" s="105"/>
      <c r="H463" s="105"/>
      <c r="I463" s="105"/>
      <c r="J463" s="105"/>
      <c r="K463" s="105"/>
      <c r="L463" s="105"/>
      <c r="M463" s="105"/>
      <c r="N463" s="105"/>
      <c r="O463" s="105"/>
      <c r="P463" s="105"/>
      <c r="Q463" s="105"/>
      <c r="R463" s="105"/>
      <c r="S463" s="105"/>
      <c r="T463" s="105"/>
      <c r="U463" s="105"/>
      <c r="V463" s="105"/>
      <c r="W463" s="105"/>
      <c r="X463" s="105"/>
      <c r="Y463" s="105"/>
      <c r="Z463" s="105"/>
      <c r="AA463" s="105"/>
    </row>
    <row r="464" ht="15.75" hidden="1" customHeight="1">
      <c r="A464" s="105"/>
      <c r="B464" s="105"/>
      <c r="C464" s="105"/>
      <c r="D464" s="105"/>
      <c r="E464" s="105"/>
      <c r="F464" s="105"/>
      <c r="G464" s="105"/>
      <c r="H464" s="105"/>
      <c r="I464" s="105"/>
      <c r="J464" s="105"/>
      <c r="K464" s="105"/>
      <c r="L464" s="105"/>
      <c r="M464" s="105"/>
      <c r="N464" s="105"/>
      <c r="O464" s="105"/>
      <c r="P464" s="105"/>
      <c r="Q464" s="105"/>
      <c r="R464" s="105"/>
      <c r="S464" s="105"/>
      <c r="T464" s="105"/>
      <c r="U464" s="105"/>
      <c r="V464" s="105"/>
      <c r="W464" s="105"/>
      <c r="X464" s="105"/>
      <c r="Y464" s="105"/>
      <c r="Z464" s="105"/>
      <c r="AA464" s="105"/>
    </row>
    <row r="465" ht="15.75" hidden="1" customHeight="1">
      <c r="A465" s="105"/>
      <c r="B465" s="105"/>
      <c r="C465" s="105"/>
      <c r="D465" s="105"/>
      <c r="E465" s="105"/>
      <c r="F465" s="105"/>
      <c r="G465" s="105"/>
      <c r="H465" s="105"/>
      <c r="I465" s="105"/>
      <c r="J465" s="105"/>
      <c r="K465" s="105"/>
      <c r="L465" s="105"/>
      <c r="M465" s="105"/>
      <c r="N465" s="105"/>
      <c r="O465" s="105"/>
      <c r="P465" s="105"/>
      <c r="Q465" s="105"/>
      <c r="R465" s="105"/>
      <c r="S465" s="105"/>
      <c r="T465" s="105"/>
      <c r="U465" s="105"/>
      <c r="V465" s="105"/>
      <c r="W465" s="105"/>
      <c r="X465" s="105"/>
      <c r="Y465" s="105"/>
      <c r="Z465" s="105"/>
      <c r="AA465" s="105"/>
    </row>
    <row r="466" ht="15.75" hidden="1" customHeight="1">
      <c r="A466" s="105"/>
      <c r="B466" s="105"/>
      <c r="C466" s="105"/>
      <c r="D466" s="105"/>
      <c r="E466" s="105"/>
      <c r="F466" s="105"/>
      <c r="G466" s="105"/>
      <c r="H466" s="105"/>
      <c r="I466" s="105"/>
      <c r="J466" s="105"/>
      <c r="K466" s="105"/>
      <c r="L466" s="105"/>
      <c r="M466" s="105"/>
      <c r="N466" s="105"/>
      <c r="O466" s="105"/>
      <c r="P466" s="105"/>
      <c r="Q466" s="105"/>
      <c r="R466" s="105"/>
      <c r="S466" s="105"/>
      <c r="T466" s="105"/>
      <c r="U466" s="105"/>
      <c r="V466" s="105"/>
      <c r="W466" s="105"/>
      <c r="X466" s="105"/>
      <c r="Y466" s="105"/>
      <c r="Z466" s="105"/>
      <c r="AA466" s="105"/>
    </row>
    <row r="467" ht="15.75" hidden="1" customHeight="1">
      <c r="A467" s="105"/>
      <c r="B467" s="105"/>
      <c r="C467" s="105"/>
      <c r="D467" s="105"/>
      <c r="E467" s="105"/>
      <c r="F467" s="105"/>
      <c r="G467" s="105"/>
      <c r="H467" s="105"/>
      <c r="I467" s="105"/>
      <c r="J467" s="105"/>
      <c r="K467" s="105"/>
      <c r="L467" s="105"/>
      <c r="M467" s="105"/>
      <c r="N467" s="105"/>
      <c r="O467" s="105"/>
      <c r="P467" s="105"/>
      <c r="Q467" s="105"/>
      <c r="R467" s="105"/>
      <c r="S467" s="105"/>
      <c r="T467" s="105"/>
      <c r="U467" s="105"/>
      <c r="V467" s="105"/>
      <c r="W467" s="105"/>
      <c r="X467" s="105"/>
      <c r="Y467" s="105"/>
      <c r="Z467" s="105"/>
      <c r="AA467" s="105"/>
    </row>
    <row r="468" ht="15.75" hidden="1" customHeight="1">
      <c r="A468" s="105"/>
      <c r="B468" s="105"/>
      <c r="C468" s="105"/>
      <c r="D468" s="105"/>
      <c r="E468" s="105"/>
      <c r="F468" s="105"/>
      <c r="G468" s="105"/>
      <c r="H468" s="105"/>
      <c r="I468" s="105"/>
      <c r="J468" s="105"/>
      <c r="K468" s="105"/>
      <c r="L468" s="105"/>
      <c r="M468" s="105"/>
      <c r="N468" s="105"/>
      <c r="O468" s="105"/>
      <c r="P468" s="105"/>
      <c r="Q468" s="105"/>
      <c r="R468" s="105"/>
      <c r="S468" s="105"/>
      <c r="T468" s="105"/>
      <c r="U468" s="105"/>
      <c r="V468" s="105"/>
      <c r="W468" s="105"/>
      <c r="X468" s="105"/>
      <c r="Y468" s="105"/>
      <c r="Z468" s="105"/>
      <c r="AA468" s="105"/>
    </row>
    <row r="469" ht="15.75" hidden="1" customHeight="1">
      <c r="A469" s="105"/>
      <c r="B469" s="105"/>
      <c r="C469" s="105"/>
      <c r="D469" s="105"/>
      <c r="E469" s="105"/>
      <c r="F469" s="105"/>
      <c r="G469" s="105"/>
      <c r="H469" s="105"/>
      <c r="I469" s="105"/>
      <c r="J469" s="105"/>
      <c r="K469" s="105"/>
      <c r="L469" s="105"/>
      <c r="M469" s="105"/>
      <c r="N469" s="105"/>
      <c r="O469" s="105"/>
      <c r="P469" s="105"/>
      <c r="Q469" s="105"/>
      <c r="R469" s="105"/>
      <c r="S469" s="105"/>
      <c r="T469" s="105"/>
      <c r="U469" s="105"/>
      <c r="V469" s="105"/>
      <c r="W469" s="105"/>
      <c r="X469" s="105"/>
      <c r="Y469" s="105"/>
      <c r="Z469" s="105"/>
      <c r="AA469" s="105"/>
    </row>
    <row r="470" ht="15.75" hidden="1" customHeight="1">
      <c r="A470" s="105"/>
      <c r="B470" s="105"/>
      <c r="C470" s="105"/>
      <c r="D470" s="105"/>
      <c r="E470" s="105"/>
      <c r="F470" s="105"/>
      <c r="G470" s="105"/>
      <c r="H470" s="105"/>
      <c r="I470" s="105"/>
      <c r="J470" s="105"/>
      <c r="K470" s="105"/>
      <c r="L470" s="105"/>
      <c r="M470" s="105"/>
      <c r="N470" s="105"/>
      <c r="O470" s="105"/>
      <c r="P470" s="105"/>
      <c r="Q470" s="105"/>
      <c r="R470" s="105"/>
      <c r="S470" s="105"/>
      <c r="T470" s="105"/>
      <c r="U470" s="105"/>
      <c r="V470" s="105"/>
      <c r="W470" s="105"/>
      <c r="X470" s="105"/>
      <c r="Y470" s="105"/>
      <c r="Z470" s="105"/>
      <c r="AA470" s="105"/>
    </row>
    <row r="471" ht="15.75" hidden="1" customHeight="1">
      <c r="A471" s="105"/>
      <c r="B471" s="105"/>
      <c r="C471" s="105"/>
      <c r="D471" s="105"/>
      <c r="E471" s="105"/>
      <c r="F471" s="105"/>
      <c r="G471" s="105"/>
      <c r="H471" s="105"/>
      <c r="I471" s="105"/>
      <c r="J471" s="105"/>
      <c r="K471" s="105"/>
      <c r="L471" s="105"/>
      <c r="M471" s="105"/>
      <c r="N471" s="105"/>
      <c r="O471" s="105"/>
      <c r="P471" s="105"/>
      <c r="Q471" s="105"/>
      <c r="R471" s="105"/>
      <c r="S471" s="105"/>
      <c r="T471" s="105"/>
      <c r="U471" s="105"/>
      <c r="V471" s="105"/>
      <c r="W471" s="105"/>
      <c r="X471" s="105"/>
      <c r="Y471" s="105"/>
      <c r="Z471" s="105"/>
      <c r="AA471" s="105"/>
    </row>
    <row r="472" ht="15.75" hidden="1" customHeight="1">
      <c r="A472" s="105"/>
      <c r="B472" s="105"/>
      <c r="C472" s="105"/>
      <c r="D472" s="105"/>
      <c r="E472" s="105"/>
      <c r="F472" s="105"/>
      <c r="G472" s="105"/>
      <c r="H472" s="105"/>
      <c r="I472" s="105"/>
      <c r="J472" s="105"/>
      <c r="K472" s="105"/>
      <c r="L472" s="105"/>
      <c r="M472" s="105"/>
      <c r="N472" s="105"/>
      <c r="O472" s="105"/>
      <c r="P472" s="105"/>
      <c r="Q472" s="105"/>
      <c r="R472" s="105"/>
      <c r="S472" s="105"/>
      <c r="T472" s="105"/>
      <c r="U472" s="105"/>
      <c r="V472" s="105"/>
      <c r="W472" s="105"/>
      <c r="X472" s="105"/>
      <c r="Y472" s="105"/>
      <c r="Z472" s="105"/>
      <c r="AA472" s="105"/>
    </row>
    <row r="473" ht="15.75" hidden="1" customHeight="1">
      <c r="A473" s="105"/>
      <c r="B473" s="105"/>
      <c r="C473" s="105"/>
      <c r="D473" s="105"/>
      <c r="E473" s="105"/>
      <c r="F473" s="105"/>
      <c r="G473" s="105"/>
      <c r="H473" s="105"/>
      <c r="I473" s="105"/>
      <c r="J473" s="105"/>
      <c r="K473" s="105"/>
      <c r="L473" s="105"/>
      <c r="M473" s="105"/>
      <c r="N473" s="105"/>
      <c r="O473" s="105"/>
      <c r="P473" s="105"/>
      <c r="Q473" s="105"/>
      <c r="R473" s="105"/>
      <c r="S473" s="105"/>
      <c r="T473" s="105"/>
      <c r="U473" s="105"/>
      <c r="V473" s="105"/>
      <c r="W473" s="105"/>
      <c r="X473" s="105"/>
      <c r="Y473" s="105"/>
      <c r="Z473" s="105"/>
      <c r="AA473" s="105"/>
    </row>
    <row r="474" ht="15.75" hidden="1" customHeight="1">
      <c r="A474" s="105"/>
      <c r="B474" s="105"/>
      <c r="C474" s="105"/>
      <c r="D474" s="105"/>
      <c r="E474" s="105"/>
      <c r="F474" s="105"/>
      <c r="G474" s="105"/>
      <c r="H474" s="105"/>
      <c r="I474" s="105"/>
      <c r="J474" s="105"/>
      <c r="K474" s="105"/>
      <c r="L474" s="105"/>
      <c r="M474" s="105"/>
      <c r="N474" s="105"/>
      <c r="O474" s="105"/>
      <c r="P474" s="105"/>
      <c r="Q474" s="105"/>
      <c r="R474" s="105"/>
      <c r="S474" s="105"/>
      <c r="T474" s="105"/>
      <c r="U474" s="105"/>
      <c r="V474" s="105"/>
      <c r="W474" s="105"/>
      <c r="X474" s="105"/>
      <c r="Y474" s="105"/>
      <c r="Z474" s="105"/>
      <c r="AA474" s="105"/>
    </row>
    <row r="475" ht="15.75" hidden="1" customHeight="1">
      <c r="A475" s="105"/>
      <c r="B475" s="105"/>
      <c r="C475" s="105"/>
      <c r="D475" s="105"/>
      <c r="E475" s="105"/>
      <c r="F475" s="105"/>
      <c r="G475" s="105"/>
      <c r="H475" s="105"/>
      <c r="I475" s="105"/>
      <c r="J475" s="105"/>
      <c r="K475" s="105"/>
      <c r="L475" s="105"/>
      <c r="M475" s="105"/>
      <c r="N475" s="105"/>
      <c r="O475" s="105"/>
      <c r="P475" s="105"/>
      <c r="Q475" s="105"/>
      <c r="R475" s="105"/>
      <c r="S475" s="105"/>
      <c r="T475" s="105"/>
      <c r="U475" s="105"/>
      <c r="V475" s="105"/>
      <c r="W475" s="105"/>
      <c r="X475" s="105"/>
      <c r="Y475" s="105"/>
      <c r="Z475" s="105"/>
      <c r="AA475" s="105"/>
    </row>
    <row r="476" ht="15.75" hidden="1" customHeight="1">
      <c r="A476" s="105"/>
      <c r="B476" s="105"/>
      <c r="C476" s="105"/>
      <c r="D476" s="105"/>
      <c r="E476" s="105"/>
      <c r="F476" s="105"/>
      <c r="G476" s="105"/>
      <c r="H476" s="105"/>
      <c r="I476" s="105"/>
      <c r="J476" s="105"/>
      <c r="K476" s="105"/>
      <c r="L476" s="105"/>
      <c r="M476" s="105"/>
      <c r="N476" s="105"/>
      <c r="O476" s="105"/>
      <c r="P476" s="105"/>
      <c r="Q476" s="105"/>
      <c r="R476" s="105"/>
      <c r="S476" s="105"/>
      <c r="T476" s="105"/>
      <c r="U476" s="105"/>
      <c r="V476" s="105"/>
      <c r="W476" s="105"/>
      <c r="X476" s="105"/>
      <c r="Y476" s="105"/>
      <c r="Z476" s="105"/>
      <c r="AA476" s="105"/>
    </row>
    <row r="477" ht="15.75" hidden="1" customHeight="1">
      <c r="A477" s="105"/>
      <c r="B477" s="105"/>
      <c r="C477" s="105"/>
      <c r="D477" s="105"/>
      <c r="E477" s="105"/>
      <c r="F477" s="105"/>
      <c r="G477" s="105"/>
      <c r="H477" s="105"/>
      <c r="I477" s="105"/>
      <c r="J477" s="105"/>
      <c r="K477" s="105"/>
      <c r="L477" s="105"/>
      <c r="M477" s="105"/>
      <c r="N477" s="105"/>
      <c r="O477" s="105"/>
      <c r="P477" s="105"/>
      <c r="Q477" s="105"/>
      <c r="R477" s="105"/>
      <c r="S477" s="105"/>
      <c r="T477" s="105"/>
      <c r="U477" s="105"/>
      <c r="V477" s="105"/>
      <c r="W477" s="105"/>
      <c r="X477" s="105"/>
      <c r="Y477" s="105"/>
      <c r="Z477" s="105"/>
      <c r="AA477" s="105"/>
    </row>
    <row r="478" ht="15.75" hidden="1" customHeight="1">
      <c r="A478" s="105"/>
      <c r="B478" s="105"/>
      <c r="C478" s="105"/>
      <c r="D478" s="105"/>
      <c r="E478" s="105"/>
      <c r="F478" s="105"/>
      <c r="G478" s="105"/>
      <c r="H478" s="105"/>
      <c r="I478" s="105"/>
      <c r="J478" s="105"/>
      <c r="K478" s="105"/>
      <c r="L478" s="105"/>
      <c r="M478" s="105"/>
      <c r="N478" s="105"/>
      <c r="O478" s="105"/>
      <c r="P478" s="105"/>
      <c r="Q478" s="105"/>
      <c r="R478" s="105"/>
      <c r="S478" s="105"/>
      <c r="T478" s="105"/>
      <c r="U478" s="105"/>
      <c r="V478" s="105"/>
      <c r="W478" s="105"/>
      <c r="X478" s="105"/>
      <c r="Y478" s="105"/>
      <c r="Z478" s="105"/>
      <c r="AA478" s="105"/>
    </row>
    <row r="479" ht="15.75" hidden="1" customHeight="1">
      <c r="A479" s="105"/>
      <c r="B479" s="105"/>
      <c r="C479" s="105"/>
      <c r="D479" s="105"/>
      <c r="E479" s="105"/>
      <c r="F479" s="105"/>
      <c r="G479" s="105"/>
      <c r="H479" s="105"/>
      <c r="I479" s="105"/>
      <c r="J479" s="105"/>
      <c r="K479" s="105"/>
      <c r="L479" s="105"/>
      <c r="M479" s="105"/>
      <c r="N479" s="105"/>
      <c r="O479" s="105"/>
      <c r="P479" s="105"/>
      <c r="Q479" s="105"/>
      <c r="R479" s="105"/>
      <c r="S479" s="105"/>
      <c r="T479" s="105"/>
      <c r="U479" s="105"/>
      <c r="V479" s="105"/>
      <c r="W479" s="105"/>
      <c r="X479" s="105"/>
      <c r="Y479" s="105"/>
      <c r="Z479" s="105"/>
      <c r="AA479" s="105"/>
    </row>
    <row r="480" ht="15.75" hidden="1" customHeight="1">
      <c r="A480" s="105"/>
      <c r="B480" s="105"/>
      <c r="C480" s="105"/>
      <c r="D480" s="105"/>
      <c r="E480" s="105"/>
      <c r="F480" s="105"/>
      <c r="G480" s="105"/>
      <c r="H480" s="105"/>
      <c r="I480" s="105"/>
      <c r="J480" s="105"/>
      <c r="K480" s="105"/>
      <c r="L480" s="105"/>
      <c r="M480" s="105"/>
      <c r="N480" s="105"/>
      <c r="O480" s="105"/>
      <c r="P480" s="105"/>
      <c r="Q480" s="105"/>
      <c r="R480" s="105"/>
      <c r="S480" s="105"/>
      <c r="T480" s="105"/>
      <c r="U480" s="105"/>
      <c r="V480" s="105"/>
      <c r="W480" s="105"/>
      <c r="X480" s="105"/>
      <c r="Y480" s="105"/>
      <c r="Z480" s="105"/>
      <c r="AA480" s="105"/>
    </row>
    <row r="481" ht="15.75" hidden="1" customHeight="1">
      <c r="A481" s="105"/>
      <c r="B481" s="105"/>
      <c r="C481" s="105"/>
      <c r="D481" s="105"/>
      <c r="E481" s="105"/>
      <c r="F481" s="105"/>
      <c r="G481" s="105"/>
      <c r="H481" s="105"/>
      <c r="I481" s="105"/>
      <c r="J481" s="105"/>
      <c r="K481" s="105"/>
      <c r="L481" s="105"/>
      <c r="M481" s="105"/>
      <c r="N481" s="105"/>
      <c r="O481" s="105"/>
      <c r="P481" s="105"/>
      <c r="Q481" s="105"/>
      <c r="R481" s="105"/>
      <c r="S481" s="105"/>
      <c r="T481" s="105"/>
      <c r="U481" s="105"/>
      <c r="V481" s="105"/>
      <c r="W481" s="105"/>
      <c r="X481" s="105"/>
      <c r="Y481" s="105"/>
      <c r="Z481" s="105"/>
      <c r="AA481" s="105"/>
    </row>
    <row r="482" ht="15.75" hidden="1" customHeight="1">
      <c r="A482" s="105"/>
      <c r="B482" s="105"/>
      <c r="C482" s="105"/>
      <c r="D482" s="105"/>
      <c r="E482" s="105"/>
      <c r="F482" s="105"/>
      <c r="G482" s="105"/>
      <c r="H482" s="105"/>
      <c r="I482" s="105"/>
      <c r="J482" s="105"/>
      <c r="K482" s="105"/>
      <c r="L482" s="105"/>
      <c r="M482" s="105"/>
      <c r="N482" s="105"/>
      <c r="O482" s="105"/>
      <c r="P482" s="105"/>
      <c r="Q482" s="105"/>
      <c r="R482" s="105"/>
      <c r="S482" s="105"/>
      <c r="T482" s="105"/>
      <c r="U482" s="105"/>
      <c r="V482" s="105"/>
      <c r="W482" s="105"/>
      <c r="X482" s="105"/>
      <c r="Y482" s="105"/>
      <c r="Z482" s="105"/>
      <c r="AA482" s="105"/>
    </row>
    <row r="483" ht="15.75" hidden="1" customHeight="1">
      <c r="A483" s="105"/>
      <c r="B483" s="105"/>
      <c r="C483" s="105"/>
      <c r="D483" s="105"/>
      <c r="E483" s="105"/>
      <c r="F483" s="105"/>
      <c r="G483" s="105"/>
      <c r="H483" s="105"/>
      <c r="I483" s="105"/>
      <c r="J483" s="105"/>
      <c r="K483" s="105"/>
      <c r="L483" s="105"/>
      <c r="M483" s="105"/>
      <c r="N483" s="105"/>
      <c r="O483" s="105"/>
      <c r="P483" s="105"/>
      <c r="Q483" s="105"/>
      <c r="R483" s="105"/>
      <c r="S483" s="105"/>
      <c r="T483" s="105"/>
      <c r="U483" s="105"/>
      <c r="V483" s="105"/>
      <c r="W483" s="105"/>
      <c r="X483" s="105"/>
      <c r="Y483" s="105"/>
      <c r="Z483" s="105"/>
      <c r="AA483" s="105"/>
    </row>
    <row r="484" ht="15.75" hidden="1" customHeight="1">
      <c r="A484" s="105"/>
      <c r="B484" s="105"/>
      <c r="C484" s="105"/>
      <c r="D484" s="105"/>
      <c r="E484" s="105"/>
      <c r="F484" s="105"/>
      <c r="G484" s="105"/>
      <c r="H484" s="105"/>
      <c r="I484" s="105"/>
      <c r="J484" s="105"/>
      <c r="K484" s="105"/>
      <c r="L484" s="105"/>
      <c r="M484" s="105"/>
      <c r="N484" s="105"/>
      <c r="O484" s="105"/>
      <c r="P484" s="105"/>
      <c r="Q484" s="105"/>
      <c r="R484" s="105"/>
      <c r="S484" s="105"/>
      <c r="T484" s="105"/>
      <c r="U484" s="105"/>
      <c r="V484" s="105"/>
      <c r="W484" s="105"/>
      <c r="X484" s="105"/>
      <c r="Y484" s="105"/>
      <c r="Z484" s="105"/>
      <c r="AA484" s="105"/>
    </row>
    <row r="485" ht="15.75" hidden="1" customHeight="1">
      <c r="A485" s="105"/>
      <c r="B485" s="105"/>
      <c r="C485" s="105"/>
      <c r="D485" s="105"/>
      <c r="E485" s="105"/>
      <c r="F485" s="105"/>
      <c r="G485" s="105"/>
      <c r="H485" s="105"/>
      <c r="I485" s="105"/>
      <c r="J485" s="105"/>
      <c r="K485" s="105"/>
      <c r="L485" s="105"/>
      <c r="M485" s="105"/>
      <c r="N485" s="105"/>
      <c r="O485" s="105"/>
      <c r="P485" s="105"/>
      <c r="Q485" s="105"/>
      <c r="R485" s="105"/>
      <c r="S485" s="105"/>
      <c r="T485" s="105"/>
      <c r="U485" s="105"/>
      <c r="V485" s="105"/>
      <c r="W485" s="105"/>
      <c r="X485" s="105"/>
      <c r="Y485" s="105"/>
      <c r="Z485" s="105"/>
      <c r="AA485" s="105"/>
    </row>
    <row r="486" ht="15.75" hidden="1" customHeight="1">
      <c r="A486" s="105"/>
      <c r="B486" s="105"/>
      <c r="C486" s="105"/>
      <c r="D486" s="105"/>
      <c r="E486" s="105"/>
      <c r="F486" s="105"/>
      <c r="G486" s="105"/>
      <c r="H486" s="105"/>
      <c r="I486" s="105"/>
      <c r="J486" s="105"/>
      <c r="K486" s="105"/>
      <c r="L486" s="105"/>
      <c r="M486" s="105"/>
      <c r="N486" s="105"/>
      <c r="O486" s="105"/>
      <c r="P486" s="105"/>
      <c r="Q486" s="105"/>
      <c r="R486" s="105"/>
      <c r="S486" s="105"/>
      <c r="T486" s="105"/>
      <c r="U486" s="105"/>
      <c r="V486" s="105"/>
      <c r="W486" s="105"/>
      <c r="X486" s="105"/>
      <c r="Y486" s="105"/>
      <c r="Z486" s="105"/>
      <c r="AA486" s="105"/>
    </row>
    <row r="487" ht="15.75" hidden="1" customHeight="1">
      <c r="A487" s="105"/>
      <c r="B487" s="105"/>
      <c r="C487" s="105"/>
      <c r="D487" s="105"/>
      <c r="E487" s="105"/>
      <c r="F487" s="105"/>
      <c r="G487" s="105"/>
      <c r="H487" s="105"/>
      <c r="I487" s="105"/>
      <c r="J487" s="105"/>
      <c r="K487" s="105"/>
      <c r="L487" s="105"/>
      <c r="M487" s="105"/>
      <c r="N487" s="105"/>
      <c r="O487" s="105"/>
      <c r="P487" s="105"/>
      <c r="Q487" s="105"/>
      <c r="R487" s="105"/>
      <c r="S487" s="105"/>
      <c r="T487" s="105"/>
      <c r="U487" s="105"/>
      <c r="V487" s="105"/>
      <c r="W487" s="105"/>
      <c r="X487" s="105"/>
      <c r="Y487" s="105"/>
      <c r="Z487" s="105"/>
      <c r="AA487" s="105"/>
    </row>
    <row r="488" ht="15.75" hidden="1" customHeight="1">
      <c r="A488" s="105"/>
      <c r="B488" s="105"/>
      <c r="C488" s="105"/>
      <c r="D488" s="105"/>
      <c r="E488" s="105"/>
      <c r="F488" s="105"/>
      <c r="G488" s="105"/>
      <c r="H488" s="105"/>
      <c r="I488" s="105"/>
      <c r="J488" s="105"/>
      <c r="K488" s="105"/>
      <c r="L488" s="105"/>
      <c r="M488" s="105"/>
      <c r="N488" s="105"/>
      <c r="O488" s="105"/>
      <c r="P488" s="105"/>
      <c r="Q488" s="105"/>
      <c r="R488" s="105"/>
      <c r="S488" s="105"/>
      <c r="T488" s="105"/>
      <c r="U488" s="105"/>
      <c r="V488" s="105"/>
      <c r="W488" s="105"/>
      <c r="X488" s="105"/>
      <c r="Y488" s="105"/>
      <c r="Z488" s="105"/>
      <c r="AA488" s="105"/>
    </row>
    <row r="489" ht="15.75" hidden="1" customHeight="1">
      <c r="A489" s="105"/>
      <c r="B489" s="105"/>
      <c r="C489" s="105"/>
      <c r="D489" s="105"/>
      <c r="E489" s="105"/>
      <c r="F489" s="105"/>
      <c r="G489" s="105"/>
      <c r="H489" s="105"/>
      <c r="I489" s="105"/>
      <c r="J489" s="105"/>
      <c r="K489" s="105"/>
      <c r="L489" s="105"/>
      <c r="M489" s="105"/>
      <c r="N489" s="105"/>
      <c r="O489" s="105"/>
      <c r="P489" s="105"/>
      <c r="Q489" s="105"/>
      <c r="R489" s="105"/>
      <c r="S489" s="105"/>
      <c r="T489" s="105"/>
      <c r="U489" s="105"/>
      <c r="V489" s="105"/>
      <c r="W489" s="105"/>
      <c r="X489" s="105"/>
      <c r="Y489" s="105"/>
      <c r="Z489" s="105"/>
      <c r="AA489" s="105"/>
    </row>
    <row r="490" ht="15.75" hidden="1" customHeight="1">
      <c r="A490" s="105"/>
      <c r="B490" s="105"/>
      <c r="C490" s="105"/>
      <c r="D490" s="105"/>
      <c r="E490" s="105"/>
      <c r="F490" s="105"/>
      <c r="G490" s="105"/>
      <c r="H490" s="105"/>
      <c r="I490" s="105"/>
      <c r="J490" s="105"/>
      <c r="K490" s="105"/>
      <c r="L490" s="105"/>
      <c r="M490" s="105"/>
      <c r="N490" s="105"/>
      <c r="O490" s="105"/>
      <c r="P490" s="105"/>
      <c r="Q490" s="105"/>
      <c r="R490" s="105"/>
      <c r="S490" s="105"/>
      <c r="T490" s="105"/>
      <c r="U490" s="105"/>
      <c r="V490" s="105"/>
      <c r="W490" s="105"/>
      <c r="X490" s="105"/>
      <c r="Y490" s="105"/>
      <c r="Z490" s="105"/>
      <c r="AA490" s="105"/>
    </row>
    <row r="491" ht="15.75" hidden="1" customHeight="1">
      <c r="A491" s="105"/>
      <c r="B491" s="105"/>
      <c r="C491" s="105"/>
      <c r="D491" s="105"/>
      <c r="E491" s="105"/>
      <c r="F491" s="105"/>
      <c r="G491" s="105"/>
      <c r="H491" s="105"/>
      <c r="I491" s="105"/>
      <c r="J491" s="105"/>
      <c r="K491" s="105"/>
      <c r="L491" s="105"/>
      <c r="M491" s="105"/>
      <c r="N491" s="105"/>
      <c r="O491" s="105"/>
      <c r="P491" s="105"/>
      <c r="Q491" s="105"/>
      <c r="R491" s="105"/>
      <c r="S491" s="105"/>
      <c r="T491" s="105"/>
      <c r="U491" s="105"/>
      <c r="V491" s="105"/>
      <c r="W491" s="105"/>
      <c r="X491" s="105"/>
      <c r="Y491" s="105"/>
      <c r="Z491" s="105"/>
      <c r="AA491" s="105"/>
    </row>
    <row r="492" ht="15.75" hidden="1" customHeight="1">
      <c r="A492" s="105"/>
      <c r="B492" s="105"/>
      <c r="C492" s="105"/>
      <c r="D492" s="105"/>
      <c r="E492" s="105"/>
      <c r="F492" s="105"/>
      <c r="G492" s="105"/>
      <c r="H492" s="105"/>
      <c r="I492" s="105"/>
      <c r="J492" s="105"/>
      <c r="K492" s="105"/>
      <c r="L492" s="105"/>
      <c r="M492" s="105"/>
      <c r="N492" s="105"/>
      <c r="O492" s="105"/>
      <c r="P492" s="105"/>
      <c r="Q492" s="105"/>
      <c r="R492" s="105"/>
      <c r="S492" s="105"/>
      <c r="T492" s="105"/>
      <c r="U492" s="105"/>
      <c r="V492" s="105"/>
      <c r="W492" s="105"/>
      <c r="X492" s="105"/>
      <c r="Y492" s="105"/>
      <c r="Z492" s="105"/>
      <c r="AA492" s="105"/>
    </row>
    <row r="493" ht="15.75" hidden="1" customHeight="1">
      <c r="A493" s="105"/>
      <c r="B493" s="105"/>
      <c r="C493" s="105"/>
      <c r="D493" s="105"/>
      <c r="E493" s="105"/>
      <c r="F493" s="105"/>
      <c r="G493" s="105"/>
      <c r="H493" s="105"/>
      <c r="I493" s="105"/>
      <c r="J493" s="105"/>
      <c r="K493" s="105"/>
      <c r="L493" s="105"/>
      <c r="M493" s="105"/>
      <c r="N493" s="105"/>
      <c r="O493" s="105"/>
      <c r="P493" s="105"/>
      <c r="Q493" s="105"/>
      <c r="R493" s="105"/>
      <c r="S493" s="105"/>
      <c r="T493" s="105"/>
      <c r="U493" s="105"/>
      <c r="V493" s="105"/>
      <c r="W493" s="105"/>
      <c r="X493" s="105"/>
      <c r="Y493" s="105"/>
      <c r="Z493" s="105"/>
      <c r="AA493" s="105"/>
    </row>
    <row r="494" ht="15.75" hidden="1" customHeight="1">
      <c r="A494" s="105"/>
      <c r="B494" s="105"/>
      <c r="C494" s="105"/>
      <c r="D494" s="105"/>
      <c r="E494" s="105"/>
      <c r="F494" s="105"/>
      <c r="G494" s="105"/>
      <c r="H494" s="105"/>
      <c r="I494" s="105"/>
      <c r="J494" s="105"/>
      <c r="K494" s="105"/>
      <c r="L494" s="105"/>
      <c r="M494" s="105"/>
      <c r="N494" s="105"/>
      <c r="O494" s="105"/>
      <c r="P494" s="105"/>
      <c r="Q494" s="105"/>
      <c r="R494" s="105"/>
      <c r="S494" s="105"/>
      <c r="T494" s="105"/>
      <c r="U494" s="105"/>
      <c r="V494" s="105"/>
      <c r="W494" s="105"/>
      <c r="X494" s="105"/>
      <c r="Y494" s="105"/>
      <c r="Z494" s="105"/>
      <c r="AA494" s="105"/>
    </row>
    <row r="495" ht="15.75" hidden="1" customHeight="1">
      <c r="A495" s="105"/>
      <c r="B495" s="105"/>
      <c r="C495" s="105"/>
      <c r="D495" s="105"/>
      <c r="E495" s="105"/>
      <c r="F495" s="105"/>
      <c r="G495" s="105"/>
      <c r="H495" s="105"/>
      <c r="I495" s="105"/>
      <c r="J495" s="105"/>
      <c r="K495" s="105"/>
      <c r="L495" s="105"/>
      <c r="M495" s="105"/>
      <c r="N495" s="105"/>
      <c r="O495" s="105"/>
      <c r="P495" s="105"/>
      <c r="Q495" s="105"/>
      <c r="R495" s="105"/>
      <c r="S495" s="105"/>
      <c r="T495" s="105"/>
      <c r="U495" s="105"/>
      <c r="V495" s="105"/>
      <c r="W495" s="105"/>
      <c r="X495" s="105"/>
      <c r="Y495" s="105"/>
      <c r="Z495" s="105"/>
      <c r="AA495" s="105"/>
    </row>
    <row r="496" ht="15.75" hidden="1" customHeight="1">
      <c r="A496" s="105"/>
      <c r="B496" s="105"/>
      <c r="C496" s="105"/>
      <c r="D496" s="105"/>
      <c r="E496" s="105"/>
      <c r="F496" s="105"/>
      <c r="G496" s="105"/>
      <c r="H496" s="105"/>
      <c r="I496" s="105"/>
      <c r="J496" s="105"/>
      <c r="K496" s="105"/>
      <c r="L496" s="105"/>
      <c r="M496" s="105"/>
      <c r="N496" s="105"/>
      <c r="O496" s="105"/>
      <c r="P496" s="105"/>
      <c r="Q496" s="105"/>
      <c r="R496" s="105"/>
      <c r="S496" s="105"/>
      <c r="T496" s="105"/>
      <c r="U496" s="105"/>
      <c r="V496" s="105"/>
      <c r="W496" s="105"/>
      <c r="X496" s="105"/>
      <c r="Y496" s="105"/>
      <c r="Z496" s="105"/>
      <c r="AA496" s="105"/>
    </row>
    <row r="497" ht="15.75" hidden="1" customHeight="1">
      <c r="A497" s="105"/>
      <c r="B497" s="105"/>
      <c r="C497" s="105"/>
      <c r="D497" s="105"/>
      <c r="E497" s="105"/>
      <c r="F497" s="105"/>
      <c r="G497" s="105"/>
      <c r="H497" s="105"/>
      <c r="I497" s="105"/>
      <c r="J497" s="105"/>
      <c r="K497" s="105"/>
      <c r="L497" s="105"/>
      <c r="M497" s="105"/>
      <c r="N497" s="105"/>
      <c r="O497" s="105"/>
      <c r="P497" s="105"/>
      <c r="Q497" s="105"/>
      <c r="R497" s="105"/>
      <c r="S497" s="105"/>
      <c r="T497" s="105"/>
      <c r="U497" s="105"/>
      <c r="V497" s="105"/>
      <c r="W497" s="105"/>
      <c r="X497" s="105"/>
      <c r="Y497" s="105"/>
      <c r="Z497" s="105"/>
      <c r="AA497" s="105"/>
    </row>
    <row r="498" ht="15.75" hidden="1" customHeight="1">
      <c r="A498" s="105"/>
      <c r="B498" s="105"/>
      <c r="C498" s="105"/>
      <c r="D498" s="105"/>
      <c r="E498" s="105"/>
      <c r="F498" s="105"/>
      <c r="G498" s="105"/>
      <c r="H498" s="105"/>
      <c r="I498" s="105"/>
      <c r="J498" s="105"/>
      <c r="K498" s="105"/>
      <c r="L498" s="105"/>
      <c r="M498" s="105"/>
      <c r="N498" s="105"/>
      <c r="O498" s="105"/>
      <c r="P498" s="105"/>
      <c r="Q498" s="105"/>
      <c r="R498" s="105"/>
      <c r="S498" s="105"/>
      <c r="T498" s="105"/>
      <c r="U498" s="105"/>
      <c r="V498" s="105"/>
      <c r="W498" s="105"/>
      <c r="X498" s="105"/>
      <c r="Y498" s="105"/>
      <c r="Z498" s="105"/>
      <c r="AA498" s="105"/>
    </row>
    <row r="499" ht="15.75" hidden="1" customHeight="1">
      <c r="A499" s="105"/>
      <c r="B499" s="105"/>
      <c r="C499" s="105"/>
      <c r="D499" s="105"/>
      <c r="E499" s="105"/>
      <c r="F499" s="105"/>
      <c r="G499" s="105"/>
      <c r="H499" s="105"/>
      <c r="I499" s="105"/>
      <c r="J499" s="105"/>
      <c r="K499" s="105"/>
      <c r="L499" s="105"/>
      <c r="M499" s="105"/>
      <c r="N499" s="105"/>
      <c r="O499" s="105"/>
      <c r="P499" s="105"/>
      <c r="Q499" s="105"/>
      <c r="R499" s="105"/>
      <c r="S499" s="105"/>
      <c r="T499" s="105"/>
      <c r="U499" s="105"/>
      <c r="V499" s="105"/>
      <c r="W499" s="105"/>
      <c r="X499" s="105"/>
      <c r="Y499" s="105"/>
      <c r="Z499" s="105"/>
      <c r="AA499" s="105"/>
    </row>
    <row r="500" ht="15.75" hidden="1" customHeight="1">
      <c r="A500" s="105"/>
      <c r="B500" s="105"/>
      <c r="C500" s="105"/>
      <c r="D500" s="105"/>
      <c r="E500" s="105"/>
      <c r="F500" s="105"/>
      <c r="G500" s="105"/>
      <c r="H500" s="105"/>
      <c r="I500" s="105"/>
      <c r="J500" s="105"/>
      <c r="K500" s="105"/>
      <c r="L500" s="105"/>
      <c r="M500" s="105"/>
      <c r="N500" s="105"/>
      <c r="O500" s="105"/>
      <c r="P500" s="105"/>
      <c r="Q500" s="105"/>
      <c r="R500" s="105"/>
      <c r="S500" s="105"/>
      <c r="T500" s="105"/>
      <c r="U500" s="105"/>
      <c r="V500" s="105"/>
      <c r="W500" s="105"/>
      <c r="X500" s="105"/>
      <c r="Y500" s="105"/>
      <c r="Z500" s="105"/>
      <c r="AA500" s="105"/>
    </row>
    <row r="501" ht="15.75" hidden="1" customHeight="1">
      <c r="A501" s="105"/>
      <c r="B501" s="105"/>
      <c r="C501" s="105"/>
      <c r="D501" s="105"/>
      <c r="E501" s="105"/>
      <c r="F501" s="105"/>
      <c r="G501" s="105"/>
      <c r="H501" s="105"/>
      <c r="I501" s="105"/>
      <c r="J501" s="105"/>
      <c r="K501" s="105"/>
      <c r="L501" s="105"/>
      <c r="M501" s="105"/>
      <c r="N501" s="105"/>
      <c r="O501" s="105"/>
      <c r="P501" s="105"/>
      <c r="Q501" s="105"/>
      <c r="R501" s="105"/>
      <c r="S501" s="105"/>
      <c r="T501" s="105"/>
      <c r="U501" s="105"/>
      <c r="V501" s="105"/>
      <c r="W501" s="105"/>
      <c r="X501" s="105"/>
      <c r="Y501" s="105"/>
      <c r="Z501" s="105"/>
      <c r="AA501" s="105"/>
    </row>
    <row r="502" ht="15.75" hidden="1" customHeight="1">
      <c r="A502" s="105"/>
      <c r="B502" s="105"/>
      <c r="C502" s="105"/>
      <c r="D502" s="105"/>
      <c r="E502" s="105"/>
      <c r="F502" s="105"/>
      <c r="G502" s="105"/>
      <c r="H502" s="105"/>
      <c r="I502" s="105"/>
      <c r="J502" s="105"/>
      <c r="K502" s="105"/>
      <c r="L502" s="105"/>
      <c r="M502" s="105"/>
      <c r="N502" s="105"/>
      <c r="O502" s="105"/>
      <c r="P502" s="105"/>
      <c r="Q502" s="105"/>
      <c r="R502" s="105"/>
      <c r="S502" s="105"/>
      <c r="T502" s="105"/>
      <c r="U502" s="105"/>
      <c r="V502" s="105"/>
      <c r="W502" s="105"/>
      <c r="X502" s="105"/>
      <c r="Y502" s="105"/>
      <c r="Z502" s="105"/>
      <c r="AA502" s="105"/>
    </row>
    <row r="503" ht="15.75" hidden="1" customHeight="1">
      <c r="A503" s="105"/>
      <c r="B503" s="105"/>
      <c r="C503" s="105"/>
      <c r="D503" s="105"/>
      <c r="E503" s="105"/>
      <c r="F503" s="105"/>
      <c r="G503" s="105"/>
      <c r="H503" s="105"/>
      <c r="I503" s="105"/>
      <c r="J503" s="105"/>
      <c r="K503" s="105"/>
      <c r="L503" s="105"/>
      <c r="M503" s="105"/>
      <c r="N503" s="105"/>
      <c r="O503" s="105"/>
      <c r="P503" s="105"/>
      <c r="Q503" s="105"/>
      <c r="R503" s="105"/>
      <c r="S503" s="105"/>
      <c r="T503" s="105"/>
      <c r="U503" s="105"/>
      <c r="V503" s="105"/>
      <c r="W503" s="105"/>
      <c r="X503" s="105"/>
      <c r="Y503" s="105"/>
      <c r="Z503" s="105"/>
      <c r="AA503" s="105"/>
    </row>
    <row r="504" ht="15.75" hidden="1" customHeight="1">
      <c r="A504" s="105"/>
      <c r="B504" s="105"/>
      <c r="C504" s="105"/>
      <c r="D504" s="105"/>
      <c r="E504" s="105"/>
      <c r="F504" s="105"/>
      <c r="G504" s="105"/>
      <c r="H504" s="105"/>
      <c r="I504" s="105"/>
      <c r="J504" s="105"/>
      <c r="K504" s="105"/>
      <c r="L504" s="105"/>
      <c r="M504" s="105"/>
      <c r="N504" s="105"/>
      <c r="O504" s="105"/>
      <c r="P504" s="105"/>
      <c r="Q504" s="105"/>
      <c r="R504" s="105"/>
      <c r="S504" s="105"/>
      <c r="T504" s="105"/>
      <c r="U504" s="105"/>
      <c r="V504" s="105"/>
      <c r="W504" s="105"/>
      <c r="X504" s="105"/>
      <c r="Y504" s="105"/>
      <c r="Z504" s="105"/>
      <c r="AA504" s="105"/>
    </row>
    <row r="505" ht="15.75" hidden="1" customHeight="1">
      <c r="A505" s="105"/>
      <c r="B505" s="105"/>
      <c r="C505" s="105"/>
      <c r="D505" s="105"/>
      <c r="E505" s="105"/>
      <c r="F505" s="105"/>
      <c r="G505" s="105"/>
      <c r="H505" s="105"/>
      <c r="I505" s="105"/>
      <c r="J505" s="105"/>
      <c r="K505" s="105"/>
      <c r="L505" s="105"/>
      <c r="M505" s="105"/>
      <c r="N505" s="105"/>
      <c r="O505" s="105"/>
      <c r="P505" s="105"/>
      <c r="Q505" s="105"/>
      <c r="R505" s="105"/>
      <c r="S505" s="105"/>
      <c r="T505" s="105"/>
      <c r="U505" s="105"/>
      <c r="V505" s="105"/>
      <c r="W505" s="105"/>
      <c r="X505" s="105"/>
      <c r="Y505" s="105"/>
      <c r="Z505" s="105"/>
      <c r="AA505" s="105"/>
    </row>
    <row r="506" ht="15.75" hidden="1" customHeight="1">
      <c r="A506" s="105"/>
      <c r="B506" s="105"/>
      <c r="C506" s="105"/>
      <c r="D506" s="105"/>
      <c r="E506" s="105"/>
      <c r="F506" s="105"/>
      <c r="G506" s="105"/>
      <c r="H506" s="105"/>
      <c r="I506" s="105"/>
      <c r="J506" s="105"/>
      <c r="K506" s="105"/>
      <c r="L506" s="105"/>
      <c r="M506" s="105"/>
      <c r="N506" s="105"/>
      <c r="O506" s="105"/>
      <c r="P506" s="105"/>
      <c r="Q506" s="105"/>
      <c r="R506" s="105"/>
      <c r="S506" s="105"/>
      <c r="T506" s="105"/>
      <c r="U506" s="105"/>
      <c r="V506" s="105"/>
      <c r="W506" s="105"/>
      <c r="X506" s="105"/>
      <c r="Y506" s="105"/>
      <c r="Z506" s="105"/>
      <c r="AA506" s="105"/>
    </row>
    <row r="507" ht="15.75" hidden="1" customHeight="1">
      <c r="A507" s="105"/>
      <c r="B507" s="105"/>
      <c r="C507" s="105"/>
      <c r="D507" s="105"/>
      <c r="E507" s="105"/>
      <c r="F507" s="105"/>
      <c r="G507" s="105"/>
      <c r="H507" s="105"/>
      <c r="I507" s="105"/>
      <c r="J507" s="105"/>
      <c r="K507" s="105"/>
      <c r="L507" s="105"/>
      <c r="M507" s="105"/>
      <c r="N507" s="105"/>
      <c r="O507" s="105"/>
      <c r="P507" s="105"/>
      <c r="Q507" s="105"/>
      <c r="R507" s="105"/>
      <c r="S507" s="105"/>
      <c r="T507" s="105"/>
      <c r="U507" s="105"/>
      <c r="V507" s="105"/>
      <c r="W507" s="105"/>
      <c r="X507" s="105"/>
      <c r="Y507" s="105"/>
      <c r="Z507" s="105"/>
      <c r="AA507" s="105"/>
    </row>
    <row r="508" ht="15.75" hidden="1" customHeight="1">
      <c r="A508" s="105"/>
      <c r="B508" s="105"/>
      <c r="C508" s="105"/>
      <c r="D508" s="105"/>
      <c r="E508" s="105"/>
      <c r="F508" s="105"/>
      <c r="G508" s="105"/>
      <c r="H508" s="105"/>
      <c r="I508" s="105"/>
      <c r="J508" s="105"/>
      <c r="K508" s="105"/>
      <c r="L508" s="105"/>
      <c r="M508" s="105"/>
      <c r="N508" s="105"/>
      <c r="O508" s="105"/>
      <c r="P508" s="105"/>
      <c r="Q508" s="105"/>
      <c r="R508" s="105"/>
      <c r="S508" s="105"/>
      <c r="T508" s="105"/>
      <c r="U508" s="105"/>
      <c r="V508" s="105"/>
      <c r="W508" s="105"/>
      <c r="X508" s="105"/>
      <c r="Y508" s="105"/>
      <c r="Z508" s="105"/>
      <c r="AA508" s="105"/>
    </row>
    <row r="509" ht="15.75" hidden="1" customHeight="1">
      <c r="A509" s="105"/>
      <c r="B509" s="105"/>
      <c r="C509" s="105"/>
      <c r="D509" s="105"/>
      <c r="E509" s="105"/>
      <c r="F509" s="105"/>
      <c r="G509" s="105"/>
      <c r="H509" s="105"/>
      <c r="I509" s="105"/>
      <c r="J509" s="105"/>
      <c r="K509" s="105"/>
      <c r="L509" s="105"/>
      <c r="M509" s="105"/>
      <c r="N509" s="105"/>
      <c r="O509" s="105"/>
      <c r="P509" s="105"/>
      <c r="Q509" s="105"/>
      <c r="R509" s="105"/>
      <c r="S509" s="105"/>
      <c r="T509" s="105"/>
      <c r="U509" s="105"/>
      <c r="V509" s="105"/>
      <c r="W509" s="105"/>
      <c r="X509" s="105"/>
      <c r="Y509" s="105"/>
      <c r="Z509" s="105"/>
      <c r="AA509" s="105"/>
    </row>
    <row r="510" ht="15.75" hidden="1" customHeight="1">
      <c r="A510" s="105"/>
      <c r="B510" s="105"/>
      <c r="C510" s="105"/>
      <c r="D510" s="105"/>
      <c r="E510" s="105"/>
      <c r="F510" s="105"/>
      <c r="G510" s="105"/>
      <c r="H510" s="105"/>
      <c r="I510" s="105"/>
      <c r="J510" s="105"/>
      <c r="K510" s="105"/>
      <c r="L510" s="105"/>
      <c r="M510" s="105"/>
      <c r="N510" s="105"/>
      <c r="O510" s="105"/>
      <c r="P510" s="105"/>
      <c r="Q510" s="105"/>
      <c r="R510" s="105"/>
      <c r="S510" s="105"/>
      <c r="T510" s="105"/>
      <c r="U510" s="105"/>
      <c r="V510" s="105"/>
      <c r="W510" s="105"/>
      <c r="X510" s="105"/>
      <c r="Y510" s="105"/>
      <c r="Z510" s="105"/>
      <c r="AA510" s="105"/>
    </row>
    <row r="511" ht="15.75" hidden="1" customHeight="1">
      <c r="A511" s="105"/>
      <c r="B511" s="105"/>
      <c r="C511" s="105"/>
      <c r="D511" s="105"/>
      <c r="E511" s="105"/>
      <c r="F511" s="105"/>
      <c r="G511" s="105"/>
      <c r="H511" s="105"/>
      <c r="I511" s="105"/>
      <c r="J511" s="105"/>
      <c r="K511" s="105"/>
      <c r="L511" s="105"/>
      <c r="M511" s="105"/>
      <c r="N511" s="105"/>
      <c r="O511" s="105"/>
      <c r="P511" s="105"/>
      <c r="Q511" s="105"/>
      <c r="R511" s="105"/>
      <c r="S511" s="105"/>
      <c r="T511" s="105"/>
      <c r="U511" s="105"/>
      <c r="V511" s="105"/>
      <c r="W511" s="105"/>
      <c r="X511" s="105"/>
      <c r="Y511" s="105"/>
      <c r="Z511" s="105"/>
      <c r="AA511" s="105"/>
    </row>
    <row r="512" ht="15.75" hidden="1" customHeight="1">
      <c r="A512" s="105"/>
      <c r="B512" s="105"/>
      <c r="C512" s="105"/>
      <c r="D512" s="105"/>
      <c r="E512" s="105"/>
      <c r="F512" s="105"/>
      <c r="G512" s="105"/>
      <c r="H512" s="105"/>
      <c r="I512" s="105"/>
      <c r="J512" s="105"/>
      <c r="K512" s="105"/>
      <c r="L512" s="105"/>
      <c r="M512" s="105"/>
      <c r="N512" s="105"/>
      <c r="O512" s="105"/>
      <c r="P512" s="105"/>
      <c r="Q512" s="105"/>
      <c r="R512" s="105"/>
      <c r="S512" s="105"/>
      <c r="T512" s="105"/>
      <c r="U512" s="105"/>
      <c r="V512" s="105"/>
      <c r="W512" s="105"/>
      <c r="X512" s="105"/>
      <c r="Y512" s="105"/>
      <c r="Z512" s="105"/>
      <c r="AA512" s="105"/>
    </row>
    <row r="513" ht="15.75" hidden="1" customHeight="1">
      <c r="A513" s="105"/>
      <c r="B513" s="105"/>
      <c r="C513" s="105"/>
      <c r="D513" s="105"/>
      <c r="E513" s="105"/>
      <c r="F513" s="105"/>
      <c r="G513" s="105"/>
      <c r="H513" s="105"/>
      <c r="I513" s="105"/>
      <c r="J513" s="105"/>
      <c r="K513" s="105"/>
      <c r="L513" s="105"/>
      <c r="M513" s="105"/>
      <c r="N513" s="105"/>
      <c r="O513" s="105"/>
      <c r="P513" s="105"/>
      <c r="Q513" s="105"/>
      <c r="R513" s="105"/>
      <c r="S513" s="105"/>
      <c r="T513" s="105"/>
      <c r="U513" s="105"/>
      <c r="V513" s="105"/>
      <c r="W513" s="105"/>
      <c r="X513" s="105"/>
      <c r="Y513" s="105"/>
      <c r="Z513" s="105"/>
      <c r="AA513" s="105"/>
    </row>
    <row r="514" ht="15.75" hidden="1" customHeight="1">
      <c r="A514" s="105"/>
      <c r="B514" s="105"/>
      <c r="C514" s="105"/>
      <c r="D514" s="105"/>
      <c r="E514" s="105"/>
      <c r="F514" s="105"/>
      <c r="G514" s="105"/>
      <c r="H514" s="105"/>
      <c r="I514" s="105"/>
      <c r="J514" s="105"/>
      <c r="K514" s="105"/>
      <c r="L514" s="105"/>
      <c r="M514" s="105"/>
      <c r="N514" s="105"/>
      <c r="O514" s="105"/>
      <c r="P514" s="105"/>
      <c r="Q514" s="105"/>
      <c r="R514" s="105"/>
      <c r="S514" s="105"/>
      <c r="T514" s="105"/>
      <c r="U514" s="105"/>
      <c r="V514" s="105"/>
      <c r="W514" s="105"/>
      <c r="X514" s="105"/>
      <c r="Y514" s="105"/>
      <c r="Z514" s="105"/>
      <c r="AA514" s="105"/>
    </row>
    <row r="515" ht="15.75" hidden="1" customHeight="1">
      <c r="A515" s="105"/>
      <c r="B515" s="105"/>
      <c r="C515" s="105"/>
      <c r="D515" s="105"/>
      <c r="E515" s="105"/>
      <c r="F515" s="105"/>
      <c r="G515" s="105"/>
      <c r="H515" s="105"/>
      <c r="I515" s="105"/>
      <c r="J515" s="105"/>
      <c r="K515" s="105"/>
      <c r="L515" s="105"/>
      <c r="M515" s="105"/>
      <c r="N515" s="105"/>
      <c r="O515" s="105"/>
      <c r="P515" s="105"/>
      <c r="Q515" s="105"/>
      <c r="R515" s="105"/>
      <c r="S515" s="105"/>
      <c r="T515" s="105"/>
      <c r="U515" s="105"/>
      <c r="V515" s="105"/>
      <c r="W515" s="105"/>
      <c r="X515" s="105"/>
      <c r="Y515" s="105"/>
      <c r="Z515" s="105"/>
      <c r="AA515" s="105"/>
    </row>
    <row r="516" ht="15.75" hidden="1" customHeight="1">
      <c r="A516" s="105"/>
      <c r="B516" s="105"/>
      <c r="C516" s="105"/>
      <c r="D516" s="105"/>
      <c r="E516" s="105"/>
      <c r="F516" s="105"/>
      <c r="G516" s="105"/>
      <c r="H516" s="105"/>
      <c r="I516" s="105"/>
      <c r="J516" s="105"/>
      <c r="K516" s="105"/>
      <c r="L516" s="105"/>
      <c r="M516" s="105"/>
      <c r="N516" s="105"/>
      <c r="O516" s="105"/>
      <c r="P516" s="105"/>
      <c r="Q516" s="105"/>
      <c r="R516" s="105"/>
      <c r="S516" s="105"/>
      <c r="T516" s="105"/>
      <c r="U516" s="105"/>
      <c r="V516" s="105"/>
      <c r="W516" s="105"/>
      <c r="X516" s="105"/>
      <c r="Y516" s="105"/>
      <c r="Z516" s="105"/>
      <c r="AA516" s="105"/>
    </row>
    <row r="517" ht="15.75" hidden="1" customHeight="1">
      <c r="A517" s="105"/>
      <c r="B517" s="105"/>
      <c r="C517" s="105"/>
      <c r="D517" s="105"/>
      <c r="E517" s="105"/>
      <c r="F517" s="105"/>
      <c r="G517" s="105"/>
      <c r="H517" s="105"/>
      <c r="I517" s="105"/>
      <c r="J517" s="105"/>
      <c r="K517" s="105"/>
      <c r="L517" s="105"/>
      <c r="M517" s="105"/>
      <c r="N517" s="105"/>
      <c r="O517" s="105"/>
      <c r="P517" s="105"/>
      <c r="Q517" s="105"/>
      <c r="R517" s="105"/>
      <c r="S517" s="105"/>
      <c r="T517" s="105"/>
      <c r="U517" s="105"/>
      <c r="V517" s="105"/>
      <c r="W517" s="105"/>
      <c r="X517" s="105"/>
      <c r="Y517" s="105"/>
      <c r="Z517" s="105"/>
      <c r="AA517" s="105"/>
    </row>
    <row r="518" ht="15.75" hidden="1" customHeight="1">
      <c r="A518" s="105"/>
      <c r="B518" s="105"/>
      <c r="C518" s="105"/>
      <c r="D518" s="105"/>
      <c r="E518" s="105"/>
      <c r="F518" s="105"/>
      <c r="G518" s="105"/>
      <c r="H518" s="105"/>
      <c r="I518" s="105"/>
      <c r="J518" s="105"/>
      <c r="K518" s="105"/>
      <c r="L518" s="105"/>
      <c r="M518" s="105"/>
      <c r="N518" s="105"/>
      <c r="O518" s="105"/>
      <c r="P518" s="105"/>
      <c r="Q518" s="105"/>
      <c r="R518" s="105"/>
      <c r="S518" s="105"/>
      <c r="T518" s="105"/>
      <c r="U518" s="105"/>
      <c r="V518" s="105"/>
      <c r="W518" s="105"/>
      <c r="X518" s="105"/>
      <c r="Y518" s="105"/>
      <c r="Z518" s="105"/>
      <c r="AA518" s="105"/>
    </row>
    <row r="519" ht="15.75" hidden="1" customHeight="1">
      <c r="A519" s="105"/>
      <c r="B519" s="105"/>
      <c r="C519" s="105"/>
      <c r="D519" s="105"/>
      <c r="E519" s="105"/>
      <c r="F519" s="105"/>
      <c r="G519" s="105"/>
      <c r="H519" s="105"/>
      <c r="I519" s="105"/>
      <c r="J519" s="105"/>
      <c r="K519" s="105"/>
      <c r="L519" s="105"/>
      <c r="M519" s="105"/>
      <c r="N519" s="105"/>
      <c r="O519" s="105"/>
      <c r="P519" s="105"/>
      <c r="Q519" s="105"/>
      <c r="R519" s="105"/>
      <c r="S519" s="105"/>
      <c r="T519" s="105"/>
      <c r="U519" s="105"/>
      <c r="V519" s="105"/>
      <c r="W519" s="105"/>
      <c r="X519" s="105"/>
      <c r="Y519" s="105"/>
      <c r="Z519" s="105"/>
      <c r="AA519" s="105"/>
    </row>
    <row r="520" ht="15.75" hidden="1" customHeight="1">
      <c r="A520" s="105"/>
      <c r="B520" s="105"/>
      <c r="C520" s="105"/>
      <c r="D520" s="105"/>
      <c r="E520" s="105"/>
      <c r="F520" s="105"/>
      <c r="G520" s="105"/>
      <c r="H520" s="105"/>
      <c r="I520" s="105"/>
      <c r="J520" s="105"/>
      <c r="K520" s="105"/>
      <c r="L520" s="105"/>
      <c r="M520" s="105"/>
      <c r="N520" s="105"/>
      <c r="O520" s="105"/>
      <c r="P520" s="105"/>
      <c r="Q520" s="105"/>
      <c r="R520" s="105"/>
      <c r="S520" s="105"/>
      <c r="T520" s="105"/>
      <c r="U520" s="105"/>
      <c r="V520" s="105"/>
      <c r="W520" s="105"/>
      <c r="X520" s="105"/>
      <c r="Y520" s="105"/>
      <c r="Z520" s="105"/>
      <c r="AA520" s="105"/>
    </row>
    <row r="521" ht="15.75" hidden="1" customHeight="1">
      <c r="A521" s="105"/>
      <c r="B521" s="105"/>
      <c r="C521" s="105"/>
      <c r="D521" s="105"/>
      <c r="E521" s="105"/>
      <c r="F521" s="105"/>
      <c r="G521" s="105"/>
      <c r="H521" s="105"/>
      <c r="I521" s="105"/>
      <c r="J521" s="105"/>
      <c r="K521" s="105"/>
      <c r="L521" s="105"/>
      <c r="M521" s="105"/>
      <c r="N521" s="105"/>
      <c r="O521" s="105"/>
      <c r="P521" s="105"/>
      <c r="Q521" s="105"/>
      <c r="R521" s="105"/>
      <c r="S521" s="105"/>
      <c r="T521" s="105"/>
      <c r="U521" s="105"/>
      <c r="V521" s="105"/>
      <c r="W521" s="105"/>
      <c r="X521" s="105"/>
      <c r="Y521" s="105"/>
      <c r="Z521" s="105"/>
      <c r="AA521" s="105"/>
    </row>
    <row r="522" ht="15.75" hidden="1" customHeight="1">
      <c r="A522" s="105"/>
      <c r="B522" s="105"/>
      <c r="C522" s="105"/>
      <c r="D522" s="105"/>
      <c r="E522" s="105"/>
      <c r="F522" s="105"/>
      <c r="G522" s="105"/>
      <c r="H522" s="105"/>
      <c r="I522" s="105"/>
      <c r="J522" s="105"/>
      <c r="K522" s="105"/>
      <c r="L522" s="105"/>
      <c r="M522" s="105"/>
      <c r="N522" s="105"/>
      <c r="O522" s="105"/>
      <c r="P522" s="105"/>
      <c r="Q522" s="105"/>
      <c r="R522" s="105"/>
      <c r="S522" s="105"/>
      <c r="T522" s="105"/>
      <c r="U522" s="105"/>
      <c r="V522" s="105"/>
      <c r="W522" s="105"/>
      <c r="X522" s="105"/>
      <c r="Y522" s="105"/>
      <c r="Z522" s="105"/>
      <c r="AA522" s="105"/>
    </row>
    <row r="523" ht="15.75" hidden="1" customHeight="1">
      <c r="A523" s="105"/>
      <c r="B523" s="105"/>
      <c r="C523" s="105"/>
      <c r="D523" s="105"/>
      <c r="E523" s="105"/>
      <c r="F523" s="105"/>
      <c r="G523" s="105"/>
      <c r="H523" s="105"/>
      <c r="I523" s="105"/>
      <c r="J523" s="105"/>
      <c r="K523" s="105"/>
      <c r="L523" s="105"/>
      <c r="M523" s="105"/>
      <c r="N523" s="105"/>
      <c r="O523" s="105"/>
      <c r="P523" s="105"/>
      <c r="Q523" s="105"/>
      <c r="R523" s="105"/>
      <c r="S523" s="105"/>
      <c r="T523" s="105"/>
      <c r="U523" s="105"/>
      <c r="V523" s="105"/>
      <c r="W523" s="105"/>
      <c r="X523" s="105"/>
      <c r="Y523" s="105"/>
      <c r="Z523" s="105"/>
      <c r="AA523" s="105"/>
    </row>
    <row r="524" ht="15.75" hidden="1" customHeight="1">
      <c r="A524" s="105"/>
      <c r="B524" s="105"/>
      <c r="C524" s="105"/>
      <c r="D524" s="105"/>
      <c r="E524" s="105"/>
      <c r="F524" s="105"/>
      <c r="G524" s="105"/>
      <c r="H524" s="105"/>
      <c r="I524" s="105"/>
      <c r="J524" s="105"/>
      <c r="K524" s="105"/>
      <c r="L524" s="105"/>
      <c r="M524" s="105"/>
      <c r="N524" s="105"/>
      <c r="O524" s="105"/>
      <c r="P524" s="105"/>
      <c r="Q524" s="105"/>
      <c r="R524" s="105"/>
      <c r="S524" s="105"/>
      <c r="T524" s="105"/>
      <c r="U524" s="105"/>
      <c r="V524" s="105"/>
      <c r="W524" s="105"/>
      <c r="X524" s="105"/>
      <c r="Y524" s="105"/>
      <c r="Z524" s="105"/>
      <c r="AA524" s="105"/>
    </row>
    <row r="525" ht="15.75" hidden="1" customHeight="1">
      <c r="A525" s="105"/>
      <c r="B525" s="105"/>
      <c r="C525" s="105"/>
      <c r="D525" s="105"/>
      <c r="E525" s="105"/>
      <c r="F525" s="105"/>
      <c r="G525" s="105"/>
      <c r="H525" s="105"/>
      <c r="I525" s="105"/>
      <c r="J525" s="105"/>
      <c r="K525" s="105"/>
      <c r="L525" s="105"/>
      <c r="M525" s="105"/>
      <c r="N525" s="105"/>
      <c r="O525" s="105"/>
      <c r="P525" s="105"/>
      <c r="Q525" s="105"/>
      <c r="R525" s="105"/>
      <c r="S525" s="105"/>
      <c r="T525" s="105"/>
      <c r="U525" s="105"/>
      <c r="V525" s="105"/>
      <c r="W525" s="105"/>
      <c r="X525" s="105"/>
      <c r="Y525" s="105"/>
      <c r="Z525" s="105"/>
      <c r="AA525" s="105"/>
    </row>
    <row r="526" ht="15.75" hidden="1" customHeight="1">
      <c r="A526" s="105"/>
      <c r="B526" s="105"/>
      <c r="C526" s="105"/>
      <c r="D526" s="105"/>
      <c r="E526" s="105"/>
      <c r="F526" s="105"/>
      <c r="G526" s="105"/>
      <c r="H526" s="105"/>
      <c r="I526" s="105"/>
      <c r="J526" s="105"/>
      <c r="K526" s="105"/>
      <c r="L526" s="105"/>
      <c r="M526" s="105"/>
      <c r="N526" s="105"/>
      <c r="O526" s="105"/>
      <c r="P526" s="105"/>
      <c r="Q526" s="105"/>
      <c r="R526" s="105"/>
      <c r="S526" s="105"/>
      <c r="T526" s="105"/>
      <c r="U526" s="105"/>
      <c r="V526" s="105"/>
      <c r="W526" s="105"/>
      <c r="X526" s="105"/>
      <c r="Y526" s="105"/>
      <c r="Z526" s="105"/>
      <c r="AA526" s="105"/>
    </row>
    <row r="527" ht="15.75" hidden="1" customHeight="1">
      <c r="A527" s="105"/>
      <c r="B527" s="105"/>
      <c r="C527" s="105"/>
      <c r="D527" s="105"/>
      <c r="E527" s="105"/>
      <c r="F527" s="105"/>
      <c r="G527" s="105"/>
      <c r="H527" s="105"/>
      <c r="I527" s="105"/>
      <c r="J527" s="105"/>
      <c r="K527" s="105"/>
      <c r="L527" s="105"/>
      <c r="M527" s="105"/>
      <c r="N527" s="105"/>
      <c r="O527" s="105"/>
      <c r="P527" s="105"/>
      <c r="Q527" s="105"/>
      <c r="R527" s="105"/>
      <c r="S527" s="105"/>
      <c r="T527" s="105"/>
      <c r="U527" s="105"/>
      <c r="V527" s="105"/>
      <c r="W527" s="105"/>
      <c r="X527" s="105"/>
      <c r="Y527" s="105"/>
      <c r="Z527" s="105"/>
      <c r="AA527" s="105"/>
    </row>
    <row r="528" ht="15.75" hidden="1" customHeight="1">
      <c r="A528" s="105"/>
      <c r="B528" s="105"/>
      <c r="C528" s="105"/>
      <c r="D528" s="105"/>
      <c r="E528" s="105"/>
      <c r="F528" s="105"/>
      <c r="G528" s="105"/>
      <c r="H528" s="105"/>
      <c r="I528" s="105"/>
      <c r="J528" s="105"/>
      <c r="K528" s="105"/>
      <c r="L528" s="105"/>
      <c r="M528" s="105"/>
      <c r="N528" s="105"/>
      <c r="O528" s="105"/>
      <c r="P528" s="105"/>
      <c r="Q528" s="105"/>
      <c r="R528" s="105"/>
      <c r="S528" s="105"/>
      <c r="T528" s="105"/>
      <c r="U528" s="105"/>
      <c r="V528" s="105"/>
      <c r="W528" s="105"/>
      <c r="X528" s="105"/>
      <c r="Y528" s="105"/>
      <c r="Z528" s="105"/>
      <c r="AA528" s="105"/>
    </row>
    <row r="529" ht="15.75" hidden="1" customHeight="1">
      <c r="A529" s="105"/>
      <c r="B529" s="105"/>
      <c r="C529" s="105"/>
      <c r="D529" s="105"/>
      <c r="E529" s="105"/>
      <c r="F529" s="105"/>
      <c r="G529" s="105"/>
      <c r="H529" s="105"/>
      <c r="I529" s="105"/>
      <c r="J529" s="105"/>
      <c r="K529" s="105"/>
      <c r="L529" s="105"/>
      <c r="M529" s="105"/>
      <c r="N529" s="105"/>
      <c r="O529" s="105"/>
      <c r="P529" s="105"/>
      <c r="Q529" s="105"/>
      <c r="R529" s="105"/>
      <c r="S529" s="105"/>
      <c r="T529" s="105"/>
      <c r="U529" s="105"/>
      <c r="V529" s="105"/>
      <c r="W529" s="105"/>
      <c r="X529" s="105"/>
      <c r="Y529" s="105"/>
      <c r="Z529" s="105"/>
      <c r="AA529" s="105"/>
    </row>
    <row r="530" ht="15.75" hidden="1" customHeight="1">
      <c r="A530" s="105"/>
      <c r="B530" s="105"/>
      <c r="C530" s="105"/>
      <c r="D530" s="105"/>
      <c r="E530" s="105"/>
      <c r="F530" s="105"/>
      <c r="G530" s="105"/>
      <c r="H530" s="105"/>
      <c r="I530" s="105"/>
      <c r="J530" s="105"/>
      <c r="K530" s="105"/>
      <c r="L530" s="105"/>
      <c r="M530" s="105"/>
      <c r="N530" s="105"/>
      <c r="O530" s="105"/>
      <c r="P530" s="105"/>
      <c r="Q530" s="105"/>
      <c r="R530" s="105"/>
      <c r="S530" s="105"/>
      <c r="T530" s="105"/>
      <c r="U530" s="105"/>
      <c r="V530" s="105"/>
      <c r="W530" s="105"/>
      <c r="X530" s="105"/>
      <c r="Y530" s="105"/>
      <c r="Z530" s="105"/>
      <c r="AA530" s="105"/>
    </row>
    <row r="531" ht="15.75" hidden="1" customHeight="1">
      <c r="A531" s="105"/>
      <c r="B531" s="105"/>
      <c r="C531" s="105"/>
      <c r="D531" s="105"/>
      <c r="E531" s="105"/>
      <c r="F531" s="105"/>
      <c r="G531" s="105"/>
      <c r="H531" s="105"/>
      <c r="I531" s="105"/>
      <c r="J531" s="105"/>
      <c r="K531" s="105"/>
      <c r="L531" s="105"/>
      <c r="M531" s="105"/>
      <c r="N531" s="105"/>
      <c r="O531" s="105"/>
      <c r="P531" s="105"/>
      <c r="Q531" s="105"/>
      <c r="R531" s="105"/>
      <c r="S531" s="105"/>
      <c r="T531" s="105"/>
      <c r="U531" s="105"/>
      <c r="V531" s="105"/>
      <c r="W531" s="105"/>
      <c r="X531" s="105"/>
      <c r="Y531" s="105"/>
      <c r="Z531" s="105"/>
      <c r="AA531" s="105"/>
    </row>
    <row r="532" ht="15.75" hidden="1" customHeight="1">
      <c r="A532" s="105"/>
      <c r="B532" s="105"/>
      <c r="C532" s="105"/>
      <c r="D532" s="105"/>
      <c r="E532" s="105"/>
      <c r="F532" s="105"/>
      <c r="G532" s="105"/>
      <c r="H532" s="105"/>
      <c r="I532" s="105"/>
      <c r="J532" s="105"/>
      <c r="K532" s="105"/>
      <c r="L532" s="105"/>
      <c r="M532" s="105"/>
      <c r="N532" s="105"/>
      <c r="O532" s="105"/>
      <c r="P532" s="105"/>
      <c r="Q532" s="105"/>
      <c r="R532" s="105"/>
      <c r="S532" s="105"/>
      <c r="T532" s="105"/>
      <c r="U532" s="105"/>
      <c r="V532" s="105"/>
      <c r="W532" s="105"/>
      <c r="X532" s="105"/>
      <c r="Y532" s="105"/>
      <c r="Z532" s="105"/>
      <c r="AA532" s="105"/>
    </row>
    <row r="533" ht="15.75" hidden="1" customHeight="1">
      <c r="A533" s="105"/>
      <c r="B533" s="105"/>
      <c r="C533" s="105"/>
      <c r="D533" s="105"/>
      <c r="E533" s="105"/>
      <c r="F533" s="105"/>
      <c r="G533" s="105"/>
      <c r="H533" s="105"/>
      <c r="I533" s="105"/>
      <c r="J533" s="105"/>
      <c r="K533" s="105"/>
      <c r="L533" s="105"/>
      <c r="M533" s="105"/>
      <c r="N533" s="105"/>
      <c r="O533" s="105"/>
      <c r="P533" s="105"/>
      <c r="Q533" s="105"/>
      <c r="R533" s="105"/>
      <c r="S533" s="105"/>
      <c r="T533" s="105"/>
      <c r="U533" s="105"/>
      <c r="V533" s="105"/>
      <c r="W533" s="105"/>
      <c r="X533" s="105"/>
      <c r="Y533" s="105"/>
      <c r="Z533" s="105"/>
      <c r="AA533" s="105"/>
    </row>
    <row r="534" ht="15.75" hidden="1" customHeight="1">
      <c r="A534" s="105"/>
      <c r="B534" s="105"/>
      <c r="C534" s="105"/>
      <c r="D534" s="105"/>
      <c r="E534" s="105"/>
      <c r="F534" s="105"/>
      <c r="G534" s="105"/>
      <c r="H534" s="105"/>
      <c r="I534" s="105"/>
      <c r="J534" s="105"/>
      <c r="K534" s="105"/>
      <c r="L534" s="105"/>
      <c r="M534" s="105"/>
      <c r="N534" s="105"/>
      <c r="O534" s="105"/>
      <c r="P534" s="105"/>
      <c r="Q534" s="105"/>
      <c r="R534" s="105"/>
      <c r="S534" s="105"/>
      <c r="T534" s="105"/>
      <c r="U534" s="105"/>
      <c r="V534" s="105"/>
      <c r="W534" s="105"/>
      <c r="X534" s="105"/>
      <c r="Y534" s="105"/>
      <c r="Z534" s="105"/>
      <c r="AA534" s="105"/>
    </row>
  </sheetData>
  <mergeCells count="18">
    <mergeCell ref="K3:M3"/>
    <mergeCell ref="K4:L4"/>
    <mergeCell ref="D16:E16"/>
    <mergeCell ref="H16:I16"/>
    <mergeCell ref="L16:M16"/>
    <mergeCell ref="P16:Q16"/>
    <mergeCell ref="S3:U3"/>
    <mergeCell ref="S4:T4"/>
    <mergeCell ref="T16:U16"/>
    <mergeCell ref="X16:Y16"/>
    <mergeCell ref="C3:E3"/>
    <mergeCell ref="G3:I3"/>
    <mergeCell ref="O3:Q3"/>
    <mergeCell ref="W3:Y3"/>
    <mergeCell ref="C4:D4"/>
    <mergeCell ref="G4:H4"/>
    <mergeCell ref="O4:P4"/>
    <mergeCell ref="W4:X4"/>
  </mergeCells>
  <conditionalFormatting sqref="D5:D15 H5:H15 L5:L15 P5:P15 T5:T15 X5:X15">
    <cfRule type="expression" dxfId="4" priority="1">
      <formula>COUNTIF({$D$5:$AA$18},D5)&gt;1</formula>
    </cfRule>
  </conditionalFormatting>
  <dataValidations>
    <dataValidation type="list" allowBlank="1" showDropDown="1" showErrorMessage="1" sqref="H5:H15 L5:L15 P5:P15 T5:T15">
      <formula1>Source!$B$2:$B$954</formula1>
    </dataValidation>
    <dataValidation type="list" allowBlank="1" showDropDown="1" showErrorMessage="1" sqref="D5:D15 X5:X15">
      <formula1>Source!$B$2:$B$970</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22241"/>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2" width="1.38"/>
    <col customWidth="1" min="3" max="3" width="16.38"/>
    <col customWidth="1" min="4" max="4" width="3.88"/>
    <col customWidth="1" min="5" max="6" width="3.25"/>
    <col customWidth="1" min="7" max="7" width="3.88"/>
    <col customWidth="1" min="8" max="8" width="16.5"/>
    <col customWidth="1" min="9" max="10" width="1.38"/>
  </cols>
  <sheetData>
    <row r="1" ht="7.5" customHeight="1">
      <c r="A1" s="127"/>
      <c r="B1" s="127"/>
      <c r="C1" s="128"/>
      <c r="D1" s="128"/>
      <c r="E1" s="128"/>
      <c r="F1" s="128"/>
      <c r="G1" s="128"/>
      <c r="H1" s="128"/>
      <c r="I1" s="129"/>
      <c r="J1" s="129"/>
    </row>
    <row r="2" ht="7.5" customHeight="1">
      <c r="A2" s="127"/>
      <c r="B2" s="130"/>
      <c r="C2" s="131"/>
      <c r="D2" s="131"/>
      <c r="E2" s="131"/>
      <c r="F2" s="131"/>
      <c r="G2" s="131"/>
      <c r="H2" s="131"/>
      <c r="I2" s="132"/>
      <c r="J2" s="129"/>
    </row>
    <row r="3">
      <c r="A3" s="127"/>
      <c r="B3" s="133"/>
      <c r="C3" s="134"/>
      <c r="D3" s="34"/>
      <c r="E3" s="34"/>
      <c r="F3" s="34"/>
      <c r="G3" s="34"/>
      <c r="H3" s="35"/>
      <c r="I3" s="135"/>
      <c r="J3" s="136"/>
    </row>
    <row r="4">
      <c r="A4" s="127"/>
      <c r="B4" s="133"/>
      <c r="C4" s="144" t="s">
        <v>31</v>
      </c>
      <c r="D4" s="145" t="s">
        <v>35</v>
      </c>
      <c r="E4" s="146" t="s">
        <v>36</v>
      </c>
      <c r="F4" s="153"/>
      <c r="G4" s="145" t="s">
        <v>35</v>
      </c>
      <c r="H4" s="159" t="s">
        <v>38</v>
      </c>
      <c r="I4" s="162"/>
      <c r="J4" s="171"/>
    </row>
    <row r="5" ht="3.75" customHeight="1">
      <c r="A5" s="127"/>
      <c r="B5" s="133"/>
      <c r="C5" s="172"/>
      <c r="D5" s="172"/>
      <c r="E5" s="172"/>
      <c r="F5" s="172"/>
      <c r="G5" s="172"/>
      <c r="H5" s="172"/>
      <c r="I5" s="173"/>
      <c r="J5" s="174"/>
    </row>
    <row r="6" ht="18.75" customHeight="1">
      <c r="A6" s="179"/>
      <c r="B6" s="188"/>
      <c r="C6" s="190" t="s">
        <v>53</v>
      </c>
      <c r="D6" s="91"/>
      <c r="E6" s="91"/>
      <c r="F6" s="91"/>
      <c r="G6" s="91"/>
      <c r="H6" s="92"/>
      <c r="I6" s="135"/>
      <c r="J6" s="136"/>
    </row>
    <row r="7">
      <c r="A7" s="129"/>
      <c r="B7" s="194"/>
      <c r="C7" s="201" t="str">
        <f t="array" ref="C7:C9">Source!$P$3:$P$5</f>
        <v>Zach VanSickle</v>
      </c>
      <c r="D7" s="205" t="str">
        <f>Stats!$I$14</f>
        <v>W</v>
      </c>
      <c r="E7" s="205">
        <v>1.0</v>
      </c>
      <c r="F7" s="205">
        <v>-1.0</v>
      </c>
      <c r="G7" s="205" t="str">
        <f>Stats!$J$14</f>
        <v>L</v>
      </c>
      <c r="H7" s="211" t="str">
        <f t="array" ref="H7:H9">Source!$R$3:$R$5</f>
        <v>Jackson McLoughlin</v>
      </c>
      <c r="I7" s="212"/>
      <c r="J7" s="213"/>
    </row>
    <row r="8">
      <c r="A8" s="129"/>
      <c r="B8" s="194"/>
      <c r="C8" s="214" t="s">
        <v>60</v>
      </c>
      <c r="D8" s="215" t="str">
        <f>Stats!$I$25</f>
        <v>L</v>
      </c>
      <c r="E8" s="216">
        <f>Stats!$D$23</f>
        <v>-5</v>
      </c>
      <c r="F8" s="216">
        <f>Stats!$H$23</f>
        <v>5</v>
      </c>
      <c r="G8" s="215" t="str">
        <f>Stats!$J$25</f>
        <v>W</v>
      </c>
      <c r="H8" s="219" t="s">
        <v>62</v>
      </c>
      <c r="I8" s="212"/>
      <c r="J8" s="213"/>
    </row>
    <row r="9">
      <c r="A9" s="129"/>
      <c r="B9" s="194"/>
      <c r="C9" s="220" t="s">
        <v>65</v>
      </c>
      <c r="D9" s="222" t="str">
        <f>Stats!$I$36</f>
        <v>W</v>
      </c>
      <c r="E9" s="222">
        <f>Stats!$D$34</f>
        <v>3</v>
      </c>
      <c r="F9" s="222">
        <f>Stats!$H$34</f>
        <v>-3</v>
      </c>
      <c r="G9" s="222" t="str">
        <f>Stats!$J$36</f>
        <v>L</v>
      </c>
      <c r="H9" s="225" t="s">
        <v>66</v>
      </c>
      <c r="I9" s="212"/>
      <c r="J9" s="213"/>
    </row>
    <row r="10" ht="7.5" customHeight="1">
      <c r="A10" s="129"/>
      <c r="B10" s="194"/>
      <c r="C10" s="228"/>
      <c r="D10" s="228"/>
      <c r="E10" s="228"/>
      <c r="F10" s="228"/>
      <c r="G10" s="228"/>
      <c r="H10" s="228"/>
      <c r="I10" s="229"/>
      <c r="J10" s="230"/>
    </row>
    <row r="11" ht="18.75" customHeight="1">
      <c r="A11" s="179"/>
      <c r="B11" s="188"/>
      <c r="C11" s="190" t="s">
        <v>68</v>
      </c>
      <c r="D11" s="91"/>
      <c r="E11" s="91"/>
      <c r="F11" s="91"/>
      <c r="G11" s="91"/>
      <c r="H11" s="92"/>
      <c r="I11" s="135"/>
      <c r="J11" s="136"/>
    </row>
    <row r="12">
      <c r="A12" s="129"/>
      <c r="B12" s="194"/>
      <c r="C12" s="201" t="str">
        <f t="array" ref="C12:C14">Source!$P$11:$P$13</f>
        <v>Ryan Tidey</v>
      </c>
      <c r="D12" s="236" t="str">
        <f>Stats!$R$14</f>
        <v>L</v>
      </c>
      <c r="E12" s="236">
        <f>Stats!$M$12</f>
        <v>-5</v>
      </c>
      <c r="F12" s="236">
        <f>Stats!$Q$12</f>
        <v>5</v>
      </c>
      <c r="G12" s="236" t="str">
        <f>Stats!$S$14</f>
        <v>W</v>
      </c>
      <c r="H12" s="211" t="str">
        <f t="array" ref="H12:H14">Source!$R$11:$R$13</f>
        <v>Jackson McLoughlin</v>
      </c>
      <c r="I12" s="212"/>
      <c r="J12" s="213"/>
    </row>
    <row r="13">
      <c r="A13" s="129"/>
      <c r="B13" s="194"/>
      <c r="C13" s="214" t="s">
        <v>81</v>
      </c>
      <c r="D13" s="215" t="str">
        <f>Stats!$R$25</f>
        <v>W</v>
      </c>
      <c r="E13" s="216">
        <f>Stats!$M$23</f>
        <v>9</v>
      </c>
      <c r="F13" s="216">
        <f>Stats!$Q$23</f>
        <v>-9</v>
      </c>
      <c r="G13" s="215" t="str">
        <f>Stats!$S$25</f>
        <v>L</v>
      </c>
      <c r="H13" s="219" t="s">
        <v>60</v>
      </c>
      <c r="I13" s="212"/>
      <c r="J13" s="213"/>
    </row>
    <row r="14">
      <c r="A14" s="129"/>
      <c r="B14" s="194"/>
      <c r="C14" s="220" t="s">
        <v>62</v>
      </c>
      <c r="D14" s="222" t="str">
        <f>Stats!$R$36</f>
        <v>W</v>
      </c>
      <c r="E14" s="222">
        <f>Stats!$M$34</f>
        <v>5</v>
      </c>
      <c r="F14" s="222">
        <f>Stats!$Q$34</f>
        <v>-5</v>
      </c>
      <c r="G14" s="222" t="str">
        <f>Stats!$S$36</f>
        <v>L</v>
      </c>
      <c r="H14" s="225" t="s">
        <v>66</v>
      </c>
      <c r="I14" s="212"/>
      <c r="J14" s="213"/>
    </row>
    <row r="15" ht="7.5" customHeight="1">
      <c r="A15" s="129"/>
      <c r="B15" s="194"/>
      <c r="C15" s="228"/>
      <c r="D15" s="228"/>
      <c r="E15" s="228"/>
      <c r="F15" s="228"/>
      <c r="G15" s="228"/>
      <c r="H15" s="228"/>
      <c r="I15" s="229"/>
      <c r="J15" s="230"/>
    </row>
    <row r="16" ht="18.75" customHeight="1">
      <c r="A16" s="179"/>
      <c r="B16" s="188"/>
      <c r="C16" s="190" t="s">
        <v>82</v>
      </c>
      <c r="D16" s="91"/>
      <c r="E16" s="91"/>
      <c r="F16" s="91"/>
      <c r="G16" s="91"/>
      <c r="H16" s="92"/>
      <c r="I16" s="135"/>
      <c r="J16" s="136"/>
    </row>
    <row r="17">
      <c r="A17" s="129"/>
      <c r="B17" s="194"/>
      <c r="C17" s="201" t="str">
        <f t="array" ref="C17:C19">Source!$P$19:$P$21</f>
        <v>Dick Hansen</v>
      </c>
      <c r="D17" s="236" t="str">
        <f>Stats!$AA$14</f>
        <v>L</v>
      </c>
      <c r="E17" s="236">
        <f>Stats!$V$12</f>
        <v>-5</v>
      </c>
      <c r="F17" s="236">
        <f>Stats!$Z$12</f>
        <v>5</v>
      </c>
      <c r="G17" s="236" t="str">
        <f>Stats!$AB$14</f>
        <v>W</v>
      </c>
      <c r="H17" s="211" t="str">
        <f t="array" ref="H17:H19">Source!$R$19:$R$21</f>
        <v>Jackson McLoughlin</v>
      </c>
      <c r="I17" s="212"/>
      <c r="J17" s="213"/>
    </row>
    <row r="18">
      <c r="A18" s="129"/>
      <c r="B18" s="194"/>
      <c r="C18" s="214" t="s">
        <v>81</v>
      </c>
      <c r="D18" s="216" t="str">
        <f>Stats!$AA$25</f>
        <v>L</v>
      </c>
      <c r="E18" s="216">
        <f>Stats!$V$23</f>
        <v>-4</v>
      </c>
      <c r="F18" s="216">
        <f>Stats!$Z$23</f>
        <v>4</v>
      </c>
      <c r="G18" s="216" t="str">
        <f>Stats!$AB$25</f>
        <v>W</v>
      </c>
      <c r="H18" s="219" t="s">
        <v>66</v>
      </c>
      <c r="I18" s="212"/>
      <c r="J18" s="213"/>
    </row>
    <row r="19">
      <c r="A19" s="129"/>
      <c r="B19" s="194"/>
      <c r="C19" s="220" t="s">
        <v>62</v>
      </c>
      <c r="D19" s="222" t="str">
        <f>Stats!$AA$36</f>
        <v>W</v>
      </c>
      <c r="E19" s="222">
        <f>Stats!$V$34</f>
        <v>4</v>
      </c>
      <c r="F19" s="222">
        <f>Stats!$Z$34</f>
        <v>-4</v>
      </c>
      <c r="G19" s="222" t="str">
        <f>Stats!$AB$36</f>
        <v>L</v>
      </c>
      <c r="H19" s="225" t="s">
        <v>65</v>
      </c>
      <c r="I19" s="212"/>
      <c r="J19" s="213"/>
    </row>
    <row r="20" ht="7.5" customHeight="1">
      <c r="A20" s="129"/>
      <c r="B20" s="194"/>
      <c r="C20" s="228"/>
      <c r="D20" s="228"/>
      <c r="E20" s="228"/>
      <c r="F20" s="228"/>
      <c r="G20" s="228"/>
      <c r="H20" s="228"/>
      <c r="I20" s="229"/>
      <c r="J20" s="230"/>
    </row>
    <row r="21" ht="18.75" customHeight="1">
      <c r="A21" s="179"/>
      <c r="B21" s="188"/>
      <c r="C21" s="190" t="s">
        <v>100</v>
      </c>
      <c r="D21" s="91"/>
      <c r="E21" s="91"/>
      <c r="F21" s="91"/>
      <c r="G21" s="91"/>
      <c r="H21" s="92"/>
      <c r="I21" s="135"/>
      <c r="J21" s="136"/>
    </row>
    <row r="22">
      <c r="A22" s="129"/>
      <c r="B22" s="194"/>
      <c r="C22" s="201" t="str">
        <f t="array" ref="C22:C25">Source!$P$27:$P$30</f>
        <v>Zach VanSickle</v>
      </c>
      <c r="D22" s="236" t="str">
        <f>Stats!$AJ$14</f>
        <v>L</v>
      </c>
      <c r="E22" s="236">
        <f>Stats!$AE$12</f>
        <v>1</v>
      </c>
      <c r="F22" s="236">
        <f>Stats!$AI$12</f>
        <v>-1</v>
      </c>
      <c r="G22" s="236" t="str">
        <f>Stats!$AK$14</f>
        <v>W</v>
      </c>
      <c r="H22" s="211" t="str">
        <f t="array" ref="H22:H25">Source!$R$27:$R$30</f>
        <v>Ryan Tidey</v>
      </c>
      <c r="I22" s="212"/>
      <c r="J22" s="213"/>
    </row>
    <row r="23">
      <c r="A23" s="129"/>
      <c r="B23" s="194"/>
      <c r="C23" s="214" t="s">
        <v>132</v>
      </c>
      <c r="D23" s="216" t="str">
        <f>Stats!$AJ$25</f>
        <v>L</v>
      </c>
      <c r="E23" s="216">
        <f>Stats!$AE$23</f>
        <v>-5</v>
      </c>
      <c r="F23" s="216">
        <f>Stats!$AI$23</f>
        <v>5</v>
      </c>
      <c r="G23" s="216" t="str">
        <f>Stats!$AK$25</f>
        <v>W</v>
      </c>
      <c r="H23" s="219" t="s">
        <v>62</v>
      </c>
      <c r="I23" s="212"/>
      <c r="J23" s="213"/>
    </row>
    <row r="24">
      <c r="A24" s="129"/>
      <c r="B24" s="194"/>
      <c r="C24" s="220" t="s">
        <v>60</v>
      </c>
      <c r="D24" s="222" t="str">
        <f>Stats!$AJ$36</f>
        <v>L</v>
      </c>
      <c r="E24" s="222">
        <f>Stats!$AE$34</f>
        <v>-7</v>
      </c>
      <c r="F24" s="222">
        <f>Stats!$AI$34</f>
        <v>7</v>
      </c>
      <c r="G24" s="222" t="str">
        <f>Stats!$AK$36</f>
        <v>W</v>
      </c>
      <c r="H24" s="225" t="s">
        <v>66</v>
      </c>
      <c r="I24" s="212"/>
      <c r="J24" s="213"/>
    </row>
    <row r="25" ht="7.5" customHeight="1">
      <c r="A25" s="129"/>
      <c r="B25" s="194"/>
      <c r="C25" s="228"/>
      <c r="D25" s="228"/>
      <c r="E25" s="228"/>
      <c r="F25" s="228"/>
      <c r="G25" s="228"/>
      <c r="H25" s="228"/>
      <c r="I25" s="229"/>
      <c r="J25" s="230"/>
    </row>
    <row r="26" ht="18.75" customHeight="1">
      <c r="A26" s="179"/>
      <c r="B26" s="188"/>
      <c r="C26" s="190" t="s">
        <v>137</v>
      </c>
      <c r="D26" s="91"/>
      <c r="E26" s="91"/>
      <c r="F26" s="91"/>
      <c r="G26" s="91"/>
      <c r="H26" s="92"/>
      <c r="I26" s="135"/>
      <c r="J26" s="136"/>
    </row>
    <row r="27">
      <c r="A27" s="129"/>
      <c r="B27" s="194"/>
      <c r="C27" s="201" t="str">
        <f t="array" ref="C27:C29">Source!$P$35:$P$37</f>
        <v>Zach VanSickle</v>
      </c>
      <c r="D27" s="205" t="s">
        <v>139</v>
      </c>
      <c r="E27" s="236">
        <f>Stats!$AN$12</f>
        <v>4</v>
      </c>
      <c r="F27" s="236">
        <f>Stats!$AR$12</f>
        <v>-4</v>
      </c>
      <c r="G27" s="205" t="s">
        <v>140</v>
      </c>
      <c r="H27" s="211" t="str">
        <f t="array" ref="H27:H29">Source!$R$35:$R$37</f>
        <v>Jackson McLoughlin</v>
      </c>
      <c r="I27" s="212"/>
      <c r="J27" s="213"/>
    </row>
    <row r="28">
      <c r="A28" s="129"/>
      <c r="B28" s="194"/>
      <c r="C28" s="214" t="s">
        <v>60</v>
      </c>
      <c r="D28" s="216" t="str">
        <f>Stats!$AS$25</f>
        <v>L</v>
      </c>
      <c r="E28" s="216">
        <f>Stats!$AN$23</f>
        <v>-5</v>
      </c>
      <c r="F28" s="216">
        <f>Stats!$AR$23</f>
        <v>5</v>
      </c>
      <c r="G28" s="216" t="str">
        <f>Stats!$AT$25</f>
        <v>W</v>
      </c>
      <c r="H28" s="219" t="s">
        <v>65</v>
      </c>
      <c r="I28" s="212"/>
      <c r="J28" s="213"/>
    </row>
    <row r="29">
      <c r="A29" s="129"/>
      <c r="B29" s="194"/>
      <c r="C29" s="220" t="s">
        <v>62</v>
      </c>
      <c r="D29" s="222" t="str">
        <f>Stats!$AS$36</f>
        <v>W</v>
      </c>
      <c r="E29" s="222">
        <f>Stats!$AN$34</f>
        <v>3</v>
      </c>
      <c r="F29" s="222">
        <f>Stats!$AR$34</f>
        <v>-3</v>
      </c>
      <c r="G29" s="222" t="str">
        <f>Stats!$AT$36</f>
        <v>L</v>
      </c>
      <c r="H29" s="225" t="s">
        <v>66</v>
      </c>
      <c r="I29" s="212"/>
      <c r="J29" s="213"/>
    </row>
    <row r="30" ht="7.5" customHeight="1">
      <c r="A30" s="129"/>
      <c r="B30" s="194"/>
      <c r="C30" s="228"/>
      <c r="D30" s="228"/>
      <c r="E30" s="228"/>
      <c r="F30" s="228"/>
      <c r="G30" s="228"/>
      <c r="H30" s="228"/>
      <c r="I30" s="229"/>
      <c r="J30" s="230"/>
    </row>
    <row r="31" ht="18.75" customHeight="1">
      <c r="A31" s="179"/>
      <c r="B31" s="188"/>
      <c r="C31" s="190" t="s">
        <v>144</v>
      </c>
      <c r="D31" s="91"/>
      <c r="E31" s="91"/>
      <c r="F31" s="91"/>
      <c r="G31" s="91"/>
      <c r="H31" s="92"/>
      <c r="I31" s="135"/>
      <c r="J31" s="136"/>
    </row>
    <row r="32">
      <c r="A32" s="129"/>
      <c r="B32" s="194"/>
      <c r="C32" s="201" t="str">
        <f t="array" ref="C32:C35">Source!$P$43:$P$46</f>
        <v>Zach VanSickle</v>
      </c>
      <c r="D32" s="236" t="str">
        <f>Stats!$BB$14</f>
        <v>W</v>
      </c>
      <c r="E32" s="236">
        <f>Stats!$AW$12</f>
        <v>5</v>
      </c>
      <c r="F32" s="236">
        <f>Stats!$BA$12</f>
        <v>-5</v>
      </c>
      <c r="G32" s="236" t="str">
        <f>Stats!$BC$14</f>
        <v>L</v>
      </c>
      <c r="H32" s="211" t="str">
        <f t="array" ref="H32:H35">Source!$R$43:$R$46</f>
        <v>Dick Hansen</v>
      </c>
      <c r="I32" s="212"/>
      <c r="J32" s="213"/>
    </row>
    <row r="33">
      <c r="A33" s="129"/>
      <c r="B33" s="194"/>
      <c r="C33" s="214" t="s">
        <v>132</v>
      </c>
      <c r="D33" s="216" t="str">
        <f>Stats!$BB$25</f>
        <v>L</v>
      </c>
      <c r="E33" s="216">
        <f>Stats!$AW$23</f>
        <v>-5</v>
      </c>
      <c r="F33" s="216">
        <f>Stats!$BA$23</f>
        <v>5</v>
      </c>
      <c r="G33" s="216" t="str">
        <f>Stats!$BC$25</f>
        <v>W</v>
      </c>
      <c r="H33" s="219" t="s">
        <v>66</v>
      </c>
      <c r="I33" s="212"/>
      <c r="J33" s="213"/>
    </row>
    <row r="34">
      <c r="A34" s="129"/>
      <c r="B34" s="194"/>
      <c r="C34" s="220" t="s">
        <v>62</v>
      </c>
      <c r="D34" s="222" t="str">
        <f>Stats!$BB$36</f>
        <v>W</v>
      </c>
      <c r="E34" s="222">
        <f>Stats!$AW$34</f>
        <v>0</v>
      </c>
      <c r="F34" s="222">
        <f>Stats!$BA$34</f>
        <v>0</v>
      </c>
      <c r="G34" s="222" t="str">
        <f>Stats!$BC$36</f>
        <v>L</v>
      </c>
      <c r="H34" s="225" t="s">
        <v>65</v>
      </c>
      <c r="I34" s="212"/>
      <c r="J34" s="213"/>
    </row>
    <row r="35" ht="7.5" customHeight="1">
      <c r="A35" s="129"/>
      <c r="B35" s="194"/>
      <c r="C35" s="228"/>
      <c r="D35" s="228"/>
      <c r="E35" s="228"/>
      <c r="F35" s="228"/>
      <c r="G35" s="228"/>
      <c r="H35" s="228"/>
      <c r="I35" s="229"/>
      <c r="J35" s="230"/>
    </row>
    <row r="36" ht="18.75" customHeight="1">
      <c r="A36" s="179"/>
      <c r="B36" s="188"/>
      <c r="C36" s="190" t="s">
        <v>145</v>
      </c>
      <c r="D36" s="91"/>
      <c r="E36" s="91"/>
      <c r="F36" s="91"/>
      <c r="G36" s="91"/>
      <c r="H36" s="92"/>
      <c r="I36" s="135"/>
      <c r="J36" s="136"/>
    </row>
    <row r="37" ht="15.75" customHeight="1">
      <c r="A37" s="129"/>
      <c r="B37" s="194"/>
      <c r="C37" s="201" t="str">
        <f t="array" ref="C37:C40">Source!$P$51:$P$54</f>
        <v>Dick Hansen</v>
      </c>
      <c r="D37" s="236" t="str">
        <f>Stats!$BK$14</f>
        <v>L</v>
      </c>
      <c r="E37" s="236">
        <f>Stats!$BF$12</f>
        <v>-5</v>
      </c>
      <c r="F37" s="236">
        <f>Stats!$BJ$12</f>
        <v>5</v>
      </c>
      <c r="G37" s="236" t="str">
        <f>Stats!$BL$14</f>
        <v>W</v>
      </c>
      <c r="H37" s="211" t="str">
        <f t="array" ref="H37:H40">Source!$R$51:$R$54</f>
        <v>Jackson McLoughlin</v>
      </c>
      <c r="I37" s="212"/>
      <c r="J37" s="213"/>
    </row>
    <row r="38" ht="15.75" customHeight="1">
      <c r="A38" s="129"/>
      <c r="B38" s="194"/>
      <c r="C38" s="214" t="s">
        <v>81</v>
      </c>
      <c r="D38" s="216" t="str">
        <f>Stats!$BK$25</f>
        <v>L</v>
      </c>
      <c r="E38" s="216">
        <f>Stats!$BF$23</f>
        <v>-4</v>
      </c>
      <c r="F38" s="216">
        <f>Stats!$BJ$23</f>
        <v>4</v>
      </c>
      <c r="G38" s="216" t="str">
        <f>Stats!$BL$25</f>
        <v>W</v>
      </c>
      <c r="H38" s="219" t="s">
        <v>62</v>
      </c>
      <c r="I38" s="212"/>
      <c r="J38" s="213"/>
    </row>
    <row r="39" ht="15.75" customHeight="1">
      <c r="A39" s="129"/>
      <c r="B39" s="194"/>
      <c r="C39" s="220" t="s">
        <v>65</v>
      </c>
      <c r="D39" s="222" t="str">
        <f>Stats!$BK$36</f>
        <v>L</v>
      </c>
      <c r="E39" s="222">
        <f>Stats!$BF$34</f>
        <v>0</v>
      </c>
      <c r="F39" s="222">
        <f>Stats!$BJ$34</f>
        <v>0</v>
      </c>
      <c r="G39" s="222" t="str">
        <f>Stats!$BL$36</f>
        <v>W</v>
      </c>
      <c r="H39" s="225" t="s">
        <v>66</v>
      </c>
      <c r="I39" s="212"/>
      <c r="J39" s="213"/>
    </row>
    <row r="40" ht="7.5" customHeight="1">
      <c r="A40" s="129"/>
      <c r="B40" s="278"/>
      <c r="C40" s="279"/>
      <c r="D40" s="279"/>
      <c r="E40" s="279"/>
      <c r="F40" s="279"/>
      <c r="G40" s="279"/>
      <c r="H40" s="279"/>
      <c r="I40" s="280"/>
      <c r="J40" s="129"/>
    </row>
    <row r="41" ht="7.5" customHeight="1">
      <c r="A41" s="129"/>
      <c r="B41" s="129"/>
      <c r="C41" s="281"/>
      <c r="D41" s="281"/>
      <c r="E41" s="281"/>
      <c r="F41" s="281"/>
      <c r="G41" s="281"/>
      <c r="H41" s="281"/>
      <c r="I41" s="129"/>
      <c r="J41" s="129"/>
    </row>
  </sheetData>
  <mergeCells count="9">
    <mergeCell ref="C31:H31"/>
    <mergeCell ref="C36:H36"/>
    <mergeCell ref="C3:H3"/>
    <mergeCell ref="E4:F4"/>
    <mergeCell ref="C6:H6"/>
    <mergeCell ref="C11:H11"/>
    <mergeCell ref="C16:H16"/>
    <mergeCell ref="C21:H21"/>
    <mergeCell ref="C26:H26"/>
  </mergeCells>
  <conditionalFormatting sqref="A1:J41">
    <cfRule type="cellIs" dxfId="0" priority="1" operator="equal">
      <formula>"W"</formula>
    </cfRule>
  </conditionalFormatting>
  <conditionalFormatting sqref="A1:J41">
    <cfRule type="cellIs" dxfId="1" priority="2" operator="equal">
      <formula>"L"</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59EFF"/>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2" width="1.38"/>
    <col customWidth="1" min="3" max="3" width="15.13"/>
    <col customWidth="1" min="4" max="6" width="3.25"/>
    <col customWidth="1" min="7" max="7" width="16.38"/>
    <col customWidth="1" min="8" max="10" width="3.25"/>
    <col customWidth="1" min="11" max="11" width="1.38"/>
    <col customWidth="1" min="12" max="12" width="15.13"/>
    <col customWidth="1" min="13" max="15" width="3.25"/>
    <col customWidth="1" min="16" max="16" width="16.38"/>
    <col customWidth="1" min="17" max="19" width="3.25"/>
    <col customWidth="1" min="20" max="20" width="1.38"/>
    <col customWidth="1" min="21" max="21" width="15.13"/>
    <col customWidth="1" min="22" max="24" width="3.25"/>
    <col customWidth="1" min="25" max="25" width="16.38"/>
    <col customWidth="1" min="26" max="28" width="3.25"/>
    <col customWidth="1" min="29" max="29" width="1.38"/>
    <col customWidth="1" min="30" max="30" width="16.38"/>
    <col customWidth="1" min="31" max="33" width="3.25"/>
    <col customWidth="1" min="34" max="34" width="15.13"/>
    <col customWidth="1" min="35" max="37" width="3.25"/>
    <col customWidth="1" min="38" max="38" width="1.38"/>
    <col customWidth="1" min="39" max="39" width="15.13"/>
    <col customWidth="1" min="40" max="42" width="3.25"/>
    <col customWidth="1" min="43" max="43" width="16.38"/>
    <col customWidth="1" min="44" max="46" width="3.25"/>
    <col customWidth="1" min="47" max="47" width="1.38"/>
    <col customWidth="1" min="48" max="48" width="16.38"/>
    <col customWidth="1" min="49" max="51" width="3.25"/>
    <col customWidth="1" min="52" max="52" width="15.13"/>
    <col customWidth="1" min="53" max="55" width="3.25"/>
    <col customWidth="1" min="56" max="56" width="1.38"/>
    <col customWidth="1" min="57" max="57" width="15.13"/>
    <col customWidth="1" min="58" max="60" width="3.25"/>
    <col customWidth="1" min="61" max="61" width="16.38"/>
    <col customWidth="1" min="62" max="64" width="3.25"/>
    <col customWidth="1" min="65" max="66" width="1.38"/>
  </cols>
  <sheetData>
    <row r="1" ht="7.5" customHeight="1">
      <c r="A1" s="301"/>
      <c r="B1" s="301"/>
      <c r="C1" s="301"/>
      <c r="D1" s="301"/>
      <c r="E1" s="301"/>
      <c r="F1" s="301"/>
      <c r="G1" s="301"/>
      <c r="H1" s="301"/>
      <c r="I1" s="301"/>
      <c r="J1" s="301"/>
      <c r="K1" s="301"/>
      <c r="L1" s="301"/>
      <c r="M1" s="301"/>
      <c r="N1" s="301"/>
      <c r="O1" s="301"/>
      <c r="P1" s="301"/>
      <c r="Q1" s="301"/>
      <c r="R1" s="301"/>
      <c r="S1" s="301"/>
      <c r="T1" s="301"/>
      <c r="U1" s="301"/>
      <c r="V1" s="301"/>
      <c r="W1" s="301"/>
      <c r="X1" s="301"/>
      <c r="Y1" s="301"/>
      <c r="Z1" s="301"/>
      <c r="AA1" s="301"/>
      <c r="AB1" s="301"/>
      <c r="AC1" s="301"/>
      <c r="AD1" s="301"/>
      <c r="AE1" s="301"/>
      <c r="AF1" s="301"/>
      <c r="AG1" s="301"/>
      <c r="AH1" s="301"/>
      <c r="AI1" s="301"/>
      <c r="AJ1" s="301"/>
      <c r="AK1" s="301"/>
      <c r="AL1" s="301"/>
      <c r="AM1" s="301"/>
      <c r="AN1" s="301"/>
      <c r="AO1" s="301"/>
      <c r="AP1" s="301"/>
      <c r="AQ1" s="301"/>
      <c r="AR1" s="301"/>
      <c r="AS1" s="301"/>
      <c r="AT1" s="301"/>
      <c r="AU1" s="301"/>
      <c r="AV1" s="301"/>
      <c r="AW1" s="301"/>
      <c r="AX1" s="301"/>
      <c r="AY1" s="301"/>
      <c r="AZ1" s="301"/>
      <c r="BA1" s="301"/>
      <c r="BB1" s="301"/>
      <c r="BC1" s="301"/>
      <c r="BD1" s="301"/>
      <c r="BE1" s="301"/>
      <c r="BF1" s="301"/>
      <c r="BG1" s="301"/>
      <c r="BH1" s="301"/>
      <c r="BI1" s="301"/>
      <c r="BJ1" s="301"/>
      <c r="BK1" s="301"/>
      <c r="BL1" s="301"/>
      <c r="BM1" s="301"/>
      <c r="BN1" s="301"/>
    </row>
    <row r="2" ht="7.5" customHeight="1">
      <c r="A2" s="301"/>
      <c r="B2" s="302"/>
      <c r="C2" s="303"/>
      <c r="D2" s="303"/>
      <c r="E2" s="303"/>
      <c r="F2" s="303"/>
      <c r="G2" s="303"/>
      <c r="H2" s="303"/>
      <c r="I2" s="303"/>
      <c r="J2" s="303"/>
      <c r="K2" s="303"/>
      <c r="L2" s="303"/>
      <c r="M2" s="303"/>
      <c r="N2" s="303"/>
      <c r="O2" s="303"/>
      <c r="P2" s="303"/>
      <c r="Q2" s="303"/>
      <c r="R2" s="303"/>
      <c r="S2" s="303"/>
      <c r="T2" s="303"/>
      <c r="U2" s="303"/>
      <c r="V2" s="303"/>
      <c r="W2" s="303"/>
      <c r="X2" s="303"/>
      <c r="Y2" s="303"/>
      <c r="Z2" s="303"/>
      <c r="AA2" s="303"/>
      <c r="AB2" s="303"/>
      <c r="AC2" s="303"/>
      <c r="AD2" s="303"/>
      <c r="AE2" s="303"/>
      <c r="AF2" s="303"/>
      <c r="AG2" s="303"/>
      <c r="AH2" s="303"/>
      <c r="AI2" s="303"/>
      <c r="AJ2" s="303"/>
      <c r="AK2" s="303"/>
      <c r="AL2" s="303"/>
      <c r="AM2" s="303"/>
      <c r="AN2" s="303"/>
      <c r="AO2" s="303"/>
      <c r="AP2" s="303"/>
      <c r="AQ2" s="303"/>
      <c r="AR2" s="303"/>
      <c r="AS2" s="303"/>
      <c r="AT2" s="303"/>
      <c r="AU2" s="303"/>
      <c r="AV2" s="303"/>
      <c r="AW2" s="303"/>
      <c r="AX2" s="303"/>
      <c r="AY2" s="303"/>
      <c r="AZ2" s="303"/>
      <c r="BA2" s="303"/>
      <c r="BB2" s="303"/>
      <c r="BC2" s="303"/>
      <c r="BD2" s="303"/>
      <c r="BE2" s="303"/>
      <c r="BF2" s="303"/>
      <c r="BG2" s="303"/>
      <c r="BH2" s="303"/>
      <c r="BI2" s="303"/>
      <c r="BJ2" s="303"/>
      <c r="BK2" s="303"/>
      <c r="BL2" s="303"/>
      <c r="BM2" s="304"/>
      <c r="BN2" s="301"/>
    </row>
    <row r="3">
      <c r="A3" s="305"/>
      <c r="B3" s="306"/>
      <c r="C3" s="307" t="s">
        <v>53</v>
      </c>
      <c r="D3" s="34"/>
      <c r="E3" s="34"/>
      <c r="F3" s="34"/>
      <c r="G3" s="34"/>
      <c r="H3" s="34"/>
      <c r="I3" s="34"/>
      <c r="J3" s="35"/>
      <c r="K3" s="315"/>
      <c r="L3" s="307" t="s">
        <v>68</v>
      </c>
      <c r="M3" s="34"/>
      <c r="N3" s="34"/>
      <c r="O3" s="34"/>
      <c r="P3" s="34"/>
      <c r="Q3" s="34"/>
      <c r="R3" s="34"/>
      <c r="S3" s="35"/>
      <c r="T3" s="315"/>
      <c r="U3" s="307" t="s">
        <v>82</v>
      </c>
      <c r="V3" s="34"/>
      <c r="W3" s="34"/>
      <c r="X3" s="34"/>
      <c r="Y3" s="34"/>
      <c r="Z3" s="34"/>
      <c r="AA3" s="34"/>
      <c r="AB3" s="35"/>
      <c r="AC3" s="315"/>
      <c r="AD3" s="307" t="s">
        <v>100</v>
      </c>
      <c r="AE3" s="34"/>
      <c r="AF3" s="34"/>
      <c r="AG3" s="34"/>
      <c r="AH3" s="34"/>
      <c r="AI3" s="34"/>
      <c r="AJ3" s="34"/>
      <c r="AK3" s="35"/>
      <c r="AL3" s="315"/>
      <c r="AM3" s="307" t="s">
        <v>137</v>
      </c>
      <c r="AN3" s="34"/>
      <c r="AO3" s="34"/>
      <c r="AP3" s="34"/>
      <c r="AQ3" s="34"/>
      <c r="AR3" s="34"/>
      <c r="AS3" s="34"/>
      <c r="AT3" s="35"/>
      <c r="AU3" s="315"/>
      <c r="AV3" s="307" t="s">
        <v>144</v>
      </c>
      <c r="AW3" s="34"/>
      <c r="AX3" s="34"/>
      <c r="AY3" s="34"/>
      <c r="AZ3" s="34"/>
      <c r="BA3" s="34"/>
      <c r="BB3" s="34"/>
      <c r="BC3" s="35"/>
      <c r="BD3" s="315"/>
      <c r="BE3" s="307" t="s">
        <v>145</v>
      </c>
      <c r="BF3" s="34"/>
      <c r="BG3" s="34"/>
      <c r="BH3" s="34"/>
      <c r="BI3" s="34"/>
      <c r="BJ3" s="34"/>
      <c r="BK3" s="34"/>
      <c r="BL3" s="35"/>
      <c r="BM3" s="319"/>
      <c r="BN3" s="320"/>
    </row>
    <row r="4" ht="3.75" customHeight="1">
      <c r="A4" s="301"/>
      <c r="B4" s="324"/>
      <c r="C4" s="325"/>
      <c r="D4" s="325"/>
      <c r="E4" s="325"/>
      <c r="F4" s="325"/>
      <c r="G4" s="325"/>
      <c r="H4" s="325"/>
      <c r="I4" s="325"/>
      <c r="J4" s="325"/>
      <c r="K4" s="325"/>
      <c r="L4" s="325"/>
      <c r="M4" s="325"/>
      <c r="N4" s="325"/>
      <c r="O4" s="325"/>
      <c r="P4" s="325"/>
      <c r="Q4" s="325"/>
      <c r="R4" s="325"/>
      <c r="S4" s="325"/>
      <c r="T4" s="325"/>
      <c r="U4" s="325"/>
      <c r="V4" s="325"/>
      <c r="W4" s="325"/>
      <c r="X4" s="325"/>
      <c r="Y4" s="325"/>
      <c r="Z4" s="325"/>
      <c r="AA4" s="325"/>
      <c r="AB4" s="325"/>
      <c r="AC4" s="325"/>
      <c r="AD4" s="325"/>
      <c r="AE4" s="325"/>
      <c r="AF4" s="325"/>
      <c r="AG4" s="325"/>
      <c r="AH4" s="325"/>
      <c r="AI4" s="325"/>
      <c r="AJ4" s="325"/>
      <c r="AK4" s="325"/>
      <c r="AL4" s="325"/>
      <c r="AM4" s="325"/>
      <c r="AN4" s="325"/>
      <c r="AO4" s="325"/>
      <c r="AP4" s="325"/>
      <c r="AQ4" s="325"/>
      <c r="AR4" s="325"/>
      <c r="AS4" s="325"/>
      <c r="AT4" s="325"/>
      <c r="AU4" s="325"/>
      <c r="AV4" s="325"/>
      <c r="AW4" s="325"/>
      <c r="AX4" s="325"/>
      <c r="AY4" s="325"/>
      <c r="AZ4" s="325"/>
      <c r="BA4" s="325"/>
      <c r="BB4" s="325"/>
      <c r="BC4" s="325"/>
      <c r="BD4" s="325"/>
      <c r="BE4" s="325"/>
      <c r="BF4" s="325"/>
      <c r="BG4" s="325"/>
      <c r="BH4" s="325"/>
      <c r="BI4" s="325"/>
      <c r="BJ4" s="325"/>
      <c r="BK4" s="325"/>
      <c r="BL4" s="325"/>
      <c r="BM4" s="327"/>
      <c r="BN4" s="301"/>
    </row>
    <row r="5">
      <c r="A5" s="301"/>
      <c r="B5" s="324"/>
      <c r="C5" s="328" t="str">
        <f>Schedule!$C$7</f>
        <v>Zach VanSickle</v>
      </c>
      <c r="D5" s="329" t="s">
        <v>148</v>
      </c>
      <c r="E5" s="330" t="s">
        <v>149</v>
      </c>
      <c r="F5" s="330" t="s">
        <v>36</v>
      </c>
      <c r="G5" s="331" t="str">
        <f>Schedule!$H$7</f>
        <v>Jackson McLoughlin</v>
      </c>
      <c r="H5" s="332" t="s">
        <v>148</v>
      </c>
      <c r="I5" s="336" t="s">
        <v>149</v>
      </c>
      <c r="J5" s="337" t="s">
        <v>36</v>
      </c>
      <c r="K5" s="325"/>
      <c r="L5" s="328" t="str">
        <f>Schedule!$C$12</f>
        <v>Ryan Tidey</v>
      </c>
      <c r="M5" s="329" t="s">
        <v>148</v>
      </c>
      <c r="N5" s="330" t="s">
        <v>149</v>
      </c>
      <c r="O5" s="330" t="s">
        <v>36</v>
      </c>
      <c r="P5" s="331" t="str">
        <f>Schedule!$H$12</f>
        <v>Jackson McLoughlin</v>
      </c>
      <c r="Q5" s="332" t="s">
        <v>148</v>
      </c>
      <c r="R5" s="336" t="s">
        <v>149</v>
      </c>
      <c r="S5" s="337" t="s">
        <v>36</v>
      </c>
      <c r="T5" s="325"/>
      <c r="U5" s="328" t="str">
        <f>Schedule!$C$17</f>
        <v>Dick Hansen</v>
      </c>
      <c r="V5" s="329" t="s">
        <v>148</v>
      </c>
      <c r="W5" s="330" t="s">
        <v>149</v>
      </c>
      <c r="X5" s="330" t="s">
        <v>36</v>
      </c>
      <c r="Y5" s="331" t="str">
        <f>Schedule!$H$17</f>
        <v>Jackson McLoughlin</v>
      </c>
      <c r="Z5" s="332" t="s">
        <v>148</v>
      </c>
      <c r="AA5" s="336" t="s">
        <v>149</v>
      </c>
      <c r="AB5" s="337" t="s">
        <v>36</v>
      </c>
      <c r="AC5" s="325"/>
      <c r="AD5" s="328" t="str">
        <f>Schedule!$C$22</f>
        <v>Zach VanSickle</v>
      </c>
      <c r="AE5" s="329" t="s">
        <v>148</v>
      </c>
      <c r="AF5" s="330" t="s">
        <v>149</v>
      </c>
      <c r="AG5" s="330" t="s">
        <v>36</v>
      </c>
      <c r="AH5" s="331" t="str">
        <f>Schedule!$H$22</f>
        <v>Ryan Tidey</v>
      </c>
      <c r="AI5" s="332" t="s">
        <v>148</v>
      </c>
      <c r="AJ5" s="336" t="s">
        <v>149</v>
      </c>
      <c r="AK5" s="337" t="s">
        <v>36</v>
      </c>
      <c r="AL5" s="325"/>
      <c r="AM5" s="328" t="str">
        <f>Schedule!$C$27</f>
        <v>Zach VanSickle</v>
      </c>
      <c r="AN5" s="329" t="s">
        <v>148</v>
      </c>
      <c r="AO5" s="330" t="s">
        <v>149</v>
      </c>
      <c r="AP5" s="330" t="s">
        <v>36</v>
      </c>
      <c r="AQ5" s="331" t="str">
        <f>Schedule!$H$27</f>
        <v>Jackson McLoughlin</v>
      </c>
      <c r="AR5" s="332" t="s">
        <v>148</v>
      </c>
      <c r="AS5" s="336" t="s">
        <v>149</v>
      </c>
      <c r="AT5" s="337" t="s">
        <v>36</v>
      </c>
      <c r="AU5" s="325"/>
      <c r="AV5" s="328" t="str">
        <f>Schedule!$C$32</f>
        <v>Zach VanSickle</v>
      </c>
      <c r="AW5" s="329" t="s">
        <v>148</v>
      </c>
      <c r="AX5" s="330" t="s">
        <v>149</v>
      </c>
      <c r="AY5" s="330" t="s">
        <v>36</v>
      </c>
      <c r="AZ5" s="331" t="str">
        <f>Schedule!$H$32</f>
        <v>Dick Hansen</v>
      </c>
      <c r="BA5" s="332" t="s">
        <v>148</v>
      </c>
      <c r="BB5" s="336" t="s">
        <v>149</v>
      </c>
      <c r="BC5" s="337" t="s">
        <v>36</v>
      </c>
      <c r="BD5" s="325"/>
      <c r="BE5" s="328" t="str">
        <f>Schedule!$C$37</f>
        <v>Dick Hansen</v>
      </c>
      <c r="BF5" s="329" t="s">
        <v>148</v>
      </c>
      <c r="BG5" s="330" t="s">
        <v>149</v>
      </c>
      <c r="BH5" s="330" t="s">
        <v>36</v>
      </c>
      <c r="BI5" s="331" t="str">
        <f>Schedule!$H$37</f>
        <v>Jackson McLoughlin</v>
      </c>
      <c r="BJ5" s="332" t="s">
        <v>148</v>
      </c>
      <c r="BK5" s="336" t="s">
        <v>149</v>
      </c>
      <c r="BL5" s="337" t="s">
        <v>36</v>
      </c>
      <c r="BM5" s="327"/>
      <c r="BN5" s="301"/>
    </row>
    <row r="6">
      <c r="A6" s="301"/>
      <c r="B6" s="324"/>
      <c r="C6" s="347" t="s">
        <v>58</v>
      </c>
      <c r="D6" s="361">
        <v>2.0</v>
      </c>
      <c r="E6" s="361">
        <v>2.0</v>
      </c>
      <c r="F6" s="362">
        <f t="shared" ref="F6:F11" si="1">D6-E6</f>
        <v>0</v>
      </c>
      <c r="G6" s="347" t="s">
        <v>57</v>
      </c>
      <c r="H6" s="361">
        <v>1.0</v>
      </c>
      <c r="I6" s="361">
        <v>2.0</v>
      </c>
      <c r="J6" s="362">
        <f t="shared" ref="J6:J11" si="2">H6-I6</f>
        <v>-1</v>
      </c>
      <c r="K6" s="325"/>
      <c r="L6" s="347" t="s">
        <v>79</v>
      </c>
      <c r="M6" s="361"/>
      <c r="N6" s="361">
        <v>1.0</v>
      </c>
      <c r="O6" s="362">
        <f t="shared" ref="O6:O11" si="3">M6-N6</f>
        <v>-1</v>
      </c>
      <c r="P6" s="347" t="s">
        <v>75</v>
      </c>
      <c r="Q6" s="361">
        <v>1.0</v>
      </c>
      <c r="R6" s="361">
        <v>1.0</v>
      </c>
      <c r="S6" s="362">
        <f t="shared" ref="S6:S11" si="4">Q6-R6</f>
        <v>0</v>
      </c>
      <c r="T6" s="325"/>
      <c r="U6" s="347" t="s">
        <v>97</v>
      </c>
      <c r="V6" s="361"/>
      <c r="W6" s="361">
        <v>2.0</v>
      </c>
      <c r="X6" s="362">
        <f t="shared" ref="X6:X11" si="5">V6-W6</f>
        <v>-2</v>
      </c>
      <c r="Y6" s="347" t="s">
        <v>120</v>
      </c>
      <c r="Z6" s="361">
        <v>3.0</v>
      </c>
      <c r="AA6" s="361">
        <v>1.0</v>
      </c>
      <c r="AB6" s="362">
        <f t="shared" ref="AB6:AB11" si="6">Z6-AA6</f>
        <v>2</v>
      </c>
      <c r="AC6" s="325"/>
      <c r="AD6" s="347" t="s">
        <v>103</v>
      </c>
      <c r="AE6" s="361">
        <v>1.0</v>
      </c>
      <c r="AF6" s="361">
        <v>1.0</v>
      </c>
      <c r="AG6" s="362">
        <f t="shared" ref="AG6:AG11" si="7">AE6-AF6</f>
        <v>0</v>
      </c>
      <c r="AH6" s="347" t="s">
        <v>112</v>
      </c>
      <c r="AI6" s="361">
        <v>3.0</v>
      </c>
      <c r="AJ6" s="361">
        <v>3.0</v>
      </c>
      <c r="AK6" s="362">
        <f t="shared" ref="AK6:AK11" si="8">AI6-AJ6</f>
        <v>0</v>
      </c>
      <c r="AL6" s="325"/>
      <c r="AM6" s="347" t="s">
        <v>121</v>
      </c>
      <c r="AN6" s="361">
        <v>4.0</v>
      </c>
      <c r="AO6" s="361">
        <v>1.0</v>
      </c>
      <c r="AP6" s="362">
        <f t="shared" ref="AP6:AP11" si="9">AN6-AO6</f>
        <v>3</v>
      </c>
      <c r="AQ6" s="347" t="s">
        <v>120</v>
      </c>
      <c r="AR6" s="361">
        <v>1.0</v>
      </c>
      <c r="AS6" s="361">
        <v>1.0</v>
      </c>
      <c r="AT6" s="362">
        <f t="shared" ref="AT6:AT11" si="10">AR6-AS6</f>
        <v>0</v>
      </c>
      <c r="AU6" s="325"/>
      <c r="AV6" s="366"/>
      <c r="AW6" s="361">
        <v>5.0</v>
      </c>
      <c r="AX6" s="361"/>
      <c r="AY6" s="361">
        <f t="shared" ref="AY6:AY11" si="11">AW6-AX6</f>
        <v>5</v>
      </c>
      <c r="AZ6" s="366"/>
      <c r="BA6" s="361"/>
      <c r="BB6" s="361">
        <v>5.0</v>
      </c>
      <c r="BC6" s="361">
        <f t="shared" ref="BC6:BC11" si="12">BA6-BB6</f>
        <v>-5</v>
      </c>
      <c r="BD6" s="325"/>
      <c r="BE6" s="347"/>
      <c r="BF6" s="361"/>
      <c r="BG6" s="361">
        <v>5.0</v>
      </c>
      <c r="BH6" s="362">
        <f t="shared" ref="BH6:BH11" si="13">BF6-BG6</f>
        <v>-5</v>
      </c>
      <c r="BI6" s="347"/>
      <c r="BJ6" s="361">
        <v>5.0</v>
      </c>
      <c r="BK6" s="361"/>
      <c r="BL6" s="362">
        <f t="shared" ref="BL6:BL11" si="14">BJ6-BK6</f>
        <v>5</v>
      </c>
      <c r="BM6" s="327"/>
      <c r="BN6" s="301"/>
    </row>
    <row r="7">
      <c r="A7" s="301"/>
      <c r="B7" s="324"/>
      <c r="C7" s="370" t="s">
        <v>69</v>
      </c>
      <c r="D7" s="371"/>
      <c r="E7" s="371">
        <v>1.0</v>
      </c>
      <c r="F7" s="362">
        <f t="shared" si="1"/>
        <v>-1</v>
      </c>
      <c r="G7" s="370" t="s">
        <v>83</v>
      </c>
      <c r="H7" s="371">
        <v>2.0</v>
      </c>
      <c r="I7" s="371">
        <v>2.0</v>
      </c>
      <c r="J7" s="362">
        <f t="shared" si="2"/>
        <v>0</v>
      </c>
      <c r="K7" s="325"/>
      <c r="L7" s="370" t="s">
        <v>72</v>
      </c>
      <c r="M7" s="371"/>
      <c r="N7" s="371">
        <v>1.0</v>
      </c>
      <c r="O7" s="362">
        <f t="shared" si="3"/>
        <v>-1</v>
      </c>
      <c r="P7" s="370" t="s">
        <v>57</v>
      </c>
      <c r="Q7" s="371">
        <v>4.0</v>
      </c>
      <c r="R7" s="371">
        <v>1.0</v>
      </c>
      <c r="S7" s="362">
        <f t="shared" si="4"/>
        <v>3</v>
      </c>
      <c r="T7" s="325"/>
      <c r="U7" s="370" t="s">
        <v>70</v>
      </c>
      <c r="V7" s="371">
        <v>2.0</v>
      </c>
      <c r="W7" s="371">
        <v>2.0</v>
      </c>
      <c r="X7" s="362">
        <f t="shared" si="5"/>
        <v>0</v>
      </c>
      <c r="Y7" s="370" t="s">
        <v>75</v>
      </c>
      <c r="Z7" s="371">
        <v>1.0</v>
      </c>
      <c r="AA7" s="371">
        <v>1.0</v>
      </c>
      <c r="AB7" s="362">
        <f t="shared" si="6"/>
        <v>0</v>
      </c>
      <c r="AC7" s="325"/>
      <c r="AD7" s="370" t="s">
        <v>96</v>
      </c>
      <c r="AE7" s="371">
        <v>2.0</v>
      </c>
      <c r="AF7" s="371">
        <v>2.0</v>
      </c>
      <c r="AG7" s="362">
        <f t="shared" si="7"/>
        <v>0</v>
      </c>
      <c r="AH7" s="370" t="s">
        <v>124</v>
      </c>
      <c r="AI7" s="371"/>
      <c r="AJ7" s="371">
        <v>2.0</v>
      </c>
      <c r="AK7" s="362">
        <f t="shared" si="8"/>
        <v>-2</v>
      </c>
      <c r="AL7" s="325"/>
      <c r="AM7" s="370" t="s">
        <v>109</v>
      </c>
      <c r="AN7" s="371"/>
      <c r="AO7" s="371"/>
      <c r="AP7" s="362">
        <f t="shared" si="9"/>
        <v>0</v>
      </c>
      <c r="AQ7" s="370" t="s">
        <v>108</v>
      </c>
      <c r="AR7" s="371"/>
      <c r="AS7" s="371">
        <v>2.0</v>
      </c>
      <c r="AT7" s="362">
        <f t="shared" si="10"/>
        <v>-2</v>
      </c>
      <c r="AU7" s="325"/>
      <c r="AV7" s="374"/>
      <c r="AW7" s="371"/>
      <c r="AX7" s="375"/>
      <c r="AY7" s="361">
        <f t="shared" si="11"/>
        <v>0</v>
      </c>
      <c r="AZ7" s="374"/>
      <c r="BA7" s="371"/>
      <c r="BB7" s="375"/>
      <c r="BC7" s="361">
        <f t="shared" si="12"/>
        <v>0</v>
      </c>
      <c r="BD7" s="325"/>
      <c r="BE7" s="370"/>
      <c r="BF7" s="371"/>
      <c r="BG7" s="371"/>
      <c r="BH7" s="362">
        <f t="shared" si="13"/>
        <v>0</v>
      </c>
      <c r="BI7" s="370"/>
      <c r="BJ7" s="371"/>
      <c r="BK7" s="371"/>
      <c r="BL7" s="362">
        <f t="shared" si="14"/>
        <v>0</v>
      </c>
      <c r="BM7" s="327"/>
      <c r="BN7" s="301"/>
    </row>
    <row r="8">
      <c r="A8" s="301"/>
      <c r="B8" s="324"/>
      <c r="C8" s="370" t="s">
        <v>84</v>
      </c>
      <c r="D8" s="371"/>
      <c r="E8" s="371">
        <v>3.0</v>
      </c>
      <c r="F8" s="362">
        <f t="shared" si="1"/>
        <v>-3</v>
      </c>
      <c r="G8" s="370" t="s">
        <v>75</v>
      </c>
      <c r="H8" s="371">
        <v>3.0</v>
      </c>
      <c r="I8" s="371">
        <v>3.0</v>
      </c>
      <c r="J8" s="362">
        <f t="shared" si="2"/>
        <v>0</v>
      </c>
      <c r="K8" s="325"/>
      <c r="L8" s="370" t="s">
        <v>63</v>
      </c>
      <c r="M8" s="371">
        <v>1.0</v>
      </c>
      <c r="N8" s="371">
        <v>2.0</v>
      </c>
      <c r="O8" s="362">
        <f t="shared" si="3"/>
        <v>-1</v>
      </c>
      <c r="P8" s="370" t="s">
        <v>102</v>
      </c>
      <c r="Q8" s="371"/>
      <c r="R8" s="371"/>
      <c r="S8" s="362">
        <f t="shared" si="4"/>
        <v>0</v>
      </c>
      <c r="T8" s="325"/>
      <c r="U8" s="370" t="s">
        <v>77</v>
      </c>
      <c r="V8" s="371">
        <v>1.0</v>
      </c>
      <c r="W8" s="371">
        <v>2.0</v>
      </c>
      <c r="X8" s="362">
        <f t="shared" si="5"/>
        <v>-1</v>
      </c>
      <c r="Y8" s="370" t="s">
        <v>108</v>
      </c>
      <c r="Z8" s="371"/>
      <c r="AA8" s="371">
        <v>1.0</v>
      </c>
      <c r="AB8" s="362">
        <f t="shared" si="6"/>
        <v>-1</v>
      </c>
      <c r="AC8" s="325"/>
      <c r="AD8" s="370" t="s">
        <v>109</v>
      </c>
      <c r="AE8" s="371"/>
      <c r="AF8" s="371">
        <v>1.0</v>
      </c>
      <c r="AG8" s="362">
        <f t="shared" si="7"/>
        <v>-1</v>
      </c>
      <c r="AH8" s="370" t="s">
        <v>99</v>
      </c>
      <c r="AI8" s="371"/>
      <c r="AJ8" s="371">
        <v>1.0</v>
      </c>
      <c r="AK8" s="362">
        <f t="shared" si="8"/>
        <v>-1</v>
      </c>
      <c r="AL8" s="325"/>
      <c r="AM8" s="370" t="s">
        <v>115</v>
      </c>
      <c r="AN8" s="371"/>
      <c r="AO8" s="371"/>
      <c r="AP8" s="362">
        <f t="shared" si="9"/>
        <v>0</v>
      </c>
      <c r="AQ8" s="370" t="s">
        <v>57</v>
      </c>
      <c r="AR8" s="371">
        <v>2.0</v>
      </c>
      <c r="AS8" s="371">
        <v>2.0</v>
      </c>
      <c r="AT8" s="362">
        <f t="shared" si="10"/>
        <v>0</v>
      </c>
      <c r="AU8" s="325"/>
      <c r="AV8" s="374"/>
      <c r="AW8" s="375"/>
      <c r="AX8" s="371"/>
      <c r="AY8" s="361">
        <f t="shared" si="11"/>
        <v>0</v>
      </c>
      <c r="AZ8" s="374"/>
      <c r="BA8" s="371"/>
      <c r="BB8" s="375"/>
      <c r="BC8" s="361">
        <f t="shared" si="12"/>
        <v>0</v>
      </c>
      <c r="BD8" s="325"/>
      <c r="BE8" s="370"/>
      <c r="BF8" s="371"/>
      <c r="BG8" s="371"/>
      <c r="BH8" s="362">
        <f t="shared" si="13"/>
        <v>0</v>
      </c>
      <c r="BI8" s="370"/>
      <c r="BJ8" s="371"/>
      <c r="BK8" s="371"/>
      <c r="BL8" s="362">
        <f t="shared" si="14"/>
        <v>0</v>
      </c>
      <c r="BM8" s="327"/>
      <c r="BN8" s="301"/>
    </row>
    <row r="9">
      <c r="A9" s="301"/>
      <c r="B9" s="324"/>
      <c r="C9" s="370" t="s">
        <v>121</v>
      </c>
      <c r="D9" s="371">
        <v>3.0</v>
      </c>
      <c r="E9" s="371"/>
      <c r="F9" s="362">
        <f t="shared" si="1"/>
        <v>3</v>
      </c>
      <c r="G9" s="370" t="s">
        <v>102</v>
      </c>
      <c r="H9" s="371">
        <v>3.0</v>
      </c>
      <c r="I9" s="371">
        <v>1.0</v>
      </c>
      <c r="J9" s="362">
        <f t="shared" si="2"/>
        <v>2</v>
      </c>
      <c r="K9" s="325"/>
      <c r="L9" s="370" t="s">
        <v>118</v>
      </c>
      <c r="M9" s="371">
        <v>1.0</v>
      </c>
      <c r="N9" s="371">
        <v>2.0</v>
      </c>
      <c r="O9" s="362">
        <f t="shared" si="3"/>
        <v>-1</v>
      </c>
      <c r="P9" s="370" t="s">
        <v>95</v>
      </c>
      <c r="Q9" s="371"/>
      <c r="R9" s="371"/>
      <c r="S9" s="362">
        <f t="shared" si="4"/>
        <v>0</v>
      </c>
      <c r="T9" s="325"/>
      <c r="U9" s="370" t="s">
        <v>59</v>
      </c>
      <c r="V9" s="371">
        <v>1.0</v>
      </c>
      <c r="W9" s="371">
        <v>2.0</v>
      </c>
      <c r="X9" s="362">
        <f t="shared" si="5"/>
        <v>-1</v>
      </c>
      <c r="Y9" s="370" t="s">
        <v>76</v>
      </c>
      <c r="Z9" s="371"/>
      <c r="AA9" s="371">
        <v>1.0</v>
      </c>
      <c r="AB9" s="362">
        <f t="shared" si="6"/>
        <v>-1</v>
      </c>
      <c r="AC9" s="325"/>
      <c r="AD9" s="370" t="s">
        <v>115</v>
      </c>
      <c r="AE9" s="371"/>
      <c r="AF9" s="371">
        <v>1.0</v>
      </c>
      <c r="AG9" s="362">
        <f t="shared" si="7"/>
        <v>-1</v>
      </c>
      <c r="AH9" s="370" t="s">
        <v>93</v>
      </c>
      <c r="AI9" s="371"/>
      <c r="AJ9" s="371">
        <v>1.0</v>
      </c>
      <c r="AK9" s="362">
        <f t="shared" si="8"/>
        <v>-1</v>
      </c>
      <c r="AL9" s="325"/>
      <c r="AM9" s="370" t="s">
        <v>96</v>
      </c>
      <c r="AN9" s="371">
        <v>3.0</v>
      </c>
      <c r="AO9" s="371">
        <v>3.0</v>
      </c>
      <c r="AP9" s="362">
        <f t="shared" si="9"/>
        <v>0</v>
      </c>
      <c r="AQ9" s="370" t="s">
        <v>126</v>
      </c>
      <c r="AR9" s="371"/>
      <c r="AS9" s="371">
        <v>2.0</v>
      </c>
      <c r="AT9" s="362">
        <f t="shared" si="10"/>
        <v>-2</v>
      </c>
      <c r="AU9" s="325"/>
      <c r="AV9" s="374"/>
      <c r="AW9" s="371"/>
      <c r="AX9" s="371"/>
      <c r="AY9" s="361">
        <f t="shared" si="11"/>
        <v>0</v>
      </c>
      <c r="AZ9" s="374"/>
      <c r="BA9" s="375"/>
      <c r="BB9" s="375"/>
      <c r="BC9" s="361">
        <f t="shared" si="12"/>
        <v>0</v>
      </c>
      <c r="BD9" s="325"/>
      <c r="BE9" s="370"/>
      <c r="BF9" s="371"/>
      <c r="BG9" s="371"/>
      <c r="BH9" s="362">
        <f t="shared" si="13"/>
        <v>0</v>
      </c>
      <c r="BI9" s="370"/>
      <c r="BJ9" s="371"/>
      <c r="BK9" s="371"/>
      <c r="BL9" s="362">
        <f t="shared" si="14"/>
        <v>0</v>
      </c>
      <c r="BM9" s="327"/>
      <c r="BN9" s="301"/>
    </row>
    <row r="10">
      <c r="A10" s="301"/>
      <c r="B10" s="324"/>
      <c r="C10" s="370" t="s">
        <v>96</v>
      </c>
      <c r="D10" s="371">
        <v>4.0</v>
      </c>
      <c r="E10" s="371">
        <v>2.0</v>
      </c>
      <c r="F10" s="362">
        <f t="shared" si="1"/>
        <v>2</v>
      </c>
      <c r="G10" s="370" t="s">
        <v>76</v>
      </c>
      <c r="H10" s="371"/>
      <c r="I10" s="371">
        <v>1.0</v>
      </c>
      <c r="J10" s="362">
        <f t="shared" si="2"/>
        <v>-1</v>
      </c>
      <c r="K10" s="325"/>
      <c r="L10" s="370" t="s">
        <v>87</v>
      </c>
      <c r="M10" s="371"/>
      <c r="N10" s="371">
        <v>1.0</v>
      </c>
      <c r="O10" s="362">
        <f t="shared" si="3"/>
        <v>-1</v>
      </c>
      <c r="P10" s="370" t="s">
        <v>76</v>
      </c>
      <c r="Q10" s="371">
        <v>3.0</v>
      </c>
      <c r="R10" s="371"/>
      <c r="S10" s="362">
        <f t="shared" si="4"/>
        <v>3</v>
      </c>
      <c r="T10" s="325"/>
      <c r="U10" s="370" t="s">
        <v>85</v>
      </c>
      <c r="V10" s="371"/>
      <c r="W10" s="371"/>
      <c r="X10" s="362">
        <f t="shared" si="5"/>
        <v>0</v>
      </c>
      <c r="Y10" s="370" t="s">
        <v>89</v>
      </c>
      <c r="Z10" s="371"/>
      <c r="AA10" s="371"/>
      <c r="AB10" s="362">
        <f t="shared" si="6"/>
        <v>0</v>
      </c>
      <c r="AC10" s="325"/>
      <c r="AD10" s="370" t="s">
        <v>84</v>
      </c>
      <c r="AE10" s="371"/>
      <c r="AF10" s="371">
        <v>1.0</v>
      </c>
      <c r="AG10" s="362">
        <f t="shared" si="7"/>
        <v>-1</v>
      </c>
      <c r="AH10" s="370" t="s">
        <v>130</v>
      </c>
      <c r="AI10" s="371">
        <v>3.0</v>
      </c>
      <c r="AJ10" s="371">
        <v>1.0</v>
      </c>
      <c r="AK10" s="362">
        <f t="shared" si="8"/>
        <v>2</v>
      </c>
      <c r="AL10" s="325"/>
      <c r="AM10" s="370" t="s">
        <v>103</v>
      </c>
      <c r="AN10" s="371">
        <v>2.0</v>
      </c>
      <c r="AO10" s="371">
        <v>1.0</v>
      </c>
      <c r="AP10" s="362">
        <f t="shared" si="9"/>
        <v>1</v>
      </c>
      <c r="AQ10" s="370" t="s">
        <v>75</v>
      </c>
      <c r="AR10" s="371"/>
      <c r="AS10" s="371">
        <v>2.0</v>
      </c>
      <c r="AT10" s="362">
        <f t="shared" si="10"/>
        <v>-2</v>
      </c>
      <c r="AU10" s="325"/>
      <c r="AV10" s="374"/>
      <c r="AW10" s="375"/>
      <c r="AX10" s="371"/>
      <c r="AY10" s="361">
        <f t="shared" si="11"/>
        <v>0</v>
      </c>
      <c r="AZ10" s="374"/>
      <c r="BA10" s="371"/>
      <c r="BB10" s="375"/>
      <c r="BC10" s="361">
        <f t="shared" si="12"/>
        <v>0</v>
      </c>
      <c r="BD10" s="325"/>
      <c r="BE10" s="370"/>
      <c r="BF10" s="371"/>
      <c r="BG10" s="371"/>
      <c r="BH10" s="362">
        <f t="shared" si="13"/>
        <v>0</v>
      </c>
      <c r="BI10" s="370"/>
      <c r="BJ10" s="371"/>
      <c r="BK10" s="371"/>
      <c r="BL10" s="362">
        <f t="shared" si="14"/>
        <v>0</v>
      </c>
      <c r="BM10" s="327"/>
      <c r="BN10" s="301"/>
    </row>
    <row r="11">
      <c r="A11" s="301"/>
      <c r="B11" s="324"/>
      <c r="C11" s="377" t="s">
        <v>103</v>
      </c>
      <c r="D11" s="378">
        <v>2.0</v>
      </c>
      <c r="E11" s="378">
        <v>2.0</v>
      </c>
      <c r="F11" s="362">
        <f t="shared" si="1"/>
        <v>0</v>
      </c>
      <c r="G11" s="377" t="s">
        <v>95</v>
      </c>
      <c r="H11" s="378"/>
      <c r="I11" s="378">
        <v>1.0</v>
      </c>
      <c r="J11" s="362">
        <f t="shared" si="2"/>
        <v>-1</v>
      </c>
      <c r="K11" s="325"/>
      <c r="L11" s="377" t="s">
        <v>106</v>
      </c>
      <c r="M11" s="378">
        <v>1.0</v>
      </c>
      <c r="N11" s="378">
        <v>1.0</v>
      </c>
      <c r="O11" s="362">
        <f t="shared" si="3"/>
        <v>0</v>
      </c>
      <c r="P11" s="377" t="s">
        <v>83</v>
      </c>
      <c r="Q11" s="378"/>
      <c r="R11" s="378">
        <v>1.0</v>
      </c>
      <c r="S11" s="362">
        <f t="shared" si="4"/>
        <v>-1</v>
      </c>
      <c r="T11" s="325"/>
      <c r="U11" s="377" t="s">
        <v>91</v>
      </c>
      <c r="V11" s="378"/>
      <c r="W11" s="378">
        <v>1.0</v>
      </c>
      <c r="X11" s="362">
        <f t="shared" si="5"/>
        <v>-1</v>
      </c>
      <c r="Y11" s="377" t="s">
        <v>57</v>
      </c>
      <c r="Z11" s="378">
        <v>5.0</v>
      </c>
      <c r="AA11" s="378"/>
      <c r="AB11" s="362">
        <f t="shared" si="6"/>
        <v>5</v>
      </c>
      <c r="AC11" s="325"/>
      <c r="AD11" s="377" t="s">
        <v>90</v>
      </c>
      <c r="AE11" s="378">
        <v>6.0</v>
      </c>
      <c r="AF11" s="378">
        <v>2.0</v>
      </c>
      <c r="AG11" s="362">
        <f t="shared" si="7"/>
        <v>4</v>
      </c>
      <c r="AH11" s="377" t="s">
        <v>87</v>
      </c>
      <c r="AI11" s="378">
        <v>2.0</v>
      </c>
      <c r="AJ11" s="378">
        <v>1.0</v>
      </c>
      <c r="AK11" s="362">
        <f t="shared" si="8"/>
        <v>1</v>
      </c>
      <c r="AL11" s="325"/>
      <c r="AM11" s="377" t="s">
        <v>90</v>
      </c>
      <c r="AN11" s="378">
        <v>2.0</v>
      </c>
      <c r="AO11" s="378">
        <v>2.0</v>
      </c>
      <c r="AP11" s="362">
        <f t="shared" si="9"/>
        <v>0</v>
      </c>
      <c r="AQ11" s="377" t="s">
        <v>102</v>
      </c>
      <c r="AR11" s="378">
        <v>4.0</v>
      </c>
      <c r="AS11" s="378">
        <v>2.0</v>
      </c>
      <c r="AT11" s="362">
        <f t="shared" si="10"/>
        <v>2</v>
      </c>
      <c r="AU11" s="325"/>
      <c r="AV11" s="381"/>
      <c r="AW11" s="384"/>
      <c r="AX11" s="384"/>
      <c r="AY11" s="361">
        <f t="shared" si="11"/>
        <v>0</v>
      </c>
      <c r="AZ11" s="381"/>
      <c r="BA11" s="378"/>
      <c r="BB11" s="384"/>
      <c r="BC11" s="361">
        <f t="shared" si="12"/>
        <v>0</v>
      </c>
      <c r="BD11" s="325"/>
      <c r="BE11" s="377"/>
      <c r="BF11" s="378"/>
      <c r="BG11" s="378"/>
      <c r="BH11" s="362">
        <f t="shared" si="13"/>
        <v>0</v>
      </c>
      <c r="BI11" s="377"/>
      <c r="BJ11" s="378"/>
      <c r="BK11" s="378"/>
      <c r="BL11" s="362">
        <f t="shared" si="14"/>
        <v>0</v>
      </c>
      <c r="BM11" s="327"/>
      <c r="BN11" s="301"/>
    </row>
    <row r="12">
      <c r="A12" s="301"/>
      <c r="B12" s="324"/>
      <c r="C12" s="396" t="s">
        <v>155</v>
      </c>
      <c r="D12" s="398">
        <f>SUM(F6:F11)</f>
        <v>1</v>
      </c>
      <c r="E12" s="399"/>
      <c r="F12" s="399"/>
      <c r="G12" s="396" t="s">
        <v>155</v>
      </c>
      <c r="H12" s="398">
        <f>SUM(J6:J11)</f>
        <v>-1</v>
      </c>
      <c r="I12" s="399"/>
      <c r="J12" s="401"/>
      <c r="K12" s="325"/>
      <c r="L12" s="396" t="s">
        <v>155</v>
      </c>
      <c r="M12" s="398">
        <f>SUM(O6:O11)</f>
        <v>-5</v>
      </c>
      <c r="N12" s="399"/>
      <c r="O12" s="399"/>
      <c r="P12" s="396" t="s">
        <v>155</v>
      </c>
      <c r="Q12" s="398">
        <f>SUM(S6:S11)</f>
        <v>5</v>
      </c>
      <c r="R12" s="399"/>
      <c r="S12" s="401"/>
      <c r="T12" s="325"/>
      <c r="U12" s="396" t="s">
        <v>155</v>
      </c>
      <c r="V12" s="398">
        <f>SUM(X6:X11)</f>
        <v>-5</v>
      </c>
      <c r="W12" s="399"/>
      <c r="X12" s="399"/>
      <c r="Y12" s="396" t="s">
        <v>155</v>
      </c>
      <c r="Z12" s="398">
        <f>SUM(AB6:AB11)</f>
        <v>5</v>
      </c>
      <c r="AA12" s="399"/>
      <c r="AB12" s="401"/>
      <c r="AC12" s="325"/>
      <c r="AD12" s="396" t="s">
        <v>155</v>
      </c>
      <c r="AE12" s="398">
        <f>SUM(AG6:AG11)</f>
        <v>1</v>
      </c>
      <c r="AF12" s="399"/>
      <c r="AG12" s="399"/>
      <c r="AH12" s="396" t="s">
        <v>155</v>
      </c>
      <c r="AI12" s="398">
        <f>SUM(AK6:AK11)</f>
        <v>-1</v>
      </c>
      <c r="AJ12" s="399"/>
      <c r="AK12" s="401"/>
      <c r="AL12" s="325"/>
      <c r="AM12" s="396" t="s">
        <v>155</v>
      </c>
      <c r="AN12" s="398">
        <f>SUM(AP6:AP11)</f>
        <v>4</v>
      </c>
      <c r="AO12" s="399"/>
      <c r="AP12" s="399"/>
      <c r="AQ12" s="396" t="s">
        <v>155</v>
      </c>
      <c r="AR12" s="398">
        <f>SUM(AT6:AT11)</f>
        <v>-4</v>
      </c>
      <c r="AS12" s="399"/>
      <c r="AT12" s="401"/>
      <c r="AU12" s="325"/>
      <c r="AV12" s="396" t="s">
        <v>155</v>
      </c>
      <c r="AW12" s="409">
        <f>SUM(AY6:AY11)</f>
        <v>5</v>
      </c>
      <c r="AX12" s="410"/>
      <c r="AY12" s="411"/>
      <c r="AZ12" s="412" t="s">
        <v>155</v>
      </c>
      <c r="BA12" s="409">
        <f>SUM(BC6:BC11)</f>
        <v>-5</v>
      </c>
      <c r="BB12" s="410"/>
      <c r="BC12" s="411"/>
      <c r="BD12" s="325"/>
      <c r="BE12" s="396" t="s">
        <v>155</v>
      </c>
      <c r="BF12" s="398">
        <f>SUM(BH6:BH11)</f>
        <v>-5</v>
      </c>
      <c r="BG12" s="399"/>
      <c r="BH12" s="399"/>
      <c r="BI12" s="396" t="s">
        <v>155</v>
      </c>
      <c r="BJ12" s="398">
        <f>SUM(BL6:BL11)</f>
        <v>5</v>
      </c>
      <c r="BK12" s="399"/>
      <c r="BL12" s="401"/>
      <c r="BM12" s="327"/>
      <c r="BN12" s="301"/>
    </row>
    <row r="13">
      <c r="A13" s="5"/>
      <c r="B13" s="416"/>
      <c r="C13" s="417" t="s">
        <v>162</v>
      </c>
      <c r="D13" s="418">
        <v>2.0</v>
      </c>
      <c r="E13" s="124"/>
      <c r="F13" s="419"/>
      <c r="G13" s="417" t="s">
        <v>162</v>
      </c>
      <c r="H13" s="418">
        <v>1.0</v>
      </c>
      <c r="I13" s="124"/>
      <c r="J13" s="125"/>
      <c r="K13" s="420"/>
      <c r="L13" s="417" t="s">
        <v>162</v>
      </c>
      <c r="M13" s="418">
        <v>0.0</v>
      </c>
      <c r="N13" s="124"/>
      <c r="O13" s="419"/>
      <c r="P13" s="417" t="s">
        <v>162</v>
      </c>
      <c r="Q13" s="418">
        <v>2.0</v>
      </c>
      <c r="R13" s="124"/>
      <c r="S13" s="125"/>
      <c r="T13" s="420"/>
      <c r="U13" s="417" t="s">
        <v>162</v>
      </c>
      <c r="V13" s="418">
        <v>0.0</v>
      </c>
      <c r="W13" s="124"/>
      <c r="X13" s="419"/>
      <c r="Y13" s="417" t="s">
        <v>162</v>
      </c>
      <c r="Z13" s="418">
        <v>2.0</v>
      </c>
      <c r="AA13" s="124"/>
      <c r="AB13" s="125"/>
      <c r="AC13" s="420"/>
      <c r="AD13" s="417" t="s">
        <v>162</v>
      </c>
      <c r="AE13" s="418">
        <v>1.0</v>
      </c>
      <c r="AF13" s="124"/>
      <c r="AG13" s="419"/>
      <c r="AH13" s="417" t="s">
        <v>162</v>
      </c>
      <c r="AI13" s="418">
        <v>2.0</v>
      </c>
      <c r="AJ13" s="124"/>
      <c r="AK13" s="125"/>
      <c r="AL13" s="420"/>
      <c r="AM13" s="417" t="s">
        <v>162</v>
      </c>
      <c r="AN13" s="418">
        <v>2.0</v>
      </c>
      <c r="AO13" s="124"/>
      <c r="AP13" s="419"/>
      <c r="AQ13" s="417" t="s">
        <v>162</v>
      </c>
      <c r="AR13" s="418">
        <v>1.0</v>
      </c>
      <c r="AS13" s="124"/>
      <c r="AT13" s="125"/>
      <c r="AU13" s="420"/>
      <c r="AV13" s="417" t="s">
        <v>162</v>
      </c>
      <c r="AW13" s="428">
        <v>2.0</v>
      </c>
      <c r="AX13" s="436"/>
      <c r="AY13" s="437"/>
      <c r="AZ13" s="417" t="s">
        <v>162</v>
      </c>
      <c r="BA13" s="428">
        <v>1.0</v>
      </c>
      <c r="BB13" s="436"/>
      <c r="BC13" s="438"/>
      <c r="BD13" s="420"/>
      <c r="BE13" s="417" t="s">
        <v>162</v>
      </c>
      <c r="BF13" s="418">
        <v>1.0</v>
      </c>
      <c r="BG13" s="124"/>
      <c r="BH13" s="419"/>
      <c r="BI13" s="417" t="s">
        <v>162</v>
      </c>
      <c r="BJ13" s="418">
        <v>2.0</v>
      </c>
      <c r="BK13" s="124"/>
      <c r="BL13" s="125"/>
      <c r="BM13" s="440"/>
      <c r="BN13" s="5"/>
    </row>
    <row r="14">
      <c r="A14" s="5"/>
      <c r="B14" s="416"/>
      <c r="C14" s="445" t="s">
        <v>168</v>
      </c>
      <c r="D14" s="449">
        <v>1.0</v>
      </c>
      <c r="E14" s="452">
        <v>2.0</v>
      </c>
      <c r="F14" s="453">
        <v>3.0</v>
      </c>
      <c r="G14" s="456" t="s">
        <v>174</v>
      </c>
      <c r="H14" s="152"/>
      <c r="I14" s="467" t="str">
        <f>IF(D13=2,"W",IF(H13=2,"L",))</f>
        <v>W</v>
      </c>
      <c r="J14" s="469" t="str">
        <f>IF(H13=2,"W",IF(D13=2,"L",))</f>
        <v>L</v>
      </c>
      <c r="K14" s="470"/>
      <c r="L14" s="471" t="s">
        <v>168</v>
      </c>
      <c r="M14" s="449">
        <v>1.0</v>
      </c>
      <c r="N14" s="472">
        <v>2.0</v>
      </c>
      <c r="O14" s="473">
        <v>3.0</v>
      </c>
      <c r="P14" s="456" t="s">
        <v>174</v>
      </c>
      <c r="Q14" s="152"/>
      <c r="R14" s="467" t="str">
        <f>IF(M13=2,"W",IF(Q13=2,"L",))</f>
        <v>L</v>
      </c>
      <c r="S14" s="469" t="str">
        <f>IF(Q13=2,"W",IF(M13=2,"L",))</f>
        <v>W</v>
      </c>
      <c r="T14" s="470"/>
      <c r="U14" s="471" t="s">
        <v>168</v>
      </c>
      <c r="V14" s="449">
        <v>1.0</v>
      </c>
      <c r="W14" s="449">
        <v>2.0</v>
      </c>
      <c r="X14" s="476">
        <v>3.0</v>
      </c>
      <c r="Y14" s="456" t="s">
        <v>174</v>
      </c>
      <c r="Z14" s="152"/>
      <c r="AA14" s="467" t="str">
        <f>IF(V13=2,"W",IF(Z13=2,"L",))</f>
        <v>L</v>
      </c>
      <c r="AB14" s="469" t="str">
        <f>IF(Z13=2,"W",IF(V13=2,"L",))</f>
        <v>W</v>
      </c>
      <c r="AC14" s="470"/>
      <c r="AD14" s="471" t="s">
        <v>168</v>
      </c>
      <c r="AE14" s="449">
        <v>1.0</v>
      </c>
      <c r="AF14" s="449">
        <v>2.0</v>
      </c>
      <c r="AG14" s="473">
        <v>3.0</v>
      </c>
      <c r="AH14" s="456" t="s">
        <v>174</v>
      </c>
      <c r="AI14" s="152"/>
      <c r="AJ14" s="467" t="str">
        <f>IF(AE13=2,"W",IF(AI13=2,"L",))</f>
        <v>L</v>
      </c>
      <c r="AK14" s="469" t="str">
        <f>IF(AI13=2,"W",IF(AE13=2,"L",))</f>
        <v>W</v>
      </c>
      <c r="AL14" s="470"/>
      <c r="AM14" s="471" t="s">
        <v>168</v>
      </c>
      <c r="AN14" s="449">
        <v>1.0</v>
      </c>
      <c r="AO14" s="449">
        <v>2.0</v>
      </c>
      <c r="AP14" s="473">
        <v>3.0</v>
      </c>
      <c r="AQ14" s="456" t="s">
        <v>174</v>
      </c>
      <c r="AR14" s="152"/>
      <c r="AS14" s="467" t="str">
        <f>IF(AN13=2,"W",IF(AR13=2,"L",))</f>
        <v>W</v>
      </c>
      <c r="AT14" s="469" t="str">
        <f>IF(AR13=2,"W",IF(AN13=2,"L",))</f>
        <v>L</v>
      </c>
      <c r="AU14" s="470"/>
      <c r="AV14" s="471" t="s">
        <v>168</v>
      </c>
      <c r="AW14" s="449">
        <v>1.0</v>
      </c>
      <c r="AX14" s="449">
        <v>2.0</v>
      </c>
      <c r="AY14" s="479">
        <v>3.0</v>
      </c>
      <c r="AZ14" s="456" t="s">
        <v>174</v>
      </c>
      <c r="BA14" s="152"/>
      <c r="BB14" s="467" t="str">
        <f>IF(AW13=2,"W",IF(BA13=2,"L",))</f>
        <v>W</v>
      </c>
      <c r="BC14" s="469" t="str">
        <f>IF(BA13=2,"W",IF(AW13=2,"L",))</f>
        <v>L</v>
      </c>
      <c r="BD14" s="470"/>
      <c r="BE14" s="471" t="s">
        <v>168</v>
      </c>
      <c r="BF14" s="449">
        <v>1.0</v>
      </c>
      <c r="BG14" s="449">
        <v>2.0</v>
      </c>
      <c r="BH14" s="453">
        <v>3.0</v>
      </c>
      <c r="BI14" s="456" t="s">
        <v>174</v>
      </c>
      <c r="BJ14" s="152"/>
      <c r="BK14" s="467" t="str">
        <f>IF(BF13=2,"W",IF(BJ13=2,"L",))</f>
        <v>L</v>
      </c>
      <c r="BL14" s="469" t="str">
        <f>IF(BJ13=2,"W",IF(BF13=2,"L",))</f>
        <v>W</v>
      </c>
      <c r="BM14" s="440"/>
      <c r="BN14" s="5"/>
    </row>
    <row r="15" ht="7.5" customHeight="1">
      <c r="A15" s="301"/>
      <c r="B15" s="324"/>
      <c r="C15" s="325"/>
      <c r="D15" s="481"/>
      <c r="E15" s="481"/>
      <c r="F15" s="481"/>
      <c r="G15" s="481"/>
      <c r="H15" s="481"/>
      <c r="I15" s="481"/>
      <c r="J15" s="481"/>
      <c r="K15" s="481"/>
      <c r="L15" s="481"/>
      <c r="M15" s="481"/>
      <c r="N15" s="481"/>
      <c r="O15" s="481"/>
      <c r="P15" s="481"/>
      <c r="Q15" s="481"/>
      <c r="R15" s="481"/>
      <c r="S15" s="481"/>
      <c r="T15" s="481"/>
      <c r="U15" s="481"/>
      <c r="V15" s="481"/>
      <c r="W15" s="481"/>
      <c r="X15" s="481"/>
      <c r="Y15" s="481"/>
      <c r="Z15" s="481"/>
      <c r="AA15" s="481"/>
      <c r="AB15" s="481"/>
      <c r="AC15" s="481"/>
      <c r="AD15" s="481"/>
      <c r="AE15" s="481"/>
      <c r="AF15" s="481"/>
      <c r="AG15" s="481"/>
      <c r="AH15" s="481"/>
      <c r="AI15" s="481"/>
      <c r="AJ15" s="481"/>
      <c r="AK15" s="481"/>
      <c r="AL15" s="481"/>
      <c r="AM15" s="481"/>
      <c r="AN15" s="481"/>
      <c r="AO15" s="481"/>
      <c r="AP15" s="481"/>
      <c r="AQ15" s="481"/>
      <c r="AR15" s="481"/>
      <c r="AS15" s="481"/>
      <c r="AT15" s="481"/>
      <c r="AU15" s="481"/>
      <c r="AV15" s="481"/>
      <c r="AW15" s="481"/>
      <c r="AX15" s="481"/>
      <c r="AY15" s="481"/>
      <c r="AZ15" s="481"/>
      <c r="BA15" s="481"/>
      <c r="BB15" s="481"/>
      <c r="BC15" s="481"/>
      <c r="BD15" s="481"/>
      <c r="BE15" s="481"/>
      <c r="BF15" s="481"/>
      <c r="BG15" s="481"/>
      <c r="BH15" s="481"/>
      <c r="BI15" s="481"/>
      <c r="BJ15" s="481"/>
      <c r="BK15" s="481"/>
      <c r="BL15" s="481"/>
      <c r="BM15" s="327"/>
      <c r="BN15" s="301"/>
    </row>
    <row r="16">
      <c r="A16" s="301"/>
      <c r="B16" s="324"/>
      <c r="C16" s="328" t="str">
        <f>Schedule!$C$8</f>
        <v>Dick Hansen</v>
      </c>
      <c r="D16" s="482" t="s">
        <v>148</v>
      </c>
      <c r="E16" s="483" t="s">
        <v>149</v>
      </c>
      <c r="F16" s="483" t="s">
        <v>36</v>
      </c>
      <c r="G16" s="484" t="str">
        <f>Schedule!$H$8</f>
        <v>Ian Heslin</v>
      </c>
      <c r="H16" s="485" t="s">
        <v>148</v>
      </c>
      <c r="I16" s="486" t="s">
        <v>149</v>
      </c>
      <c r="J16" s="487" t="s">
        <v>36</v>
      </c>
      <c r="K16" s="481"/>
      <c r="L16" s="488" t="str">
        <f>Schedule!$C$13</f>
        <v>Zach VanSickle</v>
      </c>
      <c r="M16" s="482" t="s">
        <v>148</v>
      </c>
      <c r="N16" s="483" t="s">
        <v>149</v>
      </c>
      <c r="O16" s="483" t="s">
        <v>36</v>
      </c>
      <c r="P16" s="484" t="str">
        <f>Schedule!$H$13</f>
        <v>Dick Hansen</v>
      </c>
      <c r="Q16" s="485" t="s">
        <v>148</v>
      </c>
      <c r="R16" s="486" t="s">
        <v>149</v>
      </c>
      <c r="S16" s="487" t="s">
        <v>36</v>
      </c>
      <c r="T16" s="481"/>
      <c r="U16" s="488" t="str">
        <f>Schedule!$C$18</f>
        <v>Zach VanSickle</v>
      </c>
      <c r="V16" s="482" t="s">
        <v>148</v>
      </c>
      <c r="W16" s="483" t="s">
        <v>149</v>
      </c>
      <c r="X16" s="483" t="s">
        <v>36</v>
      </c>
      <c r="Y16" s="484" t="str">
        <f>Schedule!$H$18</f>
        <v>Tyler Gottfredsen</v>
      </c>
      <c r="Z16" s="485" t="s">
        <v>148</v>
      </c>
      <c r="AA16" s="486" t="s">
        <v>149</v>
      </c>
      <c r="AB16" s="487" t="s">
        <v>36</v>
      </c>
      <c r="AC16" s="481"/>
      <c r="AD16" s="488" t="str">
        <f>Schedule!$C$23</f>
        <v>Jackson McLoughlin</v>
      </c>
      <c r="AE16" s="482" t="s">
        <v>148</v>
      </c>
      <c r="AF16" s="483" t="s">
        <v>149</v>
      </c>
      <c r="AG16" s="483" t="s">
        <v>36</v>
      </c>
      <c r="AH16" s="484" t="str">
        <f>Schedule!$H$23</f>
        <v>Ian Heslin</v>
      </c>
      <c r="AI16" s="485" t="s">
        <v>148</v>
      </c>
      <c r="AJ16" s="486" t="s">
        <v>149</v>
      </c>
      <c r="AK16" s="487" t="s">
        <v>36</v>
      </c>
      <c r="AL16" s="481"/>
      <c r="AM16" s="488" t="str">
        <f>Schedule!$C$28</f>
        <v>Dick Hansen</v>
      </c>
      <c r="AN16" s="482" t="s">
        <v>148</v>
      </c>
      <c r="AO16" s="483" t="s">
        <v>149</v>
      </c>
      <c r="AP16" s="483" t="s">
        <v>36</v>
      </c>
      <c r="AQ16" s="484" t="str">
        <f>Schedule!$H$28</f>
        <v>Ryan Tidey</v>
      </c>
      <c r="AR16" s="485" t="s">
        <v>148</v>
      </c>
      <c r="AS16" s="486" t="s">
        <v>149</v>
      </c>
      <c r="AT16" s="487" t="s">
        <v>36</v>
      </c>
      <c r="AU16" s="481"/>
      <c r="AV16" s="488" t="str">
        <f>Schedule!$C$33</f>
        <v>Jackson McLoughlin</v>
      </c>
      <c r="AW16" s="482" t="s">
        <v>148</v>
      </c>
      <c r="AX16" s="483" t="s">
        <v>149</v>
      </c>
      <c r="AY16" s="483" t="s">
        <v>36</v>
      </c>
      <c r="AZ16" s="484" t="str">
        <f>Schedule!$H$33</f>
        <v>Tyler Gottfredsen</v>
      </c>
      <c r="BA16" s="485" t="s">
        <v>148</v>
      </c>
      <c r="BB16" s="486" t="s">
        <v>149</v>
      </c>
      <c r="BC16" s="487" t="s">
        <v>36</v>
      </c>
      <c r="BD16" s="481"/>
      <c r="BE16" s="488" t="str">
        <f>Schedule!$C$38</f>
        <v>Zach VanSickle</v>
      </c>
      <c r="BF16" s="482" t="s">
        <v>148</v>
      </c>
      <c r="BG16" s="483" t="s">
        <v>149</v>
      </c>
      <c r="BH16" s="483" t="s">
        <v>36</v>
      </c>
      <c r="BI16" s="484" t="str">
        <f>Schedule!$H$38</f>
        <v>Ian Heslin</v>
      </c>
      <c r="BJ16" s="485" t="s">
        <v>148</v>
      </c>
      <c r="BK16" s="486" t="s">
        <v>149</v>
      </c>
      <c r="BL16" s="487" t="s">
        <v>36</v>
      </c>
      <c r="BM16" s="327"/>
      <c r="BN16" s="301"/>
    </row>
    <row r="17">
      <c r="A17" s="301"/>
      <c r="B17" s="324"/>
      <c r="C17" s="347" t="s">
        <v>85</v>
      </c>
      <c r="D17" s="491">
        <v>1.0</v>
      </c>
      <c r="E17" s="491">
        <v>1.0</v>
      </c>
      <c r="F17" s="362">
        <f t="shared" ref="F17:F22" si="15">D17-E17</f>
        <v>0</v>
      </c>
      <c r="G17" s="494" t="s">
        <v>78</v>
      </c>
      <c r="H17" s="491">
        <v>3.0</v>
      </c>
      <c r="I17" s="491">
        <v>1.0</v>
      </c>
      <c r="J17" s="362">
        <f t="shared" ref="J17:J22" si="16">H17-I17</f>
        <v>2</v>
      </c>
      <c r="K17" s="481"/>
      <c r="L17" s="494" t="s">
        <v>121</v>
      </c>
      <c r="M17" s="491">
        <v>3.0</v>
      </c>
      <c r="N17" s="491"/>
      <c r="O17" s="362">
        <f t="shared" ref="O17:O22" si="17">M17-N17</f>
        <v>3</v>
      </c>
      <c r="P17" s="494" t="s">
        <v>91</v>
      </c>
      <c r="Q17" s="491"/>
      <c r="R17" s="491">
        <v>3.0</v>
      </c>
      <c r="S17" s="362">
        <f t="shared" ref="S17:S22" si="18">Q17-R17</f>
        <v>-3</v>
      </c>
      <c r="T17" s="481"/>
      <c r="U17" s="498" t="s">
        <v>121</v>
      </c>
      <c r="V17" s="491">
        <v>3.0</v>
      </c>
      <c r="W17" s="491">
        <v>1.0</v>
      </c>
      <c r="X17" s="362">
        <f t="shared" ref="X17:X22" si="19">V17-W17</f>
        <v>2</v>
      </c>
      <c r="Y17" s="494" t="s">
        <v>64</v>
      </c>
      <c r="Z17" s="491">
        <v>2.0</v>
      </c>
      <c r="AA17" s="491">
        <v>2.0</v>
      </c>
      <c r="AB17" s="362">
        <f t="shared" ref="AB17:AB22" si="20">Z17-AA17</f>
        <v>0</v>
      </c>
      <c r="AC17" s="481"/>
      <c r="AD17" s="494" t="s">
        <v>120</v>
      </c>
      <c r="AE17" s="491"/>
      <c r="AF17" s="491">
        <v>1.0</v>
      </c>
      <c r="AG17" s="362">
        <f t="shared" ref="AG17:AG22" si="21">AE17-AF17</f>
        <v>-1</v>
      </c>
      <c r="AH17" s="494" t="s">
        <v>61</v>
      </c>
      <c r="AI17" s="491">
        <v>3.0</v>
      </c>
      <c r="AJ17" s="491">
        <v>1.0</v>
      </c>
      <c r="AK17" s="362">
        <f t="shared" ref="AK17:AK22" si="22">AI17-AJ17</f>
        <v>2</v>
      </c>
      <c r="AL17" s="481"/>
      <c r="AM17" s="494"/>
      <c r="AN17" s="491"/>
      <c r="AO17" s="491">
        <v>5.0</v>
      </c>
      <c r="AP17" s="362">
        <f t="shared" ref="AP17:AP22" si="23">AN17-AO17</f>
        <v>-5</v>
      </c>
      <c r="AQ17" s="494"/>
      <c r="AR17" s="491">
        <v>5.0</v>
      </c>
      <c r="AS17" s="491"/>
      <c r="AT17" s="362">
        <f t="shared" ref="AT17:AT22" si="24">AR17-AS17</f>
        <v>5</v>
      </c>
      <c r="AU17" s="481"/>
      <c r="AV17" s="494" t="s">
        <v>108</v>
      </c>
      <c r="AW17" s="491">
        <v>2.0</v>
      </c>
      <c r="AX17" s="491">
        <v>1.0</v>
      </c>
      <c r="AY17" s="362">
        <f t="shared" ref="AY17:AY22" si="25">AW17-AX17</f>
        <v>1</v>
      </c>
      <c r="AZ17" s="494" t="s">
        <v>64</v>
      </c>
      <c r="BA17" s="491"/>
      <c r="BB17" s="491"/>
      <c r="BC17" s="362">
        <f t="shared" ref="BC17:BC22" si="26">BA17-BB17</f>
        <v>0</v>
      </c>
      <c r="BD17" s="481"/>
      <c r="BE17" s="494" t="s">
        <v>115</v>
      </c>
      <c r="BF17" s="491"/>
      <c r="BG17" s="491">
        <v>1.0</v>
      </c>
      <c r="BH17" s="502">
        <f t="shared" ref="BH17:BH22" si="27">BF17-BG17</f>
        <v>-1</v>
      </c>
      <c r="BI17" s="494" t="s">
        <v>98</v>
      </c>
      <c r="BJ17" s="491">
        <v>3.0</v>
      </c>
      <c r="BK17" s="491">
        <v>2.0</v>
      </c>
      <c r="BL17" s="502">
        <f t="shared" ref="BL17:BL22" si="28">BJ17-BK17</f>
        <v>1</v>
      </c>
      <c r="BM17" s="327"/>
      <c r="BN17" s="301"/>
    </row>
    <row r="18">
      <c r="A18" s="301"/>
      <c r="B18" s="324"/>
      <c r="C18" s="370" t="s">
        <v>59</v>
      </c>
      <c r="D18" s="503">
        <v>1.0</v>
      </c>
      <c r="E18" s="503">
        <v>1.0</v>
      </c>
      <c r="F18" s="362">
        <f t="shared" si="15"/>
        <v>0</v>
      </c>
      <c r="G18" s="504" t="s">
        <v>71</v>
      </c>
      <c r="H18" s="503">
        <v>2.0</v>
      </c>
      <c r="I18" s="503">
        <v>2.0</v>
      </c>
      <c r="J18" s="362">
        <f t="shared" si="16"/>
        <v>0</v>
      </c>
      <c r="K18" s="481"/>
      <c r="L18" s="504" t="s">
        <v>58</v>
      </c>
      <c r="M18" s="491">
        <v>1.0</v>
      </c>
      <c r="N18" s="503"/>
      <c r="O18" s="362">
        <f t="shared" si="17"/>
        <v>1</v>
      </c>
      <c r="P18" s="504" t="s">
        <v>85</v>
      </c>
      <c r="Q18" s="503"/>
      <c r="R18" s="503">
        <v>1.0</v>
      </c>
      <c r="S18" s="362">
        <f t="shared" si="18"/>
        <v>-1</v>
      </c>
      <c r="T18" s="481"/>
      <c r="U18" s="505" t="s">
        <v>96</v>
      </c>
      <c r="V18" s="503"/>
      <c r="W18" s="503">
        <v>2.0</v>
      </c>
      <c r="X18" s="362">
        <f t="shared" si="19"/>
        <v>-2</v>
      </c>
      <c r="Y18" s="504" t="s">
        <v>74</v>
      </c>
      <c r="Z18" s="503">
        <v>1.0</v>
      </c>
      <c r="AA18" s="503">
        <v>1.0</v>
      </c>
      <c r="AB18" s="362">
        <f t="shared" si="20"/>
        <v>0</v>
      </c>
      <c r="AC18" s="481"/>
      <c r="AD18" s="504" t="s">
        <v>75</v>
      </c>
      <c r="AE18" s="503"/>
      <c r="AF18" s="503">
        <v>1.0</v>
      </c>
      <c r="AG18" s="362">
        <f t="shared" si="21"/>
        <v>-1</v>
      </c>
      <c r="AH18" s="504" t="s">
        <v>78</v>
      </c>
      <c r="AI18" s="503">
        <v>3.0</v>
      </c>
      <c r="AJ18" s="503">
        <v>1.0</v>
      </c>
      <c r="AK18" s="362">
        <f t="shared" si="22"/>
        <v>2</v>
      </c>
      <c r="AL18" s="481"/>
      <c r="AM18" s="504"/>
      <c r="AN18" s="503"/>
      <c r="AO18" s="503"/>
      <c r="AP18" s="362">
        <f t="shared" si="23"/>
        <v>0</v>
      </c>
      <c r="AQ18" s="504"/>
      <c r="AR18" s="503"/>
      <c r="AS18" s="503"/>
      <c r="AT18" s="362">
        <f t="shared" si="24"/>
        <v>0</v>
      </c>
      <c r="AU18" s="481"/>
      <c r="AV18" s="504" t="s">
        <v>102</v>
      </c>
      <c r="AW18" s="503">
        <v>1.0</v>
      </c>
      <c r="AX18" s="503">
        <v>2.0</v>
      </c>
      <c r="AY18" s="362">
        <f t="shared" si="25"/>
        <v>-1</v>
      </c>
      <c r="AZ18" s="504" t="s">
        <v>74</v>
      </c>
      <c r="BA18" s="503"/>
      <c r="BB18" s="503"/>
      <c r="BC18" s="362">
        <f t="shared" si="26"/>
        <v>0</v>
      </c>
      <c r="BD18" s="481"/>
      <c r="BE18" s="504" t="s">
        <v>109</v>
      </c>
      <c r="BF18" s="503">
        <v>1.0</v>
      </c>
      <c r="BG18" s="503">
        <v>1.0</v>
      </c>
      <c r="BH18" s="507">
        <f t="shared" si="27"/>
        <v>0</v>
      </c>
      <c r="BI18" s="504" t="s">
        <v>71</v>
      </c>
      <c r="BJ18" s="503">
        <v>1.0</v>
      </c>
      <c r="BK18" s="503">
        <v>1.0</v>
      </c>
      <c r="BL18" s="507">
        <f t="shared" si="28"/>
        <v>0</v>
      </c>
      <c r="BM18" s="327"/>
      <c r="BN18" s="301"/>
    </row>
    <row r="19">
      <c r="A19" s="301"/>
      <c r="B19" s="324"/>
      <c r="C19" s="370" t="s">
        <v>91</v>
      </c>
      <c r="D19" s="503"/>
      <c r="E19" s="503">
        <v>2.0</v>
      </c>
      <c r="F19" s="362">
        <f t="shared" si="15"/>
        <v>-2</v>
      </c>
      <c r="G19" s="504" t="s">
        <v>111</v>
      </c>
      <c r="H19" s="503">
        <v>3.0</v>
      </c>
      <c r="I19" s="503">
        <v>1.0</v>
      </c>
      <c r="J19" s="362">
        <f t="shared" si="16"/>
        <v>2</v>
      </c>
      <c r="K19" s="481"/>
      <c r="L19" s="504" t="s">
        <v>84</v>
      </c>
      <c r="M19" s="491">
        <v>2.0</v>
      </c>
      <c r="N19" s="503"/>
      <c r="O19" s="362">
        <f t="shared" si="17"/>
        <v>2</v>
      </c>
      <c r="P19" s="504" t="s">
        <v>70</v>
      </c>
      <c r="Q19" s="503"/>
      <c r="R19" s="503">
        <v>1.0</v>
      </c>
      <c r="S19" s="362">
        <f t="shared" si="18"/>
        <v>-1</v>
      </c>
      <c r="T19" s="481"/>
      <c r="U19" s="505" t="s">
        <v>103</v>
      </c>
      <c r="V19" s="503"/>
      <c r="W19" s="503">
        <v>1.0</v>
      </c>
      <c r="X19" s="362">
        <f t="shared" si="19"/>
        <v>-1</v>
      </c>
      <c r="Y19" s="504" t="s">
        <v>80</v>
      </c>
      <c r="Z19" s="503"/>
      <c r="AA19" s="503"/>
      <c r="AB19" s="362">
        <f t="shared" si="20"/>
        <v>0</v>
      </c>
      <c r="AC19" s="481"/>
      <c r="AD19" s="504" t="s">
        <v>57</v>
      </c>
      <c r="AE19" s="503">
        <v>1.0</v>
      </c>
      <c r="AF19" s="503">
        <v>1.0</v>
      </c>
      <c r="AG19" s="362">
        <f t="shared" si="21"/>
        <v>0</v>
      </c>
      <c r="AH19" s="504" t="s">
        <v>105</v>
      </c>
      <c r="AI19" s="503">
        <v>1.0</v>
      </c>
      <c r="AJ19" s="503"/>
      <c r="AK19" s="362">
        <f t="shared" si="22"/>
        <v>1</v>
      </c>
      <c r="AL19" s="481"/>
      <c r="AM19" s="504"/>
      <c r="AN19" s="503"/>
      <c r="AO19" s="503"/>
      <c r="AP19" s="362">
        <f t="shared" si="23"/>
        <v>0</v>
      </c>
      <c r="AQ19" s="504"/>
      <c r="AR19" s="503"/>
      <c r="AS19" s="503"/>
      <c r="AT19" s="362">
        <f t="shared" si="24"/>
        <v>0</v>
      </c>
      <c r="AU19" s="481"/>
      <c r="AV19" s="504" t="s">
        <v>75</v>
      </c>
      <c r="AW19" s="503"/>
      <c r="AX19" s="503">
        <v>1.0</v>
      </c>
      <c r="AY19" s="362">
        <f t="shared" si="25"/>
        <v>-1</v>
      </c>
      <c r="AZ19" s="504" t="s">
        <v>80</v>
      </c>
      <c r="BA19" s="503">
        <v>1.0</v>
      </c>
      <c r="BB19" s="503"/>
      <c r="BC19" s="362">
        <f t="shared" si="26"/>
        <v>1</v>
      </c>
      <c r="BD19" s="481"/>
      <c r="BE19" s="504" t="s">
        <v>103</v>
      </c>
      <c r="BF19" s="503">
        <v>1.0</v>
      </c>
      <c r="BG19" s="503">
        <v>2.0</v>
      </c>
      <c r="BH19" s="507">
        <f t="shared" si="27"/>
        <v>-1</v>
      </c>
      <c r="BI19" s="504" t="s">
        <v>61</v>
      </c>
      <c r="BJ19" s="503">
        <v>4.0</v>
      </c>
      <c r="BK19" s="503">
        <v>1.0</v>
      </c>
      <c r="BL19" s="507">
        <f t="shared" si="28"/>
        <v>3</v>
      </c>
      <c r="BM19" s="327"/>
      <c r="BN19" s="301"/>
    </row>
    <row r="20">
      <c r="A20" s="301"/>
      <c r="B20" s="324"/>
      <c r="C20" s="370" t="s">
        <v>70</v>
      </c>
      <c r="D20" s="503"/>
      <c r="E20" s="503">
        <v>1.0</v>
      </c>
      <c r="F20" s="362">
        <f t="shared" si="15"/>
        <v>-1</v>
      </c>
      <c r="G20" s="504" t="s">
        <v>86</v>
      </c>
      <c r="H20" s="503">
        <v>1.0</v>
      </c>
      <c r="I20" s="503"/>
      <c r="J20" s="362">
        <f t="shared" si="16"/>
        <v>1</v>
      </c>
      <c r="K20" s="481"/>
      <c r="L20" s="504" t="s">
        <v>109</v>
      </c>
      <c r="M20" s="491">
        <v>4.0</v>
      </c>
      <c r="N20" s="503"/>
      <c r="O20" s="362">
        <f t="shared" si="17"/>
        <v>4</v>
      </c>
      <c r="P20" s="504" t="s">
        <v>97</v>
      </c>
      <c r="Q20" s="503"/>
      <c r="R20" s="503">
        <v>2.0</v>
      </c>
      <c r="S20" s="362">
        <f t="shared" si="18"/>
        <v>-2</v>
      </c>
      <c r="T20" s="481"/>
      <c r="U20" s="505" t="s">
        <v>109</v>
      </c>
      <c r="V20" s="503">
        <v>1.0</v>
      </c>
      <c r="W20" s="503">
        <v>1.0</v>
      </c>
      <c r="X20" s="362">
        <f t="shared" si="19"/>
        <v>0</v>
      </c>
      <c r="Y20" s="504" t="s">
        <v>119</v>
      </c>
      <c r="Z20" s="503"/>
      <c r="AA20" s="503"/>
      <c r="AB20" s="362">
        <f t="shared" si="20"/>
        <v>0</v>
      </c>
      <c r="AC20" s="481"/>
      <c r="AD20" s="504" t="s">
        <v>262</v>
      </c>
      <c r="AE20" s="503"/>
      <c r="AF20" s="503">
        <v>1.0</v>
      </c>
      <c r="AG20" s="362">
        <f t="shared" si="21"/>
        <v>-1</v>
      </c>
      <c r="AH20" s="504" t="s">
        <v>71</v>
      </c>
      <c r="AI20" s="503"/>
      <c r="AJ20" s="503"/>
      <c r="AK20" s="362">
        <f t="shared" si="22"/>
        <v>0</v>
      </c>
      <c r="AL20" s="481"/>
      <c r="AM20" s="504"/>
      <c r="AN20" s="503"/>
      <c r="AO20" s="503"/>
      <c r="AP20" s="362">
        <f t="shared" si="23"/>
        <v>0</v>
      </c>
      <c r="AQ20" s="504"/>
      <c r="AR20" s="503"/>
      <c r="AS20" s="503"/>
      <c r="AT20" s="362">
        <f t="shared" si="24"/>
        <v>0</v>
      </c>
      <c r="AU20" s="481"/>
      <c r="AV20" s="504" t="s">
        <v>120</v>
      </c>
      <c r="AW20" s="503"/>
      <c r="AX20" s="503">
        <v>1.0</v>
      </c>
      <c r="AY20" s="362">
        <f t="shared" si="25"/>
        <v>-1</v>
      </c>
      <c r="AZ20" s="504" t="s">
        <v>101</v>
      </c>
      <c r="BA20" s="503"/>
      <c r="BB20" s="503">
        <v>1.0</v>
      </c>
      <c r="BC20" s="362">
        <f t="shared" si="26"/>
        <v>-1</v>
      </c>
      <c r="BD20" s="481"/>
      <c r="BE20" s="504" t="s">
        <v>96</v>
      </c>
      <c r="BF20" s="503">
        <v>2.0</v>
      </c>
      <c r="BG20" s="503">
        <v>2.0</v>
      </c>
      <c r="BH20" s="507">
        <f t="shared" si="27"/>
        <v>0</v>
      </c>
      <c r="BI20" s="504" t="s">
        <v>78</v>
      </c>
      <c r="BJ20" s="503">
        <v>1.0</v>
      </c>
      <c r="BK20" s="503">
        <v>1.0</v>
      </c>
      <c r="BL20" s="507">
        <f t="shared" si="28"/>
        <v>0</v>
      </c>
      <c r="BM20" s="327"/>
      <c r="BN20" s="301"/>
    </row>
    <row r="21">
      <c r="A21" s="301"/>
      <c r="B21" s="324"/>
      <c r="C21" s="370" t="s">
        <v>77</v>
      </c>
      <c r="D21" s="503">
        <v>1.0</v>
      </c>
      <c r="E21" s="503">
        <v>2.0</v>
      </c>
      <c r="F21" s="362">
        <f t="shared" si="15"/>
        <v>-1</v>
      </c>
      <c r="G21" s="504" t="s">
        <v>61</v>
      </c>
      <c r="H21" s="503"/>
      <c r="I21" s="503"/>
      <c r="J21" s="362">
        <f t="shared" si="16"/>
        <v>0</v>
      </c>
      <c r="K21" s="481"/>
      <c r="L21" s="504" t="s">
        <v>115</v>
      </c>
      <c r="M21" s="491"/>
      <c r="N21" s="503">
        <v>1.0</v>
      </c>
      <c r="O21" s="362">
        <f t="shared" si="17"/>
        <v>-1</v>
      </c>
      <c r="P21" s="504" t="s">
        <v>59</v>
      </c>
      <c r="Q21" s="503"/>
      <c r="R21" s="503">
        <v>2.0</v>
      </c>
      <c r="S21" s="362">
        <f t="shared" si="18"/>
        <v>-2</v>
      </c>
      <c r="T21" s="481"/>
      <c r="U21" s="505" t="s">
        <v>115</v>
      </c>
      <c r="V21" s="503"/>
      <c r="W21" s="503">
        <v>1.0</v>
      </c>
      <c r="X21" s="362">
        <f t="shared" si="19"/>
        <v>-1</v>
      </c>
      <c r="Y21" s="504" t="s">
        <v>107</v>
      </c>
      <c r="Z21" s="503">
        <v>4.0</v>
      </c>
      <c r="AA21" s="503"/>
      <c r="AB21" s="362">
        <f t="shared" si="20"/>
        <v>4</v>
      </c>
      <c r="AC21" s="481"/>
      <c r="AD21" s="504" t="s">
        <v>102</v>
      </c>
      <c r="AE21" s="503">
        <v>2.0</v>
      </c>
      <c r="AF21" s="503">
        <v>2.0</v>
      </c>
      <c r="AG21" s="362">
        <f t="shared" si="21"/>
        <v>0</v>
      </c>
      <c r="AH21" s="504" t="s">
        <v>86</v>
      </c>
      <c r="AI21" s="503"/>
      <c r="AJ21" s="503"/>
      <c r="AK21" s="362">
        <f t="shared" si="22"/>
        <v>0</v>
      </c>
      <c r="AL21" s="481"/>
      <c r="AM21" s="504"/>
      <c r="AN21" s="503"/>
      <c r="AO21" s="503"/>
      <c r="AP21" s="362">
        <f t="shared" si="23"/>
        <v>0</v>
      </c>
      <c r="AQ21" s="504"/>
      <c r="AR21" s="503"/>
      <c r="AS21" s="503"/>
      <c r="AT21" s="362">
        <f t="shared" si="24"/>
        <v>0</v>
      </c>
      <c r="AU21" s="481"/>
      <c r="AV21" s="504" t="s">
        <v>57</v>
      </c>
      <c r="AW21" s="503"/>
      <c r="AX21" s="503">
        <v>1.0</v>
      </c>
      <c r="AY21" s="362">
        <f t="shared" si="25"/>
        <v>-1</v>
      </c>
      <c r="AZ21" s="504" t="s">
        <v>94</v>
      </c>
      <c r="BA21" s="503">
        <v>3.0</v>
      </c>
      <c r="BB21" s="503"/>
      <c r="BC21" s="362">
        <f t="shared" si="26"/>
        <v>3</v>
      </c>
      <c r="BD21" s="481"/>
      <c r="BE21" s="504" t="s">
        <v>84</v>
      </c>
      <c r="BF21" s="503"/>
      <c r="BG21" s="503">
        <v>1.0</v>
      </c>
      <c r="BH21" s="507">
        <f t="shared" si="27"/>
        <v>-1</v>
      </c>
      <c r="BI21" s="504" t="s">
        <v>105</v>
      </c>
      <c r="BJ21" s="503"/>
      <c r="BK21" s="503"/>
      <c r="BL21" s="507">
        <f t="shared" si="28"/>
        <v>0</v>
      </c>
      <c r="BM21" s="327"/>
      <c r="BN21" s="301"/>
    </row>
    <row r="22">
      <c r="A22" s="301"/>
      <c r="B22" s="324"/>
      <c r="C22" s="377" t="s">
        <v>97</v>
      </c>
      <c r="D22" s="510">
        <v>1.0</v>
      </c>
      <c r="E22" s="510">
        <v>2.0</v>
      </c>
      <c r="F22" s="362">
        <f t="shared" si="15"/>
        <v>-1</v>
      </c>
      <c r="G22" s="511" t="s">
        <v>129</v>
      </c>
      <c r="H22" s="510"/>
      <c r="I22" s="510"/>
      <c r="J22" s="362">
        <f t="shared" si="16"/>
        <v>0</v>
      </c>
      <c r="K22" s="481"/>
      <c r="L22" s="511" t="s">
        <v>69</v>
      </c>
      <c r="M22" s="491"/>
      <c r="N22" s="510"/>
      <c r="O22" s="362">
        <f t="shared" si="17"/>
        <v>0</v>
      </c>
      <c r="P22" s="511" t="s">
        <v>77</v>
      </c>
      <c r="Q22" s="510">
        <v>1.0</v>
      </c>
      <c r="R22" s="510">
        <v>1.0</v>
      </c>
      <c r="S22" s="362">
        <f t="shared" si="18"/>
        <v>0</v>
      </c>
      <c r="T22" s="481"/>
      <c r="U22" s="505" t="s">
        <v>90</v>
      </c>
      <c r="V22" s="510"/>
      <c r="W22" s="510">
        <v>2.0</v>
      </c>
      <c r="X22" s="362">
        <f t="shared" si="19"/>
        <v>-2</v>
      </c>
      <c r="Y22" s="511" t="s">
        <v>113</v>
      </c>
      <c r="Z22" s="510">
        <v>1.0</v>
      </c>
      <c r="AA22" s="510">
        <v>1.0</v>
      </c>
      <c r="AB22" s="362">
        <f t="shared" si="20"/>
        <v>0</v>
      </c>
      <c r="AC22" s="481"/>
      <c r="AD22" s="511" t="s">
        <v>83</v>
      </c>
      <c r="AE22" s="510"/>
      <c r="AF22" s="510">
        <v>2.0</v>
      </c>
      <c r="AG22" s="362">
        <f t="shared" si="21"/>
        <v>-2</v>
      </c>
      <c r="AH22" s="511" t="s">
        <v>111</v>
      </c>
      <c r="AI22" s="510"/>
      <c r="AJ22" s="510"/>
      <c r="AK22" s="362">
        <f t="shared" si="22"/>
        <v>0</v>
      </c>
      <c r="AL22" s="481"/>
      <c r="AM22" s="511"/>
      <c r="AN22" s="510"/>
      <c r="AO22" s="510"/>
      <c r="AP22" s="362">
        <f t="shared" si="23"/>
        <v>0</v>
      </c>
      <c r="AQ22" s="511"/>
      <c r="AR22" s="510"/>
      <c r="AS22" s="510"/>
      <c r="AT22" s="362">
        <f t="shared" si="24"/>
        <v>0</v>
      </c>
      <c r="AU22" s="481"/>
      <c r="AV22" s="511" t="s">
        <v>126</v>
      </c>
      <c r="AW22" s="510"/>
      <c r="AX22" s="510">
        <v>2.0</v>
      </c>
      <c r="AY22" s="362">
        <f t="shared" si="25"/>
        <v>-2</v>
      </c>
      <c r="AZ22" s="511" t="s">
        <v>88</v>
      </c>
      <c r="BA22" s="510">
        <v>3.0</v>
      </c>
      <c r="BB22" s="510">
        <v>1.0</v>
      </c>
      <c r="BC22" s="362">
        <f t="shared" si="26"/>
        <v>2</v>
      </c>
      <c r="BD22" s="481"/>
      <c r="BE22" s="511" t="s">
        <v>76</v>
      </c>
      <c r="BF22" s="510"/>
      <c r="BG22" s="510">
        <v>1.0</v>
      </c>
      <c r="BH22" s="514">
        <f t="shared" si="27"/>
        <v>-1</v>
      </c>
      <c r="BI22" s="511" t="s">
        <v>92</v>
      </c>
      <c r="BJ22" s="510"/>
      <c r="BK22" s="510"/>
      <c r="BL22" s="514">
        <f t="shared" si="28"/>
        <v>0</v>
      </c>
      <c r="BM22" s="327"/>
      <c r="BN22" s="301"/>
    </row>
    <row r="23">
      <c r="A23" s="301"/>
      <c r="B23" s="324"/>
      <c r="C23" s="396" t="s">
        <v>155</v>
      </c>
      <c r="D23" s="515">
        <f>SUM(F17:F22)</f>
        <v>-5</v>
      </c>
      <c r="E23" s="399"/>
      <c r="F23" s="399"/>
      <c r="G23" s="516" t="s">
        <v>155</v>
      </c>
      <c r="H23" s="515">
        <f>SUM(J17:J22)</f>
        <v>5</v>
      </c>
      <c r="I23" s="399"/>
      <c r="J23" s="401"/>
      <c r="K23" s="481"/>
      <c r="L23" s="516" t="s">
        <v>155</v>
      </c>
      <c r="M23" s="515">
        <f>SUM(O17:O22)</f>
        <v>9</v>
      </c>
      <c r="N23" s="399"/>
      <c r="O23" s="399"/>
      <c r="P23" s="516" t="s">
        <v>155</v>
      </c>
      <c r="Q23" s="515">
        <f>SUM(S17:S22)</f>
        <v>-9</v>
      </c>
      <c r="R23" s="399"/>
      <c r="S23" s="401"/>
      <c r="T23" s="481"/>
      <c r="U23" s="516" t="s">
        <v>155</v>
      </c>
      <c r="V23" s="515">
        <f>SUM(X17:X22)</f>
        <v>-4</v>
      </c>
      <c r="W23" s="399"/>
      <c r="X23" s="399"/>
      <c r="Y23" s="516" t="s">
        <v>155</v>
      </c>
      <c r="Z23" s="515">
        <f>SUM(AB17:AB22)</f>
        <v>4</v>
      </c>
      <c r="AA23" s="399"/>
      <c r="AB23" s="401"/>
      <c r="AC23" s="481"/>
      <c r="AD23" s="516" t="s">
        <v>155</v>
      </c>
      <c r="AE23" s="515">
        <f>SUM(AG17:AG22)</f>
        <v>-5</v>
      </c>
      <c r="AF23" s="399"/>
      <c r="AG23" s="399"/>
      <c r="AH23" s="516" t="s">
        <v>155</v>
      </c>
      <c r="AI23" s="515">
        <f>SUM(AK17:AK22)</f>
        <v>5</v>
      </c>
      <c r="AJ23" s="399"/>
      <c r="AK23" s="401"/>
      <c r="AL23" s="481"/>
      <c r="AM23" s="516" t="s">
        <v>155</v>
      </c>
      <c r="AN23" s="515">
        <f>SUM(AP17:AP22)</f>
        <v>-5</v>
      </c>
      <c r="AO23" s="399"/>
      <c r="AP23" s="399"/>
      <c r="AQ23" s="516" t="s">
        <v>155</v>
      </c>
      <c r="AR23" s="515">
        <f>SUM(AT17:AT22)</f>
        <v>5</v>
      </c>
      <c r="AS23" s="399"/>
      <c r="AT23" s="401"/>
      <c r="AU23" s="481"/>
      <c r="AV23" s="516" t="s">
        <v>155</v>
      </c>
      <c r="AW23" s="515">
        <f>SUM(AY17:AY22)</f>
        <v>-5</v>
      </c>
      <c r="AX23" s="399"/>
      <c r="AY23" s="399"/>
      <c r="AZ23" s="516" t="s">
        <v>155</v>
      </c>
      <c r="BA23" s="515">
        <f>SUM(BC17:BC22)</f>
        <v>5</v>
      </c>
      <c r="BB23" s="399"/>
      <c r="BC23" s="401"/>
      <c r="BD23" s="481"/>
      <c r="BE23" s="516" t="s">
        <v>155</v>
      </c>
      <c r="BF23" s="519">
        <f>SUM(BH17:BH22)</f>
        <v>-4</v>
      </c>
      <c r="BG23" s="399"/>
      <c r="BH23" s="399"/>
      <c r="BI23" s="516" t="s">
        <v>155</v>
      </c>
      <c r="BJ23" s="519">
        <f>SUM(BL17:BL22)</f>
        <v>4</v>
      </c>
      <c r="BK23" s="399"/>
      <c r="BL23" s="401"/>
      <c r="BM23" s="327"/>
      <c r="BN23" s="301"/>
    </row>
    <row r="24">
      <c r="A24" s="5"/>
      <c r="B24" s="416"/>
      <c r="C24" s="417" t="s">
        <v>162</v>
      </c>
      <c r="D24" s="521">
        <v>0.0</v>
      </c>
      <c r="E24" s="124"/>
      <c r="F24" s="419"/>
      <c r="G24" s="522" t="s">
        <v>162</v>
      </c>
      <c r="H24" s="521">
        <v>2.0</v>
      </c>
      <c r="I24" s="124"/>
      <c r="J24" s="125"/>
      <c r="K24" s="470"/>
      <c r="L24" s="522" t="s">
        <v>162</v>
      </c>
      <c r="M24" s="521">
        <v>2.0</v>
      </c>
      <c r="N24" s="124"/>
      <c r="O24" s="419"/>
      <c r="P24" s="522" t="s">
        <v>162</v>
      </c>
      <c r="Q24" s="521">
        <v>0.0</v>
      </c>
      <c r="R24" s="124"/>
      <c r="S24" s="125"/>
      <c r="T24" s="470"/>
      <c r="U24" s="522" t="s">
        <v>162</v>
      </c>
      <c r="V24" s="521">
        <v>0.0</v>
      </c>
      <c r="W24" s="124"/>
      <c r="X24" s="419"/>
      <c r="Y24" s="522" t="s">
        <v>162</v>
      </c>
      <c r="Z24" s="521">
        <v>2.0</v>
      </c>
      <c r="AA24" s="124"/>
      <c r="AB24" s="125"/>
      <c r="AC24" s="470"/>
      <c r="AD24" s="522" t="s">
        <v>162</v>
      </c>
      <c r="AE24" s="521">
        <v>0.0</v>
      </c>
      <c r="AF24" s="124"/>
      <c r="AG24" s="419"/>
      <c r="AH24" s="522" t="s">
        <v>162</v>
      </c>
      <c r="AI24" s="521">
        <v>2.0</v>
      </c>
      <c r="AJ24" s="124"/>
      <c r="AK24" s="125"/>
      <c r="AL24" s="470"/>
      <c r="AM24" s="522" t="s">
        <v>162</v>
      </c>
      <c r="AN24" s="521">
        <v>1.0</v>
      </c>
      <c r="AO24" s="124"/>
      <c r="AP24" s="419"/>
      <c r="AQ24" s="522" t="s">
        <v>162</v>
      </c>
      <c r="AR24" s="521">
        <v>2.0</v>
      </c>
      <c r="AS24" s="124"/>
      <c r="AT24" s="125"/>
      <c r="AU24" s="470"/>
      <c r="AV24" s="522" t="s">
        <v>162</v>
      </c>
      <c r="AW24" s="521">
        <v>0.0</v>
      </c>
      <c r="AX24" s="124"/>
      <c r="AY24" s="419"/>
      <c r="AZ24" s="522" t="s">
        <v>162</v>
      </c>
      <c r="BA24" s="521">
        <v>2.0</v>
      </c>
      <c r="BB24" s="124"/>
      <c r="BC24" s="125"/>
      <c r="BD24" s="470"/>
      <c r="BE24" s="522" t="s">
        <v>162</v>
      </c>
      <c r="BF24" s="521">
        <v>0.0</v>
      </c>
      <c r="BG24" s="124"/>
      <c r="BH24" s="419"/>
      <c r="BI24" s="522" t="s">
        <v>162</v>
      </c>
      <c r="BJ24" s="521">
        <v>2.0</v>
      </c>
      <c r="BK24" s="124"/>
      <c r="BL24" s="125"/>
      <c r="BM24" s="440"/>
      <c r="BN24" s="5"/>
    </row>
    <row r="25">
      <c r="A25" s="5"/>
      <c r="B25" s="416"/>
      <c r="C25" s="445" t="s">
        <v>168</v>
      </c>
      <c r="D25" s="449">
        <v>1.0</v>
      </c>
      <c r="E25" s="449">
        <v>2.0</v>
      </c>
      <c r="F25" s="453">
        <v>3.0</v>
      </c>
      <c r="G25" s="456" t="s">
        <v>174</v>
      </c>
      <c r="H25" s="152"/>
      <c r="I25" s="467" t="str">
        <f>IF(D24=2,"W",IF(H24=2,"L",))</f>
        <v>L</v>
      </c>
      <c r="J25" s="469" t="str">
        <f>IF(H24=2,"W",IF(D24=2,"L",))</f>
        <v>W</v>
      </c>
      <c r="K25" s="470"/>
      <c r="L25" s="471" t="s">
        <v>168</v>
      </c>
      <c r="M25" s="449">
        <v>1.0</v>
      </c>
      <c r="N25" s="449">
        <v>2.0</v>
      </c>
      <c r="O25" s="476">
        <v>3.0</v>
      </c>
      <c r="P25" s="456" t="s">
        <v>174</v>
      </c>
      <c r="Q25" s="152"/>
      <c r="R25" s="467" t="str">
        <f>IF(M24=2,"W",IF(Q24=2,"L",))</f>
        <v>W</v>
      </c>
      <c r="S25" s="469" t="str">
        <f>IF(Q24=2,"W",IF(M24=2,"L",))</f>
        <v>L</v>
      </c>
      <c r="T25" s="470"/>
      <c r="U25" s="471" t="s">
        <v>168</v>
      </c>
      <c r="V25" s="449">
        <v>1.0</v>
      </c>
      <c r="W25" s="449">
        <v>2.0</v>
      </c>
      <c r="X25" s="476">
        <v>3.0</v>
      </c>
      <c r="Y25" s="456" t="s">
        <v>174</v>
      </c>
      <c r="Z25" s="152"/>
      <c r="AA25" s="467" t="str">
        <f>IF(V24=2,"W",IF(Z24=2,"L",))</f>
        <v>L</v>
      </c>
      <c r="AB25" s="469" t="str">
        <f>IF(Z24=2,"W",IF(V24=2,"L",))</f>
        <v>W</v>
      </c>
      <c r="AC25" s="470"/>
      <c r="AD25" s="471" t="s">
        <v>168</v>
      </c>
      <c r="AE25" s="449">
        <v>1.0</v>
      </c>
      <c r="AF25" s="449">
        <v>2.0</v>
      </c>
      <c r="AG25" s="453">
        <v>3.0</v>
      </c>
      <c r="AH25" s="456" t="s">
        <v>174</v>
      </c>
      <c r="AI25" s="152"/>
      <c r="AJ25" s="467" t="str">
        <f>IF(AE24=2,"W",IF(AI24=2,"L",))</f>
        <v>L</v>
      </c>
      <c r="AK25" s="469" t="str">
        <f>IF(AI24=2,"W",IF(AE24=2,"L",))</f>
        <v>W</v>
      </c>
      <c r="AL25" s="470"/>
      <c r="AM25" s="471" t="s">
        <v>168</v>
      </c>
      <c r="AN25" s="449">
        <v>1.0</v>
      </c>
      <c r="AO25" s="449">
        <v>2.0</v>
      </c>
      <c r="AP25" s="476">
        <v>3.0</v>
      </c>
      <c r="AQ25" s="456" t="s">
        <v>174</v>
      </c>
      <c r="AR25" s="152"/>
      <c r="AS25" s="467" t="str">
        <f>IF(AN24=2,"W",IF(AR24=2,"L",))</f>
        <v>L</v>
      </c>
      <c r="AT25" s="469" t="str">
        <f>IF(AR24=2,"W",IF(AN24=2,"L",))</f>
        <v>W</v>
      </c>
      <c r="AU25" s="470"/>
      <c r="AV25" s="471" t="s">
        <v>168</v>
      </c>
      <c r="AW25" s="449">
        <v>1.0</v>
      </c>
      <c r="AX25" s="449">
        <v>2.0</v>
      </c>
      <c r="AY25" s="453">
        <v>3.0</v>
      </c>
      <c r="AZ25" s="456" t="s">
        <v>174</v>
      </c>
      <c r="BA25" s="152"/>
      <c r="BB25" s="467" t="str">
        <f>IF(AW24=2,"W",IF(BA24=2,"L",))</f>
        <v>L</v>
      </c>
      <c r="BC25" s="469" t="str">
        <f>IF(BA24=2,"W",IF(AW24=2,"L",))</f>
        <v>W</v>
      </c>
      <c r="BD25" s="470"/>
      <c r="BE25" s="471" t="s">
        <v>168</v>
      </c>
      <c r="BF25" s="449">
        <v>1.0</v>
      </c>
      <c r="BG25" s="449">
        <v>2.0</v>
      </c>
      <c r="BH25" s="453">
        <v>3.0</v>
      </c>
      <c r="BI25" s="456" t="s">
        <v>174</v>
      </c>
      <c r="BJ25" s="152"/>
      <c r="BK25" s="467" t="str">
        <f>IF(BF24=2,"W",IF(BJ24=2,"L",))</f>
        <v>L</v>
      </c>
      <c r="BL25" s="469" t="str">
        <f>IF(BJ24=2,"W",IF(BF24=2,"L",))</f>
        <v>W</v>
      </c>
      <c r="BM25" s="440"/>
      <c r="BN25" s="5"/>
    </row>
    <row r="26" ht="7.5" customHeight="1">
      <c r="A26" s="301"/>
      <c r="B26" s="324"/>
      <c r="C26" s="325"/>
      <c r="D26" s="481"/>
      <c r="E26" s="481"/>
      <c r="F26" s="481"/>
      <c r="G26" s="481"/>
      <c r="H26" s="481"/>
      <c r="I26" s="481"/>
      <c r="J26" s="481"/>
      <c r="K26" s="481"/>
      <c r="L26" s="481"/>
      <c r="M26" s="481"/>
      <c r="N26" s="481"/>
      <c r="O26" s="481"/>
      <c r="P26" s="481"/>
      <c r="Q26" s="481"/>
      <c r="R26" s="481"/>
      <c r="S26" s="481"/>
      <c r="T26" s="481"/>
      <c r="U26" s="481"/>
      <c r="V26" s="481"/>
      <c r="W26" s="481"/>
      <c r="X26" s="481"/>
      <c r="Y26" s="481"/>
      <c r="Z26" s="481"/>
      <c r="AA26" s="481"/>
      <c r="AB26" s="481"/>
      <c r="AC26" s="481"/>
      <c r="AD26" s="481"/>
      <c r="AE26" s="481"/>
      <c r="AF26" s="481"/>
      <c r="AG26" s="481"/>
      <c r="AH26" s="481"/>
      <c r="AI26" s="481"/>
      <c r="AJ26" s="481"/>
      <c r="AK26" s="481"/>
      <c r="AL26" s="481"/>
      <c r="AM26" s="481"/>
      <c r="AN26" s="481"/>
      <c r="AO26" s="481"/>
      <c r="AP26" s="481"/>
      <c r="AQ26" s="481"/>
      <c r="AR26" s="481"/>
      <c r="AS26" s="481"/>
      <c r="AT26" s="481"/>
      <c r="AU26" s="481"/>
      <c r="AV26" s="481"/>
      <c r="AW26" s="481"/>
      <c r="AX26" s="481"/>
      <c r="AY26" s="481"/>
      <c r="AZ26" s="481"/>
      <c r="BA26" s="481"/>
      <c r="BB26" s="481"/>
      <c r="BC26" s="481"/>
      <c r="BD26" s="481"/>
      <c r="BE26" s="481"/>
      <c r="BF26" s="481"/>
      <c r="BG26" s="481"/>
      <c r="BH26" s="481"/>
      <c r="BI26" s="481"/>
      <c r="BJ26" s="481"/>
      <c r="BK26" s="481"/>
      <c r="BL26" s="481"/>
      <c r="BM26" s="327"/>
      <c r="BN26" s="301"/>
    </row>
    <row r="27">
      <c r="A27" s="301"/>
      <c r="B27" s="324"/>
      <c r="C27" s="328" t="str">
        <f>Schedule!$C$9</f>
        <v>Ryan Tidey</v>
      </c>
      <c r="D27" s="482" t="s">
        <v>148</v>
      </c>
      <c r="E27" s="483" t="s">
        <v>149</v>
      </c>
      <c r="F27" s="483" t="s">
        <v>36</v>
      </c>
      <c r="G27" s="484" t="str">
        <f>Schedule!$H$9</f>
        <v>Tyler Gottfredsen</v>
      </c>
      <c r="H27" s="485" t="s">
        <v>148</v>
      </c>
      <c r="I27" s="486" t="s">
        <v>149</v>
      </c>
      <c r="J27" s="487" t="s">
        <v>36</v>
      </c>
      <c r="K27" s="481"/>
      <c r="L27" s="488" t="str">
        <f>Schedule!$C$14</f>
        <v>Ian Heslin</v>
      </c>
      <c r="M27" s="482" t="s">
        <v>148</v>
      </c>
      <c r="N27" s="483" t="s">
        <v>149</v>
      </c>
      <c r="O27" s="483" t="s">
        <v>36</v>
      </c>
      <c r="P27" s="484" t="str">
        <f>Schedule!$H$14</f>
        <v>Tyler Gottfredsen</v>
      </c>
      <c r="Q27" s="485" t="s">
        <v>148</v>
      </c>
      <c r="R27" s="486" t="s">
        <v>149</v>
      </c>
      <c r="S27" s="487" t="s">
        <v>36</v>
      </c>
      <c r="T27" s="481"/>
      <c r="U27" s="488" t="str">
        <f>Schedule!$C$19</f>
        <v>Ian Heslin</v>
      </c>
      <c r="V27" s="482" t="s">
        <v>148</v>
      </c>
      <c r="W27" s="483" t="s">
        <v>149</v>
      </c>
      <c r="X27" s="483" t="s">
        <v>36</v>
      </c>
      <c r="Y27" s="484" t="str">
        <f>Schedule!$H$19</f>
        <v>Ryan Tidey</v>
      </c>
      <c r="Z27" s="485" t="s">
        <v>148</v>
      </c>
      <c r="AA27" s="486" t="s">
        <v>149</v>
      </c>
      <c r="AB27" s="487" t="s">
        <v>36</v>
      </c>
      <c r="AC27" s="481"/>
      <c r="AD27" s="488" t="str">
        <f>Schedule!$C$24</f>
        <v>Dick Hansen</v>
      </c>
      <c r="AE27" s="482" t="s">
        <v>148</v>
      </c>
      <c r="AF27" s="483" t="s">
        <v>149</v>
      </c>
      <c r="AG27" s="483" t="s">
        <v>36</v>
      </c>
      <c r="AH27" s="484" t="str">
        <f>Schedule!$H$24</f>
        <v>Tyler Gottfredsen</v>
      </c>
      <c r="AI27" s="485" t="s">
        <v>148</v>
      </c>
      <c r="AJ27" s="486" t="s">
        <v>149</v>
      </c>
      <c r="AK27" s="487" t="s">
        <v>36</v>
      </c>
      <c r="AL27" s="481"/>
      <c r="AM27" s="488" t="str">
        <f>Schedule!$C$29</f>
        <v>Ian Heslin</v>
      </c>
      <c r="AN27" s="482" t="s">
        <v>148</v>
      </c>
      <c r="AO27" s="483" t="s">
        <v>149</v>
      </c>
      <c r="AP27" s="483" t="s">
        <v>36</v>
      </c>
      <c r="AQ27" s="484" t="str">
        <f>Schedule!$H$29</f>
        <v>Tyler Gottfredsen</v>
      </c>
      <c r="AR27" s="485" t="s">
        <v>148</v>
      </c>
      <c r="AS27" s="486" t="s">
        <v>149</v>
      </c>
      <c r="AT27" s="487" t="s">
        <v>36</v>
      </c>
      <c r="AU27" s="481"/>
      <c r="AV27" s="488" t="str">
        <f>Schedule!$C$34</f>
        <v>Ian Heslin</v>
      </c>
      <c r="AW27" s="482" t="s">
        <v>148</v>
      </c>
      <c r="AX27" s="483" t="s">
        <v>149</v>
      </c>
      <c r="AY27" s="483" t="s">
        <v>36</v>
      </c>
      <c r="AZ27" s="484" t="str">
        <f>Schedule!$H$34</f>
        <v>Ryan Tidey</v>
      </c>
      <c r="BA27" s="485" t="s">
        <v>148</v>
      </c>
      <c r="BB27" s="486" t="s">
        <v>149</v>
      </c>
      <c r="BC27" s="487" t="s">
        <v>36</v>
      </c>
      <c r="BD27" s="481"/>
      <c r="BE27" s="488" t="str">
        <f>Schedule!$C$39</f>
        <v>Ryan Tidey</v>
      </c>
      <c r="BF27" s="482" t="s">
        <v>148</v>
      </c>
      <c r="BG27" s="483" t="s">
        <v>149</v>
      </c>
      <c r="BH27" s="483" t="s">
        <v>36</v>
      </c>
      <c r="BI27" s="484" t="str">
        <f>Schedule!$H$39</f>
        <v>Tyler Gottfredsen</v>
      </c>
      <c r="BJ27" s="485" t="s">
        <v>148</v>
      </c>
      <c r="BK27" s="486" t="s">
        <v>149</v>
      </c>
      <c r="BL27" s="487" t="s">
        <v>36</v>
      </c>
      <c r="BM27" s="327"/>
      <c r="BN27" s="301"/>
    </row>
    <row r="28">
      <c r="A28" s="301"/>
      <c r="B28" s="324"/>
      <c r="C28" s="498" t="s">
        <v>72</v>
      </c>
      <c r="D28" s="536">
        <v>2.0</v>
      </c>
      <c r="E28" s="536">
        <v>2.0</v>
      </c>
      <c r="F28" s="537">
        <f t="shared" ref="F28:F33" si="29">D28-E28</f>
        <v>0</v>
      </c>
      <c r="G28" s="538" t="s">
        <v>64</v>
      </c>
      <c r="H28" s="540"/>
      <c r="I28" s="536">
        <v>2.0</v>
      </c>
      <c r="J28" s="545">
        <f t="shared" ref="J28:J33" si="30">H28-I28</f>
        <v>-2</v>
      </c>
      <c r="K28" s="481"/>
      <c r="L28" s="494" t="s">
        <v>71</v>
      </c>
      <c r="M28" s="491">
        <v>3.0</v>
      </c>
      <c r="N28" s="491">
        <v>1.0</v>
      </c>
      <c r="O28" s="362">
        <f t="shared" ref="O28:O33" si="31">M28-N28</f>
        <v>2</v>
      </c>
      <c r="P28" s="494" t="s">
        <v>64</v>
      </c>
      <c r="Q28" s="491"/>
      <c r="R28" s="491">
        <v>2.0</v>
      </c>
      <c r="S28" s="362">
        <f t="shared" ref="S28:S33" si="32">Q28-R28</f>
        <v>-2</v>
      </c>
      <c r="T28" s="481"/>
      <c r="U28" s="494" t="s">
        <v>86</v>
      </c>
      <c r="V28" s="491">
        <v>5.0</v>
      </c>
      <c r="W28" s="491"/>
      <c r="X28" s="362">
        <f t="shared" ref="X28:X33" si="33">V28-W28</f>
        <v>5</v>
      </c>
      <c r="Y28" s="494" t="s">
        <v>63</v>
      </c>
      <c r="Z28" s="491">
        <v>1.0</v>
      </c>
      <c r="AA28" s="491">
        <v>2.0</v>
      </c>
      <c r="AB28" s="362">
        <f t="shared" ref="AB28:AB33" si="34">Z28-AA28</f>
        <v>-1</v>
      </c>
      <c r="AC28" s="481"/>
      <c r="AD28" s="494" t="s">
        <v>59</v>
      </c>
      <c r="AE28" s="491">
        <v>1.0</v>
      </c>
      <c r="AF28" s="491">
        <v>2.0</v>
      </c>
      <c r="AG28" s="362">
        <f t="shared" ref="AG28:AG33" si="35">AE28-AF28</f>
        <v>-1</v>
      </c>
      <c r="AH28" s="494" t="s">
        <v>64</v>
      </c>
      <c r="AI28" s="491">
        <v>5.0</v>
      </c>
      <c r="AJ28" s="491">
        <v>1.0</v>
      </c>
      <c r="AK28" s="362">
        <f t="shared" ref="AK28:AK33" si="36">AI28-AJ28</f>
        <v>4</v>
      </c>
      <c r="AL28" s="481"/>
      <c r="AM28" s="494" t="s">
        <v>98</v>
      </c>
      <c r="AN28" s="491">
        <v>1.0</v>
      </c>
      <c r="AO28" s="491">
        <v>1.0</v>
      </c>
      <c r="AP28" s="362">
        <f t="shared" ref="AP28:AP33" si="37">AN28-AO28</f>
        <v>0</v>
      </c>
      <c r="AQ28" s="494" t="s">
        <v>101</v>
      </c>
      <c r="AR28" s="491"/>
      <c r="AS28" s="491">
        <v>2.0</v>
      </c>
      <c r="AT28" s="362">
        <f t="shared" ref="AT28:AT33" si="38">AR28-AS28</f>
        <v>-2</v>
      </c>
      <c r="AU28" s="481"/>
      <c r="AV28" s="494" t="s">
        <v>86</v>
      </c>
      <c r="AW28" s="491">
        <v>2.0</v>
      </c>
      <c r="AX28" s="491">
        <v>1.0</v>
      </c>
      <c r="AY28" s="362">
        <f t="shared" ref="AY28:AY33" si="39">AW28-AX28</f>
        <v>1</v>
      </c>
      <c r="AZ28" s="494" t="s">
        <v>93</v>
      </c>
      <c r="BA28" s="491">
        <v>1.0</v>
      </c>
      <c r="BB28" s="491">
        <v>1.0</v>
      </c>
      <c r="BC28" s="362">
        <f t="shared" ref="BC28:BC33" si="40">BA28-BB28</f>
        <v>0</v>
      </c>
      <c r="BD28" s="481"/>
      <c r="BE28" s="494"/>
      <c r="BF28" s="491"/>
      <c r="BG28" s="491"/>
      <c r="BH28" s="362">
        <f t="shared" ref="BH28:BH33" si="41">BF28-BG28</f>
        <v>0</v>
      </c>
      <c r="BI28" s="494"/>
      <c r="BJ28" s="491"/>
      <c r="BK28" s="491"/>
      <c r="BL28" s="362">
        <f t="shared" ref="BL28:BL33" si="42">BJ28-BK28</f>
        <v>0</v>
      </c>
      <c r="BM28" s="327"/>
      <c r="BN28" s="301"/>
    </row>
    <row r="29">
      <c r="A29" s="301"/>
      <c r="B29" s="324"/>
      <c r="C29" s="505" t="s">
        <v>63</v>
      </c>
      <c r="D29" s="550"/>
      <c r="E29" s="551">
        <v>1.0</v>
      </c>
      <c r="F29" s="552">
        <f t="shared" si="29"/>
        <v>-1</v>
      </c>
      <c r="G29" s="553" t="s">
        <v>74</v>
      </c>
      <c r="H29" s="550">
        <v>1.0</v>
      </c>
      <c r="I29" s="551">
        <v>1.0</v>
      </c>
      <c r="J29" s="554">
        <f t="shared" si="30"/>
        <v>0</v>
      </c>
      <c r="K29" s="481"/>
      <c r="L29" s="504" t="s">
        <v>78</v>
      </c>
      <c r="M29" s="503">
        <v>1.0</v>
      </c>
      <c r="N29" s="503"/>
      <c r="O29" s="362">
        <f t="shared" si="31"/>
        <v>1</v>
      </c>
      <c r="P29" s="504" t="s">
        <v>74</v>
      </c>
      <c r="Q29" s="503"/>
      <c r="R29" s="503">
        <v>2.0</v>
      </c>
      <c r="S29" s="362">
        <f t="shared" si="32"/>
        <v>-2</v>
      </c>
      <c r="T29" s="481"/>
      <c r="U29" s="504" t="s">
        <v>129</v>
      </c>
      <c r="V29" s="503">
        <v>2.0</v>
      </c>
      <c r="W29" s="503">
        <v>2.0</v>
      </c>
      <c r="X29" s="362">
        <f t="shared" si="33"/>
        <v>0</v>
      </c>
      <c r="Y29" s="504" t="s">
        <v>72</v>
      </c>
      <c r="Z29" s="503"/>
      <c r="AA29" s="503">
        <v>1.0</v>
      </c>
      <c r="AB29" s="362">
        <f t="shared" si="34"/>
        <v>-1</v>
      </c>
      <c r="AC29" s="481"/>
      <c r="AD29" s="504" t="s">
        <v>70</v>
      </c>
      <c r="AE29" s="503"/>
      <c r="AF29" s="503">
        <v>1.0</v>
      </c>
      <c r="AG29" s="362">
        <f t="shared" si="35"/>
        <v>-1</v>
      </c>
      <c r="AH29" s="504" t="s">
        <v>101</v>
      </c>
      <c r="AI29" s="503"/>
      <c r="AJ29" s="503">
        <v>1.0</v>
      </c>
      <c r="AK29" s="362">
        <f t="shared" si="36"/>
        <v>-1</v>
      </c>
      <c r="AL29" s="481"/>
      <c r="AM29" s="504" t="s">
        <v>71</v>
      </c>
      <c r="AN29" s="503">
        <v>2.0</v>
      </c>
      <c r="AO29" s="503">
        <v>1.0</v>
      </c>
      <c r="AP29" s="362">
        <f t="shared" si="37"/>
        <v>1</v>
      </c>
      <c r="AQ29" s="504" t="s">
        <v>64</v>
      </c>
      <c r="AR29" s="503">
        <v>2.0</v>
      </c>
      <c r="AS29" s="503">
        <v>2.0</v>
      </c>
      <c r="AT29" s="362">
        <f t="shared" si="38"/>
        <v>0</v>
      </c>
      <c r="AU29" s="481"/>
      <c r="AV29" s="504" t="s">
        <v>129</v>
      </c>
      <c r="AW29" s="503">
        <v>1.0</v>
      </c>
      <c r="AX29" s="503">
        <v>3.0</v>
      </c>
      <c r="AY29" s="362">
        <f t="shared" si="39"/>
        <v>-2</v>
      </c>
      <c r="AZ29" s="504" t="s">
        <v>99</v>
      </c>
      <c r="BA29" s="503"/>
      <c r="BB29" s="503">
        <v>1.0</v>
      </c>
      <c r="BC29" s="362">
        <f t="shared" si="40"/>
        <v>-1</v>
      </c>
      <c r="BD29" s="481"/>
      <c r="BE29" s="504"/>
      <c r="BF29" s="503"/>
      <c r="BG29" s="503"/>
      <c r="BH29" s="362">
        <f t="shared" si="41"/>
        <v>0</v>
      </c>
      <c r="BI29" s="504"/>
      <c r="BJ29" s="503"/>
      <c r="BK29" s="503"/>
      <c r="BL29" s="362">
        <f t="shared" si="42"/>
        <v>0</v>
      </c>
      <c r="BM29" s="327"/>
      <c r="BN29" s="301"/>
    </row>
    <row r="30">
      <c r="A30" s="301"/>
      <c r="B30" s="324"/>
      <c r="C30" s="505" t="s">
        <v>79</v>
      </c>
      <c r="D30" s="550"/>
      <c r="E30" s="550"/>
      <c r="F30" s="552">
        <f t="shared" si="29"/>
        <v>0</v>
      </c>
      <c r="G30" s="553" t="s">
        <v>80</v>
      </c>
      <c r="H30" s="551">
        <v>4.0</v>
      </c>
      <c r="I30" s="551">
        <v>2.0</v>
      </c>
      <c r="J30" s="554">
        <f t="shared" si="30"/>
        <v>2</v>
      </c>
      <c r="K30" s="481"/>
      <c r="L30" s="504" t="s">
        <v>61</v>
      </c>
      <c r="M30" s="503"/>
      <c r="N30" s="503">
        <v>1.0</v>
      </c>
      <c r="O30" s="362">
        <f t="shared" si="31"/>
        <v>-1</v>
      </c>
      <c r="P30" s="504" t="s">
        <v>80</v>
      </c>
      <c r="Q30" s="503">
        <v>2.0</v>
      </c>
      <c r="R30" s="503">
        <v>2.0</v>
      </c>
      <c r="S30" s="362">
        <f t="shared" si="32"/>
        <v>0</v>
      </c>
      <c r="T30" s="481"/>
      <c r="U30" s="504" t="s">
        <v>71</v>
      </c>
      <c r="V30" s="503"/>
      <c r="W30" s="503">
        <v>1.0</v>
      </c>
      <c r="X30" s="362">
        <f t="shared" si="33"/>
        <v>-1</v>
      </c>
      <c r="Y30" s="504" t="s">
        <v>87</v>
      </c>
      <c r="Z30" s="503"/>
      <c r="AA30" s="503">
        <v>1.0</v>
      </c>
      <c r="AB30" s="362">
        <f t="shared" si="34"/>
        <v>-1</v>
      </c>
      <c r="AC30" s="481"/>
      <c r="AD30" s="504" t="s">
        <v>77</v>
      </c>
      <c r="AE30" s="503"/>
      <c r="AF30" s="503">
        <v>2.0</v>
      </c>
      <c r="AG30" s="362">
        <f t="shared" si="35"/>
        <v>-2</v>
      </c>
      <c r="AH30" s="504" t="s">
        <v>74</v>
      </c>
      <c r="AI30" s="503">
        <v>1.0</v>
      </c>
      <c r="AJ30" s="503"/>
      <c r="AK30" s="362">
        <f t="shared" si="36"/>
        <v>1</v>
      </c>
      <c r="AL30" s="481"/>
      <c r="AM30" s="504" t="s">
        <v>61</v>
      </c>
      <c r="AN30" s="503"/>
      <c r="AO30" s="503">
        <v>2.0</v>
      </c>
      <c r="AP30" s="362">
        <f t="shared" si="37"/>
        <v>-2</v>
      </c>
      <c r="AQ30" s="504" t="s">
        <v>107</v>
      </c>
      <c r="AR30" s="503"/>
      <c r="AS30" s="503"/>
      <c r="AT30" s="362">
        <f t="shared" si="38"/>
        <v>0</v>
      </c>
      <c r="AU30" s="481"/>
      <c r="AV30" s="504" t="s">
        <v>71</v>
      </c>
      <c r="AW30" s="503">
        <v>4.0</v>
      </c>
      <c r="AX30" s="503">
        <v>2.0</v>
      </c>
      <c r="AY30" s="362">
        <f t="shared" si="39"/>
        <v>2</v>
      </c>
      <c r="AZ30" s="504" t="s">
        <v>87</v>
      </c>
      <c r="BA30" s="503">
        <v>1.0</v>
      </c>
      <c r="BB30" s="503">
        <v>2.0</v>
      </c>
      <c r="BC30" s="362">
        <f t="shared" si="40"/>
        <v>-1</v>
      </c>
      <c r="BD30" s="481"/>
      <c r="BE30" s="504"/>
      <c r="BF30" s="503"/>
      <c r="BG30" s="503"/>
      <c r="BH30" s="362">
        <f t="shared" si="41"/>
        <v>0</v>
      </c>
      <c r="BI30" s="504"/>
      <c r="BJ30" s="503"/>
      <c r="BK30" s="503"/>
      <c r="BL30" s="362">
        <f t="shared" si="42"/>
        <v>0</v>
      </c>
      <c r="BM30" s="327"/>
      <c r="BN30" s="301"/>
    </row>
    <row r="31">
      <c r="A31" s="301"/>
      <c r="B31" s="324"/>
      <c r="C31" s="505" t="s">
        <v>106</v>
      </c>
      <c r="D31" s="551">
        <v>1.0</v>
      </c>
      <c r="E31" s="551">
        <v>1.0</v>
      </c>
      <c r="F31" s="552">
        <f t="shared" si="29"/>
        <v>0</v>
      </c>
      <c r="G31" s="553" t="s">
        <v>119</v>
      </c>
      <c r="H31" s="550"/>
      <c r="I31" s="551">
        <v>3.0</v>
      </c>
      <c r="J31" s="554">
        <f t="shared" si="30"/>
        <v>-3</v>
      </c>
      <c r="K31" s="481"/>
      <c r="L31" s="504" t="s">
        <v>92</v>
      </c>
      <c r="M31" s="503">
        <v>4.0</v>
      </c>
      <c r="N31" s="503">
        <v>1.0</v>
      </c>
      <c r="O31" s="362">
        <f t="shared" si="31"/>
        <v>3</v>
      </c>
      <c r="P31" s="504" t="s">
        <v>107</v>
      </c>
      <c r="Q31" s="503"/>
      <c r="R31" s="503"/>
      <c r="S31" s="362">
        <f t="shared" si="32"/>
        <v>0</v>
      </c>
      <c r="T31" s="481"/>
      <c r="U31" s="504" t="s">
        <v>78</v>
      </c>
      <c r="V31" s="503">
        <v>1.0</v>
      </c>
      <c r="W31" s="503">
        <v>1.0</v>
      </c>
      <c r="X31" s="362">
        <f t="shared" si="33"/>
        <v>0</v>
      </c>
      <c r="Y31" s="504" t="s">
        <v>93</v>
      </c>
      <c r="Z31" s="503">
        <v>2.0</v>
      </c>
      <c r="AA31" s="503">
        <v>2.0</v>
      </c>
      <c r="AB31" s="362">
        <f t="shared" si="34"/>
        <v>0</v>
      </c>
      <c r="AC31" s="481"/>
      <c r="AD31" s="504" t="s">
        <v>97</v>
      </c>
      <c r="AE31" s="503">
        <v>1.0</v>
      </c>
      <c r="AF31" s="503">
        <v>2.0</v>
      </c>
      <c r="AG31" s="362">
        <f t="shared" si="35"/>
        <v>-1</v>
      </c>
      <c r="AH31" s="504" t="s">
        <v>80</v>
      </c>
      <c r="AI31" s="503">
        <v>3.0</v>
      </c>
      <c r="AJ31" s="503"/>
      <c r="AK31" s="362">
        <f t="shared" si="36"/>
        <v>3</v>
      </c>
      <c r="AL31" s="481"/>
      <c r="AM31" s="504" t="s">
        <v>78</v>
      </c>
      <c r="AN31" s="503">
        <v>5.0</v>
      </c>
      <c r="AO31" s="503"/>
      <c r="AP31" s="362">
        <f t="shared" si="37"/>
        <v>5</v>
      </c>
      <c r="AQ31" s="504" t="s">
        <v>80</v>
      </c>
      <c r="AR31" s="503">
        <v>3.0</v>
      </c>
      <c r="AS31" s="503">
        <v>2.0</v>
      </c>
      <c r="AT31" s="362">
        <f t="shared" si="38"/>
        <v>1</v>
      </c>
      <c r="AU31" s="481"/>
      <c r="AV31" s="504" t="s">
        <v>78</v>
      </c>
      <c r="AW31" s="503">
        <v>2.0</v>
      </c>
      <c r="AX31" s="503">
        <v>1.0</v>
      </c>
      <c r="AY31" s="362">
        <f t="shared" si="39"/>
        <v>1</v>
      </c>
      <c r="AZ31" s="504" t="s">
        <v>112</v>
      </c>
      <c r="BA31" s="503">
        <v>6.0</v>
      </c>
      <c r="BB31" s="503">
        <v>2.0</v>
      </c>
      <c r="BC31" s="362">
        <f t="shared" si="40"/>
        <v>4</v>
      </c>
      <c r="BD31" s="481"/>
      <c r="BE31" s="504"/>
      <c r="BF31" s="503"/>
      <c r="BG31" s="503"/>
      <c r="BH31" s="362">
        <f t="shared" si="41"/>
        <v>0</v>
      </c>
      <c r="BI31" s="504"/>
      <c r="BJ31" s="503"/>
      <c r="BK31" s="503"/>
      <c r="BL31" s="362">
        <f t="shared" si="42"/>
        <v>0</v>
      </c>
      <c r="BM31" s="327"/>
      <c r="BN31" s="301"/>
    </row>
    <row r="32">
      <c r="A32" s="301"/>
      <c r="B32" s="324"/>
      <c r="C32" s="505" t="s">
        <v>87</v>
      </c>
      <c r="D32" s="551">
        <v>5.0</v>
      </c>
      <c r="E32" s="551">
        <v>2.0</v>
      </c>
      <c r="F32" s="552">
        <f t="shared" si="29"/>
        <v>3</v>
      </c>
      <c r="G32" s="553" t="s">
        <v>107</v>
      </c>
      <c r="H32" s="551">
        <v>1.0</v>
      </c>
      <c r="I32" s="551">
        <v>1.0</v>
      </c>
      <c r="J32" s="554">
        <f t="shared" si="30"/>
        <v>0</v>
      </c>
      <c r="K32" s="481"/>
      <c r="L32" s="504" t="s">
        <v>302</v>
      </c>
      <c r="M32" s="503"/>
      <c r="N32" s="503"/>
      <c r="O32" s="362">
        <f t="shared" si="31"/>
        <v>0</v>
      </c>
      <c r="P32" s="504" t="s">
        <v>303</v>
      </c>
      <c r="Q32" s="503">
        <v>1.0</v>
      </c>
      <c r="R32" s="503">
        <v>2.0</v>
      </c>
      <c r="S32" s="362">
        <f t="shared" si="32"/>
        <v>-1</v>
      </c>
      <c r="T32" s="481"/>
      <c r="U32" s="504" t="s">
        <v>61</v>
      </c>
      <c r="V32" s="503"/>
      <c r="W32" s="503"/>
      <c r="X32" s="362">
        <f t="shared" si="33"/>
        <v>0</v>
      </c>
      <c r="Y32" s="504" t="s">
        <v>304</v>
      </c>
      <c r="Z32" s="503"/>
      <c r="AA32" s="503">
        <v>1.0</v>
      </c>
      <c r="AB32" s="362">
        <f t="shared" si="34"/>
        <v>-1</v>
      </c>
      <c r="AC32" s="481"/>
      <c r="AD32" s="504" t="s">
        <v>91</v>
      </c>
      <c r="AE32" s="503"/>
      <c r="AF32" s="503">
        <v>2.0</v>
      </c>
      <c r="AG32" s="362">
        <f t="shared" si="35"/>
        <v>-2</v>
      </c>
      <c r="AH32" s="504" t="s">
        <v>107</v>
      </c>
      <c r="AI32" s="503"/>
      <c r="AJ32" s="503"/>
      <c r="AK32" s="362">
        <f t="shared" si="36"/>
        <v>0</v>
      </c>
      <c r="AL32" s="481"/>
      <c r="AM32" s="504" t="s">
        <v>117</v>
      </c>
      <c r="AN32" s="503"/>
      <c r="AO32" s="503">
        <v>1.0</v>
      </c>
      <c r="AP32" s="362">
        <f t="shared" si="37"/>
        <v>-1</v>
      </c>
      <c r="AQ32" s="504" t="s">
        <v>74</v>
      </c>
      <c r="AR32" s="503"/>
      <c r="AS32" s="503">
        <v>2.0</v>
      </c>
      <c r="AT32" s="362">
        <f t="shared" si="38"/>
        <v>-2</v>
      </c>
      <c r="AU32" s="481"/>
      <c r="AV32" s="504" t="s">
        <v>61</v>
      </c>
      <c r="AW32" s="503"/>
      <c r="AX32" s="503">
        <v>2.0</v>
      </c>
      <c r="AY32" s="362">
        <f t="shared" si="39"/>
        <v>-2</v>
      </c>
      <c r="AZ32" s="504" t="s">
        <v>124</v>
      </c>
      <c r="BA32" s="503">
        <v>1.0</v>
      </c>
      <c r="BB32" s="503">
        <v>2.0</v>
      </c>
      <c r="BC32" s="362">
        <f t="shared" si="40"/>
        <v>-1</v>
      </c>
      <c r="BD32" s="481"/>
      <c r="BE32" s="504"/>
      <c r="BF32" s="503"/>
      <c r="BG32" s="503"/>
      <c r="BH32" s="362">
        <f t="shared" si="41"/>
        <v>0</v>
      </c>
      <c r="BI32" s="504"/>
      <c r="BJ32" s="503"/>
      <c r="BK32" s="503"/>
      <c r="BL32" s="362">
        <f t="shared" si="42"/>
        <v>0</v>
      </c>
      <c r="BM32" s="327"/>
      <c r="BN32" s="301"/>
    </row>
    <row r="33">
      <c r="A33" s="301"/>
      <c r="B33" s="324"/>
      <c r="C33" s="505" t="s">
        <v>118</v>
      </c>
      <c r="D33" s="551">
        <v>2.0</v>
      </c>
      <c r="E33" s="551">
        <v>1.0</v>
      </c>
      <c r="F33" s="552">
        <f t="shared" si="29"/>
        <v>1</v>
      </c>
      <c r="G33" s="553" t="s">
        <v>113</v>
      </c>
      <c r="H33" s="551">
        <v>1.0</v>
      </c>
      <c r="I33" s="551">
        <v>1.0</v>
      </c>
      <c r="J33" s="554">
        <f t="shared" si="30"/>
        <v>0</v>
      </c>
      <c r="K33" s="481"/>
      <c r="L33" s="511" t="s">
        <v>123</v>
      </c>
      <c r="M33" s="510"/>
      <c r="N33" s="510"/>
      <c r="O33" s="362">
        <f t="shared" si="31"/>
        <v>0</v>
      </c>
      <c r="P33" s="511" t="s">
        <v>305</v>
      </c>
      <c r="Q33" s="510"/>
      <c r="R33" s="510"/>
      <c r="S33" s="362">
        <f t="shared" si="32"/>
        <v>0</v>
      </c>
      <c r="T33" s="481"/>
      <c r="U33" s="511" t="s">
        <v>92</v>
      </c>
      <c r="V33" s="510"/>
      <c r="W33" s="510"/>
      <c r="X33" s="362">
        <f t="shared" si="33"/>
        <v>0</v>
      </c>
      <c r="Y33" s="511" t="s">
        <v>306</v>
      </c>
      <c r="Z33" s="510">
        <v>1.0</v>
      </c>
      <c r="AA33" s="510">
        <v>1.0</v>
      </c>
      <c r="AB33" s="362">
        <f t="shared" si="34"/>
        <v>0</v>
      </c>
      <c r="AC33" s="481"/>
      <c r="AD33" s="511" t="s">
        <v>85</v>
      </c>
      <c r="AE33" s="510"/>
      <c r="AF33" s="510"/>
      <c r="AG33" s="362">
        <f t="shared" si="35"/>
        <v>0</v>
      </c>
      <c r="AH33" s="511" t="s">
        <v>113</v>
      </c>
      <c r="AI33" s="510"/>
      <c r="AJ33" s="510"/>
      <c r="AK33" s="362">
        <f t="shared" si="36"/>
        <v>0</v>
      </c>
      <c r="AL33" s="481"/>
      <c r="AM33" s="511" t="s">
        <v>92</v>
      </c>
      <c r="AN33" s="510"/>
      <c r="AO33" s="510"/>
      <c r="AP33" s="362">
        <f t="shared" si="37"/>
        <v>0</v>
      </c>
      <c r="AQ33" s="511" t="s">
        <v>113</v>
      </c>
      <c r="AR33" s="510"/>
      <c r="AS33" s="510"/>
      <c r="AT33" s="362">
        <f t="shared" si="38"/>
        <v>0</v>
      </c>
      <c r="AU33" s="481"/>
      <c r="AV33" s="511" t="s">
        <v>111</v>
      </c>
      <c r="AW33" s="510"/>
      <c r="AX33" s="510"/>
      <c r="AY33" s="362">
        <f t="shared" si="39"/>
        <v>0</v>
      </c>
      <c r="AZ33" s="511" t="s">
        <v>130</v>
      </c>
      <c r="BA33" s="510"/>
      <c r="BB33" s="510">
        <v>1.0</v>
      </c>
      <c r="BC33" s="362">
        <f t="shared" si="40"/>
        <v>-1</v>
      </c>
      <c r="BD33" s="481"/>
      <c r="BE33" s="511"/>
      <c r="BF33" s="510"/>
      <c r="BG33" s="510"/>
      <c r="BH33" s="362">
        <f t="shared" si="41"/>
        <v>0</v>
      </c>
      <c r="BI33" s="511"/>
      <c r="BJ33" s="510"/>
      <c r="BK33" s="510"/>
      <c r="BL33" s="362">
        <f t="shared" si="42"/>
        <v>0</v>
      </c>
      <c r="BM33" s="327"/>
      <c r="BN33" s="301"/>
    </row>
    <row r="34">
      <c r="A34" s="301"/>
      <c r="B34" s="324"/>
      <c r="C34" s="574" t="s">
        <v>155</v>
      </c>
      <c r="D34" s="591">
        <f>SUM(F28:F33)</f>
        <v>3</v>
      </c>
      <c r="E34" s="111"/>
      <c r="F34" s="111"/>
      <c r="G34" s="592" t="s">
        <v>155</v>
      </c>
      <c r="H34" s="591">
        <f>SUM(J28:J33)</f>
        <v>-3</v>
      </c>
      <c r="I34" s="111"/>
      <c r="J34" s="112"/>
      <c r="K34" s="481"/>
      <c r="L34" s="516" t="s">
        <v>155</v>
      </c>
      <c r="M34" s="515">
        <f>SUM(O28:O33)</f>
        <v>5</v>
      </c>
      <c r="N34" s="399"/>
      <c r="O34" s="399"/>
      <c r="P34" s="516" t="s">
        <v>155</v>
      </c>
      <c r="Q34" s="515">
        <f>SUM(S28:S33)</f>
        <v>-5</v>
      </c>
      <c r="R34" s="399"/>
      <c r="S34" s="401"/>
      <c r="T34" s="481"/>
      <c r="U34" s="516" t="s">
        <v>155</v>
      </c>
      <c r="V34" s="519">
        <f>SUM(X28:X33)</f>
        <v>4</v>
      </c>
      <c r="W34" s="399"/>
      <c r="X34" s="399"/>
      <c r="Y34" s="516" t="s">
        <v>155</v>
      </c>
      <c r="Z34" s="519">
        <f>SUM(AB28:AB33)</f>
        <v>-4</v>
      </c>
      <c r="AA34" s="399"/>
      <c r="AB34" s="401"/>
      <c r="AC34" s="481"/>
      <c r="AD34" s="516" t="s">
        <v>155</v>
      </c>
      <c r="AE34" s="515">
        <f>SUM(AG28:AG33)</f>
        <v>-7</v>
      </c>
      <c r="AF34" s="399"/>
      <c r="AG34" s="399"/>
      <c r="AH34" s="516" t="s">
        <v>155</v>
      </c>
      <c r="AI34" s="515">
        <f>SUM(AK28:AK33)</f>
        <v>7</v>
      </c>
      <c r="AJ34" s="399"/>
      <c r="AK34" s="401"/>
      <c r="AL34" s="481"/>
      <c r="AM34" s="516" t="s">
        <v>155</v>
      </c>
      <c r="AN34" s="515">
        <f>SUM(AP28:AP33)</f>
        <v>3</v>
      </c>
      <c r="AO34" s="399"/>
      <c r="AP34" s="399"/>
      <c r="AQ34" s="516" t="s">
        <v>155</v>
      </c>
      <c r="AR34" s="515">
        <f>SUM(AT28:AT33)</f>
        <v>-3</v>
      </c>
      <c r="AS34" s="399"/>
      <c r="AT34" s="401"/>
      <c r="AU34" s="481"/>
      <c r="AV34" s="516" t="s">
        <v>155</v>
      </c>
      <c r="AW34" s="519">
        <f>SUM(AY28:AY33)</f>
        <v>0</v>
      </c>
      <c r="AX34" s="399"/>
      <c r="AY34" s="399"/>
      <c r="AZ34" s="516" t="s">
        <v>155</v>
      </c>
      <c r="BA34" s="515">
        <f>SUM(BC28:BC33)</f>
        <v>0</v>
      </c>
      <c r="BB34" s="399"/>
      <c r="BC34" s="401"/>
      <c r="BD34" s="481"/>
      <c r="BE34" s="516" t="s">
        <v>155</v>
      </c>
      <c r="BF34" s="519">
        <f>SUM(BH28:BH33)</f>
        <v>0</v>
      </c>
      <c r="BG34" s="399"/>
      <c r="BH34" s="399"/>
      <c r="BI34" s="516" t="s">
        <v>155</v>
      </c>
      <c r="BJ34" s="515">
        <f>SUM(BL28:BL33)</f>
        <v>0</v>
      </c>
      <c r="BK34" s="399"/>
      <c r="BL34" s="401"/>
      <c r="BM34" s="327"/>
      <c r="BN34" s="301"/>
    </row>
    <row r="35">
      <c r="A35" s="5"/>
      <c r="B35" s="416"/>
      <c r="C35" s="602" t="s">
        <v>162</v>
      </c>
      <c r="D35" s="604">
        <v>2.0</v>
      </c>
      <c r="E35" s="436"/>
      <c r="F35" s="438"/>
      <c r="G35" s="606" t="s">
        <v>162</v>
      </c>
      <c r="H35" s="604">
        <v>1.0</v>
      </c>
      <c r="I35" s="436"/>
      <c r="J35" s="438"/>
      <c r="K35" s="470"/>
      <c r="L35" s="522" t="s">
        <v>162</v>
      </c>
      <c r="M35" s="521">
        <v>2.0</v>
      </c>
      <c r="N35" s="124"/>
      <c r="O35" s="419"/>
      <c r="P35" s="522" t="s">
        <v>162</v>
      </c>
      <c r="Q35" s="521">
        <v>0.0</v>
      </c>
      <c r="R35" s="124"/>
      <c r="S35" s="125"/>
      <c r="T35" s="470"/>
      <c r="U35" s="522" t="s">
        <v>162</v>
      </c>
      <c r="V35" s="521">
        <v>2.0</v>
      </c>
      <c r="W35" s="124"/>
      <c r="X35" s="419"/>
      <c r="Y35" s="522" t="s">
        <v>162</v>
      </c>
      <c r="Z35" s="521">
        <v>0.0</v>
      </c>
      <c r="AA35" s="124"/>
      <c r="AB35" s="125"/>
      <c r="AC35" s="470"/>
      <c r="AD35" s="522" t="s">
        <v>162</v>
      </c>
      <c r="AE35" s="521">
        <v>0.0</v>
      </c>
      <c r="AF35" s="124"/>
      <c r="AG35" s="419"/>
      <c r="AH35" s="522" t="s">
        <v>162</v>
      </c>
      <c r="AI35" s="521">
        <v>2.0</v>
      </c>
      <c r="AJ35" s="124"/>
      <c r="AK35" s="125"/>
      <c r="AL35" s="470"/>
      <c r="AM35" s="522" t="s">
        <v>162</v>
      </c>
      <c r="AN35" s="521">
        <v>2.0</v>
      </c>
      <c r="AO35" s="124"/>
      <c r="AP35" s="419"/>
      <c r="AQ35" s="522" t="s">
        <v>162</v>
      </c>
      <c r="AR35" s="521">
        <v>0.0</v>
      </c>
      <c r="AS35" s="124"/>
      <c r="AT35" s="125"/>
      <c r="AU35" s="470"/>
      <c r="AV35" s="522" t="s">
        <v>162</v>
      </c>
      <c r="AW35" s="521">
        <v>2.0</v>
      </c>
      <c r="AX35" s="124"/>
      <c r="AY35" s="419"/>
      <c r="AZ35" s="522" t="s">
        <v>162</v>
      </c>
      <c r="BA35" s="521">
        <v>1.0</v>
      </c>
      <c r="BB35" s="124"/>
      <c r="BC35" s="125"/>
      <c r="BD35" s="470"/>
      <c r="BE35" s="522" t="s">
        <v>162</v>
      </c>
      <c r="BF35" s="521">
        <v>1.0</v>
      </c>
      <c r="BG35" s="124"/>
      <c r="BH35" s="419"/>
      <c r="BI35" s="522" t="s">
        <v>162</v>
      </c>
      <c r="BJ35" s="521">
        <v>2.0</v>
      </c>
      <c r="BK35" s="124"/>
      <c r="BL35" s="125"/>
      <c r="BM35" s="440"/>
      <c r="BN35" s="5"/>
    </row>
    <row r="36">
      <c r="A36" s="5"/>
      <c r="B36" s="416"/>
      <c r="C36" s="445" t="s">
        <v>168</v>
      </c>
      <c r="D36" s="449">
        <v>1.0</v>
      </c>
      <c r="E36" s="449">
        <v>2.0</v>
      </c>
      <c r="F36" s="473">
        <v>3.0</v>
      </c>
      <c r="G36" s="456" t="s">
        <v>174</v>
      </c>
      <c r="H36" s="152"/>
      <c r="I36" s="467" t="str">
        <f>IF(D35=2,"W",IF(H35=2,"L",))</f>
        <v>W</v>
      </c>
      <c r="J36" s="469" t="str">
        <f>IF(H35=2,"W",IF(D35=2,"L",))</f>
        <v>L</v>
      </c>
      <c r="K36" s="470"/>
      <c r="L36" s="471" t="s">
        <v>168</v>
      </c>
      <c r="M36" s="449">
        <v>1.0</v>
      </c>
      <c r="N36" s="449">
        <v>2.0</v>
      </c>
      <c r="O36" s="453">
        <v>3.0</v>
      </c>
      <c r="P36" s="456" t="s">
        <v>174</v>
      </c>
      <c r="Q36" s="152"/>
      <c r="R36" s="467" t="str">
        <f>IF(M35=2,"W",IF(Q35=2,"L",))</f>
        <v>W</v>
      </c>
      <c r="S36" s="469" t="str">
        <f>IF(Q35=2,"W",IF(M35=2,"L",))</f>
        <v>L</v>
      </c>
      <c r="T36" s="470"/>
      <c r="U36" s="471" t="s">
        <v>168</v>
      </c>
      <c r="V36" s="449">
        <v>1.0</v>
      </c>
      <c r="W36" s="449">
        <v>2.0</v>
      </c>
      <c r="X36" s="453">
        <v>3.0</v>
      </c>
      <c r="Y36" s="456" t="s">
        <v>174</v>
      </c>
      <c r="Z36" s="152"/>
      <c r="AA36" s="467" t="str">
        <f>IF(V35=2,"W",IF(Z35=2,"L",))</f>
        <v>W</v>
      </c>
      <c r="AB36" s="469" t="str">
        <f>IF(Z35=2,"W",IF(V35=2,"L",))</f>
        <v>L</v>
      </c>
      <c r="AC36" s="470"/>
      <c r="AD36" s="471" t="s">
        <v>168</v>
      </c>
      <c r="AE36" s="449">
        <v>1.0</v>
      </c>
      <c r="AF36" s="449">
        <v>2.0</v>
      </c>
      <c r="AG36" s="473">
        <v>3.0</v>
      </c>
      <c r="AH36" s="456" t="s">
        <v>174</v>
      </c>
      <c r="AI36" s="152"/>
      <c r="AJ36" s="467" t="str">
        <f>IF(AE35=2,"W",IF(AI35=2,"L",))</f>
        <v>L</v>
      </c>
      <c r="AK36" s="469" t="str">
        <f>IF(AI35=2,"W",IF(AE35=2,"L",))</f>
        <v>W</v>
      </c>
      <c r="AL36" s="470"/>
      <c r="AM36" s="471" t="s">
        <v>168</v>
      </c>
      <c r="AN36" s="449">
        <v>1.0</v>
      </c>
      <c r="AO36" s="449">
        <v>2.0</v>
      </c>
      <c r="AP36" s="476">
        <v>3.0</v>
      </c>
      <c r="AQ36" s="456" t="s">
        <v>174</v>
      </c>
      <c r="AR36" s="152"/>
      <c r="AS36" s="467" t="str">
        <f>IF(AN35=2,"W",IF(AR35=2,"L",))</f>
        <v>W</v>
      </c>
      <c r="AT36" s="469" t="str">
        <f>IF(AR35=2,"W",IF(AN35=2,"L",))</f>
        <v>L</v>
      </c>
      <c r="AU36" s="470"/>
      <c r="AV36" s="471" t="s">
        <v>168</v>
      </c>
      <c r="AW36" s="449">
        <v>1.0</v>
      </c>
      <c r="AX36" s="449">
        <v>2.0</v>
      </c>
      <c r="AY36" s="476">
        <v>3.0</v>
      </c>
      <c r="AZ36" s="456" t="s">
        <v>174</v>
      </c>
      <c r="BA36" s="152"/>
      <c r="BB36" s="467" t="str">
        <f>IF(AW35=2,"W",IF(BA35=2,"L",))</f>
        <v>W</v>
      </c>
      <c r="BC36" s="469" t="str">
        <f>IF(BA35=2,"W",IF(AW35=2,"L",))</f>
        <v>L</v>
      </c>
      <c r="BD36" s="470"/>
      <c r="BE36" s="471" t="s">
        <v>168</v>
      </c>
      <c r="BF36" s="449">
        <v>1.0</v>
      </c>
      <c r="BG36" s="449">
        <v>2.0</v>
      </c>
      <c r="BH36" s="473">
        <v>3.0</v>
      </c>
      <c r="BI36" s="456" t="s">
        <v>174</v>
      </c>
      <c r="BJ36" s="152"/>
      <c r="BK36" s="467" t="str">
        <f>IF(BF35=2,"W",IF(BJ35=2,"L",))</f>
        <v>L</v>
      </c>
      <c r="BL36" s="469" t="str">
        <f>IF(BJ35=2,"W",IF(BF35=2,"L",))</f>
        <v>W</v>
      </c>
      <c r="BM36" s="440"/>
      <c r="BN36" s="5"/>
    </row>
    <row r="37" ht="7.5" customHeight="1">
      <c r="A37" s="301"/>
      <c r="B37" s="623"/>
      <c r="C37" s="624"/>
      <c r="D37" s="624"/>
      <c r="E37" s="624"/>
      <c r="F37" s="624"/>
      <c r="G37" s="624"/>
      <c r="H37" s="624"/>
      <c r="I37" s="624"/>
      <c r="J37" s="624"/>
      <c r="K37" s="624"/>
      <c r="L37" s="624"/>
      <c r="M37" s="624"/>
      <c r="N37" s="624"/>
      <c r="O37" s="624"/>
      <c r="P37" s="624"/>
      <c r="Q37" s="624"/>
      <c r="R37" s="624"/>
      <c r="S37" s="624"/>
      <c r="T37" s="624"/>
      <c r="U37" s="624"/>
      <c r="V37" s="624"/>
      <c r="W37" s="624"/>
      <c r="X37" s="624"/>
      <c r="Y37" s="624"/>
      <c r="Z37" s="624"/>
      <c r="AA37" s="624"/>
      <c r="AB37" s="624"/>
      <c r="AC37" s="624"/>
      <c r="AD37" s="631" t="s">
        <v>301</v>
      </c>
      <c r="AE37" s="624"/>
      <c r="AF37" s="624"/>
      <c r="AG37" s="624"/>
      <c r="AH37" s="624"/>
      <c r="AI37" s="624"/>
      <c r="AJ37" s="624"/>
      <c r="AK37" s="624"/>
      <c r="AL37" s="624"/>
      <c r="AM37" s="624"/>
      <c r="AN37" s="624"/>
      <c r="AO37" s="624"/>
      <c r="AP37" s="624"/>
      <c r="AQ37" s="624"/>
      <c r="AR37" s="624"/>
      <c r="AS37" s="624"/>
      <c r="AT37" s="624"/>
      <c r="AU37" s="624"/>
      <c r="AV37" s="624"/>
      <c r="AW37" s="624"/>
      <c r="AX37" s="624"/>
      <c r="AY37" s="624"/>
      <c r="AZ37" s="624"/>
      <c r="BA37" s="624"/>
      <c r="BB37" s="624"/>
      <c r="BC37" s="624"/>
      <c r="BD37" s="624"/>
      <c r="BE37" s="624"/>
      <c r="BF37" s="624"/>
      <c r="BG37" s="624"/>
      <c r="BH37" s="624"/>
      <c r="BI37" s="624"/>
      <c r="BJ37" s="624"/>
      <c r="BK37" s="624"/>
      <c r="BL37" s="624"/>
      <c r="BM37" s="627"/>
      <c r="BN37" s="301"/>
    </row>
    <row r="38" ht="7.5" customHeight="1">
      <c r="A38" s="301"/>
      <c r="B38" s="301"/>
      <c r="C38" s="301"/>
      <c r="D38" s="301"/>
      <c r="E38" s="301"/>
      <c r="F38" s="301"/>
      <c r="G38" s="301"/>
      <c r="H38" s="301"/>
      <c r="I38" s="301"/>
      <c r="J38" s="301"/>
      <c r="K38" s="301"/>
      <c r="L38" s="301"/>
      <c r="M38" s="301"/>
      <c r="N38" s="301"/>
      <c r="O38" s="301"/>
      <c r="P38" s="301"/>
      <c r="Q38" s="301"/>
      <c r="R38" s="301"/>
      <c r="S38" s="301"/>
      <c r="T38" s="301"/>
      <c r="U38" s="301"/>
      <c r="V38" s="301"/>
      <c r="W38" s="301"/>
      <c r="X38" s="301"/>
      <c r="Y38" s="301"/>
      <c r="Z38" s="301"/>
      <c r="AA38" s="301"/>
      <c r="AB38" s="301"/>
      <c r="AC38" s="301"/>
      <c r="AD38" s="629" t="s">
        <v>301</v>
      </c>
      <c r="AE38" s="301"/>
      <c r="AF38" s="301"/>
      <c r="AG38" s="301"/>
      <c r="AH38" s="301"/>
      <c r="AI38" s="301"/>
      <c r="AJ38" s="301"/>
      <c r="AK38" s="301"/>
      <c r="AL38" s="301"/>
      <c r="AM38" s="301"/>
      <c r="AN38" s="301"/>
      <c r="AO38" s="301"/>
      <c r="AP38" s="301"/>
      <c r="AQ38" s="301"/>
      <c r="AR38" s="301"/>
      <c r="AS38" s="301"/>
      <c r="AT38" s="301"/>
      <c r="AU38" s="301"/>
      <c r="AV38" s="301"/>
      <c r="AW38" s="301"/>
      <c r="AX38" s="301"/>
      <c r="AY38" s="301"/>
      <c r="AZ38" s="301"/>
      <c r="BA38" s="301"/>
      <c r="BB38" s="301"/>
      <c r="BC38" s="301"/>
      <c r="BD38" s="301"/>
      <c r="BE38" s="301"/>
      <c r="BF38" s="301"/>
      <c r="BG38" s="301"/>
      <c r="BH38" s="301"/>
      <c r="BI38" s="301"/>
      <c r="BJ38" s="301"/>
      <c r="BK38" s="301"/>
      <c r="BL38" s="301"/>
      <c r="BM38" s="301"/>
      <c r="BN38" s="301"/>
    </row>
  </sheetData>
  <mergeCells count="112">
    <mergeCell ref="AI23:AK23"/>
    <mergeCell ref="AN23:AP23"/>
    <mergeCell ref="AR23:AT23"/>
    <mergeCell ref="AW23:AY23"/>
    <mergeCell ref="BA23:BC23"/>
    <mergeCell ref="BF23:BH23"/>
    <mergeCell ref="BJ23:BL23"/>
    <mergeCell ref="AI24:AK24"/>
    <mergeCell ref="AH25:AI25"/>
    <mergeCell ref="BA24:BC24"/>
    <mergeCell ref="AZ25:BA25"/>
    <mergeCell ref="BI25:BJ25"/>
    <mergeCell ref="Z23:AB23"/>
    <mergeCell ref="Z24:AB24"/>
    <mergeCell ref="AN24:AP24"/>
    <mergeCell ref="AR24:AT24"/>
    <mergeCell ref="AW24:AY24"/>
    <mergeCell ref="Y25:Z25"/>
    <mergeCell ref="AQ25:AR25"/>
    <mergeCell ref="C3:J3"/>
    <mergeCell ref="L3:S3"/>
    <mergeCell ref="U3:AB3"/>
    <mergeCell ref="AD3:AK3"/>
    <mergeCell ref="AM3:AT3"/>
    <mergeCell ref="AV3:BC3"/>
    <mergeCell ref="BE3:BL3"/>
    <mergeCell ref="AI12:AK12"/>
    <mergeCell ref="AN12:AP12"/>
    <mergeCell ref="AR12:AT12"/>
    <mergeCell ref="AW12:AY12"/>
    <mergeCell ref="BA12:BC12"/>
    <mergeCell ref="BF12:BH12"/>
    <mergeCell ref="BJ12:BL12"/>
    <mergeCell ref="Z12:AB12"/>
    <mergeCell ref="Z13:AB13"/>
    <mergeCell ref="Y14:Z14"/>
    <mergeCell ref="AH14:AI14"/>
    <mergeCell ref="AQ14:AR14"/>
    <mergeCell ref="AZ14:BA14"/>
    <mergeCell ref="BI14:BJ14"/>
    <mergeCell ref="AE13:AG13"/>
    <mergeCell ref="AI13:AK13"/>
    <mergeCell ref="AN13:AP13"/>
    <mergeCell ref="AR13:AT13"/>
    <mergeCell ref="AW13:AY13"/>
    <mergeCell ref="BA13:BC13"/>
    <mergeCell ref="BF13:BH13"/>
    <mergeCell ref="BJ13:BL13"/>
    <mergeCell ref="D12:F12"/>
    <mergeCell ref="M12:O12"/>
    <mergeCell ref="V12:X12"/>
    <mergeCell ref="AE12:AG12"/>
    <mergeCell ref="D13:F13"/>
    <mergeCell ref="M13:O13"/>
    <mergeCell ref="V13:X13"/>
    <mergeCell ref="Q12:S12"/>
    <mergeCell ref="Q13:S13"/>
    <mergeCell ref="P14:Q14"/>
    <mergeCell ref="Q23:S23"/>
    <mergeCell ref="V23:X23"/>
    <mergeCell ref="AE23:AG23"/>
    <mergeCell ref="V24:X24"/>
    <mergeCell ref="AE24:AG24"/>
    <mergeCell ref="BF24:BH24"/>
    <mergeCell ref="BJ24:BL24"/>
    <mergeCell ref="AR35:AT35"/>
    <mergeCell ref="AQ36:AR36"/>
    <mergeCell ref="Z34:AB34"/>
    <mergeCell ref="Z35:AB35"/>
    <mergeCell ref="AE35:AG35"/>
    <mergeCell ref="AI35:AK35"/>
    <mergeCell ref="AN35:AP35"/>
    <mergeCell ref="AW35:AY35"/>
    <mergeCell ref="AH36:AI36"/>
    <mergeCell ref="M23:O23"/>
    <mergeCell ref="M24:O24"/>
    <mergeCell ref="Q24:S24"/>
    <mergeCell ref="P25:Q25"/>
    <mergeCell ref="H12:J12"/>
    <mergeCell ref="H13:J13"/>
    <mergeCell ref="G14:H14"/>
    <mergeCell ref="D23:F23"/>
    <mergeCell ref="H23:J23"/>
    <mergeCell ref="H24:J24"/>
    <mergeCell ref="G25:H25"/>
    <mergeCell ref="AE34:AG34"/>
    <mergeCell ref="AI34:AK34"/>
    <mergeCell ref="AN34:AP34"/>
    <mergeCell ref="AR34:AT34"/>
    <mergeCell ref="AW34:AY34"/>
    <mergeCell ref="BA34:BC34"/>
    <mergeCell ref="BF34:BH34"/>
    <mergeCell ref="BJ34:BL34"/>
    <mergeCell ref="H34:J34"/>
    <mergeCell ref="H35:J35"/>
    <mergeCell ref="G36:H36"/>
    <mergeCell ref="Q34:S34"/>
    <mergeCell ref="Q35:S35"/>
    <mergeCell ref="P36:Q36"/>
    <mergeCell ref="Y36:Z36"/>
    <mergeCell ref="D24:F24"/>
    <mergeCell ref="D34:F34"/>
    <mergeCell ref="M34:O34"/>
    <mergeCell ref="V34:X34"/>
    <mergeCell ref="D35:F35"/>
    <mergeCell ref="M35:O35"/>
    <mergeCell ref="V35:X35"/>
    <mergeCell ref="BA35:BC35"/>
    <mergeCell ref="BF35:BH35"/>
    <mergeCell ref="BJ35:BL35"/>
    <mergeCell ref="AZ36:BA36"/>
    <mergeCell ref="BI36:BJ36"/>
  </mergeCells>
  <conditionalFormatting sqref="D12:F12 H12 M12:O12 Q12 V12:X12 Z12 AE12:AG12 AI12 AN12:AP12 AR12 AW12:AY12 BA12 BF12:BH12 BJ12 D23:F23 H23 M23:O23 Q23 V23:X23 Z23 AE23:AG23 AI23 AN23:AP23 AR23 AW23:AY23 BA23 BF23:BH23 BJ23 D34:F34 H34 M34:O34 Q34 V34:X34 Z34 AE34:AG34 AI34 AN34:AP34 AR34 AW34:AY34 BA34 BF34:BH34 BJ34">
    <cfRule type="cellIs" dxfId="1" priority="1" operator="lessThan">
      <formula>0</formula>
    </cfRule>
  </conditionalFormatting>
  <conditionalFormatting sqref="D12:F12 H12 M12:O12 Q12 V12:X12 Z12 AE12:AG12 AI12 AN12:AP12 AR12 AW12:AY12 BA12 BF12:BH12 BJ12 D23:F23 H23 M23:O23 Q23 V23:X23 Z23 AE23:AG23 AI23 AN23:AP23 AR23 AW23:AY23 BA23 BF23:BH23 BJ23 D34:F34 H34 M34:O34 Q34 V34:X34 Z34 AE34:AG34 AI34 AN34:AP34 AR34 AW34:AY34 BA34 BF34:BH34 BJ34">
    <cfRule type="cellIs" dxfId="0" priority="2" operator="greaterThan">
      <formula>0</formula>
    </cfRule>
  </conditionalFormatting>
  <conditionalFormatting sqref="C12 G12 L12 P12 U12 Y12 AD12 AH12 AM12 AQ12 AV12 AZ12 BE12 BI12 I14:J14 R14:S14 AA14:AB14 AJ14:AK14 AS14:AT14 BB14:BC14 BK14:BL14 C23 G23 L23 P23 U23 Y23 AD23 AH23 AM23 AQ23 AV23 AZ23 BE23 BI23 I25:J25 R25:S25 AA25:AB25 AJ25:AK25 AS25:AT25 BB25:BC25 BK25:BL25 C34 G34 L34 P34 U34 Y34 AD34 AH34 AM34 AQ34 AV34 AZ34 BE34 BI34 I36:J36 R36:S36 AA36:AB36 AJ36:AK36 AS36:AT36 BB36:BC36 BK36:BL36">
    <cfRule type="cellIs" dxfId="0" priority="3" operator="equal">
      <formula>"W"</formula>
    </cfRule>
  </conditionalFormatting>
  <conditionalFormatting sqref="C12 G12 L12 P12 U12 Y12 AD12 AH12 AM12 AQ12 AV12 AZ12 BE12 BI12 I14:J14 R14:S14 AA14:AB14 AJ14:AK14 AS14:AT14 BB14:BC14 BK14:BL14 C23 G23 L23 P23 U23 Y23 AD23 AH23 AM23 AQ23 AV23 AZ23 BE23 BI23 I25:J25 R25:S25 AA25:AB25 AJ25:AK25 AS25:AT25 BB25:BC25 BK25:BL25 C34 G34 L34 P34 U34 Y34 AD34 AH34 AM34 AQ34 AV34 AZ34 BE34 BI34 I36:J36 R36:S36 AA36:AB36 AJ36:AK36 AS36:AT36 BB36:BC36 BK36:BL36">
    <cfRule type="cellIs" dxfId="1" priority="4" operator="equal">
      <formula>"L"</formula>
    </cfRule>
  </conditionalFormatting>
  <dataValidations>
    <dataValidation type="list" allowBlank="1" sqref="C6:C11 G6:G11 L6:L11 P6:P11 U6:U11 Y6:Y11 AD6:AD11 AH6:AH11 AM6:AM11 AQ6:AQ11 AV6:AV11 AZ6:AZ11 BE6:BE11 BI6:BI11 C17:C22 G17:G22 L17:L22 P17:P22 U17:U22 Y17:Y22 AD17:AD22 AH17:AH22 AM17:AM22 AQ17:AQ22 AV17:AV22 AZ17:AZ22 BE17:BE22 BI17:BI22 C28:C33 G28:G33 L28:L33 P28:P33 U28:U33 Y28:Y33 AD28:AD33 AH28:AH33 AM28:AM33 AQ28:AQ33 AV28:AV33 AZ28:AZ33 BE28:BE33 BI28:BI33">
      <formula1>Source!$B$2:$B38</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22241"/>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2" width="1.38"/>
    <col customWidth="1" min="3" max="3" width="3.88"/>
    <col customWidth="1" min="4" max="4" width="5.75"/>
    <col customWidth="1" min="5" max="5" width="3.88"/>
    <col customWidth="1" min="6" max="6" width="15.13"/>
    <col customWidth="1" min="7" max="10" width="3.88"/>
    <col customWidth="1" min="11" max="12" width="1.38"/>
    <col customWidth="1" hidden="1" min="13" max="14" width="3.88"/>
    <col customWidth="1" hidden="1" min="15" max="15" width="15.13"/>
    <col customWidth="1" hidden="1" min="16" max="19" width="3.88"/>
    <col customWidth="1" hidden="1" min="20" max="20" width="1.38"/>
  </cols>
  <sheetData>
    <row r="1" ht="7.5" customHeight="1">
      <c r="A1" s="308" t="s">
        <v>146</v>
      </c>
      <c r="B1" s="305"/>
      <c r="C1" s="305"/>
      <c r="D1" s="309"/>
      <c r="E1" s="309"/>
      <c r="F1" s="309"/>
      <c r="G1" s="309"/>
      <c r="H1" s="309"/>
      <c r="I1" s="309"/>
      <c r="J1" s="309"/>
      <c r="K1" s="305"/>
      <c r="L1" s="305"/>
      <c r="M1" s="305"/>
      <c r="N1" s="305"/>
      <c r="O1" s="305"/>
      <c r="P1" s="305"/>
      <c r="Q1" s="305"/>
      <c r="R1" s="305"/>
      <c r="S1" s="305"/>
      <c r="T1" s="305"/>
    </row>
    <row r="2" ht="7.5" customHeight="1">
      <c r="A2" s="305"/>
      <c r="B2" s="310"/>
      <c r="C2" s="311"/>
      <c r="D2" s="312"/>
      <c r="E2" s="312"/>
      <c r="F2" s="312"/>
      <c r="G2" s="312"/>
      <c r="H2" s="312"/>
      <c r="I2" s="312"/>
      <c r="J2" s="312"/>
      <c r="K2" s="316"/>
      <c r="L2" s="305"/>
      <c r="M2" s="315"/>
      <c r="N2" s="315"/>
      <c r="O2" s="315"/>
      <c r="P2" s="315"/>
      <c r="Q2" s="315"/>
      <c r="R2" s="315"/>
      <c r="S2" s="315"/>
      <c r="T2" s="305"/>
    </row>
    <row r="3">
      <c r="A3" s="317"/>
      <c r="B3" s="318"/>
      <c r="C3" s="323"/>
      <c r="D3" s="34"/>
      <c r="E3" s="34"/>
      <c r="F3" s="34"/>
      <c r="G3" s="34"/>
      <c r="H3" s="34"/>
      <c r="I3" s="34"/>
      <c r="J3" s="35"/>
      <c r="K3" s="326"/>
      <c r="L3" s="317"/>
      <c r="M3" s="335" t="s">
        <v>147</v>
      </c>
      <c r="N3" s="34"/>
      <c r="O3" s="34"/>
      <c r="P3" s="34"/>
      <c r="Q3" s="34"/>
      <c r="R3" s="34"/>
      <c r="S3" s="35"/>
      <c r="T3" s="317"/>
    </row>
    <row r="4">
      <c r="A4" s="317"/>
      <c r="B4" s="318"/>
      <c r="C4" s="338" t="s">
        <v>150</v>
      </c>
      <c r="D4" s="339" t="s">
        <v>151</v>
      </c>
      <c r="E4" s="341" t="s">
        <v>152</v>
      </c>
      <c r="F4" s="342"/>
      <c r="G4" s="339" t="s">
        <v>153</v>
      </c>
      <c r="H4" s="339" t="s">
        <v>148</v>
      </c>
      <c r="I4" s="339" t="s">
        <v>149</v>
      </c>
      <c r="J4" s="343" t="s">
        <v>36</v>
      </c>
      <c r="K4" s="326"/>
      <c r="L4" s="317"/>
      <c r="M4" s="344" t="s">
        <v>150</v>
      </c>
      <c r="N4" s="346" t="s">
        <v>152</v>
      </c>
      <c r="O4" s="342"/>
      <c r="P4" s="348" t="s">
        <v>153</v>
      </c>
      <c r="Q4" s="348" t="s">
        <v>148</v>
      </c>
      <c r="R4" s="348" t="s">
        <v>149</v>
      </c>
      <c r="S4" s="349" t="s">
        <v>36</v>
      </c>
      <c r="T4" s="317"/>
    </row>
    <row r="5" ht="3.75" customHeight="1">
      <c r="A5" s="305"/>
      <c r="B5" s="318"/>
      <c r="C5" s="315"/>
      <c r="D5" s="350"/>
      <c r="E5" s="350"/>
      <c r="F5" s="350"/>
      <c r="G5" s="350"/>
      <c r="H5" s="350"/>
      <c r="I5" s="350"/>
      <c r="J5" s="350"/>
      <c r="K5" s="351"/>
      <c r="L5" s="305"/>
      <c r="M5" s="315"/>
      <c r="N5" s="315"/>
      <c r="O5" s="315"/>
      <c r="P5" s="315"/>
      <c r="Q5" s="315"/>
      <c r="R5" s="315"/>
      <c r="S5" s="315"/>
      <c r="T5" s="305"/>
    </row>
    <row r="6">
      <c r="A6" s="305"/>
      <c r="B6" s="306"/>
      <c r="C6" s="352">
        <v>1.0</v>
      </c>
      <c r="D6" s="353" t="str">
        <f t="array" ref="D6:J73">SORT(Data!D5:J72,5,FALSE,7,FALSE,4,FALSE)</f>
        <v>IH</v>
      </c>
      <c r="E6" s="354"/>
      <c r="F6" s="355" t="s">
        <v>78</v>
      </c>
      <c r="G6" s="356">
        <v>7.0</v>
      </c>
      <c r="H6" s="357">
        <v>16.0</v>
      </c>
      <c r="I6" s="356">
        <v>5.0</v>
      </c>
      <c r="J6" s="358">
        <v>11.0</v>
      </c>
      <c r="K6" s="351"/>
      <c r="L6" s="305"/>
      <c r="M6" s="352">
        <v>1.0</v>
      </c>
      <c r="N6" s="354" t="str">
        <f t="array" ref="N6:N156">IFERROR(VLOOKUP(O6:O156,Pokedex!$C$2:$D158,2,FALSE),"")</f>
        <v/>
      </c>
      <c r="O6" s="367" t="str">
        <f>IFERROR(__xludf.DUMMYFUNCTION("iferror(filter(UNIQUE({Data!F6:F71;#REF!}),UNIQUE({Data!F6:F71;#REF!})&lt;&gt;""""),"" "")"),"Paldean Tauros (Fire)")</f>
        <v>Paldean Tauros (Fire)</v>
      </c>
      <c r="P6" s="356" t="str">
        <f t="array" ref="P6:P156">SUMIF(Data!F6:F71,O6:O156,Data!G6:G71)+SUMIF(#REF!,O6:O156,#REF!)</f>
        <v>#N/A</v>
      </c>
      <c r="Q6" s="356" t="str">
        <f t="array" ref="Q6:Q156">SUMIF(Data!F6:F71,O6:O156,Data!H6:H71)+SUMIF(#REF!,O6:O156,#REF!)</f>
        <v>#N/A</v>
      </c>
      <c r="R6" s="356" t="str">
        <f t="array" ref="R6:R156">SUMIF(Data!F6:F71,O6:O156,Data!I6:I71)+SUMIF(#REF!,O6:O156,#REF!)</f>
        <v>#N/A</v>
      </c>
      <c r="S6" s="379" t="str">
        <f t="array" ref="S6:S156">SUMIF(Data!F6:F71,O6:O156,Data!J6:J71)+SUMIF(#REF!,O6:O156,#REF!)</f>
        <v>#N/A</v>
      </c>
      <c r="T6" s="305"/>
    </row>
    <row r="7">
      <c r="A7" s="305"/>
      <c r="B7" s="306"/>
      <c r="C7" s="383">
        <f t="shared" ref="C7:C156" si="1">C6+1</f>
        <v>2</v>
      </c>
      <c r="D7" s="395" t="s">
        <v>154</v>
      </c>
      <c r="E7" s="403"/>
      <c r="F7" s="405" t="s">
        <v>121</v>
      </c>
      <c r="G7" s="395">
        <v>4.0</v>
      </c>
      <c r="H7" s="421">
        <v>13.0</v>
      </c>
      <c r="I7" s="395">
        <v>2.0</v>
      </c>
      <c r="J7" s="422">
        <v>11.0</v>
      </c>
      <c r="K7" s="351"/>
      <c r="L7" s="305"/>
      <c r="M7" s="383">
        <f t="shared" ref="M7:M156" si="2">M6+1</f>
        <v>2</v>
      </c>
      <c r="N7" s="403" t="s">
        <v>164</v>
      </c>
      <c r="O7" s="405" t="str">
        <f>IFERROR(__xludf.DUMMYFUNCTION("""COMPUTED_VALUE"""),"Kilowattrel")</f>
        <v>Kilowattrel</v>
      </c>
      <c r="P7" s="395" t="e">
        <v>#N/A</v>
      </c>
      <c r="Q7" s="395" t="e">
        <v>#N/A</v>
      </c>
      <c r="R7" s="395" t="e">
        <v>#N/A</v>
      </c>
      <c r="S7" s="425" t="e">
        <v>#N/A</v>
      </c>
      <c r="T7" s="305"/>
    </row>
    <row r="8">
      <c r="A8" s="305"/>
      <c r="B8" s="306"/>
      <c r="C8" s="427">
        <f t="shared" si="1"/>
        <v>3</v>
      </c>
      <c r="D8" s="431" t="s">
        <v>165</v>
      </c>
      <c r="E8" s="432"/>
      <c r="F8" s="433" t="s">
        <v>80</v>
      </c>
      <c r="G8" s="431">
        <v>6.0</v>
      </c>
      <c r="H8" s="434">
        <v>13.0</v>
      </c>
      <c r="I8" s="431">
        <v>6.0</v>
      </c>
      <c r="J8" s="435">
        <v>7.0</v>
      </c>
      <c r="K8" s="351"/>
      <c r="L8" s="305"/>
      <c r="M8" s="427">
        <f t="shared" si="2"/>
        <v>3</v>
      </c>
      <c r="N8" s="432" t="s">
        <v>167</v>
      </c>
      <c r="O8" s="433" t="str">
        <f>IFERROR(__xludf.DUMMYFUNCTION("""COMPUTED_VALUE"""),"Farigiraf")</f>
        <v>Farigiraf</v>
      </c>
      <c r="P8" s="431" t="e">
        <v>#N/A</v>
      </c>
      <c r="Q8" s="431" t="e">
        <v>#N/A</v>
      </c>
      <c r="R8" s="431" t="e">
        <v>#N/A</v>
      </c>
      <c r="S8" s="444" t="e">
        <v>#N/A</v>
      </c>
      <c r="T8" s="305"/>
    </row>
    <row r="9">
      <c r="A9" s="305"/>
      <c r="B9" s="306"/>
      <c r="C9" s="448">
        <f t="shared" si="1"/>
        <v>4</v>
      </c>
      <c r="D9" s="451" t="s">
        <v>172</v>
      </c>
      <c r="E9" s="454"/>
      <c r="F9" s="457" t="s">
        <v>57</v>
      </c>
      <c r="G9" s="451">
        <v>6.0</v>
      </c>
      <c r="H9" s="458">
        <v>13.0</v>
      </c>
      <c r="I9" s="451">
        <v>7.0</v>
      </c>
      <c r="J9" s="459">
        <v>6.0</v>
      </c>
      <c r="K9" s="351"/>
      <c r="L9" s="305"/>
      <c r="M9" s="460">
        <f t="shared" si="2"/>
        <v>4</v>
      </c>
      <c r="N9" s="462" t="s">
        <v>177</v>
      </c>
      <c r="O9" s="463" t="str">
        <f>IFERROR(__xludf.DUMMYFUNCTION("""COMPUTED_VALUE"""),"Quaquaval")</f>
        <v>Quaquaval</v>
      </c>
      <c r="P9" s="464" t="e">
        <v>#N/A</v>
      </c>
      <c r="Q9" s="464" t="e">
        <v>#N/A</v>
      </c>
      <c r="R9" s="464" t="e">
        <v>#N/A</v>
      </c>
      <c r="S9" s="465" t="e">
        <v>#N/A</v>
      </c>
      <c r="T9" s="305"/>
    </row>
    <row r="10">
      <c r="A10" s="305"/>
      <c r="B10" s="306"/>
      <c r="C10" s="448">
        <f t="shared" si="1"/>
        <v>5</v>
      </c>
      <c r="D10" s="451" t="s">
        <v>179</v>
      </c>
      <c r="E10" s="454"/>
      <c r="F10" s="457" t="s">
        <v>71</v>
      </c>
      <c r="G10" s="451">
        <v>7.0</v>
      </c>
      <c r="H10" s="458">
        <v>12.0</v>
      </c>
      <c r="I10" s="451">
        <v>8.0</v>
      </c>
      <c r="J10" s="459">
        <v>4.0</v>
      </c>
      <c r="K10" s="351"/>
      <c r="L10" s="305"/>
      <c r="M10" s="460">
        <f t="shared" si="2"/>
        <v>5</v>
      </c>
      <c r="N10" s="462" t="s">
        <v>180</v>
      </c>
      <c r="O10" s="463" t="str">
        <f>IFERROR(__xludf.DUMMYFUNCTION("""COMPUTED_VALUE"""),"Arboliva")</f>
        <v>Arboliva</v>
      </c>
      <c r="P10" s="464" t="e">
        <v>#N/A</v>
      </c>
      <c r="Q10" s="464" t="e">
        <v>#N/A</v>
      </c>
      <c r="R10" s="464" t="e">
        <v>#N/A</v>
      </c>
      <c r="S10" s="465" t="e">
        <v>#N/A</v>
      </c>
      <c r="T10" s="305"/>
    </row>
    <row r="11">
      <c r="A11" s="305"/>
      <c r="B11" s="306"/>
      <c r="C11" s="448">
        <f t="shared" si="1"/>
        <v>6</v>
      </c>
      <c r="D11" s="451" t="s">
        <v>154</v>
      </c>
      <c r="E11" s="454"/>
      <c r="F11" s="457" t="s">
        <v>96</v>
      </c>
      <c r="G11" s="451">
        <v>5.0</v>
      </c>
      <c r="H11" s="451">
        <v>11.0</v>
      </c>
      <c r="I11" s="451">
        <v>11.0</v>
      </c>
      <c r="J11" s="466">
        <v>0.0</v>
      </c>
      <c r="K11" s="351"/>
      <c r="L11" s="305"/>
      <c r="M11" s="460">
        <f t="shared" si="2"/>
        <v>6</v>
      </c>
      <c r="N11" s="462" t="s">
        <v>181</v>
      </c>
      <c r="O11" s="463" t="str">
        <f>IFERROR(__xludf.DUMMYFUNCTION("""COMPUTED_VALUE"""),"Garganacl")</f>
        <v>Garganacl</v>
      </c>
      <c r="P11" s="464" t="e">
        <v>#N/A</v>
      </c>
      <c r="Q11" s="464" t="e">
        <v>#N/A</v>
      </c>
      <c r="R11" s="464" t="e">
        <v>#N/A</v>
      </c>
      <c r="S11" s="465" t="e">
        <v>#N/A</v>
      </c>
      <c r="T11" s="305"/>
    </row>
    <row r="12">
      <c r="A12" s="305"/>
      <c r="B12" s="306"/>
      <c r="C12" s="448">
        <f t="shared" si="1"/>
        <v>7</v>
      </c>
      <c r="D12" s="451" t="s">
        <v>172</v>
      </c>
      <c r="E12" s="454"/>
      <c r="F12" s="457" t="s">
        <v>102</v>
      </c>
      <c r="G12" s="451">
        <v>5.0</v>
      </c>
      <c r="H12" s="451">
        <v>10.0</v>
      </c>
      <c r="I12" s="451">
        <v>7.0</v>
      </c>
      <c r="J12" s="466">
        <v>3.0</v>
      </c>
      <c r="K12" s="351"/>
      <c r="L12" s="305"/>
      <c r="M12" s="460">
        <f t="shared" si="2"/>
        <v>7</v>
      </c>
      <c r="N12" s="462" t="s">
        <v>182</v>
      </c>
      <c r="O12" s="463" t="str">
        <f>IFERROR(__xludf.DUMMYFUNCTION("""COMPUTED_VALUE"""),"Cetitan")</f>
        <v>Cetitan</v>
      </c>
      <c r="P12" s="464" t="e">
        <v>#N/A</v>
      </c>
      <c r="Q12" s="464" t="e">
        <v>#N/A</v>
      </c>
      <c r="R12" s="464" t="e">
        <v>#N/A</v>
      </c>
      <c r="S12" s="465" t="e">
        <v>#N/A</v>
      </c>
      <c r="T12" s="305"/>
    </row>
    <row r="13">
      <c r="A13" s="305"/>
      <c r="B13" s="306"/>
      <c r="C13" s="448">
        <f t="shared" si="1"/>
        <v>8</v>
      </c>
      <c r="D13" s="451" t="s">
        <v>183</v>
      </c>
      <c r="E13" s="454"/>
      <c r="F13" s="457" t="s">
        <v>112</v>
      </c>
      <c r="G13" s="451">
        <v>2.0</v>
      </c>
      <c r="H13" s="451">
        <v>9.0</v>
      </c>
      <c r="I13" s="451">
        <v>5.0</v>
      </c>
      <c r="J13" s="466">
        <v>4.0</v>
      </c>
      <c r="K13" s="351"/>
      <c r="L13" s="305"/>
      <c r="M13" s="460">
        <f t="shared" si="2"/>
        <v>8</v>
      </c>
      <c r="N13" s="462" t="s">
        <v>184</v>
      </c>
      <c r="O13" s="463" t="str">
        <f>IFERROR(__xludf.DUMMYFUNCTION("""COMPUTED_VALUE"""),"Salamence")</f>
        <v>Salamence</v>
      </c>
      <c r="P13" s="464" t="e">
        <v>#N/A</v>
      </c>
      <c r="Q13" s="464" t="e">
        <v>#N/A</v>
      </c>
      <c r="R13" s="464" t="e">
        <v>#N/A</v>
      </c>
      <c r="S13" s="465" t="e">
        <v>#N/A</v>
      </c>
      <c r="T13" s="305"/>
    </row>
    <row r="14">
      <c r="A14" s="305"/>
      <c r="B14" s="306"/>
      <c r="C14" s="448">
        <f t="shared" si="1"/>
        <v>9</v>
      </c>
      <c r="D14" s="451" t="s">
        <v>165</v>
      </c>
      <c r="E14" s="454"/>
      <c r="F14" s="457" t="s">
        <v>64</v>
      </c>
      <c r="G14" s="451">
        <v>6.0</v>
      </c>
      <c r="H14" s="458">
        <v>9.0</v>
      </c>
      <c r="I14" s="451">
        <v>9.0</v>
      </c>
      <c r="J14" s="459">
        <v>0.0</v>
      </c>
      <c r="K14" s="351"/>
      <c r="L14" s="305"/>
      <c r="M14" s="460">
        <f t="shared" si="2"/>
        <v>9</v>
      </c>
      <c r="N14" s="462" t="s">
        <v>185</v>
      </c>
      <c r="O14" s="463" t="str">
        <f>IFERROR(__xludf.DUMMYFUNCTION("""COMPUTED_VALUE"""),"Abomasnow")</f>
        <v>Abomasnow</v>
      </c>
      <c r="P14" s="464" t="e">
        <v>#N/A</v>
      </c>
      <c r="Q14" s="464" t="e">
        <v>#N/A</v>
      </c>
      <c r="R14" s="464" t="e">
        <v>#N/A</v>
      </c>
      <c r="S14" s="465" t="e">
        <v>#N/A</v>
      </c>
      <c r="T14" s="305"/>
    </row>
    <row r="15">
      <c r="A15" s="305"/>
      <c r="B15" s="306"/>
      <c r="C15" s="448">
        <f t="shared" si="1"/>
        <v>10</v>
      </c>
      <c r="D15" s="451" t="s">
        <v>179</v>
      </c>
      <c r="E15" s="454"/>
      <c r="F15" s="457" t="s">
        <v>86</v>
      </c>
      <c r="G15" s="451">
        <v>4.0</v>
      </c>
      <c r="H15" s="458">
        <v>8.0</v>
      </c>
      <c r="I15" s="451">
        <v>1.0</v>
      </c>
      <c r="J15" s="459">
        <v>7.0</v>
      </c>
      <c r="K15" s="351"/>
      <c r="L15" s="305"/>
      <c r="M15" s="460">
        <f t="shared" si="2"/>
        <v>10</v>
      </c>
      <c r="N15" s="462" t="s">
        <v>186</v>
      </c>
      <c r="O15" s="463" t="str">
        <f>IFERROR(__xludf.DUMMYFUNCTION("""COMPUTED_VALUE"""),"Toxapex")</f>
        <v>Toxapex</v>
      </c>
      <c r="P15" s="464" t="e">
        <v>#N/A</v>
      </c>
      <c r="Q15" s="464" t="e">
        <v>#N/A</v>
      </c>
      <c r="R15" s="464" t="e">
        <v>#N/A</v>
      </c>
      <c r="S15" s="465" t="e">
        <v>#N/A</v>
      </c>
      <c r="T15" s="305"/>
    </row>
    <row r="16">
      <c r="A16" s="305"/>
      <c r="B16" s="306"/>
      <c r="C16" s="448">
        <f t="shared" si="1"/>
        <v>11</v>
      </c>
      <c r="D16" s="451" t="s">
        <v>154</v>
      </c>
      <c r="E16" s="454"/>
      <c r="F16" s="457" t="s">
        <v>90</v>
      </c>
      <c r="G16" s="451">
        <v>3.0</v>
      </c>
      <c r="H16" s="451">
        <v>8.0</v>
      </c>
      <c r="I16" s="451">
        <v>6.0</v>
      </c>
      <c r="J16" s="466">
        <v>2.0</v>
      </c>
      <c r="K16" s="351"/>
      <c r="L16" s="305"/>
      <c r="M16" s="460">
        <f t="shared" si="2"/>
        <v>11</v>
      </c>
      <c r="N16" s="462" t="s">
        <v>187</v>
      </c>
      <c r="O16" s="463" t="str">
        <f>IFERROR(__xludf.DUMMYFUNCTION("""COMPUTED_VALUE"""),"Annihilape")</f>
        <v>Annihilape</v>
      </c>
      <c r="P16" s="464" t="e">
        <v>#N/A</v>
      </c>
      <c r="Q16" s="464" t="e">
        <v>#N/A</v>
      </c>
      <c r="R16" s="464" t="e">
        <v>#N/A</v>
      </c>
      <c r="S16" s="465" t="e">
        <v>#N/A</v>
      </c>
      <c r="T16" s="305"/>
    </row>
    <row r="17">
      <c r="A17" s="305"/>
      <c r="B17" s="306"/>
      <c r="C17" s="448">
        <f t="shared" si="1"/>
        <v>12</v>
      </c>
      <c r="D17" s="451" t="s">
        <v>183</v>
      </c>
      <c r="E17" s="454"/>
      <c r="F17" s="457" t="s">
        <v>87</v>
      </c>
      <c r="G17" s="451">
        <v>5.0</v>
      </c>
      <c r="H17" s="458">
        <v>8.0</v>
      </c>
      <c r="I17" s="451">
        <v>7.0</v>
      </c>
      <c r="J17" s="459">
        <v>1.0</v>
      </c>
      <c r="K17" s="351"/>
      <c r="L17" s="305"/>
      <c r="M17" s="460">
        <f t="shared" si="2"/>
        <v>12</v>
      </c>
      <c r="N17" s="462" t="s">
        <v>188</v>
      </c>
      <c r="O17" s="463" t="str">
        <f>IFERROR(__xludf.DUMMYFUNCTION("""COMPUTED_VALUE"""),"Maushold")</f>
        <v>Maushold</v>
      </c>
      <c r="P17" s="464" t="e">
        <v>#N/A</v>
      </c>
      <c r="Q17" s="464" t="e">
        <v>#N/A</v>
      </c>
      <c r="R17" s="464" t="e">
        <v>#N/A</v>
      </c>
      <c r="S17" s="465" t="e">
        <v>#N/A</v>
      </c>
      <c r="T17" s="305"/>
    </row>
    <row r="18">
      <c r="A18" s="305"/>
      <c r="B18" s="306"/>
      <c r="C18" s="448">
        <f t="shared" si="1"/>
        <v>13</v>
      </c>
      <c r="D18" s="451" t="s">
        <v>179</v>
      </c>
      <c r="E18" s="454"/>
      <c r="F18" s="457" t="s">
        <v>61</v>
      </c>
      <c r="G18" s="451">
        <v>7.0</v>
      </c>
      <c r="H18" s="458">
        <v>7.0</v>
      </c>
      <c r="I18" s="451">
        <v>7.0</v>
      </c>
      <c r="J18" s="459">
        <v>0.0</v>
      </c>
      <c r="K18" s="351"/>
      <c r="L18" s="305"/>
      <c r="M18" s="460">
        <f t="shared" si="2"/>
        <v>13</v>
      </c>
      <c r="N18" s="462" t="s">
        <v>189</v>
      </c>
      <c r="O18" s="463" t="str">
        <f>IFERROR(__xludf.DUMMYFUNCTION("""COMPUTED_VALUE"""),"Armarouge")</f>
        <v>Armarouge</v>
      </c>
      <c r="P18" s="464" t="e">
        <v>#N/A</v>
      </c>
      <c r="Q18" s="464" t="e">
        <v>#N/A</v>
      </c>
      <c r="R18" s="464" t="e">
        <v>#N/A</v>
      </c>
      <c r="S18" s="465" t="e">
        <v>#N/A</v>
      </c>
      <c r="T18" s="305"/>
    </row>
    <row r="19">
      <c r="A19" s="305"/>
      <c r="B19" s="306"/>
      <c r="C19" s="448">
        <f t="shared" si="1"/>
        <v>14</v>
      </c>
      <c r="D19" s="451" t="s">
        <v>154</v>
      </c>
      <c r="E19" s="454"/>
      <c r="F19" s="457" t="s">
        <v>109</v>
      </c>
      <c r="G19" s="451">
        <v>5.0</v>
      </c>
      <c r="H19" s="451">
        <v>6.0</v>
      </c>
      <c r="I19" s="451">
        <v>3.0</v>
      </c>
      <c r="J19" s="466">
        <v>3.0</v>
      </c>
      <c r="K19" s="351"/>
      <c r="L19" s="305"/>
      <c r="M19" s="460">
        <f t="shared" si="2"/>
        <v>14</v>
      </c>
      <c r="N19" s="462"/>
      <c r="O19" s="463" t="str">
        <f>IFERROR(__xludf.DUMMYFUNCTION("""COMPUTED_VALUE"""),"Indeedee-Female")</f>
        <v>Indeedee-Female</v>
      </c>
      <c r="P19" s="464" t="e">
        <v>#N/A</v>
      </c>
      <c r="Q19" s="464" t="e">
        <v>#N/A</v>
      </c>
      <c r="R19" s="464" t="e">
        <v>#N/A</v>
      </c>
      <c r="S19" s="465" t="e">
        <v>#N/A</v>
      </c>
      <c r="T19" s="305"/>
    </row>
    <row r="20">
      <c r="A20" s="305"/>
      <c r="B20" s="306"/>
      <c r="C20" s="448">
        <f t="shared" si="1"/>
        <v>15</v>
      </c>
      <c r="D20" s="451" t="s">
        <v>154</v>
      </c>
      <c r="E20" s="454"/>
      <c r="F20" s="457" t="s">
        <v>103</v>
      </c>
      <c r="G20" s="451">
        <v>5.0</v>
      </c>
      <c r="H20" s="451">
        <v>6.0</v>
      </c>
      <c r="I20" s="451">
        <v>7.0</v>
      </c>
      <c r="J20" s="466">
        <v>-1.0</v>
      </c>
      <c r="K20" s="351"/>
      <c r="L20" s="305"/>
      <c r="M20" s="460">
        <f t="shared" si="2"/>
        <v>15</v>
      </c>
      <c r="N20" s="462" t="s">
        <v>190</v>
      </c>
      <c r="O20" s="463" t="str">
        <f>IFERROR(__xludf.DUMMYFUNCTION("""COMPUTED_VALUE"""),"Skeledirge")</f>
        <v>Skeledirge</v>
      </c>
      <c r="P20" s="464" t="e">
        <v>#N/A</v>
      </c>
      <c r="Q20" s="464" t="e">
        <v>#N/A</v>
      </c>
      <c r="R20" s="464" t="e">
        <v>#N/A</v>
      </c>
      <c r="S20" s="465" t="e">
        <v>#N/A</v>
      </c>
      <c r="T20" s="305"/>
    </row>
    <row r="21">
      <c r="A21" s="305"/>
      <c r="B21" s="306"/>
      <c r="C21" s="448">
        <f t="shared" si="1"/>
        <v>16</v>
      </c>
      <c r="D21" s="451" t="s">
        <v>165</v>
      </c>
      <c r="E21" s="454"/>
      <c r="F21" s="457" t="s">
        <v>107</v>
      </c>
      <c r="G21" s="451">
        <v>5.0</v>
      </c>
      <c r="H21" s="451">
        <v>5.0</v>
      </c>
      <c r="I21" s="451">
        <v>1.0</v>
      </c>
      <c r="J21" s="466">
        <v>4.0</v>
      </c>
      <c r="K21" s="351"/>
      <c r="L21" s="305"/>
      <c r="M21" s="460">
        <f t="shared" si="2"/>
        <v>16</v>
      </c>
      <c r="N21" s="462" t="s">
        <v>193</v>
      </c>
      <c r="O21" s="463" t="str">
        <f>IFERROR(__xludf.DUMMYFUNCTION("""COMPUTED_VALUE"""),"Gastrodon")</f>
        <v>Gastrodon</v>
      </c>
      <c r="P21" s="464" t="e">
        <v>#N/A</v>
      </c>
      <c r="Q21" s="464" t="e">
        <v>#N/A</v>
      </c>
      <c r="R21" s="464" t="e">
        <v>#N/A</v>
      </c>
      <c r="S21" s="465" t="e">
        <v>#N/A</v>
      </c>
      <c r="T21" s="305"/>
    </row>
    <row r="22">
      <c r="A22" s="305"/>
      <c r="B22" s="306"/>
      <c r="C22" s="448">
        <f t="shared" si="1"/>
        <v>17</v>
      </c>
      <c r="D22" s="451" t="s">
        <v>172</v>
      </c>
      <c r="E22" s="454"/>
      <c r="F22" s="457" t="s">
        <v>75</v>
      </c>
      <c r="G22" s="451">
        <v>6.0</v>
      </c>
      <c r="H22" s="458">
        <v>5.0</v>
      </c>
      <c r="I22" s="451">
        <v>9.0</v>
      </c>
      <c r="J22" s="459">
        <v>-4.0</v>
      </c>
      <c r="K22" s="351"/>
      <c r="L22" s="305"/>
      <c r="M22" s="460">
        <f t="shared" si="2"/>
        <v>17</v>
      </c>
      <c r="N22" s="462" t="s">
        <v>194</v>
      </c>
      <c r="O22" s="463" t="str">
        <f>IFERROR(__xludf.DUMMYFUNCTION("""COMPUTED_VALUE"""),"Dragapult")</f>
        <v>Dragapult</v>
      </c>
      <c r="P22" s="464" t="e">
        <v>#N/A</v>
      </c>
      <c r="Q22" s="464" t="e">
        <v>#N/A</v>
      </c>
      <c r="R22" s="464" t="e">
        <v>#N/A</v>
      </c>
      <c r="S22" s="465" t="e">
        <v>#N/A</v>
      </c>
      <c r="T22" s="305"/>
    </row>
    <row r="23">
      <c r="A23" s="305"/>
      <c r="B23" s="306"/>
      <c r="C23" s="448">
        <f t="shared" si="1"/>
        <v>18</v>
      </c>
      <c r="D23" s="451" t="s">
        <v>179</v>
      </c>
      <c r="E23" s="454"/>
      <c r="F23" s="457" t="s">
        <v>92</v>
      </c>
      <c r="G23" s="451">
        <v>4.0</v>
      </c>
      <c r="H23" s="451">
        <v>4.0</v>
      </c>
      <c r="I23" s="451">
        <v>1.0</v>
      </c>
      <c r="J23" s="466">
        <v>3.0</v>
      </c>
      <c r="K23" s="351"/>
      <c r="L23" s="305"/>
      <c r="M23" s="460">
        <f t="shared" si="2"/>
        <v>18</v>
      </c>
      <c r="N23" s="462" t="s">
        <v>195</v>
      </c>
      <c r="O23" s="463" t="str">
        <f>IFERROR(__xludf.DUMMYFUNCTION("""COMPUTED_VALUE"""),"Slaking")</f>
        <v>Slaking</v>
      </c>
      <c r="P23" s="464" t="e">
        <v>#N/A</v>
      </c>
      <c r="Q23" s="464" t="e">
        <v>#N/A</v>
      </c>
      <c r="R23" s="464" t="e">
        <v>#N/A</v>
      </c>
      <c r="S23" s="465" t="e">
        <v>#N/A</v>
      </c>
      <c r="T23" s="305"/>
    </row>
    <row r="24">
      <c r="A24" s="305"/>
      <c r="B24" s="306"/>
      <c r="C24" s="448">
        <f t="shared" si="1"/>
        <v>19</v>
      </c>
      <c r="D24" s="451" t="s">
        <v>179</v>
      </c>
      <c r="E24" s="454"/>
      <c r="F24" s="457" t="s">
        <v>98</v>
      </c>
      <c r="G24" s="451">
        <v>2.0</v>
      </c>
      <c r="H24" s="451">
        <v>4.0</v>
      </c>
      <c r="I24" s="451">
        <v>3.0</v>
      </c>
      <c r="J24" s="466">
        <v>1.0</v>
      </c>
      <c r="K24" s="351"/>
      <c r="L24" s="305"/>
      <c r="M24" s="460">
        <f t="shared" si="2"/>
        <v>19</v>
      </c>
      <c r="N24" s="462" t="s">
        <v>196</v>
      </c>
      <c r="O24" s="463" t="str">
        <f>IFERROR(__xludf.DUMMYFUNCTION("""COMPUTED_VALUE"""),"Grafaiai")</f>
        <v>Grafaiai</v>
      </c>
      <c r="P24" s="464" t="e">
        <v>#N/A</v>
      </c>
      <c r="Q24" s="464" t="e">
        <v>#N/A</v>
      </c>
      <c r="R24" s="464" t="e">
        <v>#N/A</v>
      </c>
      <c r="S24" s="465" t="e">
        <v>#N/A</v>
      </c>
      <c r="T24" s="305"/>
    </row>
    <row r="25">
      <c r="A25" s="305"/>
      <c r="B25" s="306"/>
      <c r="C25" s="448">
        <f t="shared" si="1"/>
        <v>20</v>
      </c>
      <c r="D25" s="451" t="s">
        <v>172</v>
      </c>
      <c r="E25" s="454"/>
      <c r="F25" s="457" t="s">
        <v>120</v>
      </c>
      <c r="G25" s="451">
        <v>4.0</v>
      </c>
      <c r="H25" s="458">
        <v>4.0</v>
      </c>
      <c r="I25" s="451">
        <v>4.0</v>
      </c>
      <c r="J25" s="459">
        <v>0.0</v>
      </c>
      <c r="K25" s="351"/>
      <c r="L25" s="305"/>
      <c r="M25" s="460">
        <f t="shared" si="2"/>
        <v>20</v>
      </c>
      <c r="N25" s="462" t="s">
        <v>197</v>
      </c>
      <c r="O25" s="463" t="str">
        <f>IFERROR(__xludf.DUMMYFUNCTION("""COMPUTED_VALUE"""),"Magnezone")</f>
        <v>Magnezone</v>
      </c>
      <c r="P25" s="464" t="e">
        <v>#N/A</v>
      </c>
      <c r="Q25" s="464" t="e">
        <v>#N/A</v>
      </c>
      <c r="R25" s="464" t="e">
        <v>#N/A</v>
      </c>
      <c r="S25" s="465" t="e">
        <v>#N/A</v>
      </c>
      <c r="T25" s="305"/>
    </row>
    <row r="26">
      <c r="A26" s="305"/>
      <c r="B26" s="306"/>
      <c r="C26" s="448">
        <f t="shared" si="1"/>
        <v>21</v>
      </c>
      <c r="D26" s="451" t="s">
        <v>165</v>
      </c>
      <c r="E26" s="454"/>
      <c r="F26" s="457" t="s">
        <v>94</v>
      </c>
      <c r="G26" s="451">
        <v>1.0</v>
      </c>
      <c r="H26" s="451">
        <v>3.0</v>
      </c>
      <c r="I26" s="451">
        <v>0.0</v>
      </c>
      <c r="J26" s="466">
        <v>3.0</v>
      </c>
      <c r="K26" s="351"/>
      <c r="L26" s="305"/>
      <c r="M26" s="460">
        <f t="shared" si="2"/>
        <v>21</v>
      </c>
      <c r="N26" s="462" t="s">
        <v>198</v>
      </c>
      <c r="O26" s="463" t="str">
        <f>IFERROR(__xludf.DUMMYFUNCTION("""COMPUTED_VALUE"""),"Magikarp")</f>
        <v>Magikarp</v>
      </c>
      <c r="P26" s="464" t="e">
        <v>#N/A</v>
      </c>
      <c r="Q26" s="464" t="e">
        <v>#N/A</v>
      </c>
      <c r="R26" s="464" t="e">
        <v>#N/A</v>
      </c>
      <c r="S26" s="465" t="e">
        <v>#N/A</v>
      </c>
      <c r="T26" s="305"/>
    </row>
    <row r="27">
      <c r="A27" s="305"/>
      <c r="B27" s="306"/>
      <c r="C27" s="448">
        <f t="shared" si="1"/>
        <v>22</v>
      </c>
      <c r="D27" s="451" t="s">
        <v>179</v>
      </c>
      <c r="E27" s="454"/>
      <c r="F27" s="457" t="s">
        <v>111</v>
      </c>
      <c r="G27" s="451">
        <v>3.0</v>
      </c>
      <c r="H27" s="451">
        <v>3.0</v>
      </c>
      <c r="I27" s="451">
        <v>1.0</v>
      </c>
      <c r="J27" s="466">
        <v>2.0</v>
      </c>
      <c r="K27" s="351"/>
      <c r="L27" s="305"/>
      <c r="M27" s="460">
        <f t="shared" si="2"/>
        <v>22</v>
      </c>
      <c r="N27" s="462" t="s">
        <v>199</v>
      </c>
      <c r="O27" s="463" t="str">
        <f>IFERROR(__xludf.DUMMYFUNCTION("""COMPUTED_VALUE"""),"Sylveon")</f>
        <v>Sylveon</v>
      </c>
      <c r="P27" s="464" t="e">
        <v>#N/A</v>
      </c>
      <c r="Q27" s="464" t="e">
        <v>#N/A</v>
      </c>
      <c r="R27" s="464" t="e">
        <v>#N/A</v>
      </c>
      <c r="S27" s="465" t="e">
        <v>#N/A</v>
      </c>
      <c r="T27" s="305"/>
    </row>
    <row r="28">
      <c r="A28" s="305"/>
      <c r="B28" s="306"/>
      <c r="C28" s="448">
        <f t="shared" si="1"/>
        <v>23</v>
      </c>
      <c r="D28" s="451" t="s">
        <v>165</v>
      </c>
      <c r="E28" s="454"/>
      <c r="F28" s="457" t="s">
        <v>88</v>
      </c>
      <c r="G28" s="451">
        <v>1.0</v>
      </c>
      <c r="H28" s="458">
        <v>3.0</v>
      </c>
      <c r="I28" s="451">
        <v>1.0</v>
      </c>
      <c r="J28" s="459">
        <v>2.0</v>
      </c>
      <c r="K28" s="351"/>
      <c r="L28" s="305"/>
      <c r="M28" s="460">
        <f t="shared" si="2"/>
        <v>23</v>
      </c>
      <c r="N28" s="462" t="s">
        <v>202</v>
      </c>
      <c r="O28" s="463" t="str">
        <f>IFERROR(__xludf.DUMMYFUNCTION("""COMPUTED_VALUE"""),"Kingambit")</f>
        <v>Kingambit</v>
      </c>
      <c r="P28" s="464" t="e">
        <v>#N/A</v>
      </c>
      <c r="Q28" s="464" t="e">
        <v>#N/A</v>
      </c>
      <c r="R28" s="464" t="e">
        <v>#N/A</v>
      </c>
      <c r="S28" s="465" t="e">
        <v>#N/A</v>
      </c>
      <c r="T28" s="305"/>
    </row>
    <row r="29">
      <c r="A29" s="305"/>
      <c r="B29" s="306"/>
      <c r="C29" s="448">
        <f t="shared" si="1"/>
        <v>24</v>
      </c>
      <c r="D29" s="451" t="s">
        <v>154</v>
      </c>
      <c r="E29" s="454"/>
      <c r="F29" s="457" t="s">
        <v>58</v>
      </c>
      <c r="G29" s="451">
        <v>2.0</v>
      </c>
      <c r="H29" s="458">
        <v>3.0</v>
      </c>
      <c r="I29" s="451">
        <v>2.0</v>
      </c>
      <c r="J29" s="459">
        <v>1.0</v>
      </c>
      <c r="K29" s="351"/>
      <c r="L29" s="305"/>
      <c r="M29" s="460">
        <f t="shared" si="2"/>
        <v>24</v>
      </c>
      <c r="N29" s="462" t="s">
        <v>203</v>
      </c>
      <c r="O29" s="463" t="str">
        <f>IFERROR(__xludf.DUMMYFUNCTION("""COMPUTED_VALUE"""),"Volcarona")</f>
        <v>Volcarona</v>
      </c>
      <c r="P29" s="464" t="e">
        <v>#N/A</v>
      </c>
      <c r="Q29" s="464" t="e">
        <v>#N/A</v>
      </c>
      <c r="R29" s="464" t="e">
        <v>#N/A</v>
      </c>
      <c r="S29" s="465" t="e">
        <v>#N/A</v>
      </c>
      <c r="T29" s="305"/>
    </row>
    <row r="30">
      <c r="A30" s="305"/>
      <c r="B30" s="306"/>
      <c r="C30" s="448">
        <f t="shared" si="1"/>
        <v>25</v>
      </c>
      <c r="D30" s="451" t="s">
        <v>183</v>
      </c>
      <c r="E30" s="454"/>
      <c r="F30" s="457" t="s">
        <v>130</v>
      </c>
      <c r="G30" s="451">
        <v>2.0</v>
      </c>
      <c r="H30" s="451">
        <v>3.0</v>
      </c>
      <c r="I30" s="451">
        <v>2.0</v>
      </c>
      <c r="J30" s="466">
        <v>1.0</v>
      </c>
      <c r="K30" s="351"/>
      <c r="L30" s="305"/>
      <c r="M30" s="460">
        <f t="shared" si="2"/>
        <v>25</v>
      </c>
      <c r="N30" s="462" t="s">
        <v>204</v>
      </c>
      <c r="O30" s="463" t="str">
        <f>IFERROR(__xludf.DUMMYFUNCTION("""COMPUTED_VALUE"""),"Pelipper")</f>
        <v>Pelipper</v>
      </c>
      <c r="P30" s="464" t="e">
        <v>#N/A</v>
      </c>
      <c r="Q30" s="464" t="e">
        <v>#N/A</v>
      </c>
      <c r="R30" s="464" t="e">
        <v>#N/A</v>
      </c>
      <c r="S30" s="465" t="e">
        <v>#N/A</v>
      </c>
      <c r="T30" s="305"/>
    </row>
    <row r="31">
      <c r="A31" s="305"/>
      <c r="B31" s="306"/>
      <c r="C31" s="448">
        <f t="shared" si="1"/>
        <v>26</v>
      </c>
      <c r="D31" s="451" t="s">
        <v>154</v>
      </c>
      <c r="E31" s="454"/>
      <c r="F31" s="457" t="s">
        <v>76</v>
      </c>
      <c r="G31" s="451">
        <v>4.0</v>
      </c>
      <c r="H31" s="458">
        <v>3.0</v>
      </c>
      <c r="I31" s="451">
        <v>3.0</v>
      </c>
      <c r="J31" s="459">
        <v>0.0</v>
      </c>
      <c r="K31" s="351"/>
      <c r="L31" s="305"/>
      <c r="M31" s="460">
        <f t="shared" si="2"/>
        <v>26</v>
      </c>
      <c r="N31" s="462" t="s">
        <v>206</v>
      </c>
      <c r="O31" s="463" t="str">
        <f>IFERROR(__xludf.DUMMYFUNCTION("""COMPUTED_VALUE"""),"Palafin")</f>
        <v>Palafin</v>
      </c>
      <c r="P31" s="464" t="e">
        <v>#N/A</v>
      </c>
      <c r="Q31" s="464" t="e">
        <v>#N/A</v>
      </c>
      <c r="R31" s="464" t="e">
        <v>#N/A</v>
      </c>
      <c r="S31" s="465" t="e">
        <v>#N/A</v>
      </c>
      <c r="T31" s="305"/>
    </row>
    <row r="32">
      <c r="A32" s="305"/>
      <c r="B32" s="306"/>
      <c r="C32" s="448">
        <f t="shared" si="1"/>
        <v>27</v>
      </c>
      <c r="D32" s="451" t="s">
        <v>183</v>
      </c>
      <c r="E32" s="454"/>
      <c r="F32" s="457" t="s">
        <v>118</v>
      </c>
      <c r="G32" s="451">
        <v>2.0</v>
      </c>
      <c r="H32" s="451">
        <v>3.0</v>
      </c>
      <c r="I32" s="451">
        <v>3.0</v>
      </c>
      <c r="J32" s="466">
        <v>0.0</v>
      </c>
      <c r="K32" s="351"/>
      <c r="L32" s="305"/>
      <c r="M32" s="460">
        <f t="shared" si="2"/>
        <v>27</v>
      </c>
      <c r="N32" s="462" t="s">
        <v>210</v>
      </c>
      <c r="O32" s="463" t="str">
        <f>IFERROR(__xludf.DUMMYFUNCTION("""COMPUTED_VALUE"""),"Pawmot")</f>
        <v>Pawmot</v>
      </c>
      <c r="P32" s="464" t="e">
        <v>#N/A</v>
      </c>
      <c r="Q32" s="464" t="e">
        <v>#N/A</v>
      </c>
      <c r="R32" s="464" t="e">
        <v>#N/A</v>
      </c>
      <c r="S32" s="465" t="e">
        <v>#N/A</v>
      </c>
      <c r="T32" s="305"/>
    </row>
    <row r="33">
      <c r="A33" s="305"/>
      <c r="B33" s="306"/>
      <c r="C33" s="448">
        <f t="shared" si="1"/>
        <v>28</v>
      </c>
      <c r="D33" s="451" t="s">
        <v>183</v>
      </c>
      <c r="E33" s="454"/>
      <c r="F33" s="457" t="s">
        <v>93</v>
      </c>
      <c r="G33" s="451">
        <v>3.0</v>
      </c>
      <c r="H33" s="451">
        <v>3.0</v>
      </c>
      <c r="I33" s="451">
        <v>4.0</v>
      </c>
      <c r="J33" s="466">
        <v>-1.0</v>
      </c>
      <c r="K33" s="351"/>
      <c r="L33" s="305"/>
      <c r="M33" s="460">
        <f t="shared" si="2"/>
        <v>28</v>
      </c>
      <c r="N33" s="462" t="s">
        <v>211</v>
      </c>
      <c r="O33" s="463" t="str">
        <f>IFERROR(__xludf.DUMMYFUNCTION("""COMPUTED_VALUE"""),"Lycanroc-Dusk")</f>
        <v>Lycanroc-Dusk</v>
      </c>
      <c r="P33" s="464" t="e">
        <v>#N/A</v>
      </c>
      <c r="Q33" s="464" t="e">
        <v>#N/A</v>
      </c>
      <c r="R33" s="464" t="e">
        <v>#N/A</v>
      </c>
      <c r="S33" s="465" t="e">
        <v>#N/A</v>
      </c>
      <c r="T33" s="305"/>
    </row>
    <row r="34">
      <c r="A34" s="305"/>
      <c r="B34" s="306"/>
      <c r="C34" s="448">
        <f t="shared" si="1"/>
        <v>29</v>
      </c>
      <c r="D34" s="451" t="s">
        <v>179</v>
      </c>
      <c r="E34" s="454"/>
      <c r="F34" s="457" t="s">
        <v>129</v>
      </c>
      <c r="G34" s="451">
        <v>3.0</v>
      </c>
      <c r="H34" s="451">
        <v>3.0</v>
      </c>
      <c r="I34" s="451">
        <v>5.0</v>
      </c>
      <c r="J34" s="466">
        <v>-2.0</v>
      </c>
      <c r="K34" s="351"/>
      <c r="L34" s="305"/>
      <c r="M34" s="460">
        <f t="shared" si="2"/>
        <v>29</v>
      </c>
      <c r="N34" s="462" t="s">
        <v>214</v>
      </c>
      <c r="O34" s="463" t="str">
        <f>IFERROR(__xludf.DUMMYFUNCTION("""COMPUTED_VALUE"""),"Raichu")</f>
        <v>Raichu</v>
      </c>
      <c r="P34" s="464" t="e">
        <v>#N/A</v>
      </c>
      <c r="Q34" s="464" t="e">
        <v>#N/A</v>
      </c>
      <c r="R34" s="464" t="e">
        <v>#N/A</v>
      </c>
      <c r="S34" s="465" t="e">
        <v>#N/A</v>
      </c>
      <c r="T34" s="305"/>
    </row>
    <row r="35">
      <c r="A35" s="305"/>
      <c r="B35" s="306"/>
      <c r="C35" s="448">
        <f t="shared" si="1"/>
        <v>30</v>
      </c>
      <c r="D35" s="451" t="s">
        <v>165</v>
      </c>
      <c r="E35" s="454"/>
      <c r="F35" s="457" t="s">
        <v>74</v>
      </c>
      <c r="G35" s="451">
        <v>6.0</v>
      </c>
      <c r="H35" s="458">
        <v>3.0</v>
      </c>
      <c r="I35" s="451">
        <v>6.0</v>
      </c>
      <c r="J35" s="459">
        <v>-3.0</v>
      </c>
      <c r="K35" s="351"/>
      <c r="L35" s="305"/>
      <c r="M35" s="460">
        <f t="shared" si="2"/>
        <v>30</v>
      </c>
      <c r="N35" s="462" t="s">
        <v>215</v>
      </c>
      <c r="O35" s="463" t="str">
        <f>IFERROR(__xludf.DUMMYFUNCTION("""COMPUTED_VALUE"""),"Mudsdale")</f>
        <v>Mudsdale</v>
      </c>
      <c r="P35" s="464" t="e">
        <v>#N/A</v>
      </c>
      <c r="Q35" s="464" t="e">
        <v>#N/A</v>
      </c>
      <c r="R35" s="464" t="e">
        <v>#N/A</v>
      </c>
      <c r="S35" s="465" t="e">
        <v>#N/A</v>
      </c>
      <c r="T35" s="305"/>
    </row>
    <row r="36">
      <c r="A36" s="305"/>
      <c r="B36" s="306"/>
      <c r="C36" s="448">
        <f t="shared" si="1"/>
        <v>31</v>
      </c>
      <c r="D36" s="451" t="s">
        <v>218</v>
      </c>
      <c r="E36" s="454"/>
      <c r="F36" s="457" t="s">
        <v>59</v>
      </c>
      <c r="G36" s="451">
        <v>4.0</v>
      </c>
      <c r="H36" s="458">
        <v>3.0</v>
      </c>
      <c r="I36" s="451">
        <v>7.0</v>
      </c>
      <c r="J36" s="459">
        <v>-4.0</v>
      </c>
      <c r="K36" s="351"/>
      <c r="L36" s="305"/>
      <c r="M36" s="460">
        <f t="shared" si="2"/>
        <v>31</v>
      </c>
      <c r="N36" s="462" t="s">
        <v>219</v>
      </c>
      <c r="O36" s="463" t="str">
        <f>IFERROR(__xludf.DUMMYFUNCTION("""COMPUTED_VALUE"""),"Toxtricity")</f>
        <v>Toxtricity</v>
      </c>
      <c r="P36" s="464" t="e">
        <v>#N/A</v>
      </c>
      <c r="Q36" s="464" t="e">
        <v>#N/A</v>
      </c>
      <c r="R36" s="464" t="e">
        <v>#N/A</v>
      </c>
      <c r="S36" s="465" t="e">
        <v>#N/A</v>
      </c>
      <c r="T36" s="305"/>
    </row>
    <row r="37">
      <c r="A37" s="305"/>
      <c r="B37" s="306"/>
      <c r="C37" s="448">
        <f t="shared" si="1"/>
        <v>32</v>
      </c>
      <c r="D37" s="451" t="s">
        <v>218</v>
      </c>
      <c r="E37" s="454"/>
      <c r="F37" s="457" t="s">
        <v>77</v>
      </c>
      <c r="G37" s="451">
        <v>4.0</v>
      </c>
      <c r="H37" s="458">
        <v>3.0</v>
      </c>
      <c r="I37" s="451">
        <v>7.0</v>
      </c>
      <c r="J37" s="459">
        <v>-4.0</v>
      </c>
      <c r="K37" s="351"/>
      <c r="L37" s="305"/>
      <c r="M37" s="460">
        <f t="shared" si="2"/>
        <v>32</v>
      </c>
      <c r="N37" s="462" t="s">
        <v>220</v>
      </c>
      <c r="O37" s="463" t="str">
        <f>IFERROR(__xludf.DUMMYFUNCTION("""COMPUTED_VALUE"""),"Camerupt")</f>
        <v>Camerupt</v>
      </c>
      <c r="P37" s="464" t="e">
        <v>#N/A</v>
      </c>
      <c r="Q37" s="464" t="e">
        <v>#N/A</v>
      </c>
      <c r="R37" s="464" t="e">
        <v>#N/A</v>
      </c>
      <c r="S37" s="465" t="e">
        <v>#N/A</v>
      </c>
      <c r="T37" s="305"/>
    </row>
    <row r="38">
      <c r="A38" s="305"/>
      <c r="B38" s="306"/>
      <c r="C38" s="448">
        <f t="shared" si="1"/>
        <v>33</v>
      </c>
      <c r="D38" s="451" t="s">
        <v>165</v>
      </c>
      <c r="E38" s="454"/>
      <c r="F38" s="457" t="s">
        <v>113</v>
      </c>
      <c r="G38" s="451">
        <v>4.0</v>
      </c>
      <c r="H38" s="451">
        <v>2.0</v>
      </c>
      <c r="I38" s="451">
        <v>2.0</v>
      </c>
      <c r="J38" s="466">
        <v>0.0</v>
      </c>
      <c r="K38" s="351"/>
      <c r="L38" s="305"/>
      <c r="M38" s="460">
        <f t="shared" si="2"/>
        <v>33</v>
      </c>
      <c r="N38" s="462" t="s">
        <v>223</v>
      </c>
      <c r="O38" s="463" t="str">
        <f>IFERROR(__xludf.DUMMYFUNCTION("""COMPUTED_VALUE"""),"Murkrow")</f>
        <v>Murkrow</v>
      </c>
      <c r="P38" s="464" t="e">
        <v>#N/A</v>
      </c>
      <c r="Q38" s="464" t="e">
        <v>#N/A</v>
      </c>
      <c r="R38" s="464" t="e">
        <v>#N/A</v>
      </c>
      <c r="S38" s="465" t="e">
        <v>#N/A</v>
      </c>
      <c r="T38" s="305"/>
    </row>
    <row r="39">
      <c r="A39" s="305"/>
      <c r="B39" s="306"/>
      <c r="C39" s="448">
        <f t="shared" si="1"/>
        <v>34</v>
      </c>
      <c r="D39" s="451" t="s">
        <v>183</v>
      </c>
      <c r="E39" s="454"/>
      <c r="F39" s="457" t="s">
        <v>106</v>
      </c>
      <c r="G39" s="451">
        <v>2.0</v>
      </c>
      <c r="H39" s="451">
        <v>2.0</v>
      </c>
      <c r="I39" s="451">
        <v>2.0</v>
      </c>
      <c r="J39" s="466">
        <v>0.0</v>
      </c>
      <c r="K39" s="351"/>
      <c r="L39" s="305"/>
      <c r="M39" s="460">
        <f t="shared" si="2"/>
        <v>34</v>
      </c>
      <c r="N39" s="462" t="s">
        <v>224</v>
      </c>
      <c r="O39" s="463" t="str">
        <f>IFERROR(__xludf.DUMMYFUNCTION("""COMPUTED_VALUE"""),"Meowscarada")</f>
        <v>Meowscarada</v>
      </c>
      <c r="P39" s="464" t="e">
        <v>#N/A</v>
      </c>
      <c r="Q39" s="464" t="e">
        <v>#N/A</v>
      </c>
      <c r="R39" s="464" t="e">
        <v>#N/A</v>
      </c>
      <c r="S39" s="465" t="e">
        <v>#N/A</v>
      </c>
      <c r="T39" s="305"/>
    </row>
    <row r="40">
      <c r="A40" s="305"/>
      <c r="B40" s="306"/>
      <c r="C40" s="448">
        <f t="shared" si="1"/>
        <v>35</v>
      </c>
      <c r="D40" s="451" t="s">
        <v>172</v>
      </c>
      <c r="E40" s="454"/>
      <c r="F40" s="457" t="s">
        <v>108</v>
      </c>
      <c r="G40" s="451">
        <v>3.0</v>
      </c>
      <c r="H40" s="451">
        <v>2.0</v>
      </c>
      <c r="I40" s="451">
        <v>4.0</v>
      </c>
      <c r="J40" s="466">
        <v>-2.0</v>
      </c>
      <c r="K40" s="351"/>
      <c r="L40" s="305"/>
      <c r="M40" s="460">
        <f t="shared" si="2"/>
        <v>35</v>
      </c>
      <c r="N40" s="462" t="s">
        <v>227</v>
      </c>
      <c r="O40" s="463" t="str">
        <f>IFERROR(__xludf.DUMMYFUNCTION("""COMPUTED_VALUE"""),"Garchomp")</f>
        <v>Garchomp</v>
      </c>
      <c r="P40" s="464" t="e">
        <v>#N/A</v>
      </c>
      <c r="Q40" s="464" t="e">
        <v>#N/A</v>
      </c>
      <c r="R40" s="464" t="e">
        <v>#N/A</v>
      </c>
      <c r="S40" s="465" t="e">
        <v>#N/A</v>
      </c>
      <c r="T40" s="305"/>
    </row>
    <row r="41">
      <c r="A41" s="305"/>
      <c r="B41" s="306"/>
      <c r="C41" s="448">
        <f t="shared" si="1"/>
        <v>36</v>
      </c>
      <c r="D41" s="451" t="s">
        <v>183</v>
      </c>
      <c r="E41" s="454"/>
      <c r="F41" s="457" t="s">
        <v>72</v>
      </c>
      <c r="G41" s="451">
        <v>3.0</v>
      </c>
      <c r="H41" s="458">
        <v>2.0</v>
      </c>
      <c r="I41" s="451">
        <v>4.0</v>
      </c>
      <c r="J41" s="459">
        <v>-2.0</v>
      </c>
      <c r="K41" s="351"/>
      <c r="L41" s="305"/>
      <c r="M41" s="460">
        <f t="shared" si="2"/>
        <v>36</v>
      </c>
      <c r="N41" s="462" t="s">
        <v>228</v>
      </c>
      <c r="O41" s="463" t="str">
        <f>IFERROR(__xludf.DUMMYFUNCTION("""COMPUTED_VALUE"""),"Arcanine")</f>
        <v>Arcanine</v>
      </c>
      <c r="P41" s="464" t="e">
        <v>#N/A</v>
      </c>
      <c r="Q41" s="464" t="e">
        <v>#N/A</v>
      </c>
      <c r="R41" s="464" t="e">
        <v>#N/A</v>
      </c>
      <c r="S41" s="465" t="e">
        <v>#N/A</v>
      </c>
      <c r="T41" s="305"/>
    </row>
    <row r="42">
      <c r="A42" s="305"/>
      <c r="B42" s="306"/>
      <c r="C42" s="448">
        <f t="shared" si="1"/>
        <v>37</v>
      </c>
      <c r="D42" s="451" t="s">
        <v>154</v>
      </c>
      <c r="E42" s="454"/>
      <c r="F42" s="457" t="s">
        <v>84</v>
      </c>
      <c r="G42" s="451">
        <v>4.0</v>
      </c>
      <c r="H42" s="458">
        <v>2.0</v>
      </c>
      <c r="I42" s="451">
        <v>5.0</v>
      </c>
      <c r="J42" s="459">
        <v>-3.0</v>
      </c>
      <c r="K42" s="351"/>
      <c r="L42" s="305"/>
      <c r="M42" s="460">
        <f t="shared" si="2"/>
        <v>37</v>
      </c>
      <c r="N42" s="462" t="s">
        <v>229</v>
      </c>
      <c r="O42" s="463" t="str">
        <f>IFERROR(__xludf.DUMMYFUNCTION("""COMPUTED_VALUE"""),"Mimikyu")</f>
        <v>Mimikyu</v>
      </c>
      <c r="P42" s="464" t="e">
        <v>#N/A</v>
      </c>
      <c r="Q42" s="464" t="e">
        <v>#N/A</v>
      </c>
      <c r="R42" s="464" t="e">
        <v>#N/A</v>
      </c>
      <c r="S42" s="465" t="e">
        <v>#N/A</v>
      </c>
      <c r="T42" s="305"/>
    </row>
    <row r="43">
      <c r="A43" s="305"/>
      <c r="B43" s="306"/>
      <c r="C43" s="448">
        <f t="shared" si="1"/>
        <v>38</v>
      </c>
      <c r="D43" s="451" t="s">
        <v>218</v>
      </c>
      <c r="E43" s="454"/>
      <c r="F43" s="457" t="s">
        <v>70</v>
      </c>
      <c r="G43" s="451">
        <v>4.0</v>
      </c>
      <c r="H43" s="458">
        <v>2.0</v>
      </c>
      <c r="I43" s="451">
        <v>5.0</v>
      </c>
      <c r="J43" s="459">
        <v>-3.0</v>
      </c>
      <c r="K43" s="351"/>
      <c r="L43" s="305"/>
      <c r="M43" s="460">
        <f t="shared" si="2"/>
        <v>38</v>
      </c>
      <c r="N43" s="462" t="s">
        <v>230</v>
      </c>
      <c r="O43" s="463" t="str">
        <f>IFERROR(__xludf.DUMMYFUNCTION("""COMPUTED_VALUE"""),"Gothitelle")</f>
        <v>Gothitelle</v>
      </c>
      <c r="P43" s="464" t="e">
        <v>#N/A</v>
      </c>
      <c r="Q43" s="464" t="e">
        <v>#N/A</v>
      </c>
      <c r="R43" s="464" t="e">
        <v>#N/A</v>
      </c>
      <c r="S43" s="465" t="e">
        <v>#N/A</v>
      </c>
      <c r="T43" s="305"/>
    </row>
    <row r="44">
      <c r="A44" s="305"/>
      <c r="B44" s="306"/>
      <c r="C44" s="448">
        <f t="shared" si="1"/>
        <v>39</v>
      </c>
      <c r="D44" s="451" t="s">
        <v>172</v>
      </c>
      <c r="E44" s="454"/>
      <c r="F44" s="457" t="s">
        <v>83</v>
      </c>
      <c r="G44" s="451">
        <v>3.0</v>
      </c>
      <c r="H44" s="458">
        <v>2.0</v>
      </c>
      <c r="I44" s="451">
        <v>5.0</v>
      </c>
      <c r="J44" s="459">
        <v>-3.0</v>
      </c>
      <c r="K44" s="351"/>
      <c r="L44" s="305"/>
      <c r="M44" s="460">
        <f t="shared" si="2"/>
        <v>39</v>
      </c>
      <c r="N44" s="462" t="s">
        <v>231</v>
      </c>
      <c r="O44" s="463" t="str">
        <f>IFERROR(__xludf.DUMMYFUNCTION("""COMPUTED_VALUE"""),"Scizor")</f>
        <v>Scizor</v>
      </c>
      <c r="P44" s="464" t="e">
        <v>#N/A</v>
      </c>
      <c r="Q44" s="464" t="e">
        <v>#N/A</v>
      </c>
      <c r="R44" s="464" t="e">
        <v>#N/A</v>
      </c>
      <c r="S44" s="465" t="e">
        <v>#N/A</v>
      </c>
      <c r="T44" s="305"/>
    </row>
    <row r="45">
      <c r="A45" s="305"/>
      <c r="B45" s="306"/>
      <c r="C45" s="448">
        <f t="shared" si="1"/>
        <v>40</v>
      </c>
      <c r="D45" s="451" t="s">
        <v>183</v>
      </c>
      <c r="E45" s="454"/>
      <c r="F45" s="457" t="s">
        <v>63</v>
      </c>
      <c r="G45" s="451">
        <v>3.0</v>
      </c>
      <c r="H45" s="458">
        <v>2.0</v>
      </c>
      <c r="I45" s="451">
        <v>5.0</v>
      </c>
      <c r="J45" s="459">
        <v>-3.0</v>
      </c>
      <c r="K45" s="351"/>
      <c r="L45" s="305"/>
      <c r="M45" s="460">
        <f t="shared" si="2"/>
        <v>40</v>
      </c>
      <c r="N45" s="462" t="s">
        <v>232</v>
      </c>
      <c r="O45" s="463" t="str">
        <f>IFERROR(__xludf.DUMMYFUNCTION("""COMPUTED_VALUE"""),"Jolteon")</f>
        <v>Jolteon</v>
      </c>
      <c r="P45" s="464" t="e">
        <v>#N/A</v>
      </c>
      <c r="Q45" s="464" t="e">
        <v>#N/A</v>
      </c>
      <c r="R45" s="464" t="e">
        <v>#N/A</v>
      </c>
      <c r="S45" s="465" t="e">
        <v>#N/A</v>
      </c>
      <c r="T45" s="305"/>
    </row>
    <row r="46">
      <c r="A46" s="305"/>
      <c r="B46" s="306"/>
      <c r="C46" s="448">
        <f t="shared" si="1"/>
        <v>41</v>
      </c>
      <c r="D46" s="451" t="s">
        <v>218</v>
      </c>
      <c r="E46" s="454"/>
      <c r="F46" s="457" t="s">
        <v>97</v>
      </c>
      <c r="G46" s="451">
        <v>4.0</v>
      </c>
      <c r="H46" s="451">
        <v>2.0</v>
      </c>
      <c r="I46" s="451">
        <v>8.0</v>
      </c>
      <c r="J46" s="466">
        <v>-6.0</v>
      </c>
      <c r="K46" s="351"/>
      <c r="L46" s="305"/>
      <c r="M46" s="460">
        <f t="shared" si="2"/>
        <v>41</v>
      </c>
      <c r="N46" s="462" t="s">
        <v>235</v>
      </c>
      <c r="O46" s="463" t="str">
        <f>IFERROR(__xludf.DUMMYFUNCTION("""COMPUTED_VALUE"""),"Espathra")</f>
        <v>Espathra</v>
      </c>
      <c r="P46" s="464" t="e">
        <v>#N/A</v>
      </c>
      <c r="Q46" s="464" t="e">
        <v>#N/A</v>
      </c>
      <c r="R46" s="464" t="e">
        <v>#N/A</v>
      </c>
      <c r="S46" s="465" t="e">
        <v>#N/A</v>
      </c>
      <c r="T46" s="305"/>
    </row>
    <row r="47">
      <c r="A47" s="305"/>
      <c r="B47" s="306"/>
      <c r="C47" s="448">
        <f t="shared" si="1"/>
        <v>42</v>
      </c>
      <c r="D47" s="451" t="s">
        <v>179</v>
      </c>
      <c r="E47" s="454"/>
      <c r="F47" s="457" t="s">
        <v>105</v>
      </c>
      <c r="G47" s="451">
        <v>2.0</v>
      </c>
      <c r="H47" s="451">
        <v>1.0</v>
      </c>
      <c r="I47" s="451">
        <v>0.0</v>
      </c>
      <c r="J47" s="466">
        <v>1.0</v>
      </c>
      <c r="K47" s="351"/>
      <c r="L47" s="305"/>
      <c r="M47" s="460">
        <f t="shared" si="2"/>
        <v>42</v>
      </c>
      <c r="N47" s="462" t="s">
        <v>236</v>
      </c>
      <c r="O47" s="463" t="str">
        <f>IFERROR(__xludf.DUMMYFUNCTION("""COMPUTED_VALUE"""),"Rotom-Frost")</f>
        <v>Rotom-Frost</v>
      </c>
      <c r="P47" s="464" t="e">
        <v>#N/A</v>
      </c>
      <c r="Q47" s="464" t="e">
        <v>#N/A</v>
      </c>
      <c r="R47" s="464" t="e">
        <v>#N/A</v>
      </c>
      <c r="S47" s="465" t="e">
        <v>#N/A</v>
      </c>
      <c r="T47" s="305"/>
    </row>
    <row r="48">
      <c r="A48" s="305"/>
      <c r="B48" s="306"/>
      <c r="C48" s="448">
        <f t="shared" si="1"/>
        <v>43</v>
      </c>
      <c r="D48" s="451" t="s">
        <v>218</v>
      </c>
      <c r="E48" s="454"/>
      <c r="F48" s="457" t="s">
        <v>85</v>
      </c>
      <c r="G48" s="451">
        <v>4.0</v>
      </c>
      <c r="H48" s="458">
        <v>1.0</v>
      </c>
      <c r="I48" s="451">
        <v>2.0</v>
      </c>
      <c r="J48" s="459">
        <v>-1.0</v>
      </c>
      <c r="K48" s="351"/>
      <c r="L48" s="305"/>
      <c r="M48" s="460">
        <f t="shared" si="2"/>
        <v>43</v>
      </c>
      <c r="N48" s="462" t="s">
        <v>237</v>
      </c>
      <c r="O48" s="463" t="str">
        <f>IFERROR(__xludf.DUMMYFUNCTION("""COMPUTED_VALUE"""),"Staraptor")</f>
        <v>Staraptor</v>
      </c>
      <c r="P48" s="464" t="e">
        <v>#N/A</v>
      </c>
      <c r="Q48" s="464" t="e">
        <v>#N/A</v>
      </c>
      <c r="R48" s="464" t="e">
        <v>#N/A</v>
      </c>
      <c r="S48" s="465" t="e">
        <v>#N/A</v>
      </c>
      <c r="T48" s="305"/>
    </row>
    <row r="49">
      <c r="A49" s="305"/>
      <c r="B49" s="306"/>
      <c r="C49" s="448">
        <f t="shared" si="1"/>
        <v>44</v>
      </c>
      <c r="D49" s="451" t="s">
        <v>183</v>
      </c>
      <c r="E49" s="454"/>
      <c r="F49" s="457" t="s">
        <v>124</v>
      </c>
      <c r="G49" s="451">
        <v>2.0</v>
      </c>
      <c r="H49" s="451">
        <v>1.0</v>
      </c>
      <c r="I49" s="451">
        <v>4.0</v>
      </c>
      <c r="J49" s="466">
        <v>-3.0</v>
      </c>
      <c r="K49" s="351"/>
      <c r="L49" s="305"/>
      <c r="M49" s="460">
        <f t="shared" si="2"/>
        <v>44</v>
      </c>
      <c r="N49" s="462" t="s">
        <v>238</v>
      </c>
      <c r="O49" s="463" t="str">
        <f>IFERROR(__xludf.DUMMYFUNCTION("""COMPUTED_VALUE"""),"Hydreigon")</f>
        <v>Hydreigon</v>
      </c>
      <c r="P49" s="464" t="e">
        <v>#N/A</v>
      </c>
      <c r="Q49" s="464" t="e">
        <v>#N/A</v>
      </c>
      <c r="R49" s="464" t="e">
        <v>#N/A</v>
      </c>
      <c r="S49" s="465" t="e">
        <v>#N/A</v>
      </c>
      <c r="T49" s="305"/>
    </row>
    <row r="50">
      <c r="A50" s="305"/>
      <c r="B50" s="306"/>
      <c r="C50" s="448">
        <f t="shared" si="1"/>
        <v>45</v>
      </c>
      <c r="D50" s="451" t="s">
        <v>172</v>
      </c>
      <c r="E50" s="454"/>
      <c r="F50" s="457" t="s">
        <v>89</v>
      </c>
      <c r="G50" s="451">
        <v>1.0</v>
      </c>
      <c r="H50" s="451">
        <v>0.0</v>
      </c>
      <c r="I50" s="451">
        <v>0.0</v>
      </c>
      <c r="J50" s="466">
        <v>0.0</v>
      </c>
      <c r="K50" s="351"/>
      <c r="L50" s="305"/>
      <c r="M50" s="460">
        <f t="shared" si="2"/>
        <v>45</v>
      </c>
      <c r="N50" s="462" t="s">
        <v>239</v>
      </c>
      <c r="O50" s="463" t="str">
        <f>IFERROR(__xludf.DUMMYFUNCTION("""COMPUTED_VALUE"""),"Amoonguss")</f>
        <v>Amoonguss</v>
      </c>
      <c r="P50" s="464" t="e">
        <v>#N/A</v>
      </c>
      <c r="Q50" s="464" t="e">
        <v>#N/A</v>
      </c>
      <c r="R50" s="464" t="e">
        <v>#N/A</v>
      </c>
      <c r="S50" s="465" t="e">
        <v>#N/A</v>
      </c>
      <c r="T50" s="305"/>
    </row>
    <row r="51">
      <c r="A51" s="305"/>
      <c r="B51" s="306"/>
      <c r="C51" s="448">
        <f t="shared" si="1"/>
        <v>46</v>
      </c>
      <c r="D51" s="451" t="s">
        <v>179</v>
      </c>
      <c r="E51" s="454"/>
      <c r="F51" s="457" t="s">
        <v>123</v>
      </c>
      <c r="G51" s="451">
        <v>1.0</v>
      </c>
      <c r="H51" s="451">
        <v>0.0</v>
      </c>
      <c r="I51" s="451">
        <v>0.0</v>
      </c>
      <c r="J51" s="466">
        <v>0.0</v>
      </c>
      <c r="K51" s="351"/>
      <c r="L51" s="305"/>
      <c r="M51" s="460">
        <f t="shared" si="2"/>
        <v>46</v>
      </c>
      <c r="N51" s="462" t="s">
        <v>240</v>
      </c>
      <c r="O51" s="463" t="str">
        <f>IFERROR(__xludf.DUMMYFUNCTION("""COMPUTED_VALUE"""),"Gengar")</f>
        <v>Gengar</v>
      </c>
      <c r="P51" s="464" t="e">
        <v>#N/A</v>
      </c>
      <c r="Q51" s="464" t="e">
        <v>#N/A</v>
      </c>
      <c r="R51" s="464" t="e">
        <v>#N/A</v>
      </c>
      <c r="S51" s="465" t="e">
        <v>#N/A</v>
      </c>
      <c r="T51" s="305"/>
    </row>
    <row r="52">
      <c r="A52" s="305"/>
      <c r="B52" s="306"/>
      <c r="C52" s="448">
        <f t="shared" si="1"/>
        <v>47</v>
      </c>
      <c r="D52" s="451" t="s">
        <v>172</v>
      </c>
      <c r="E52" s="454"/>
      <c r="F52" s="457" t="s">
        <v>67</v>
      </c>
      <c r="G52" s="451">
        <v>0.0</v>
      </c>
      <c r="H52" s="458">
        <v>0.0</v>
      </c>
      <c r="I52" s="451">
        <v>0.0</v>
      </c>
      <c r="J52" s="459">
        <v>0.0</v>
      </c>
      <c r="K52" s="351"/>
      <c r="L52" s="305"/>
      <c r="M52" s="460">
        <f t="shared" si="2"/>
        <v>47</v>
      </c>
      <c r="N52" s="462" t="s">
        <v>241</v>
      </c>
      <c r="O52" s="463" t="str">
        <f>IFERROR(__xludf.DUMMYFUNCTION("""COMPUTED_VALUE"""),"Azumarill")</f>
        <v>Azumarill</v>
      </c>
      <c r="P52" s="464" t="e">
        <v>#N/A</v>
      </c>
      <c r="Q52" s="464" t="e">
        <v>#N/A</v>
      </c>
      <c r="R52" s="464" t="e">
        <v>#N/A</v>
      </c>
      <c r="S52" s="465" t="e">
        <v>#N/A</v>
      </c>
      <c r="T52" s="305"/>
    </row>
    <row r="53">
      <c r="A53" s="305"/>
      <c r="B53" s="306"/>
      <c r="C53" s="448">
        <f t="shared" si="1"/>
        <v>48</v>
      </c>
      <c r="D53" s="451" t="s">
        <v>172</v>
      </c>
      <c r="E53" s="454"/>
      <c r="F53" s="457" t="s">
        <v>114</v>
      </c>
      <c r="G53" s="451">
        <v>0.0</v>
      </c>
      <c r="H53" s="451">
        <v>0.0</v>
      </c>
      <c r="I53" s="451">
        <v>0.0</v>
      </c>
      <c r="J53" s="466">
        <v>0.0</v>
      </c>
      <c r="K53" s="351"/>
      <c r="L53" s="305"/>
      <c r="M53" s="460">
        <f t="shared" si="2"/>
        <v>48</v>
      </c>
      <c r="N53" s="462" t="s">
        <v>244</v>
      </c>
      <c r="O53" s="463" t="str">
        <f>IFERROR(__xludf.DUMMYFUNCTION("""COMPUTED_VALUE"""),"Hariyama")</f>
        <v>Hariyama</v>
      </c>
      <c r="P53" s="464" t="e">
        <v>#N/A</v>
      </c>
      <c r="Q53" s="464" t="e">
        <v>#N/A</v>
      </c>
      <c r="R53" s="464" t="e">
        <v>#N/A</v>
      </c>
      <c r="S53" s="465" t="e">
        <v>#N/A</v>
      </c>
      <c r="T53" s="305"/>
    </row>
    <row r="54">
      <c r="A54" s="305"/>
      <c r="B54" s="306"/>
      <c r="C54" s="448">
        <f t="shared" si="1"/>
        <v>49</v>
      </c>
      <c r="D54" s="451" t="s">
        <v>154</v>
      </c>
      <c r="E54" s="454"/>
      <c r="F54" s="457" t="s">
        <v>127</v>
      </c>
      <c r="G54" s="451">
        <v>0.0</v>
      </c>
      <c r="H54" s="458">
        <v>0.0</v>
      </c>
      <c r="I54" s="451">
        <v>0.0</v>
      </c>
      <c r="J54" s="459">
        <v>0.0</v>
      </c>
      <c r="K54" s="351"/>
      <c r="L54" s="305"/>
      <c r="M54" s="460">
        <f t="shared" si="2"/>
        <v>49</v>
      </c>
      <c r="N54" s="462" t="s">
        <v>245</v>
      </c>
      <c r="O54" s="463" t="str">
        <f>IFERROR(__xludf.DUMMYFUNCTION("""COMPUTED_VALUE"""),"Oranguru")</f>
        <v>Oranguru</v>
      </c>
      <c r="P54" s="464" t="e">
        <v>#N/A</v>
      </c>
      <c r="Q54" s="464" t="e">
        <v>#N/A</v>
      </c>
      <c r="R54" s="464" t="e">
        <v>#N/A</v>
      </c>
      <c r="S54" s="465" t="e">
        <v>#N/A</v>
      </c>
      <c r="T54" s="305"/>
    </row>
    <row r="55">
      <c r="A55" s="305"/>
      <c r="B55" s="306"/>
      <c r="C55" s="448">
        <f t="shared" si="1"/>
        <v>50</v>
      </c>
      <c r="D55" s="451" t="s">
        <v>218</v>
      </c>
      <c r="E55" s="454"/>
      <c r="F55" s="457" t="s">
        <v>104</v>
      </c>
      <c r="G55" s="451">
        <v>0.0</v>
      </c>
      <c r="H55" s="451">
        <v>0.0</v>
      </c>
      <c r="I55" s="451">
        <v>0.0</v>
      </c>
      <c r="J55" s="466">
        <v>0.0</v>
      </c>
      <c r="K55" s="351"/>
      <c r="L55" s="305"/>
      <c r="M55" s="460">
        <f t="shared" si="2"/>
        <v>50</v>
      </c>
      <c r="N55" s="462" t="s">
        <v>246</v>
      </c>
      <c r="O55" s="463" t="str">
        <f>IFERROR(__xludf.DUMMYFUNCTION("""COMPUTED_VALUE"""),"Orthworm")</f>
        <v>Orthworm</v>
      </c>
      <c r="P55" s="464" t="e">
        <v>#N/A</v>
      </c>
      <c r="Q55" s="464" t="e">
        <v>#N/A</v>
      </c>
      <c r="R55" s="464" t="e">
        <v>#N/A</v>
      </c>
      <c r="S55" s="465" t="e">
        <v>#N/A</v>
      </c>
      <c r="T55" s="305"/>
    </row>
    <row r="56">
      <c r="A56" s="305"/>
      <c r="B56" s="306"/>
      <c r="C56" s="448">
        <f t="shared" si="1"/>
        <v>51</v>
      </c>
      <c r="D56" s="451" t="s">
        <v>218</v>
      </c>
      <c r="E56" s="454"/>
      <c r="F56" s="457" t="s">
        <v>110</v>
      </c>
      <c r="G56" s="451">
        <v>0.0</v>
      </c>
      <c r="H56" s="451">
        <v>0.0</v>
      </c>
      <c r="I56" s="451">
        <v>0.0</v>
      </c>
      <c r="J56" s="466">
        <v>0.0</v>
      </c>
      <c r="K56" s="351"/>
      <c r="L56" s="305"/>
      <c r="M56" s="460">
        <f t="shared" si="2"/>
        <v>51</v>
      </c>
      <c r="N56" s="462" t="s">
        <v>249</v>
      </c>
      <c r="O56" s="463" t="str">
        <f>IFERROR(__xludf.DUMMYFUNCTION("""COMPUTED_VALUE"""),"Torkoal")</f>
        <v>Torkoal</v>
      </c>
      <c r="P56" s="464" t="e">
        <v>#N/A</v>
      </c>
      <c r="Q56" s="464" t="e">
        <v>#N/A</v>
      </c>
      <c r="R56" s="464" t="e">
        <v>#N/A</v>
      </c>
      <c r="S56" s="465" t="e">
        <v>#N/A</v>
      </c>
      <c r="T56" s="305"/>
    </row>
    <row r="57">
      <c r="A57" s="305"/>
      <c r="B57" s="306"/>
      <c r="C57" s="448">
        <f t="shared" si="1"/>
        <v>52</v>
      </c>
      <c r="D57" s="451" t="s">
        <v>218</v>
      </c>
      <c r="E57" s="454"/>
      <c r="F57" s="457" t="s">
        <v>116</v>
      </c>
      <c r="G57" s="451">
        <v>0.0</v>
      </c>
      <c r="H57" s="451">
        <v>0.0</v>
      </c>
      <c r="I57" s="451">
        <v>0.0</v>
      </c>
      <c r="J57" s="466">
        <v>0.0</v>
      </c>
      <c r="K57" s="351"/>
      <c r="L57" s="305"/>
      <c r="M57" s="460">
        <f t="shared" si="2"/>
        <v>52</v>
      </c>
      <c r="N57" s="462" t="s">
        <v>250</v>
      </c>
      <c r="O57" s="463" t="str">
        <f>IFERROR(__xludf.DUMMYFUNCTION("""COMPUTED_VALUE"""),"Chansey")</f>
        <v>Chansey</v>
      </c>
      <c r="P57" s="464" t="e">
        <v>#N/A</v>
      </c>
      <c r="Q57" s="464" t="e">
        <v>#N/A</v>
      </c>
      <c r="R57" s="464" t="e">
        <v>#N/A</v>
      </c>
      <c r="S57" s="465" t="e">
        <v>#N/A</v>
      </c>
      <c r="T57" s="305"/>
    </row>
    <row r="58">
      <c r="A58" s="305"/>
      <c r="B58" s="306"/>
      <c r="C58" s="448">
        <f t="shared" si="1"/>
        <v>53</v>
      </c>
      <c r="D58" s="451" t="s">
        <v>218</v>
      </c>
      <c r="E58" s="454"/>
      <c r="F58" s="457" t="s">
        <v>122</v>
      </c>
      <c r="G58" s="451">
        <v>0.0</v>
      </c>
      <c r="H58" s="451">
        <v>0.0</v>
      </c>
      <c r="I58" s="451">
        <v>0.0</v>
      </c>
      <c r="J58" s="466">
        <v>0.0</v>
      </c>
      <c r="K58" s="351"/>
      <c r="L58" s="305"/>
      <c r="M58" s="460">
        <f t="shared" si="2"/>
        <v>53</v>
      </c>
      <c r="N58" s="462" t="s">
        <v>251</v>
      </c>
      <c r="O58" s="463" t="str">
        <f>IFERROR(__xludf.DUMMYFUNCTION("""COMPUTED_VALUE"""),"Lilligant")</f>
        <v>Lilligant</v>
      </c>
      <c r="P58" s="464" t="e">
        <v>#N/A</v>
      </c>
      <c r="Q58" s="464" t="e">
        <v>#N/A</v>
      </c>
      <c r="R58" s="464" t="e">
        <v>#N/A</v>
      </c>
      <c r="S58" s="465" t="e">
        <v>#N/A</v>
      </c>
      <c r="T58" s="305"/>
    </row>
    <row r="59">
      <c r="A59" s="305"/>
      <c r="B59" s="306"/>
      <c r="C59" s="448">
        <f t="shared" si="1"/>
        <v>54</v>
      </c>
      <c r="D59" s="451" t="s">
        <v>218</v>
      </c>
      <c r="E59" s="454"/>
      <c r="F59" s="457" t="s">
        <v>128</v>
      </c>
      <c r="G59" s="451">
        <v>0.0</v>
      </c>
      <c r="H59" s="451">
        <v>0.0</v>
      </c>
      <c r="I59" s="451">
        <v>0.0</v>
      </c>
      <c r="J59" s="466">
        <v>0.0</v>
      </c>
      <c r="K59" s="351"/>
      <c r="L59" s="305"/>
      <c r="M59" s="460">
        <f t="shared" si="2"/>
        <v>54</v>
      </c>
      <c r="N59" s="462" t="s">
        <v>252</v>
      </c>
      <c r="O59" s="463" t="str">
        <f>IFERROR(__xludf.DUMMYFUNCTION("""COMPUTED_VALUE"""),"Flamigo")</f>
        <v>Flamigo</v>
      </c>
      <c r="P59" s="464" t="e">
        <v>#N/A</v>
      </c>
      <c r="Q59" s="464" t="e">
        <v>#N/A</v>
      </c>
      <c r="R59" s="464" t="e">
        <v>#N/A</v>
      </c>
      <c r="S59" s="465" t="e">
        <v>#N/A</v>
      </c>
      <c r="T59" s="305"/>
    </row>
    <row r="60">
      <c r="A60" s="305"/>
      <c r="B60" s="306"/>
      <c r="C60" s="448">
        <f t="shared" si="1"/>
        <v>55</v>
      </c>
      <c r="D60" s="451" t="s">
        <v>165</v>
      </c>
      <c r="E60" s="454"/>
      <c r="F60" s="457" t="s">
        <v>125</v>
      </c>
      <c r="G60" s="451">
        <v>0.0</v>
      </c>
      <c r="H60" s="458">
        <v>0.0</v>
      </c>
      <c r="I60" s="451">
        <v>0.0</v>
      </c>
      <c r="J60" s="459">
        <v>0.0</v>
      </c>
      <c r="K60" s="351"/>
      <c r="L60" s="305"/>
      <c r="M60" s="460">
        <f t="shared" si="2"/>
        <v>55</v>
      </c>
      <c r="N60" s="462" t="s">
        <v>255</v>
      </c>
      <c r="O60" s="463" t="str">
        <f>IFERROR(__xludf.DUMMYFUNCTION("""COMPUTED_VALUE"""),"Dondozo")</f>
        <v>Dondozo</v>
      </c>
      <c r="P60" s="464" t="e">
        <v>#N/A</v>
      </c>
      <c r="Q60" s="464" t="e">
        <v>#N/A</v>
      </c>
      <c r="R60" s="464" t="e">
        <v>#N/A</v>
      </c>
      <c r="S60" s="465" t="e">
        <v>#N/A</v>
      </c>
      <c r="T60" s="305"/>
    </row>
    <row r="61">
      <c r="A61" s="305"/>
      <c r="B61" s="306"/>
      <c r="C61" s="448">
        <f t="shared" si="1"/>
        <v>56</v>
      </c>
      <c r="D61" s="451" t="s">
        <v>165</v>
      </c>
      <c r="E61" s="454"/>
      <c r="F61" s="457" t="s">
        <v>131</v>
      </c>
      <c r="G61" s="451">
        <v>0.0</v>
      </c>
      <c r="H61" s="458">
        <v>0.0</v>
      </c>
      <c r="I61" s="451">
        <v>0.0</v>
      </c>
      <c r="J61" s="459">
        <v>0.0</v>
      </c>
      <c r="K61" s="351"/>
      <c r="L61" s="305"/>
      <c r="M61" s="460">
        <f t="shared" si="2"/>
        <v>56</v>
      </c>
      <c r="N61" s="462" t="s">
        <v>256</v>
      </c>
      <c r="O61" s="463" t="str">
        <f>IFERROR(__xludf.DUMMYFUNCTION("""COMPUTED_VALUE"""),"Tatsugiri")</f>
        <v>Tatsugiri</v>
      </c>
      <c r="P61" s="464" t="e">
        <v>#N/A</v>
      </c>
      <c r="Q61" s="464" t="e">
        <v>#N/A</v>
      </c>
      <c r="R61" s="464" t="e">
        <v>#N/A</v>
      </c>
      <c r="S61" s="465" t="e">
        <v>#N/A</v>
      </c>
      <c r="T61" s="305"/>
    </row>
    <row r="62">
      <c r="A62" s="305"/>
      <c r="B62" s="306"/>
      <c r="C62" s="448">
        <f t="shared" si="1"/>
        <v>57</v>
      </c>
      <c r="D62" s="451" t="s">
        <v>172</v>
      </c>
      <c r="E62" s="454"/>
      <c r="F62" s="457" t="s">
        <v>95</v>
      </c>
      <c r="G62" s="451">
        <v>2.0</v>
      </c>
      <c r="H62" s="451">
        <v>0.0</v>
      </c>
      <c r="I62" s="451">
        <v>1.0</v>
      </c>
      <c r="J62" s="466">
        <v>-1.0</v>
      </c>
      <c r="K62" s="351"/>
      <c r="L62" s="305"/>
      <c r="M62" s="460">
        <f t="shared" si="2"/>
        <v>57</v>
      </c>
      <c r="N62" s="462" t="s">
        <v>259</v>
      </c>
      <c r="O62" s="463" t="str">
        <f>IFERROR(__xludf.DUMMYFUNCTION("""COMPUTED_VALUE"""),"Dragonite")</f>
        <v>Dragonite</v>
      </c>
      <c r="P62" s="464" t="e">
        <v>#N/A</v>
      </c>
      <c r="Q62" s="464" t="e">
        <v>#N/A</v>
      </c>
      <c r="R62" s="464" t="e">
        <v>#N/A</v>
      </c>
      <c r="S62" s="465" t="e">
        <v>#N/A</v>
      </c>
      <c r="T62" s="305"/>
    </row>
    <row r="63">
      <c r="A63" s="305"/>
      <c r="B63" s="306"/>
      <c r="C63" s="448">
        <f t="shared" si="1"/>
        <v>58</v>
      </c>
      <c r="D63" s="451" t="s">
        <v>154</v>
      </c>
      <c r="E63" s="454"/>
      <c r="F63" s="457" t="s">
        <v>69</v>
      </c>
      <c r="G63" s="451">
        <v>2.0</v>
      </c>
      <c r="H63" s="458">
        <v>0.0</v>
      </c>
      <c r="I63" s="451">
        <v>1.0</v>
      </c>
      <c r="J63" s="459">
        <v>-1.0</v>
      </c>
      <c r="K63" s="351"/>
      <c r="L63" s="305"/>
      <c r="M63" s="460">
        <f t="shared" si="2"/>
        <v>58</v>
      </c>
      <c r="N63" s="462" t="s">
        <v>260</v>
      </c>
      <c r="O63" s="463" t="str">
        <f>IFERROR(__xludf.DUMMYFUNCTION("""COMPUTED_VALUE"""),"Gallade")</f>
        <v>Gallade</v>
      </c>
      <c r="P63" s="464" t="e">
        <v>#N/A</v>
      </c>
      <c r="Q63" s="464" t="e">
        <v>#N/A</v>
      </c>
      <c r="R63" s="464" t="e">
        <v>#N/A</v>
      </c>
      <c r="S63" s="465" t="e">
        <v>#N/A</v>
      </c>
      <c r="T63" s="305"/>
    </row>
    <row r="64">
      <c r="A64" s="305"/>
      <c r="B64" s="306"/>
      <c r="C64" s="448">
        <f t="shared" si="1"/>
        <v>59</v>
      </c>
      <c r="D64" s="451" t="s">
        <v>183</v>
      </c>
      <c r="E64" s="454"/>
      <c r="F64" s="457" t="s">
        <v>79</v>
      </c>
      <c r="G64" s="451">
        <v>2.0</v>
      </c>
      <c r="H64" s="458">
        <v>0.0</v>
      </c>
      <c r="I64" s="451">
        <v>1.0</v>
      </c>
      <c r="J64" s="459">
        <v>-1.0</v>
      </c>
      <c r="K64" s="351"/>
      <c r="L64" s="305"/>
      <c r="M64" s="460">
        <f t="shared" si="2"/>
        <v>59</v>
      </c>
      <c r="N64" s="462" t="s">
        <v>261</v>
      </c>
      <c r="O64" s="463" t="str">
        <f>IFERROR(__xludf.DUMMYFUNCTION("""COMPUTED_VALUE"""),"Baxcalibur")</f>
        <v>Baxcalibur</v>
      </c>
      <c r="P64" s="464" t="e">
        <v>#N/A</v>
      </c>
      <c r="Q64" s="464" t="e">
        <v>#N/A</v>
      </c>
      <c r="R64" s="464" t="e">
        <v>#N/A</v>
      </c>
      <c r="S64" s="465" t="e">
        <v>#N/A</v>
      </c>
      <c r="T64" s="305"/>
    </row>
    <row r="65">
      <c r="A65" s="305"/>
      <c r="B65" s="306"/>
      <c r="C65" s="448">
        <f t="shared" si="1"/>
        <v>60</v>
      </c>
      <c r="D65" s="451" t="s">
        <v>179</v>
      </c>
      <c r="E65" s="454"/>
      <c r="F65" s="457" t="s">
        <v>117</v>
      </c>
      <c r="G65" s="451">
        <v>1.0</v>
      </c>
      <c r="H65" s="451">
        <v>0.0</v>
      </c>
      <c r="I65" s="451">
        <v>1.0</v>
      </c>
      <c r="J65" s="466">
        <v>-1.0</v>
      </c>
      <c r="K65" s="351"/>
      <c r="L65" s="305"/>
      <c r="M65" s="460">
        <f t="shared" si="2"/>
        <v>60</v>
      </c>
      <c r="N65" s="462" t="s">
        <v>263</v>
      </c>
      <c r="O65" s="463" t="str">
        <f>IFERROR(__xludf.DUMMYFUNCTION("""COMPUTED_VALUE"""),"Talonflame")</f>
        <v>Talonflame</v>
      </c>
      <c r="P65" s="464" t="e">
        <v>#N/A</v>
      </c>
      <c r="Q65" s="464" t="e">
        <v>#N/A</v>
      </c>
      <c r="R65" s="464" t="e">
        <v>#N/A</v>
      </c>
      <c r="S65" s="465" t="e">
        <v>#N/A</v>
      </c>
      <c r="T65" s="305"/>
    </row>
    <row r="66">
      <c r="A66" s="305"/>
      <c r="B66" s="306"/>
      <c r="C66" s="448">
        <f t="shared" si="1"/>
        <v>61</v>
      </c>
      <c r="D66" s="451" t="s">
        <v>183</v>
      </c>
      <c r="E66" s="454"/>
      <c r="F66" s="457" t="s">
        <v>99</v>
      </c>
      <c r="G66" s="451">
        <v>2.0</v>
      </c>
      <c r="H66" s="451">
        <v>0.0</v>
      </c>
      <c r="I66" s="451">
        <v>2.0</v>
      </c>
      <c r="J66" s="466">
        <v>-2.0</v>
      </c>
      <c r="K66" s="351"/>
      <c r="L66" s="305"/>
      <c r="M66" s="460">
        <f t="shared" si="2"/>
        <v>61</v>
      </c>
      <c r="N66" s="462" t="s">
        <v>266</v>
      </c>
      <c r="O66" s="463" t="str">
        <f>IFERROR(__xludf.DUMMYFUNCTION("""COMPUTED_VALUE"""),"Tyranitar")</f>
        <v>Tyranitar</v>
      </c>
      <c r="P66" s="464" t="e">
        <v>#N/A</v>
      </c>
      <c r="Q66" s="464" t="e">
        <v>#N/A</v>
      </c>
      <c r="R66" s="464" t="e">
        <v>#N/A</v>
      </c>
      <c r="S66" s="465" t="e">
        <v>#N/A</v>
      </c>
      <c r="T66" s="305"/>
    </row>
    <row r="67">
      <c r="A67" s="305"/>
      <c r="B67" s="306"/>
      <c r="C67" s="448">
        <f t="shared" si="1"/>
        <v>62</v>
      </c>
      <c r="D67" s="451" t="s">
        <v>165</v>
      </c>
      <c r="E67" s="454"/>
      <c r="F67" s="457" t="s">
        <v>119</v>
      </c>
      <c r="G67" s="451">
        <v>2.0</v>
      </c>
      <c r="H67" s="451">
        <v>0.0</v>
      </c>
      <c r="I67" s="451">
        <v>3.0</v>
      </c>
      <c r="J67" s="466">
        <v>-3.0</v>
      </c>
      <c r="K67" s="351"/>
      <c r="L67" s="305"/>
      <c r="M67" s="460">
        <f t="shared" si="2"/>
        <v>62</v>
      </c>
      <c r="N67" s="462"/>
      <c r="O67" s="463" t="str">
        <f>IFERROR(__xludf.DUMMYFUNCTION("""COMPUTED_VALUE"""),"Lycanroc-Midday")</f>
        <v>Lycanroc-Midday</v>
      </c>
      <c r="P67" s="464" t="e">
        <v>#N/A</v>
      </c>
      <c r="Q67" s="464" t="e">
        <v>#N/A</v>
      </c>
      <c r="R67" s="464" t="e">
        <v>#N/A</v>
      </c>
      <c r="S67" s="465" t="e">
        <v>#N/A</v>
      </c>
      <c r="T67" s="305"/>
    </row>
    <row r="68">
      <c r="A68" s="305"/>
      <c r="B68" s="306"/>
      <c r="C68" s="448">
        <f t="shared" si="1"/>
        <v>63</v>
      </c>
      <c r="D68" s="451" t="s">
        <v>154</v>
      </c>
      <c r="E68" s="454"/>
      <c r="F68" s="457" t="s">
        <v>115</v>
      </c>
      <c r="G68" s="451">
        <v>5.0</v>
      </c>
      <c r="H68" s="451">
        <v>0.0</v>
      </c>
      <c r="I68" s="451">
        <v>4.0</v>
      </c>
      <c r="J68" s="466">
        <v>-4.0</v>
      </c>
      <c r="K68" s="351"/>
      <c r="L68" s="305"/>
      <c r="M68" s="460">
        <f t="shared" si="2"/>
        <v>63</v>
      </c>
      <c r="N68" s="462" t="s">
        <v>267</v>
      </c>
      <c r="O68" s="463" t="str">
        <f>IFERROR(__xludf.DUMMYFUNCTION("""COMPUTED_VALUE"""),"Pachirisu")</f>
        <v>Pachirisu</v>
      </c>
      <c r="P68" s="464" t="e">
        <v>#N/A</v>
      </c>
      <c r="Q68" s="464" t="e">
        <v>#N/A</v>
      </c>
      <c r="R68" s="464" t="e">
        <v>#N/A</v>
      </c>
      <c r="S68" s="465" t="e">
        <v>#N/A</v>
      </c>
      <c r="T68" s="305"/>
    </row>
    <row r="69">
      <c r="A69" s="305"/>
      <c r="B69" s="306"/>
      <c r="C69" s="448">
        <f t="shared" si="1"/>
        <v>64</v>
      </c>
      <c r="D69" s="451" t="s">
        <v>165</v>
      </c>
      <c r="E69" s="454"/>
      <c r="F69" s="457" t="s">
        <v>101</v>
      </c>
      <c r="G69" s="451">
        <v>3.0</v>
      </c>
      <c r="H69" s="451">
        <v>0.0</v>
      </c>
      <c r="I69" s="451">
        <v>4.0</v>
      </c>
      <c r="J69" s="466">
        <v>-4.0</v>
      </c>
      <c r="K69" s="351"/>
      <c r="L69" s="305"/>
      <c r="M69" s="460">
        <f t="shared" si="2"/>
        <v>64</v>
      </c>
      <c r="N69" s="462" t="s">
        <v>270</v>
      </c>
      <c r="O69" s="463" t="str">
        <f>IFERROR(__xludf.DUMMYFUNCTION("""COMPUTED_VALUE"""),"Azurill")</f>
        <v>Azurill</v>
      </c>
      <c r="P69" s="464" t="e">
        <v>#N/A</v>
      </c>
      <c r="Q69" s="464" t="e">
        <v>#N/A</v>
      </c>
      <c r="R69" s="464" t="e">
        <v>#N/A</v>
      </c>
      <c r="S69" s="465" t="e">
        <v>#N/A</v>
      </c>
      <c r="T69" s="305"/>
    </row>
    <row r="70">
      <c r="A70" s="305"/>
      <c r="B70" s="306"/>
      <c r="C70" s="448">
        <f t="shared" si="1"/>
        <v>65</v>
      </c>
      <c r="D70" s="451" t="s">
        <v>172</v>
      </c>
      <c r="E70" s="454"/>
      <c r="F70" s="457" t="s">
        <v>126</v>
      </c>
      <c r="G70" s="451">
        <v>2.0</v>
      </c>
      <c r="H70" s="458">
        <v>0.0</v>
      </c>
      <c r="I70" s="451">
        <v>4.0</v>
      </c>
      <c r="J70" s="459">
        <v>-4.0</v>
      </c>
      <c r="K70" s="351"/>
      <c r="L70" s="305"/>
      <c r="M70" s="460">
        <f t="shared" si="2"/>
        <v>65</v>
      </c>
      <c r="N70" s="462" t="s">
        <v>271</v>
      </c>
      <c r="O70" s="463" t="str">
        <f>IFERROR(__xludf.DUMMYFUNCTION("""COMPUTED_VALUE"""),"Gulpin")</f>
        <v>Gulpin</v>
      </c>
      <c r="P70" s="464" t="e">
        <v>#N/A</v>
      </c>
      <c r="Q70" s="464" t="e">
        <v>#N/A</v>
      </c>
      <c r="R70" s="464" t="e">
        <v>#N/A</v>
      </c>
      <c r="S70" s="465" t="e">
        <v>#N/A</v>
      </c>
      <c r="T70" s="305"/>
    </row>
    <row r="71">
      <c r="A71" s="305"/>
      <c r="B71" s="306"/>
      <c r="C71" s="448">
        <f t="shared" si="1"/>
        <v>66</v>
      </c>
      <c r="D71" s="451" t="s">
        <v>218</v>
      </c>
      <c r="E71" s="454"/>
      <c r="F71" s="457" t="s">
        <v>91</v>
      </c>
      <c r="G71" s="451">
        <v>4.0</v>
      </c>
      <c r="H71" s="451">
        <v>0.0</v>
      </c>
      <c r="I71" s="451">
        <v>8.0</v>
      </c>
      <c r="J71" s="466">
        <v>-8.0</v>
      </c>
      <c r="K71" s="351"/>
      <c r="L71" s="305"/>
      <c r="M71" s="460">
        <f t="shared" si="2"/>
        <v>66</v>
      </c>
      <c r="N71" s="462"/>
      <c r="O71" s="463"/>
      <c r="P71" s="464" t="e">
        <v>#N/A</v>
      </c>
      <c r="Q71" s="464" t="e">
        <v>#N/A</v>
      </c>
      <c r="R71" s="464" t="e">
        <v>#N/A</v>
      </c>
      <c r="S71" s="465" t="e">
        <v>#N/A</v>
      </c>
      <c r="T71" s="305"/>
    </row>
    <row r="72">
      <c r="A72" s="305"/>
      <c r="B72" s="306"/>
      <c r="C72" s="448">
        <f t="shared" si="1"/>
        <v>67</v>
      </c>
      <c r="D72" s="451"/>
      <c r="E72" s="454"/>
      <c r="F72" s="457"/>
      <c r="G72" s="451"/>
      <c r="H72" s="451"/>
      <c r="I72" s="451"/>
      <c r="J72" s="466"/>
      <c r="K72" s="351"/>
      <c r="L72" s="305"/>
      <c r="M72" s="460">
        <f t="shared" si="2"/>
        <v>67</v>
      </c>
      <c r="N72" s="462"/>
      <c r="O72" s="463"/>
      <c r="P72" s="464" t="e">
        <v>#N/A</v>
      </c>
      <c r="Q72" s="464" t="e">
        <v>#N/A</v>
      </c>
      <c r="R72" s="464" t="e">
        <v>#N/A</v>
      </c>
      <c r="S72" s="465" t="e">
        <v>#N/A</v>
      </c>
      <c r="T72" s="305"/>
    </row>
    <row r="73">
      <c r="A73" s="305"/>
      <c r="B73" s="306"/>
      <c r="C73" s="448">
        <f t="shared" si="1"/>
        <v>68</v>
      </c>
      <c r="D73" s="451"/>
      <c r="E73" s="454"/>
      <c r="F73" s="457"/>
      <c r="G73" s="451"/>
      <c r="H73" s="451"/>
      <c r="I73" s="451"/>
      <c r="J73" s="466"/>
      <c r="K73" s="351"/>
      <c r="L73" s="305"/>
      <c r="M73" s="460">
        <f t="shared" si="2"/>
        <v>68</v>
      </c>
      <c r="N73" s="462"/>
      <c r="O73" s="463"/>
      <c r="P73" s="464" t="e">
        <v>#N/A</v>
      </c>
      <c r="Q73" s="464" t="e">
        <v>#N/A</v>
      </c>
      <c r="R73" s="464" t="e">
        <v>#N/A</v>
      </c>
      <c r="S73" s="465" t="e">
        <v>#N/A</v>
      </c>
      <c r="T73" s="305"/>
    </row>
    <row r="74">
      <c r="A74" s="305"/>
      <c r="B74" s="306"/>
      <c r="C74" s="448">
        <f t="shared" si="1"/>
        <v>69</v>
      </c>
      <c r="D74" s="451"/>
      <c r="E74" s="454"/>
      <c r="F74" s="457"/>
      <c r="G74" s="451"/>
      <c r="H74" s="451"/>
      <c r="I74" s="451"/>
      <c r="J74" s="466"/>
      <c r="K74" s="351"/>
      <c r="L74" s="305"/>
      <c r="M74" s="460">
        <f t="shared" si="2"/>
        <v>69</v>
      </c>
      <c r="N74" s="462"/>
      <c r="O74" s="463"/>
      <c r="P74" s="464" t="e">
        <v>#N/A</v>
      </c>
      <c r="Q74" s="464" t="e">
        <v>#N/A</v>
      </c>
      <c r="R74" s="464" t="e">
        <v>#N/A</v>
      </c>
      <c r="S74" s="465" t="e">
        <v>#N/A</v>
      </c>
      <c r="T74" s="305"/>
    </row>
    <row r="75">
      <c r="A75" s="305"/>
      <c r="B75" s="306"/>
      <c r="C75" s="448">
        <f t="shared" si="1"/>
        <v>70</v>
      </c>
      <c r="D75" s="451"/>
      <c r="E75" s="454"/>
      <c r="F75" s="457"/>
      <c r="G75" s="451"/>
      <c r="H75" s="451"/>
      <c r="I75" s="451"/>
      <c r="J75" s="466"/>
      <c r="K75" s="351"/>
      <c r="L75" s="305"/>
      <c r="M75" s="460">
        <f t="shared" si="2"/>
        <v>70</v>
      </c>
      <c r="N75" s="462"/>
      <c r="O75" s="463"/>
      <c r="P75" s="464" t="e">
        <v>#N/A</v>
      </c>
      <c r="Q75" s="464" t="e">
        <v>#N/A</v>
      </c>
      <c r="R75" s="464" t="e">
        <v>#N/A</v>
      </c>
      <c r="S75" s="465" t="e">
        <v>#N/A</v>
      </c>
      <c r="T75" s="305"/>
    </row>
    <row r="76">
      <c r="A76" s="305"/>
      <c r="B76" s="306"/>
      <c r="C76" s="448">
        <f t="shared" si="1"/>
        <v>71</v>
      </c>
      <c r="D76" s="451"/>
      <c r="E76" s="454"/>
      <c r="F76" s="457"/>
      <c r="G76" s="451"/>
      <c r="H76" s="451"/>
      <c r="I76" s="451"/>
      <c r="J76" s="466"/>
      <c r="K76" s="351"/>
      <c r="L76" s="305"/>
      <c r="M76" s="460">
        <f t="shared" si="2"/>
        <v>71</v>
      </c>
      <c r="N76" s="462"/>
      <c r="O76" s="463"/>
      <c r="P76" s="464" t="e">
        <v>#N/A</v>
      </c>
      <c r="Q76" s="464" t="e">
        <v>#N/A</v>
      </c>
      <c r="R76" s="464" t="e">
        <v>#N/A</v>
      </c>
      <c r="S76" s="465" t="e">
        <v>#N/A</v>
      </c>
      <c r="T76" s="305"/>
    </row>
    <row r="77">
      <c r="A77" s="305"/>
      <c r="B77" s="306"/>
      <c r="C77" s="448">
        <f t="shared" si="1"/>
        <v>72</v>
      </c>
      <c r="D77" s="451"/>
      <c r="E77" s="454"/>
      <c r="F77" s="457"/>
      <c r="G77" s="451"/>
      <c r="H77" s="451"/>
      <c r="I77" s="451"/>
      <c r="J77" s="466"/>
      <c r="K77" s="351"/>
      <c r="L77" s="305"/>
      <c r="M77" s="460">
        <f t="shared" si="2"/>
        <v>72</v>
      </c>
      <c r="N77" s="462"/>
      <c r="O77" s="463"/>
      <c r="P77" s="464" t="e">
        <v>#N/A</v>
      </c>
      <c r="Q77" s="464" t="e">
        <v>#N/A</v>
      </c>
      <c r="R77" s="464" t="e">
        <v>#N/A</v>
      </c>
      <c r="S77" s="465" t="e">
        <v>#N/A</v>
      </c>
      <c r="T77" s="305"/>
    </row>
    <row r="78">
      <c r="A78" s="305"/>
      <c r="B78" s="306"/>
      <c r="C78" s="448">
        <f t="shared" si="1"/>
        <v>73</v>
      </c>
      <c r="D78" s="451"/>
      <c r="E78" s="454"/>
      <c r="F78" s="457"/>
      <c r="G78" s="451"/>
      <c r="H78" s="451"/>
      <c r="I78" s="451"/>
      <c r="J78" s="466"/>
      <c r="K78" s="351"/>
      <c r="L78" s="305"/>
      <c r="M78" s="460">
        <f t="shared" si="2"/>
        <v>73</v>
      </c>
      <c r="N78" s="462"/>
      <c r="O78" s="463"/>
      <c r="P78" s="464" t="e">
        <v>#N/A</v>
      </c>
      <c r="Q78" s="464" t="e">
        <v>#N/A</v>
      </c>
      <c r="R78" s="464" t="e">
        <v>#N/A</v>
      </c>
      <c r="S78" s="465" t="e">
        <v>#N/A</v>
      </c>
      <c r="T78" s="305"/>
    </row>
    <row r="79">
      <c r="A79" s="305"/>
      <c r="B79" s="306"/>
      <c r="C79" s="448">
        <f t="shared" si="1"/>
        <v>74</v>
      </c>
      <c r="D79" s="451"/>
      <c r="E79" s="454"/>
      <c r="F79" s="457"/>
      <c r="G79" s="451"/>
      <c r="H79" s="451"/>
      <c r="I79" s="451"/>
      <c r="J79" s="466"/>
      <c r="K79" s="351"/>
      <c r="L79" s="305"/>
      <c r="M79" s="460">
        <f t="shared" si="2"/>
        <v>74</v>
      </c>
      <c r="N79" s="462"/>
      <c r="O79" s="463"/>
      <c r="P79" s="464" t="e">
        <v>#N/A</v>
      </c>
      <c r="Q79" s="464" t="e">
        <v>#N/A</v>
      </c>
      <c r="R79" s="464" t="e">
        <v>#N/A</v>
      </c>
      <c r="S79" s="465" t="e">
        <v>#N/A</v>
      </c>
      <c r="T79" s="305"/>
    </row>
    <row r="80">
      <c r="A80" s="305"/>
      <c r="B80" s="306"/>
      <c r="C80" s="448">
        <f t="shared" si="1"/>
        <v>75</v>
      </c>
      <c r="D80" s="451"/>
      <c r="E80" s="454"/>
      <c r="F80" s="457"/>
      <c r="G80" s="451"/>
      <c r="H80" s="451"/>
      <c r="I80" s="451"/>
      <c r="J80" s="466"/>
      <c r="K80" s="351"/>
      <c r="L80" s="305"/>
      <c r="M80" s="460">
        <f t="shared" si="2"/>
        <v>75</v>
      </c>
      <c r="N80" s="462"/>
      <c r="O80" s="463"/>
      <c r="P80" s="464" t="e">
        <v>#N/A</v>
      </c>
      <c r="Q80" s="464" t="e">
        <v>#N/A</v>
      </c>
      <c r="R80" s="464" t="e">
        <v>#N/A</v>
      </c>
      <c r="S80" s="465" t="e">
        <v>#N/A</v>
      </c>
      <c r="T80" s="305"/>
    </row>
    <row r="81">
      <c r="A81" s="305"/>
      <c r="B81" s="306"/>
      <c r="C81" s="448">
        <f t="shared" si="1"/>
        <v>76</v>
      </c>
      <c r="D81" s="451"/>
      <c r="E81" s="454"/>
      <c r="F81" s="457"/>
      <c r="G81" s="451"/>
      <c r="H81" s="451"/>
      <c r="I81" s="451"/>
      <c r="J81" s="466"/>
      <c r="K81" s="351"/>
      <c r="L81" s="305"/>
      <c r="M81" s="460">
        <f t="shared" si="2"/>
        <v>76</v>
      </c>
      <c r="N81" s="462"/>
      <c r="O81" s="463"/>
      <c r="P81" s="464" t="e">
        <v>#N/A</v>
      </c>
      <c r="Q81" s="464" t="e">
        <v>#N/A</v>
      </c>
      <c r="R81" s="464" t="e">
        <v>#N/A</v>
      </c>
      <c r="S81" s="465" t="e">
        <v>#N/A</v>
      </c>
      <c r="T81" s="305"/>
    </row>
    <row r="82">
      <c r="A82" s="305"/>
      <c r="B82" s="306"/>
      <c r="C82" s="448">
        <f t="shared" si="1"/>
        <v>77</v>
      </c>
      <c r="D82" s="451"/>
      <c r="E82" s="454"/>
      <c r="F82" s="457"/>
      <c r="G82" s="451"/>
      <c r="H82" s="451"/>
      <c r="I82" s="451"/>
      <c r="J82" s="466"/>
      <c r="K82" s="351"/>
      <c r="L82" s="305"/>
      <c r="M82" s="460">
        <f t="shared" si="2"/>
        <v>77</v>
      </c>
      <c r="N82" s="462"/>
      <c r="O82" s="463"/>
      <c r="P82" s="464" t="e">
        <v>#N/A</v>
      </c>
      <c r="Q82" s="464" t="e">
        <v>#N/A</v>
      </c>
      <c r="R82" s="464" t="e">
        <v>#N/A</v>
      </c>
      <c r="S82" s="465" t="e">
        <v>#N/A</v>
      </c>
      <c r="T82" s="305"/>
    </row>
    <row r="83">
      <c r="A83" s="305"/>
      <c r="B83" s="306"/>
      <c r="C83" s="448">
        <f t="shared" si="1"/>
        <v>78</v>
      </c>
      <c r="D83" s="451"/>
      <c r="E83" s="454"/>
      <c r="F83" s="457"/>
      <c r="G83" s="451"/>
      <c r="H83" s="451"/>
      <c r="I83" s="451"/>
      <c r="J83" s="466"/>
      <c r="K83" s="351"/>
      <c r="L83" s="305"/>
      <c r="M83" s="460">
        <f t="shared" si="2"/>
        <v>78</v>
      </c>
      <c r="N83" s="462"/>
      <c r="O83" s="463"/>
      <c r="P83" s="464" t="e">
        <v>#N/A</v>
      </c>
      <c r="Q83" s="464" t="e">
        <v>#N/A</v>
      </c>
      <c r="R83" s="464" t="e">
        <v>#N/A</v>
      </c>
      <c r="S83" s="465" t="e">
        <v>#N/A</v>
      </c>
      <c r="T83" s="305"/>
    </row>
    <row r="84">
      <c r="A84" s="305"/>
      <c r="B84" s="306"/>
      <c r="C84" s="448">
        <f t="shared" si="1"/>
        <v>79</v>
      </c>
      <c r="D84" s="451"/>
      <c r="E84" s="454"/>
      <c r="F84" s="457"/>
      <c r="G84" s="451"/>
      <c r="H84" s="451"/>
      <c r="I84" s="451"/>
      <c r="J84" s="466"/>
      <c r="K84" s="351"/>
      <c r="L84" s="305"/>
      <c r="M84" s="460">
        <f t="shared" si="2"/>
        <v>79</v>
      </c>
      <c r="N84" s="462"/>
      <c r="O84" s="463"/>
      <c r="P84" s="464" t="e">
        <v>#N/A</v>
      </c>
      <c r="Q84" s="464" t="e">
        <v>#N/A</v>
      </c>
      <c r="R84" s="464" t="e">
        <v>#N/A</v>
      </c>
      <c r="S84" s="465" t="e">
        <v>#N/A</v>
      </c>
      <c r="T84" s="305"/>
    </row>
    <row r="85">
      <c r="A85" s="305"/>
      <c r="B85" s="306"/>
      <c r="C85" s="448">
        <f t="shared" si="1"/>
        <v>80</v>
      </c>
      <c r="D85" s="451"/>
      <c r="E85" s="454"/>
      <c r="F85" s="457"/>
      <c r="G85" s="451"/>
      <c r="H85" s="451"/>
      <c r="I85" s="451"/>
      <c r="J85" s="466"/>
      <c r="K85" s="351"/>
      <c r="L85" s="305"/>
      <c r="M85" s="460">
        <f t="shared" si="2"/>
        <v>80</v>
      </c>
      <c r="N85" s="462"/>
      <c r="O85" s="463"/>
      <c r="P85" s="464" t="e">
        <v>#N/A</v>
      </c>
      <c r="Q85" s="464" t="e">
        <v>#N/A</v>
      </c>
      <c r="R85" s="464" t="e">
        <v>#N/A</v>
      </c>
      <c r="S85" s="465" t="e">
        <v>#N/A</v>
      </c>
      <c r="T85" s="305"/>
    </row>
    <row r="86">
      <c r="A86" s="305"/>
      <c r="B86" s="306"/>
      <c r="C86" s="448">
        <f t="shared" si="1"/>
        <v>81</v>
      </c>
      <c r="D86" s="451"/>
      <c r="E86" s="454"/>
      <c r="F86" s="457"/>
      <c r="G86" s="451"/>
      <c r="H86" s="451"/>
      <c r="I86" s="451"/>
      <c r="J86" s="466"/>
      <c r="K86" s="351"/>
      <c r="L86" s="305"/>
      <c r="M86" s="460">
        <f t="shared" si="2"/>
        <v>81</v>
      </c>
      <c r="N86" s="462"/>
      <c r="O86" s="463"/>
      <c r="P86" s="464" t="e">
        <v>#N/A</v>
      </c>
      <c r="Q86" s="464" t="e">
        <v>#N/A</v>
      </c>
      <c r="R86" s="464" t="e">
        <v>#N/A</v>
      </c>
      <c r="S86" s="465" t="e">
        <v>#N/A</v>
      </c>
      <c r="T86" s="305"/>
    </row>
    <row r="87">
      <c r="A87" s="305"/>
      <c r="B87" s="306"/>
      <c r="C87" s="448">
        <f t="shared" si="1"/>
        <v>82</v>
      </c>
      <c r="D87" s="451"/>
      <c r="E87" s="454"/>
      <c r="F87" s="457"/>
      <c r="G87" s="451"/>
      <c r="H87" s="451"/>
      <c r="I87" s="451"/>
      <c r="J87" s="466"/>
      <c r="K87" s="351"/>
      <c r="L87" s="305"/>
      <c r="M87" s="460">
        <f t="shared" si="2"/>
        <v>82</v>
      </c>
      <c r="N87" s="462"/>
      <c r="O87" s="463"/>
      <c r="P87" s="464" t="e">
        <v>#N/A</v>
      </c>
      <c r="Q87" s="464" t="e">
        <v>#N/A</v>
      </c>
      <c r="R87" s="464" t="e">
        <v>#N/A</v>
      </c>
      <c r="S87" s="465" t="e">
        <v>#N/A</v>
      </c>
      <c r="T87" s="305"/>
    </row>
    <row r="88">
      <c r="A88" s="305"/>
      <c r="B88" s="306"/>
      <c r="C88" s="448">
        <f t="shared" si="1"/>
        <v>83</v>
      </c>
      <c r="D88" s="451"/>
      <c r="E88" s="454"/>
      <c r="F88" s="457"/>
      <c r="G88" s="451"/>
      <c r="H88" s="451"/>
      <c r="I88" s="451"/>
      <c r="J88" s="466"/>
      <c r="K88" s="351"/>
      <c r="L88" s="305"/>
      <c r="M88" s="460">
        <f t="shared" si="2"/>
        <v>83</v>
      </c>
      <c r="N88" s="462"/>
      <c r="O88" s="463"/>
      <c r="P88" s="464" t="e">
        <v>#N/A</v>
      </c>
      <c r="Q88" s="464" t="e">
        <v>#N/A</v>
      </c>
      <c r="R88" s="464" t="e">
        <v>#N/A</v>
      </c>
      <c r="S88" s="465" t="e">
        <v>#N/A</v>
      </c>
      <c r="T88" s="305"/>
    </row>
    <row r="89">
      <c r="A89" s="305"/>
      <c r="B89" s="306"/>
      <c r="C89" s="448">
        <f t="shared" si="1"/>
        <v>84</v>
      </c>
      <c r="D89" s="451"/>
      <c r="E89" s="454"/>
      <c r="F89" s="457"/>
      <c r="G89" s="451"/>
      <c r="H89" s="451"/>
      <c r="I89" s="451"/>
      <c r="J89" s="466"/>
      <c r="K89" s="351"/>
      <c r="L89" s="305"/>
      <c r="M89" s="460">
        <f t="shared" si="2"/>
        <v>84</v>
      </c>
      <c r="N89" s="462"/>
      <c r="O89" s="463"/>
      <c r="P89" s="464" t="e">
        <v>#N/A</v>
      </c>
      <c r="Q89" s="464" t="e">
        <v>#N/A</v>
      </c>
      <c r="R89" s="464" t="e">
        <v>#N/A</v>
      </c>
      <c r="S89" s="465" t="e">
        <v>#N/A</v>
      </c>
      <c r="T89" s="305"/>
    </row>
    <row r="90">
      <c r="A90" s="305"/>
      <c r="B90" s="306"/>
      <c r="C90" s="448">
        <f t="shared" si="1"/>
        <v>85</v>
      </c>
      <c r="D90" s="451"/>
      <c r="E90" s="454"/>
      <c r="F90" s="457"/>
      <c r="G90" s="451"/>
      <c r="H90" s="451"/>
      <c r="I90" s="451"/>
      <c r="J90" s="466"/>
      <c r="K90" s="351"/>
      <c r="L90" s="305"/>
      <c r="M90" s="460">
        <f t="shared" si="2"/>
        <v>85</v>
      </c>
      <c r="N90" s="462"/>
      <c r="O90" s="463"/>
      <c r="P90" s="464" t="e">
        <v>#N/A</v>
      </c>
      <c r="Q90" s="464" t="e">
        <v>#N/A</v>
      </c>
      <c r="R90" s="464" t="e">
        <v>#N/A</v>
      </c>
      <c r="S90" s="465" t="e">
        <v>#N/A</v>
      </c>
      <c r="T90" s="305"/>
    </row>
    <row r="91">
      <c r="A91" s="305"/>
      <c r="B91" s="306"/>
      <c r="C91" s="448">
        <f t="shared" si="1"/>
        <v>86</v>
      </c>
      <c r="D91" s="451"/>
      <c r="E91" s="454"/>
      <c r="F91" s="457"/>
      <c r="G91" s="451"/>
      <c r="H91" s="451"/>
      <c r="I91" s="451"/>
      <c r="J91" s="466"/>
      <c r="K91" s="351"/>
      <c r="L91" s="305"/>
      <c r="M91" s="460">
        <f t="shared" si="2"/>
        <v>86</v>
      </c>
      <c r="N91" s="462"/>
      <c r="O91" s="463"/>
      <c r="P91" s="464" t="e">
        <v>#N/A</v>
      </c>
      <c r="Q91" s="464" t="e">
        <v>#N/A</v>
      </c>
      <c r="R91" s="464" t="e">
        <v>#N/A</v>
      </c>
      <c r="S91" s="465" t="e">
        <v>#N/A</v>
      </c>
      <c r="T91" s="305"/>
    </row>
    <row r="92">
      <c r="A92" s="305"/>
      <c r="B92" s="306"/>
      <c r="C92" s="448">
        <f t="shared" si="1"/>
        <v>87</v>
      </c>
      <c r="D92" s="451"/>
      <c r="E92" s="454"/>
      <c r="F92" s="457"/>
      <c r="G92" s="451"/>
      <c r="H92" s="451"/>
      <c r="I92" s="451"/>
      <c r="J92" s="466"/>
      <c r="K92" s="351"/>
      <c r="L92" s="305"/>
      <c r="M92" s="460">
        <f t="shared" si="2"/>
        <v>87</v>
      </c>
      <c r="N92" s="462"/>
      <c r="O92" s="463"/>
      <c r="P92" s="464" t="e">
        <v>#N/A</v>
      </c>
      <c r="Q92" s="464" t="e">
        <v>#N/A</v>
      </c>
      <c r="R92" s="464" t="e">
        <v>#N/A</v>
      </c>
      <c r="S92" s="465" t="e">
        <v>#N/A</v>
      </c>
      <c r="T92" s="305"/>
    </row>
    <row r="93">
      <c r="A93" s="305"/>
      <c r="B93" s="306"/>
      <c r="C93" s="448">
        <f t="shared" si="1"/>
        <v>88</v>
      </c>
      <c r="D93" s="451"/>
      <c r="E93" s="454"/>
      <c r="F93" s="457"/>
      <c r="G93" s="451"/>
      <c r="H93" s="451"/>
      <c r="I93" s="451"/>
      <c r="J93" s="466"/>
      <c r="K93" s="351"/>
      <c r="L93" s="305"/>
      <c r="M93" s="460">
        <f t="shared" si="2"/>
        <v>88</v>
      </c>
      <c r="N93" s="462"/>
      <c r="O93" s="463"/>
      <c r="P93" s="464" t="e">
        <v>#N/A</v>
      </c>
      <c r="Q93" s="464" t="e">
        <v>#N/A</v>
      </c>
      <c r="R93" s="464" t="e">
        <v>#N/A</v>
      </c>
      <c r="S93" s="465" t="e">
        <v>#N/A</v>
      </c>
      <c r="T93" s="305"/>
    </row>
    <row r="94">
      <c r="A94" s="305"/>
      <c r="B94" s="306"/>
      <c r="C94" s="448">
        <f t="shared" si="1"/>
        <v>89</v>
      </c>
      <c r="D94" s="451"/>
      <c r="E94" s="454"/>
      <c r="F94" s="457"/>
      <c r="G94" s="451"/>
      <c r="H94" s="451"/>
      <c r="I94" s="451"/>
      <c r="J94" s="466"/>
      <c r="K94" s="351"/>
      <c r="L94" s="305"/>
      <c r="M94" s="460">
        <f t="shared" si="2"/>
        <v>89</v>
      </c>
      <c r="N94" s="462"/>
      <c r="O94" s="463"/>
      <c r="P94" s="464" t="e">
        <v>#N/A</v>
      </c>
      <c r="Q94" s="464" t="e">
        <v>#N/A</v>
      </c>
      <c r="R94" s="464" t="e">
        <v>#N/A</v>
      </c>
      <c r="S94" s="465" t="e">
        <v>#N/A</v>
      </c>
      <c r="T94" s="305"/>
    </row>
    <row r="95">
      <c r="A95" s="305"/>
      <c r="B95" s="306"/>
      <c r="C95" s="448">
        <f t="shared" si="1"/>
        <v>90</v>
      </c>
      <c r="D95" s="451"/>
      <c r="E95" s="454"/>
      <c r="F95" s="457"/>
      <c r="G95" s="451"/>
      <c r="H95" s="451"/>
      <c r="I95" s="451"/>
      <c r="J95" s="466"/>
      <c r="K95" s="351"/>
      <c r="L95" s="305"/>
      <c r="M95" s="460">
        <f t="shared" si="2"/>
        <v>90</v>
      </c>
      <c r="N95" s="462"/>
      <c r="O95" s="463"/>
      <c r="P95" s="464" t="e">
        <v>#N/A</v>
      </c>
      <c r="Q95" s="464" t="e">
        <v>#N/A</v>
      </c>
      <c r="R95" s="464" t="e">
        <v>#N/A</v>
      </c>
      <c r="S95" s="465" t="e">
        <v>#N/A</v>
      </c>
      <c r="T95" s="305"/>
    </row>
    <row r="96">
      <c r="A96" s="305"/>
      <c r="B96" s="306"/>
      <c r="C96" s="448">
        <f t="shared" si="1"/>
        <v>91</v>
      </c>
      <c r="D96" s="451"/>
      <c r="E96" s="454"/>
      <c r="F96" s="457"/>
      <c r="G96" s="451"/>
      <c r="H96" s="451"/>
      <c r="I96" s="451"/>
      <c r="J96" s="466"/>
      <c r="K96" s="351"/>
      <c r="L96" s="305"/>
      <c r="M96" s="460">
        <f t="shared" si="2"/>
        <v>91</v>
      </c>
      <c r="N96" s="462"/>
      <c r="O96" s="463"/>
      <c r="P96" s="464" t="e">
        <v>#N/A</v>
      </c>
      <c r="Q96" s="464" t="e">
        <v>#N/A</v>
      </c>
      <c r="R96" s="464" t="e">
        <v>#N/A</v>
      </c>
      <c r="S96" s="465" t="e">
        <v>#N/A</v>
      </c>
      <c r="T96" s="305"/>
    </row>
    <row r="97">
      <c r="A97" s="305"/>
      <c r="B97" s="306"/>
      <c r="C97" s="448">
        <f t="shared" si="1"/>
        <v>92</v>
      </c>
      <c r="D97" s="451"/>
      <c r="E97" s="454"/>
      <c r="F97" s="457"/>
      <c r="G97" s="451"/>
      <c r="H97" s="451"/>
      <c r="I97" s="451"/>
      <c r="J97" s="466"/>
      <c r="K97" s="351"/>
      <c r="L97" s="305"/>
      <c r="M97" s="460">
        <f t="shared" si="2"/>
        <v>92</v>
      </c>
      <c r="N97" s="462"/>
      <c r="O97" s="463"/>
      <c r="P97" s="464" t="e">
        <v>#N/A</v>
      </c>
      <c r="Q97" s="464" t="e">
        <v>#N/A</v>
      </c>
      <c r="R97" s="464" t="e">
        <v>#N/A</v>
      </c>
      <c r="S97" s="465" t="e">
        <v>#N/A</v>
      </c>
      <c r="T97" s="305"/>
    </row>
    <row r="98">
      <c r="A98" s="305"/>
      <c r="B98" s="306"/>
      <c r="C98" s="448">
        <f t="shared" si="1"/>
        <v>93</v>
      </c>
      <c r="D98" s="451"/>
      <c r="E98" s="454"/>
      <c r="F98" s="457"/>
      <c r="G98" s="451"/>
      <c r="H98" s="451"/>
      <c r="I98" s="451"/>
      <c r="J98" s="466"/>
      <c r="K98" s="351"/>
      <c r="L98" s="305"/>
      <c r="M98" s="460">
        <f t="shared" si="2"/>
        <v>93</v>
      </c>
      <c r="N98" s="462"/>
      <c r="O98" s="463"/>
      <c r="P98" s="464" t="e">
        <v>#N/A</v>
      </c>
      <c r="Q98" s="464" t="e">
        <v>#N/A</v>
      </c>
      <c r="R98" s="464" t="e">
        <v>#N/A</v>
      </c>
      <c r="S98" s="465" t="e">
        <v>#N/A</v>
      </c>
      <c r="T98" s="305"/>
    </row>
    <row r="99">
      <c r="A99" s="305"/>
      <c r="B99" s="306"/>
      <c r="C99" s="448">
        <f t="shared" si="1"/>
        <v>94</v>
      </c>
      <c r="D99" s="451"/>
      <c r="E99" s="454"/>
      <c r="F99" s="457"/>
      <c r="G99" s="451"/>
      <c r="H99" s="451"/>
      <c r="I99" s="451"/>
      <c r="J99" s="466"/>
      <c r="K99" s="351"/>
      <c r="L99" s="305"/>
      <c r="M99" s="460">
        <f t="shared" si="2"/>
        <v>94</v>
      </c>
      <c r="N99" s="462"/>
      <c r="O99" s="463"/>
      <c r="P99" s="464" t="e">
        <v>#N/A</v>
      </c>
      <c r="Q99" s="464" t="e">
        <v>#N/A</v>
      </c>
      <c r="R99" s="464" t="e">
        <v>#N/A</v>
      </c>
      <c r="S99" s="465" t="e">
        <v>#N/A</v>
      </c>
      <c r="T99" s="305"/>
    </row>
    <row r="100">
      <c r="A100" s="305"/>
      <c r="B100" s="306"/>
      <c r="C100" s="448">
        <f t="shared" si="1"/>
        <v>95</v>
      </c>
      <c r="D100" s="451"/>
      <c r="E100" s="454"/>
      <c r="F100" s="457"/>
      <c r="G100" s="451"/>
      <c r="H100" s="451"/>
      <c r="I100" s="451"/>
      <c r="J100" s="466"/>
      <c r="K100" s="351"/>
      <c r="L100" s="305"/>
      <c r="M100" s="460">
        <f t="shared" si="2"/>
        <v>95</v>
      </c>
      <c r="N100" s="462"/>
      <c r="O100" s="463"/>
      <c r="P100" s="464" t="e">
        <v>#N/A</v>
      </c>
      <c r="Q100" s="464" t="e">
        <v>#N/A</v>
      </c>
      <c r="R100" s="464" t="e">
        <v>#N/A</v>
      </c>
      <c r="S100" s="465" t="e">
        <v>#N/A</v>
      </c>
      <c r="T100" s="305"/>
    </row>
    <row r="101">
      <c r="A101" s="305"/>
      <c r="B101" s="306"/>
      <c r="C101" s="448">
        <f t="shared" si="1"/>
        <v>96</v>
      </c>
      <c r="D101" s="451"/>
      <c r="E101" s="454"/>
      <c r="F101" s="457"/>
      <c r="G101" s="451"/>
      <c r="H101" s="451"/>
      <c r="I101" s="451"/>
      <c r="J101" s="466"/>
      <c r="K101" s="351"/>
      <c r="L101" s="305"/>
      <c r="M101" s="460">
        <f t="shared" si="2"/>
        <v>96</v>
      </c>
      <c r="N101" s="462"/>
      <c r="O101" s="463"/>
      <c r="P101" s="464" t="e">
        <v>#N/A</v>
      </c>
      <c r="Q101" s="464" t="e">
        <v>#N/A</v>
      </c>
      <c r="R101" s="464" t="e">
        <v>#N/A</v>
      </c>
      <c r="S101" s="465" t="e">
        <v>#N/A</v>
      </c>
      <c r="T101" s="305"/>
    </row>
    <row r="102">
      <c r="A102" s="305"/>
      <c r="B102" s="306"/>
      <c r="C102" s="448">
        <f t="shared" si="1"/>
        <v>97</v>
      </c>
      <c r="D102" s="451"/>
      <c r="E102" s="454"/>
      <c r="F102" s="457"/>
      <c r="G102" s="451"/>
      <c r="H102" s="451"/>
      <c r="I102" s="451"/>
      <c r="J102" s="466"/>
      <c r="K102" s="351"/>
      <c r="L102" s="305"/>
      <c r="M102" s="460">
        <f t="shared" si="2"/>
        <v>97</v>
      </c>
      <c r="N102" s="462"/>
      <c r="O102" s="463"/>
      <c r="P102" s="464" t="e">
        <v>#N/A</v>
      </c>
      <c r="Q102" s="464" t="e">
        <v>#N/A</v>
      </c>
      <c r="R102" s="464" t="e">
        <v>#N/A</v>
      </c>
      <c r="S102" s="465" t="e">
        <v>#N/A</v>
      </c>
      <c r="T102" s="305"/>
    </row>
    <row r="103">
      <c r="A103" s="305"/>
      <c r="B103" s="306"/>
      <c r="C103" s="448">
        <f t="shared" si="1"/>
        <v>98</v>
      </c>
      <c r="D103" s="451"/>
      <c r="E103" s="454"/>
      <c r="F103" s="457"/>
      <c r="G103" s="451"/>
      <c r="H103" s="451"/>
      <c r="I103" s="451"/>
      <c r="J103" s="466"/>
      <c r="K103" s="351"/>
      <c r="L103" s="305"/>
      <c r="M103" s="460">
        <f t="shared" si="2"/>
        <v>98</v>
      </c>
      <c r="N103" s="462"/>
      <c r="O103" s="463"/>
      <c r="P103" s="464" t="e">
        <v>#N/A</v>
      </c>
      <c r="Q103" s="464" t="e">
        <v>#N/A</v>
      </c>
      <c r="R103" s="464" t="e">
        <v>#N/A</v>
      </c>
      <c r="S103" s="465" t="e">
        <v>#N/A</v>
      </c>
      <c r="T103" s="305"/>
    </row>
    <row r="104">
      <c r="A104" s="305"/>
      <c r="B104" s="306"/>
      <c r="C104" s="448">
        <f t="shared" si="1"/>
        <v>99</v>
      </c>
      <c r="D104" s="451"/>
      <c r="E104" s="454"/>
      <c r="F104" s="457"/>
      <c r="G104" s="451"/>
      <c r="H104" s="451"/>
      <c r="I104" s="451"/>
      <c r="J104" s="466"/>
      <c r="K104" s="351"/>
      <c r="L104" s="305"/>
      <c r="M104" s="460">
        <f t="shared" si="2"/>
        <v>99</v>
      </c>
      <c r="N104" s="462"/>
      <c r="O104" s="463"/>
      <c r="P104" s="464" t="e">
        <v>#N/A</v>
      </c>
      <c r="Q104" s="464" t="e">
        <v>#N/A</v>
      </c>
      <c r="R104" s="464" t="e">
        <v>#N/A</v>
      </c>
      <c r="S104" s="465" t="e">
        <v>#N/A</v>
      </c>
      <c r="T104" s="305"/>
    </row>
    <row r="105">
      <c r="A105" s="305"/>
      <c r="B105" s="306"/>
      <c r="C105" s="448">
        <f t="shared" si="1"/>
        <v>100</v>
      </c>
      <c r="D105" s="451"/>
      <c r="E105" s="454"/>
      <c r="F105" s="457"/>
      <c r="G105" s="451"/>
      <c r="H105" s="451"/>
      <c r="I105" s="451"/>
      <c r="J105" s="466"/>
      <c r="K105" s="351"/>
      <c r="L105" s="305"/>
      <c r="M105" s="460">
        <f t="shared" si="2"/>
        <v>100</v>
      </c>
      <c r="N105" s="462"/>
      <c r="O105" s="463"/>
      <c r="P105" s="464" t="e">
        <v>#N/A</v>
      </c>
      <c r="Q105" s="464" t="e">
        <v>#N/A</v>
      </c>
      <c r="R105" s="464" t="e">
        <v>#N/A</v>
      </c>
      <c r="S105" s="465" t="e">
        <v>#N/A</v>
      </c>
      <c r="T105" s="305"/>
    </row>
    <row r="106">
      <c r="A106" s="305"/>
      <c r="B106" s="306"/>
      <c r="C106" s="448">
        <f t="shared" si="1"/>
        <v>101</v>
      </c>
      <c r="D106" s="451"/>
      <c r="E106" s="454"/>
      <c r="F106" s="457"/>
      <c r="G106" s="451"/>
      <c r="H106" s="451"/>
      <c r="I106" s="451"/>
      <c r="J106" s="466"/>
      <c r="K106" s="351"/>
      <c r="L106" s="305"/>
      <c r="M106" s="460">
        <f t="shared" si="2"/>
        <v>101</v>
      </c>
      <c r="N106" s="462"/>
      <c r="O106" s="463"/>
      <c r="P106" s="464" t="e">
        <v>#N/A</v>
      </c>
      <c r="Q106" s="464" t="e">
        <v>#N/A</v>
      </c>
      <c r="R106" s="464" t="e">
        <v>#N/A</v>
      </c>
      <c r="S106" s="465" t="e">
        <v>#N/A</v>
      </c>
      <c r="T106" s="305"/>
    </row>
    <row r="107">
      <c r="A107" s="305"/>
      <c r="B107" s="306"/>
      <c r="C107" s="448">
        <f t="shared" si="1"/>
        <v>102</v>
      </c>
      <c r="D107" s="451"/>
      <c r="E107" s="454"/>
      <c r="F107" s="457"/>
      <c r="G107" s="451"/>
      <c r="H107" s="451"/>
      <c r="I107" s="451"/>
      <c r="J107" s="466"/>
      <c r="K107" s="351"/>
      <c r="L107" s="305"/>
      <c r="M107" s="460">
        <f t="shared" si="2"/>
        <v>102</v>
      </c>
      <c r="N107" s="462"/>
      <c r="O107" s="463"/>
      <c r="P107" s="464" t="e">
        <v>#N/A</v>
      </c>
      <c r="Q107" s="464" t="e">
        <v>#N/A</v>
      </c>
      <c r="R107" s="464" t="e">
        <v>#N/A</v>
      </c>
      <c r="S107" s="465" t="e">
        <v>#N/A</v>
      </c>
      <c r="T107" s="305"/>
    </row>
    <row r="108">
      <c r="A108" s="305"/>
      <c r="B108" s="306"/>
      <c r="C108" s="448">
        <f t="shared" si="1"/>
        <v>103</v>
      </c>
      <c r="D108" s="451"/>
      <c r="E108" s="454"/>
      <c r="F108" s="457"/>
      <c r="G108" s="451"/>
      <c r="H108" s="451"/>
      <c r="I108" s="451"/>
      <c r="J108" s="466"/>
      <c r="K108" s="351"/>
      <c r="L108" s="305"/>
      <c r="M108" s="460">
        <f t="shared" si="2"/>
        <v>103</v>
      </c>
      <c r="N108" s="462"/>
      <c r="O108" s="463"/>
      <c r="P108" s="464" t="e">
        <v>#N/A</v>
      </c>
      <c r="Q108" s="464" t="e">
        <v>#N/A</v>
      </c>
      <c r="R108" s="464" t="e">
        <v>#N/A</v>
      </c>
      <c r="S108" s="465" t="e">
        <v>#N/A</v>
      </c>
      <c r="T108" s="305"/>
    </row>
    <row r="109">
      <c r="A109" s="305"/>
      <c r="B109" s="306"/>
      <c r="C109" s="448">
        <f t="shared" si="1"/>
        <v>104</v>
      </c>
      <c r="D109" s="451"/>
      <c r="E109" s="454"/>
      <c r="F109" s="457"/>
      <c r="G109" s="451"/>
      <c r="H109" s="451"/>
      <c r="I109" s="451"/>
      <c r="J109" s="466"/>
      <c r="K109" s="351"/>
      <c r="L109" s="305"/>
      <c r="M109" s="460">
        <f t="shared" si="2"/>
        <v>104</v>
      </c>
      <c r="N109" s="462"/>
      <c r="O109" s="463"/>
      <c r="P109" s="464" t="e">
        <v>#N/A</v>
      </c>
      <c r="Q109" s="464" t="e">
        <v>#N/A</v>
      </c>
      <c r="R109" s="464" t="e">
        <v>#N/A</v>
      </c>
      <c r="S109" s="465" t="e">
        <v>#N/A</v>
      </c>
      <c r="T109" s="305"/>
    </row>
    <row r="110">
      <c r="A110" s="305"/>
      <c r="B110" s="306"/>
      <c r="C110" s="448">
        <f t="shared" si="1"/>
        <v>105</v>
      </c>
      <c r="D110" s="451"/>
      <c r="E110" s="454"/>
      <c r="F110" s="457"/>
      <c r="G110" s="451"/>
      <c r="H110" s="451"/>
      <c r="I110" s="451"/>
      <c r="J110" s="466"/>
      <c r="K110" s="351"/>
      <c r="L110" s="305"/>
      <c r="M110" s="460">
        <f t="shared" si="2"/>
        <v>105</v>
      </c>
      <c r="N110" s="462"/>
      <c r="O110" s="463"/>
      <c r="P110" s="464" t="e">
        <v>#N/A</v>
      </c>
      <c r="Q110" s="464" t="e">
        <v>#N/A</v>
      </c>
      <c r="R110" s="464" t="e">
        <v>#N/A</v>
      </c>
      <c r="S110" s="465" t="e">
        <v>#N/A</v>
      </c>
      <c r="T110" s="305"/>
    </row>
    <row r="111">
      <c r="A111" s="305"/>
      <c r="B111" s="306"/>
      <c r="C111" s="448">
        <f t="shared" si="1"/>
        <v>106</v>
      </c>
      <c r="D111" s="451"/>
      <c r="E111" s="454"/>
      <c r="F111" s="457"/>
      <c r="G111" s="451"/>
      <c r="H111" s="451"/>
      <c r="I111" s="451"/>
      <c r="J111" s="466"/>
      <c r="K111" s="351"/>
      <c r="L111" s="305"/>
      <c r="M111" s="460">
        <f t="shared" si="2"/>
        <v>106</v>
      </c>
      <c r="N111" s="462"/>
      <c r="O111" s="463"/>
      <c r="P111" s="464" t="e">
        <v>#N/A</v>
      </c>
      <c r="Q111" s="464" t="e">
        <v>#N/A</v>
      </c>
      <c r="R111" s="464" t="e">
        <v>#N/A</v>
      </c>
      <c r="S111" s="465" t="e">
        <v>#N/A</v>
      </c>
      <c r="T111" s="305"/>
    </row>
    <row r="112">
      <c r="A112" s="305"/>
      <c r="B112" s="306"/>
      <c r="C112" s="448">
        <f t="shared" si="1"/>
        <v>107</v>
      </c>
      <c r="D112" s="451"/>
      <c r="E112" s="454"/>
      <c r="F112" s="457"/>
      <c r="G112" s="451"/>
      <c r="H112" s="451"/>
      <c r="I112" s="451"/>
      <c r="J112" s="466"/>
      <c r="K112" s="351"/>
      <c r="L112" s="305"/>
      <c r="M112" s="460">
        <f t="shared" si="2"/>
        <v>107</v>
      </c>
      <c r="N112" s="462"/>
      <c r="O112" s="463"/>
      <c r="P112" s="464" t="e">
        <v>#N/A</v>
      </c>
      <c r="Q112" s="464" t="e">
        <v>#N/A</v>
      </c>
      <c r="R112" s="464" t="e">
        <v>#N/A</v>
      </c>
      <c r="S112" s="465" t="e">
        <v>#N/A</v>
      </c>
      <c r="T112" s="305"/>
    </row>
    <row r="113">
      <c r="A113" s="305"/>
      <c r="B113" s="306"/>
      <c r="C113" s="448">
        <f t="shared" si="1"/>
        <v>108</v>
      </c>
      <c r="D113" s="451"/>
      <c r="E113" s="454"/>
      <c r="F113" s="457"/>
      <c r="G113" s="451"/>
      <c r="H113" s="451"/>
      <c r="I113" s="451"/>
      <c r="J113" s="466"/>
      <c r="K113" s="351"/>
      <c r="L113" s="305"/>
      <c r="M113" s="460">
        <f t="shared" si="2"/>
        <v>108</v>
      </c>
      <c r="N113" s="462"/>
      <c r="O113" s="463"/>
      <c r="P113" s="464" t="e">
        <v>#N/A</v>
      </c>
      <c r="Q113" s="464" t="e">
        <v>#N/A</v>
      </c>
      <c r="R113" s="464" t="e">
        <v>#N/A</v>
      </c>
      <c r="S113" s="465" t="e">
        <v>#N/A</v>
      </c>
      <c r="T113" s="305"/>
    </row>
    <row r="114">
      <c r="A114" s="305"/>
      <c r="B114" s="306"/>
      <c r="C114" s="448">
        <f t="shared" si="1"/>
        <v>109</v>
      </c>
      <c r="D114" s="451"/>
      <c r="E114" s="454"/>
      <c r="F114" s="457"/>
      <c r="G114" s="451"/>
      <c r="H114" s="451"/>
      <c r="I114" s="451"/>
      <c r="J114" s="466"/>
      <c r="K114" s="351"/>
      <c r="L114" s="305"/>
      <c r="M114" s="460">
        <f t="shared" si="2"/>
        <v>109</v>
      </c>
      <c r="N114" s="462"/>
      <c r="O114" s="463"/>
      <c r="P114" s="464" t="e">
        <v>#N/A</v>
      </c>
      <c r="Q114" s="464" t="e">
        <v>#N/A</v>
      </c>
      <c r="R114" s="464" t="e">
        <v>#N/A</v>
      </c>
      <c r="S114" s="465" t="e">
        <v>#N/A</v>
      </c>
      <c r="T114" s="305"/>
    </row>
    <row r="115">
      <c r="A115" s="305"/>
      <c r="B115" s="306"/>
      <c r="C115" s="448">
        <f t="shared" si="1"/>
        <v>110</v>
      </c>
      <c r="D115" s="451"/>
      <c r="E115" s="454"/>
      <c r="F115" s="457"/>
      <c r="G115" s="451"/>
      <c r="H115" s="451"/>
      <c r="I115" s="451"/>
      <c r="J115" s="466"/>
      <c r="K115" s="351"/>
      <c r="L115" s="305"/>
      <c r="M115" s="460">
        <f t="shared" si="2"/>
        <v>110</v>
      </c>
      <c r="N115" s="462"/>
      <c r="O115" s="463"/>
      <c r="P115" s="464" t="e">
        <v>#N/A</v>
      </c>
      <c r="Q115" s="464" t="e">
        <v>#N/A</v>
      </c>
      <c r="R115" s="464" t="e">
        <v>#N/A</v>
      </c>
      <c r="S115" s="465" t="e">
        <v>#N/A</v>
      </c>
      <c r="T115" s="305"/>
    </row>
    <row r="116">
      <c r="A116" s="305"/>
      <c r="B116" s="306"/>
      <c r="C116" s="448">
        <f t="shared" si="1"/>
        <v>111</v>
      </c>
      <c r="D116" s="451"/>
      <c r="E116" s="454"/>
      <c r="F116" s="457"/>
      <c r="G116" s="451"/>
      <c r="H116" s="451"/>
      <c r="I116" s="451"/>
      <c r="J116" s="466"/>
      <c r="K116" s="351"/>
      <c r="L116" s="305"/>
      <c r="M116" s="460">
        <f t="shared" si="2"/>
        <v>111</v>
      </c>
      <c r="N116" s="462"/>
      <c r="O116" s="463"/>
      <c r="P116" s="464" t="e">
        <v>#N/A</v>
      </c>
      <c r="Q116" s="464" t="e">
        <v>#N/A</v>
      </c>
      <c r="R116" s="464" t="e">
        <v>#N/A</v>
      </c>
      <c r="S116" s="465" t="e">
        <v>#N/A</v>
      </c>
      <c r="T116" s="305"/>
    </row>
    <row r="117">
      <c r="A117" s="305"/>
      <c r="B117" s="306"/>
      <c r="C117" s="448">
        <f t="shared" si="1"/>
        <v>112</v>
      </c>
      <c r="D117" s="451"/>
      <c r="E117" s="454"/>
      <c r="F117" s="457"/>
      <c r="G117" s="451"/>
      <c r="H117" s="451"/>
      <c r="I117" s="451"/>
      <c r="J117" s="466"/>
      <c r="K117" s="351"/>
      <c r="L117" s="305"/>
      <c r="M117" s="460">
        <f t="shared" si="2"/>
        <v>112</v>
      </c>
      <c r="N117" s="462"/>
      <c r="O117" s="463"/>
      <c r="P117" s="464" t="e">
        <v>#N/A</v>
      </c>
      <c r="Q117" s="464" t="e">
        <v>#N/A</v>
      </c>
      <c r="R117" s="464" t="e">
        <v>#N/A</v>
      </c>
      <c r="S117" s="465" t="e">
        <v>#N/A</v>
      </c>
      <c r="T117" s="305"/>
    </row>
    <row r="118">
      <c r="A118" s="305"/>
      <c r="B118" s="306"/>
      <c r="C118" s="448">
        <f t="shared" si="1"/>
        <v>113</v>
      </c>
      <c r="D118" s="451"/>
      <c r="E118" s="454"/>
      <c r="F118" s="457"/>
      <c r="G118" s="451"/>
      <c r="H118" s="451"/>
      <c r="I118" s="451"/>
      <c r="J118" s="466"/>
      <c r="K118" s="351"/>
      <c r="L118" s="305"/>
      <c r="M118" s="460">
        <f t="shared" si="2"/>
        <v>113</v>
      </c>
      <c r="N118" s="462"/>
      <c r="O118" s="463"/>
      <c r="P118" s="464" t="e">
        <v>#N/A</v>
      </c>
      <c r="Q118" s="464" t="e">
        <v>#N/A</v>
      </c>
      <c r="R118" s="464" t="e">
        <v>#N/A</v>
      </c>
      <c r="S118" s="465" t="e">
        <v>#N/A</v>
      </c>
      <c r="T118" s="305"/>
    </row>
    <row r="119">
      <c r="A119" s="305"/>
      <c r="B119" s="306"/>
      <c r="C119" s="448">
        <f t="shared" si="1"/>
        <v>114</v>
      </c>
      <c r="D119" s="451"/>
      <c r="E119" s="454"/>
      <c r="F119" s="457"/>
      <c r="G119" s="451"/>
      <c r="H119" s="451"/>
      <c r="I119" s="451"/>
      <c r="J119" s="466"/>
      <c r="K119" s="351"/>
      <c r="L119" s="305"/>
      <c r="M119" s="460">
        <f t="shared" si="2"/>
        <v>114</v>
      </c>
      <c r="N119" s="462"/>
      <c r="O119" s="463"/>
      <c r="P119" s="464" t="e">
        <v>#N/A</v>
      </c>
      <c r="Q119" s="464" t="e">
        <v>#N/A</v>
      </c>
      <c r="R119" s="464" t="e">
        <v>#N/A</v>
      </c>
      <c r="S119" s="465" t="e">
        <v>#N/A</v>
      </c>
      <c r="T119" s="305"/>
    </row>
    <row r="120">
      <c r="A120" s="305"/>
      <c r="B120" s="306"/>
      <c r="C120" s="448">
        <f t="shared" si="1"/>
        <v>115</v>
      </c>
      <c r="D120" s="451"/>
      <c r="E120" s="454"/>
      <c r="F120" s="457"/>
      <c r="G120" s="451"/>
      <c r="H120" s="451"/>
      <c r="I120" s="451"/>
      <c r="J120" s="466"/>
      <c r="K120" s="351"/>
      <c r="L120" s="305"/>
      <c r="M120" s="460">
        <f t="shared" si="2"/>
        <v>115</v>
      </c>
      <c r="N120" s="462"/>
      <c r="O120" s="463"/>
      <c r="P120" s="464" t="e">
        <v>#N/A</v>
      </c>
      <c r="Q120" s="464" t="e">
        <v>#N/A</v>
      </c>
      <c r="R120" s="464" t="e">
        <v>#N/A</v>
      </c>
      <c r="S120" s="465" t="e">
        <v>#N/A</v>
      </c>
      <c r="T120" s="305"/>
    </row>
    <row r="121">
      <c r="A121" s="305"/>
      <c r="B121" s="306"/>
      <c r="C121" s="448">
        <f t="shared" si="1"/>
        <v>116</v>
      </c>
      <c r="D121" s="451"/>
      <c r="E121" s="454"/>
      <c r="F121" s="457"/>
      <c r="G121" s="451"/>
      <c r="H121" s="451"/>
      <c r="I121" s="451"/>
      <c r="J121" s="466"/>
      <c r="K121" s="351"/>
      <c r="L121" s="305"/>
      <c r="M121" s="460">
        <f t="shared" si="2"/>
        <v>116</v>
      </c>
      <c r="N121" s="462"/>
      <c r="O121" s="463"/>
      <c r="P121" s="464" t="e">
        <v>#N/A</v>
      </c>
      <c r="Q121" s="464" t="e">
        <v>#N/A</v>
      </c>
      <c r="R121" s="464" t="e">
        <v>#N/A</v>
      </c>
      <c r="S121" s="465" t="e">
        <v>#N/A</v>
      </c>
      <c r="T121" s="305"/>
    </row>
    <row r="122">
      <c r="A122" s="305"/>
      <c r="B122" s="306"/>
      <c r="C122" s="448">
        <f t="shared" si="1"/>
        <v>117</v>
      </c>
      <c r="D122" s="451"/>
      <c r="E122" s="454"/>
      <c r="F122" s="457"/>
      <c r="G122" s="451"/>
      <c r="H122" s="451"/>
      <c r="I122" s="451"/>
      <c r="J122" s="466"/>
      <c r="K122" s="351"/>
      <c r="L122" s="305"/>
      <c r="M122" s="460">
        <f t="shared" si="2"/>
        <v>117</v>
      </c>
      <c r="N122" s="462"/>
      <c r="O122" s="463"/>
      <c r="P122" s="464" t="e">
        <v>#N/A</v>
      </c>
      <c r="Q122" s="464" t="e">
        <v>#N/A</v>
      </c>
      <c r="R122" s="464" t="e">
        <v>#N/A</v>
      </c>
      <c r="S122" s="465" t="e">
        <v>#N/A</v>
      </c>
      <c r="T122" s="305"/>
    </row>
    <row r="123">
      <c r="A123" s="305"/>
      <c r="B123" s="306"/>
      <c r="C123" s="448">
        <f t="shared" si="1"/>
        <v>118</v>
      </c>
      <c r="D123" s="451"/>
      <c r="E123" s="454"/>
      <c r="F123" s="457"/>
      <c r="G123" s="451"/>
      <c r="H123" s="451"/>
      <c r="I123" s="451"/>
      <c r="J123" s="466"/>
      <c r="K123" s="351"/>
      <c r="L123" s="305"/>
      <c r="M123" s="460">
        <f t="shared" si="2"/>
        <v>118</v>
      </c>
      <c r="N123" s="462"/>
      <c r="O123" s="463"/>
      <c r="P123" s="464" t="e">
        <v>#N/A</v>
      </c>
      <c r="Q123" s="464" t="e">
        <v>#N/A</v>
      </c>
      <c r="R123" s="464" t="e">
        <v>#N/A</v>
      </c>
      <c r="S123" s="465" t="e">
        <v>#N/A</v>
      </c>
      <c r="T123" s="305"/>
    </row>
    <row r="124">
      <c r="A124" s="305"/>
      <c r="B124" s="306"/>
      <c r="C124" s="448">
        <f t="shared" si="1"/>
        <v>119</v>
      </c>
      <c r="D124" s="451"/>
      <c r="E124" s="454"/>
      <c r="F124" s="457"/>
      <c r="G124" s="451"/>
      <c r="H124" s="451"/>
      <c r="I124" s="451"/>
      <c r="J124" s="466"/>
      <c r="K124" s="351"/>
      <c r="L124" s="305"/>
      <c r="M124" s="460">
        <f t="shared" si="2"/>
        <v>119</v>
      </c>
      <c r="N124" s="462"/>
      <c r="O124" s="463"/>
      <c r="P124" s="464" t="e">
        <v>#N/A</v>
      </c>
      <c r="Q124" s="464" t="e">
        <v>#N/A</v>
      </c>
      <c r="R124" s="464" t="e">
        <v>#N/A</v>
      </c>
      <c r="S124" s="465" t="e">
        <v>#N/A</v>
      </c>
      <c r="T124" s="305"/>
    </row>
    <row r="125">
      <c r="A125" s="305"/>
      <c r="B125" s="306"/>
      <c r="C125" s="448">
        <f t="shared" si="1"/>
        <v>120</v>
      </c>
      <c r="D125" s="451"/>
      <c r="E125" s="454"/>
      <c r="F125" s="457"/>
      <c r="G125" s="451"/>
      <c r="H125" s="451"/>
      <c r="I125" s="451"/>
      <c r="J125" s="466"/>
      <c r="K125" s="351"/>
      <c r="L125" s="305"/>
      <c r="M125" s="460">
        <f t="shared" si="2"/>
        <v>120</v>
      </c>
      <c r="N125" s="462"/>
      <c r="O125" s="463"/>
      <c r="P125" s="464" t="e">
        <v>#N/A</v>
      </c>
      <c r="Q125" s="464" t="e">
        <v>#N/A</v>
      </c>
      <c r="R125" s="464" t="e">
        <v>#N/A</v>
      </c>
      <c r="S125" s="465" t="e">
        <v>#N/A</v>
      </c>
      <c r="T125" s="305"/>
    </row>
    <row r="126">
      <c r="A126" s="305"/>
      <c r="B126" s="306"/>
      <c r="C126" s="448">
        <f t="shared" si="1"/>
        <v>121</v>
      </c>
      <c r="D126" s="451"/>
      <c r="E126" s="454"/>
      <c r="F126" s="457"/>
      <c r="G126" s="451"/>
      <c r="H126" s="451"/>
      <c r="I126" s="451"/>
      <c r="J126" s="466"/>
      <c r="K126" s="351"/>
      <c r="L126" s="305"/>
      <c r="M126" s="460">
        <f t="shared" si="2"/>
        <v>121</v>
      </c>
      <c r="N126" s="462"/>
      <c r="O126" s="463"/>
      <c r="P126" s="464" t="e">
        <v>#N/A</v>
      </c>
      <c r="Q126" s="464" t="e">
        <v>#N/A</v>
      </c>
      <c r="R126" s="464" t="e">
        <v>#N/A</v>
      </c>
      <c r="S126" s="465" t="e">
        <v>#N/A</v>
      </c>
      <c r="T126" s="305"/>
    </row>
    <row r="127">
      <c r="A127" s="305"/>
      <c r="B127" s="306"/>
      <c r="C127" s="448">
        <f t="shared" si="1"/>
        <v>122</v>
      </c>
      <c r="D127" s="451"/>
      <c r="E127" s="454"/>
      <c r="F127" s="457"/>
      <c r="G127" s="451"/>
      <c r="H127" s="451"/>
      <c r="I127" s="451"/>
      <c r="J127" s="466"/>
      <c r="K127" s="351"/>
      <c r="L127" s="305"/>
      <c r="M127" s="460">
        <f t="shared" si="2"/>
        <v>122</v>
      </c>
      <c r="N127" s="462"/>
      <c r="O127" s="463"/>
      <c r="P127" s="464" t="e">
        <v>#N/A</v>
      </c>
      <c r="Q127" s="464" t="e">
        <v>#N/A</v>
      </c>
      <c r="R127" s="464" t="e">
        <v>#N/A</v>
      </c>
      <c r="S127" s="465" t="e">
        <v>#N/A</v>
      </c>
      <c r="T127" s="305"/>
    </row>
    <row r="128">
      <c r="A128" s="305"/>
      <c r="B128" s="306"/>
      <c r="C128" s="448">
        <f t="shared" si="1"/>
        <v>123</v>
      </c>
      <c r="D128" s="451"/>
      <c r="E128" s="454"/>
      <c r="F128" s="457"/>
      <c r="G128" s="451"/>
      <c r="H128" s="451"/>
      <c r="I128" s="451"/>
      <c r="J128" s="466"/>
      <c r="K128" s="351"/>
      <c r="L128" s="305"/>
      <c r="M128" s="460">
        <f t="shared" si="2"/>
        <v>123</v>
      </c>
      <c r="N128" s="462"/>
      <c r="O128" s="463"/>
      <c r="P128" s="464" t="e">
        <v>#N/A</v>
      </c>
      <c r="Q128" s="464" t="e">
        <v>#N/A</v>
      </c>
      <c r="R128" s="464" t="e">
        <v>#N/A</v>
      </c>
      <c r="S128" s="465" t="e">
        <v>#N/A</v>
      </c>
      <c r="T128" s="305"/>
    </row>
    <row r="129">
      <c r="A129" s="305"/>
      <c r="B129" s="306"/>
      <c r="C129" s="448">
        <f t="shared" si="1"/>
        <v>124</v>
      </c>
      <c r="D129" s="451"/>
      <c r="E129" s="454"/>
      <c r="F129" s="457"/>
      <c r="G129" s="451"/>
      <c r="H129" s="451"/>
      <c r="I129" s="451"/>
      <c r="J129" s="466"/>
      <c r="K129" s="351"/>
      <c r="L129" s="305"/>
      <c r="M129" s="460">
        <f t="shared" si="2"/>
        <v>124</v>
      </c>
      <c r="N129" s="462"/>
      <c r="O129" s="463"/>
      <c r="P129" s="464" t="e">
        <v>#N/A</v>
      </c>
      <c r="Q129" s="464" t="e">
        <v>#N/A</v>
      </c>
      <c r="R129" s="464" t="e">
        <v>#N/A</v>
      </c>
      <c r="S129" s="465" t="e">
        <v>#N/A</v>
      </c>
      <c r="T129" s="305"/>
    </row>
    <row r="130">
      <c r="A130" s="305"/>
      <c r="B130" s="306"/>
      <c r="C130" s="448">
        <f t="shared" si="1"/>
        <v>125</v>
      </c>
      <c r="D130" s="451"/>
      <c r="E130" s="454"/>
      <c r="F130" s="457"/>
      <c r="G130" s="451"/>
      <c r="H130" s="451"/>
      <c r="I130" s="451"/>
      <c r="J130" s="466"/>
      <c r="K130" s="351"/>
      <c r="L130" s="305"/>
      <c r="M130" s="460">
        <f t="shared" si="2"/>
        <v>125</v>
      </c>
      <c r="N130" s="462"/>
      <c r="O130" s="463"/>
      <c r="P130" s="464" t="e">
        <v>#N/A</v>
      </c>
      <c r="Q130" s="464" t="e">
        <v>#N/A</v>
      </c>
      <c r="R130" s="464" t="e">
        <v>#N/A</v>
      </c>
      <c r="S130" s="465" t="e">
        <v>#N/A</v>
      </c>
      <c r="T130" s="305"/>
    </row>
    <row r="131">
      <c r="A131" s="305"/>
      <c r="B131" s="306"/>
      <c r="C131" s="448">
        <f t="shared" si="1"/>
        <v>126</v>
      </c>
      <c r="D131" s="451"/>
      <c r="E131" s="454"/>
      <c r="F131" s="457"/>
      <c r="G131" s="451"/>
      <c r="H131" s="451"/>
      <c r="I131" s="451"/>
      <c r="J131" s="466"/>
      <c r="K131" s="351"/>
      <c r="L131" s="305"/>
      <c r="M131" s="460">
        <f t="shared" si="2"/>
        <v>126</v>
      </c>
      <c r="N131" s="462"/>
      <c r="O131" s="463"/>
      <c r="P131" s="464" t="e">
        <v>#N/A</v>
      </c>
      <c r="Q131" s="464" t="e">
        <v>#N/A</v>
      </c>
      <c r="R131" s="464" t="e">
        <v>#N/A</v>
      </c>
      <c r="S131" s="465" t="e">
        <v>#N/A</v>
      </c>
      <c r="T131" s="305"/>
    </row>
    <row r="132">
      <c r="A132" s="305"/>
      <c r="B132" s="306"/>
      <c r="C132" s="448">
        <f t="shared" si="1"/>
        <v>127</v>
      </c>
      <c r="D132" s="451"/>
      <c r="E132" s="454"/>
      <c r="F132" s="457"/>
      <c r="G132" s="451"/>
      <c r="H132" s="451"/>
      <c r="I132" s="451"/>
      <c r="J132" s="466"/>
      <c r="K132" s="351"/>
      <c r="L132" s="305"/>
      <c r="M132" s="460">
        <f t="shared" si="2"/>
        <v>127</v>
      </c>
      <c r="N132" s="462"/>
      <c r="O132" s="463"/>
      <c r="P132" s="464" t="e">
        <v>#N/A</v>
      </c>
      <c r="Q132" s="464" t="e">
        <v>#N/A</v>
      </c>
      <c r="R132" s="464" t="e">
        <v>#N/A</v>
      </c>
      <c r="S132" s="465" t="e">
        <v>#N/A</v>
      </c>
      <c r="T132" s="305"/>
    </row>
    <row r="133">
      <c r="A133" s="305"/>
      <c r="B133" s="306"/>
      <c r="C133" s="448">
        <f t="shared" si="1"/>
        <v>128</v>
      </c>
      <c r="D133" s="451"/>
      <c r="E133" s="454"/>
      <c r="F133" s="457"/>
      <c r="G133" s="451"/>
      <c r="H133" s="451"/>
      <c r="I133" s="451"/>
      <c r="J133" s="466"/>
      <c r="K133" s="351"/>
      <c r="L133" s="305"/>
      <c r="M133" s="460">
        <f t="shared" si="2"/>
        <v>128</v>
      </c>
      <c r="N133" s="462"/>
      <c r="O133" s="463"/>
      <c r="P133" s="464" t="e">
        <v>#N/A</v>
      </c>
      <c r="Q133" s="464" t="e">
        <v>#N/A</v>
      </c>
      <c r="R133" s="464" t="e">
        <v>#N/A</v>
      </c>
      <c r="S133" s="465" t="e">
        <v>#N/A</v>
      </c>
      <c r="T133" s="305"/>
    </row>
    <row r="134">
      <c r="A134" s="305"/>
      <c r="B134" s="306"/>
      <c r="C134" s="448">
        <f t="shared" si="1"/>
        <v>129</v>
      </c>
      <c r="D134" s="451"/>
      <c r="E134" s="454"/>
      <c r="F134" s="457"/>
      <c r="G134" s="451"/>
      <c r="H134" s="451"/>
      <c r="I134" s="451"/>
      <c r="J134" s="466"/>
      <c r="K134" s="351"/>
      <c r="L134" s="305"/>
      <c r="M134" s="460">
        <f t="shared" si="2"/>
        <v>129</v>
      </c>
      <c r="N134" s="462"/>
      <c r="O134" s="463"/>
      <c r="P134" s="464" t="e">
        <v>#N/A</v>
      </c>
      <c r="Q134" s="464" t="e">
        <v>#N/A</v>
      </c>
      <c r="R134" s="464" t="e">
        <v>#N/A</v>
      </c>
      <c r="S134" s="465" t="e">
        <v>#N/A</v>
      </c>
      <c r="T134" s="305"/>
    </row>
    <row r="135">
      <c r="A135" s="305"/>
      <c r="B135" s="306"/>
      <c r="C135" s="448">
        <f t="shared" si="1"/>
        <v>130</v>
      </c>
      <c r="D135" s="451"/>
      <c r="E135" s="454"/>
      <c r="F135" s="457"/>
      <c r="G135" s="451"/>
      <c r="H135" s="451"/>
      <c r="I135" s="451"/>
      <c r="J135" s="466"/>
      <c r="K135" s="351"/>
      <c r="L135" s="305"/>
      <c r="M135" s="460">
        <f t="shared" si="2"/>
        <v>130</v>
      </c>
      <c r="N135" s="462"/>
      <c r="O135" s="463"/>
      <c r="P135" s="464" t="e">
        <v>#N/A</v>
      </c>
      <c r="Q135" s="464" t="e">
        <v>#N/A</v>
      </c>
      <c r="R135" s="464" t="e">
        <v>#N/A</v>
      </c>
      <c r="S135" s="465" t="e">
        <v>#N/A</v>
      </c>
      <c r="T135" s="305"/>
    </row>
    <row r="136">
      <c r="A136" s="305"/>
      <c r="B136" s="306"/>
      <c r="C136" s="448">
        <f t="shared" si="1"/>
        <v>131</v>
      </c>
      <c r="D136" s="451"/>
      <c r="E136" s="454"/>
      <c r="F136" s="457"/>
      <c r="G136" s="451"/>
      <c r="H136" s="451"/>
      <c r="I136" s="451"/>
      <c r="J136" s="466"/>
      <c r="K136" s="351"/>
      <c r="L136" s="305"/>
      <c r="M136" s="460">
        <f t="shared" si="2"/>
        <v>131</v>
      </c>
      <c r="N136" s="462"/>
      <c r="O136" s="463"/>
      <c r="P136" s="464" t="e">
        <v>#N/A</v>
      </c>
      <c r="Q136" s="464" t="e">
        <v>#N/A</v>
      </c>
      <c r="R136" s="464" t="e">
        <v>#N/A</v>
      </c>
      <c r="S136" s="465" t="e">
        <v>#N/A</v>
      </c>
      <c r="T136" s="305"/>
    </row>
    <row r="137">
      <c r="A137" s="305"/>
      <c r="B137" s="306"/>
      <c r="C137" s="448">
        <f t="shared" si="1"/>
        <v>132</v>
      </c>
      <c r="D137" s="451"/>
      <c r="E137" s="454"/>
      <c r="F137" s="457"/>
      <c r="G137" s="451"/>
      <c r="H137" s="451"/>
      <c r="I137" s="451"/>
      <c r="J137" s="466"/>
      <c r="K137" s="351"/>
      <c r="L137" s="305"/>
      <c r="M137" s="460">
        <f t="shared" si="2"/>
        <v>132</v>
      </c>
      <c r="N137" s="462"/>
      <c r="O137" s="463"/>
      <c r="P137" s="464" t="e">
        <v>#N/A</v>
      </c>
      <c r="Q137" s="464" t="e">
        <v>#N/A</v>
      </c>
      <c r="R137" s="464" t="e">
        <v>#N/A</v>
      </c>
      <c r="S137" s="465" t="e">
        <v>#N/A</v>
      </c>
      <c r="T137" s="305"/>
    </row>
    <row r="138">
      <c r="A138" s="305"/>
      <c r="B138" s="306"/>
      <c r="C138" s="448">
        <f t="shared" si="1"/>
        <v>133</v>
      </c>
      <c r="D138" s="451"/>
      <c r="E138" s="454"/>
      <c r="F138" s="457"/>
      <c r="G138" s="451"/>
      <c r="H138" s="451"/>
      <c r="I138" s="451"/>
      <c r="J138" s="466"/>
      <c r="K138" s="351"/>
      <c r="L138" s="305"/>
      <c r="M138" s="460">
        <f t="shared" si="2"/>
        <v>133</v>
      </c>
      <c r="N138" s="462"/>
      <c r="O138" s="463"/>
      <c r="P138" s="464" t="e">
        <v>#N/A</v>
      </c>
      <c r="Q138" s="464" t="e">
        <v>#N/A</v>
      </c>
      <c r="R138" s="464" t="e">
        <v>#N/A</v>
      </c>
      <c r="S138" s="465" t="e">
        <v>#N/A</v>
      </c>
      <c r="T138" s="305"/>
    </row>
    <row r="139">
      <c r="A139" s="305"/>
      <c r="B139" s="306"/>
      <c r="C139" s="448">
        <f t="shared" si="1"/>
        <v>134</v>
      </c>
      <c r="D139" s="451"/>
      <c r="E139" s="454"/>
      <c r="F139" s="457"/>
      <c r="G139" s="451"/>
      <c r="H139" s="451"/>
      <c r="I139" s="451"/>
      <c r="J139" s="466"/>
      <c r="K139" s="351"/>
      <c r="L139" s="305"/>
      <c r="M139" s="460">
        <f t="shared" si="2"/>
        <v>134</v>
      </c>
      <c r="N139" s="462"/>
      <c r="O139" s="463"/>
      <c r="P139" s="464" t="e">
        <v>#N/A</v>
      </c>
      <c r="Q139" s="464" t="e">
        <v>#N/A</v>
      </c>
      <c r="R139" s="464" t="e">
        <v>#N/A</v>
      </c>
      <c r="S139" s="465" t="e">
        <v>#N/A</v>
      </c>
      <c r="T139" s="305"/>
    </row>
    <row r="140">
      <c r="A140" s="305"/>
      <c r="B140" s="306"/>
      <c r="C140" s="448">
        <f t="shared" si="1"/>
        <v>135</v>
      </c>
      <c r="D140" s="451"/>
      <c r="E140" s="454"/>
      <c r="F140" s="457"/>
      <c r="G140" s="451"/>
      <c r="H140" s="451"/>
      <c r="I140" s="451"/>
      <c r="J140" s="466"/>
      <c r="K140" s="351"/>
      <c r="L140" s="305"/>
      <c r="M140" s="460">
        <f t="shared" si="2"/>
        <v>135</v>
      </c>
      <c r="N140" s="462"/>
      <c r="O140" s="463"/>
      <c r="P140" s="464" t="e">
        <v>#N/A</v>
      </c>
      <c r="Q140" s="464" t="e">
        <v>#N/A</v>
      </c>
      <c r="R140" s="464" t="e">
        <v>#N/A</v>
      </c>
      <c r="S140" s="465" t="e">
        <v>#N/A</v>
      </c>
      <c r="T140" s="305"/>
    </row>
    <row r="141">
      <c r="A141" s="305"/>
      <c r="B141" s="306"/>
      <c r="C141" s="448">
        <f t="shared" si="1"/>
        <v>136</v>
      </c>
      <c r="D141" s="451"/>
      <c r="E141" s="454"/>
      <c r="F141" s="457"/>
      <c r="G141" s="451"/>
      <c r="H141" s="451"/>
      <c r="I141" s="451"/>
      <c r="J141" s="466"/>
      <c r="K141" s="351"/>
      <c r="L141" s="305"/>
      <c r="M141" s="460">
        <f t="shared" si="2"/>
        <v>136</v>
      </c>
      <c r="N141" s="462"/>
      <c r="O141" s="463"/>
      <c r="P141" s="464" t="e">
        <v>#N/A</v>
      </c>
      <c r="Q141" s="464" t="e">
        <v>#N/A</v>
      </c>
      <c r="R141" s="464" t="e">
        <v>#N/A</v>
      </c>
      <c r="S141" s="465" t="e">
        <v>#N/A</v>
      </c>
      <c r="T141" s="305"/>
    </row>
    <row r="142">
      <c r="A142" s="305"/>
      <c r="B142" s="306"/>
      <c r="C142" s="448">
        <f t="shared" si="1"/>
        <v>137</v>
      </c>
      <c r="D142" s="451"/>
      <c r="E142" s="454"/>
      <c r="F142" s="457"/>
      <c r="G142" s="451"/>
      <c r="H142" s="451"/>
      <c r="I142" s="451"/>
      <c r="J142" s="466"/>
      <c r="K142" s="351"/>
      <c r="L142" s="305"/>
      <c r="M142" s="460">
        <f t="shared" si="2"/>
        <v>137</v>
      </c>
      <c r="N142" s="462"/>
      <c r="O142" s="463"/>
      <c r="P142" s="464" t="e">
        <v>#N/A</v>
      </c>
      <c r="Q142" s="464" t="e">
        <v>#N/A</v>
      </c>
      <c r="R142" s="464" t="e">
        <v>#N/A</v>
      </c>
      <c r="S142" s="465" t="e">
        <v>#N/A</v>
      </c>
      <c r="T142" s="305"/>
    </row>
    <row r="143">
      <c r="A143" s="305"/>
      <c r="B143" s="306"/>
      <c r="C143" s="448">
        <f t="shared" si="1"/>
        <v>138</v>
      </c>
      <c r="D143" s="451"/>
      <c r="E143" s="454"/>
      <c r="F143" s="457"/>
      <c r="G143" s="451"/>
      <c r="H143" s="451"/>
      <c r="I143" s="451"/>
      <c r="J143" s="466"/>
      <c r="K143" s="351"/>
      <c r="L143" s="305"/>
      <c r="M143" s="460">
        <f t="shared" si="2"/>
        <v>138</v>
      </c>
      <c r="N143" s="462"/>
      <c r="O143" s="463"/>
      <c r="P143" s="464" t="e">
        <v>#N/A</v>
      </c>
      <c r="Q143" s="464" t="e">
        <v>#N/A</v>
      </c>
      <c r="R143" s="464" t="e">
        <v>#N/A</v>
      </c>
      <c r="S143" s="465" t="e">
        <v>#N/A</v>
      </c>
      <c r="T143" s="305"/>
    </row>
    <row r="144">
      <c r="A144" s="305"/>
      <c r="B144" s="306"/>
      <c r="C144" s="448">
        <f t="shared" si="1"/>
        <v>139</v>
      </c>
      <c r="D144" s="451"/>
      <c r="E144" s="454"/>
      <c r="F144" s="457"/>
      <c r="G144" s="451"/>
      <c r="H144" s="451"/>
      <c r="I144" s="451"/>
      <c r="J144" s="466"/>
      <c r="K144" s="351"/>
      <c r="L144" s="305"/>
      <c r="M144" s="460">
        <f t="shared" si="2"/>
        <v>139</v>
      </c>
      <c r="N144" s="462"/>
      <c r="O144" s="463"/>
      <c r="P144" s="464" t="e">
        <v>#N/A</v>
      </c>
      <c r="Q144" s="464" t="e">
        <v>#N/A</v>
      </c>
      <c r="R144" s="464" t="e">
        <v>#N/A</v>
      </c>
      <c r="S144" s="465" t="e">
        <v>#N/A</v>
      </c>
      <c r="T144" s="305"/>
    </row>
    <row r="145">
      <c r="A145" s="305"/>
      <c r="B145" s="306"/>
      <c r="C145" s="448">
        <f t="shared" si="1"/>
        <v>140</v>
      </c>
      <c r="D145" s="451"/>
      <c r="E145" s="454"/>
      <c r="F145" s="457"/>
      <c r="G145" s="451"/>
      <c r="H145" s="451"/>
      <c r="I145" s="451"/>
      <c r="J145" s="466"/>
      <c r="K145" s="351"/>
      <c r="L145" s="305"/>
      <c r="M145" s="460">
        <f t="shared" si="2"/>
        <v>140</v>
      </c>
      <c r="N145" s="462"/>
      <c r="O145" s="463"/>
      <c r="P145" s="464" t="e">
        <v>#N/A</v>
      </c>
      <c r="Q145" s="464" t="e">
        <v>#N/A</v>
      </c>
      <c r="R145" s="464" t="e">
        <v>#N/A</v>
      </c>
      <c r="S145" s="465" t="e">
        <v>#N/A</v>
      </c>
      <c r="T145" s="305"/>
    </row>
    <row r="146">
      <c r="A146" s="305"/>
      <c r="B146" s="306"/>
      <c r="C146" s="448">
        <f t="shared" si="1"/>
        <v>141</v>
      </c>
      <c r="D146" s="451"/>
      <c r="E146" s="454"/>
      <c r="F146" s="457"/>
      <c r="G146" s="451"/>
      <c r="H146" s="451"/>
      <c r="I146" s="451"/>
      <c r="J146" s="466"/>
      <c r="K146" s="351"/>
      <c r="L146" s="305"/>
      <c r="M146" s="460">
        <f t="shared" si="2"/>
        <v>141</v>
      </c>
      <c r="N146" s="462"/>
      <c r="O146" s="463"/>
      <c r="P146" s="464" t="e">
        <v>#N/A</v>
      </c>
      <c r="Q146" s="464" t="e">
        <v>#N/A</v>
      </c>
      <c r="R146" s="464" t="e">
        <v>#N/A</v>
      </c>
      <c r="S146" s="465" t="e">
        <v>#N/A</v>
      </c>
      <c r="T146" s="305"/>
    </row>
    <row r="147">
      <c r="A147" s="305"/>
      <c r="B147" s="306"/>
      <c r="C147" s="448">
        <f t="shared" si="1"/>
        <v>142</v>
      </c>
      <c r="D147" s="451"/>
      <c r="E147" s="454"/>
      <c r="F147" s="457"/>
      <c r="G147" s="451"/>
      <c r="H147" s="451"/>
      <c r="I147" s="451"/>
      <c r="J147" s="466"/>
      <c r="K147" s="351"/>
      <c r="L147" s="305"/>
      <c r="M147" s="460">
        <f t="shared" si="2"/>
        <v>142</v>
      </c>
      <c r="N147" s="462"/>
      <c r="O147" s="463"/>
      <c r="P147" s="464" t="e">
        <v>#N/A</v>
      </c>
      <c r="Q147" s="464" t="e">
        <v>#N/A</v>
      </c>
      <c r="R147" s="464" t="e">
        <v>#N/A</v>
      </c>
      <c r="S147" s="465" t="e">
        <v>#N/A</v>
      </c>
      <c r="T147" s="305"/>
    </row>
    <row r="148">
      <c r="A148" s="305"/>
      <c r="B148" s="306"/>
      <c r="C148" s="448">
        <f t="shared" si="1"/>
        <v>143</v>
      </c>
      <c r="D148" s="451"/>
      <c r="E148" s="454"/>
      <c r="F148" s="457"/>
      <c r="G148" s="451"/>
      <c r="H148" s="451"/>
      <c r="I148" s="451"/>
      <c r="J148" s="466"/>
      <c r="K148" s="351"/>
      <c r="L148" s="305"/>
      <c r="M148" s="460">
        <f t="shared" si="2"/>
        <v>143</v>
      </c>
      <c r="N148" s="462"/>
      <c r="O148" s="463"/>
      <c r="P148" s="464" t="e">
        <v>#N/A</v>
      </c>
      <c r="Q148" s="464" t="e">
        <v>#N/A</v>
      </c>
      <c r="R148" s="464" t="e">
        <v>#N/A</v>
      </c>
      <c r="S148" s="465" t="e">
        <v>#N/A</v>
      </c>
      <c r="T148" s="305"/>
    </row>
    <row r="149">
      <c r="A149" s="305"/>
      <c r="B149" s="306"/>
      <c r="C149" s="448">
        <f t="shared" si="1"/>
        <v>144</v>
      </c>
      <c r="D149" s="451"/>
      <c r="E149" s="454"/>
      <c r="F149" s="457"/>
      <c r="G149" s="451"/>
      <c r="H149" s="451"/>
      <c r="I149" s="451"/>
      <c r="J149" s="466"/>
      <c r="K149" s="351"/>
      <c r="L149" s="305"/>
      <c r="M149" s="460">
        <f t="shared" si="2"/>
        <v>144</v>
      </c>
      <c r="N149" s="462"/>
      <c r="O149" s="463"/>
      <c r="P149" s="464" t="e">
        <v>#N/A</v>
      </c>
      <c r="Q149" s="464" t="e">
        <v>#N/A</v>
      </c>
      <c r="R149" s="464" t="e">
        <v>#N/A</v>
      </c>
      <c r="S149" s="465" t="e">
        <v>#N/A</v>
      </c>
      <c r="T149" s="305"/>
    </row>
    <row r="150">
      <c r="A150" s="305"/>
      <c r="B150" s="306"/>
      <c r="C150" s="448">
        <f t="shared" si="1"/>
        <v>145</v>
      </c>
      <c r="D150" s="451"/>
      <c r="E150" s="454"/>
      <c r="F150" s="457"/>
      <c r="G150" s="451"/>
      <c r="H150" s="451"/>
      <c r="I150" s="451"/>
      <c r="J150" s="466"/>
      <c r="K150" s="351"/>
      <c r="L150" s="305"/>
      <c r="M150" s="460">
        <f t="shared" si="2"/>
        <v>145</v>
      </c>
      <c r="N150" s="462"/>
      <c r="O150" s="463"/>
      <c r="P150" s="464" t="e">
        <v>#N/A</v>
      </c>
      <c r="Q150" s="464" t="e">
        <v>#N/A</v>
      </c>
      <c r="R150" s="464" t="e">
        <v>#N/A</v>
      </c>
      <c r="S150" s="465" t="e">
        <v>#N/A</v>
      </c>
      <c r="T150" s="305"/>
    </row>
    <row r="151">
      <c r="A151" s="305"/>
      <c r="B151" s="306"/>
      <c r="C151" s="448">
        <f t="shared" si="1"/>
        <v>146</v>
      </c>
      <c r="D151" s="451"/>
      <c r="E151" s="454"/>
      <c r="F151" s="457"/>
      <c r="G151" s="451"/>
      <c r="H151" s="451"/>
      <c r="I151" s="451"/>
      <c r="J151" s="466"/>
      <c r="K151" s="351"/>
      <c r="L151" s="305"/>
      <c r="M151" s="460">
        <f t="shared" si="2"/>
        <v>146</v>
      </c>
      <c r="N151" s="462"/>
      <c r="O151" s="463"/>
      <c r="P151" s="464" t="e">
        <v>#N/A</v>
      </c>
      <c r="Q151" s="464" t="e">
        <v>#N/A</v>
      </c>
      <c r="R151" s="464" t="e">
        <v>#N/A</v>
      </c>
      <c r="S151" s="465" t="e">
        <v>#N/A</v>
      </c>
      <c r="T151" s="305"/>
    </row>
    <row r="152">
      <c r="A152" s="305"/>
      <c r="B152" s="306"/>
      <c r="C152" s="448">
        <f t="shared" si="1"/>
        <v>147</v>
      </c>
      <c r="D152" s="451"/>
      <c r="E152" s="454"/>
      <c r="F152" s="457"/>
      <c r="G152" s="451"/>
      <c r="H152" s="451"/>
      <c r="I152" s="451"/>
      <c r="J152" s="466"/>
      <c r="K152" s="351"/>
      <c r="L152" s="305"/>
      <c r="M152" s="460">
        <f t="shared" si="2"/>
        <v>147</v>
      </c>
      <c r="N152" s="462"/>
      <c r="O152" s="463"/>
      <c r="P152" s="464" t="e">
        <v>#N/A</v>
      </c>
      <c r="Q152" s="464" t="e">
        <v>#N/A</v>
      </c>
      <c r="R152" s="464" t="e">
        <v>#N/A</v>
      </c>
      <c r="S152" s="465" t="e">
        <v>#N/A</v>
      </c>
      <c r="T152" s="305"/>
    </row>
    <row r="153">
      <c r="A153" s="305"/>
      <c r="B153" s="306"/>
      <c r="C153" s="448">
        <f t="shared" si="1"/>
        <v>148</v>
      </c>
      <c r="D153" s="451"/>
      <c r="E153" s="454"/>
      <c r="F153" s="457"/>
      <c r="G153" s="451"/>
      <c r="H153" s="451"/>
      <c r="I153" s="451"/>
      <c r="J153" s="466"/>
      <c r="K153" s="351"/>
      <c r="L153" s="305"/>
      <c r="M153" s="460">
        <f t="shared" si="2"/>
        <v>148</v>
      </c>
      <c r="N153" s="462"/>
      <c r="O153" s="463"/>
      <c r="P153" s="464" t="e">
        <v>#N/A</v>
      </c>
      <c r="Q153" s="464" t="e">
        <v>#N/A</v>
      </c>
      <c r="R153" s="464" t="e">
        <v>#N/A</v>
      </c>
      <c r="S153" s="465" t="e">
        <v>#N/A</v>
      </c>
      <c r="T153" s="305"/>
    </row>
    <row r="154">
      <c r="A154" s="305"/>
      <c r="B154" s="306"/>
      <c r="C154" s="448">
        <f t="shared" si="1"/>
        <v>149</v>
      </c>
      <c r="D154" s="451"/>
      <c r="E154" s="454"/>
      <c r="F154" s="457"/>
      <c r="G154" s="451"/>
      <c r="H154" s="451"/>
      <c r="I154" s="451"/>
      <c r="J154" s="466"/>
      <c r="K154" s="351"/>
      <c r="L154" s="305"/>
      <c r="M154" s="460">
        <f t="shared" si="2"/>
        <v>149</v>
      </c>
      <c r="N154" s="462"/>
      <c r="O154" s="463"/>
      <c r="P154" s="464" t="e">
        <v>#N/A</v>
      </c>
      <c r="Q154" s="464" t="e">
        <v>#N/A</v>
      </c>
      <c r="R154" s="464" t="e">
        <v>#N/A</v>
      </c>
      <c r="S154" s="465" t="e">
        <v>#N/A</v>
      </c>
      <c r="T154" s="305"/>
    </row>
    <row r="155">
      <c r="A155" s="305"/>
      <c r="B155" s="306"/>
      <c r="C155" s="448">
        <f t="shared" si="1"/>
        <v>150</v>
      </c>
      <c r="D155" s="451"/>
      <c r="E155" s="454"/>
      <c r="F155" s="457"/>
      <c r="G155" s="451"/>
      <c r="H155" s="451"/>
      <c r="I155" s="451"/>
      <c r="J155" s="466"/>
      <c r="K155" s="351"/>
      <c r="L155" s="305"/>
      <c r="M155" s="460">
        <f t="shared" si="2"/>
        <v>150</v>
      </c>
      <c r="N155" s="462"/>
      <c r="O155" s="463"/>
      <c r="P155" s="464" t="e">
        <v>#N/A</v>
      </c>
      <c r="Q155" s="464" t="e">
        <v>#N/A</v>
      </c>
      <c r="R155" s="464" t="e">
        <v>#N/A</v>
      </c>
      <c r="S155" s="465" t="e">
        <v>#N/A</v>
      </c>
      <c r="T155" s="305"/>
    </row>
    <row r="156">
      <c r="A156" s="305"/>
      <c r="B156" s="306"/>
      <c r="C156" s="448">
        <f t="shared" si="1"/>
        <v>151</v>
      </c>
      <c r="D156" s="451"/>
      <c r="E156" s="454"/>
      <c r="F156" s="457"/>
      <c r="G156" s="451"/>
      <c r="H156" s="451"/>
      <c r="I156" s="451"/>
      <c r="J156" s="466"/>
      <c r="K156" s="351"/>
      <c r="L156" s="305"/>
      <c r="M156" s="460">
        <f t="shared" si="2"/>
        <v>151</v>
      </c>
      <c r="N156" s="462"/>
      <c r="O156" s="463"/>
      <c r="P156" s="464" t="e">
        <v>#N/A</v>
      </c>
      <c r="Q156" s="464" t="e">
        <v>#N/A</v>
      </c>
      <c r="R156" s="464" t="e">
        <v>#N/A</v>
      </c>
      <c r="S156" s="465" t="e">
        <v>#N/A</v>
      </c>
      <c r="T156" s="305"/>
    </row>
    <row r="157" ht="7.5" customHeight="1">
      <c r="A157" s="305"/>
      <c r="B157" s="541"/>
      <c r="C157" s="542"/>
      <c r="D157" s="542"/>
      <c r="E157" s="542"/>
      <c r="F157" s="542"/>
      <c r="G157" s="542"/>
      <c r="H157" s="542"/>
      <c r="I157" s="542"/>
      <c r="J157" s="542"/>
      <c r="K157" s="351"/>
      <c r="L157" s="305"/>
      <c r="M157" s="305"/>
      <c r="N157" s="305"/>
      <c r="O157" s="305"/>
      <c r="P157" s="305"/>
      <c r="Q157" s="305"/>
      <c r="R157" s="305"/>
      <c r="S157" s="305"/>
      <c r="T157" s="305"/>
    </row>
    <row r="158" ht="7.5" customHeight="1">
      <c r="A158" s="305"/>
      <c r="B158" s="305"/>
      <c r="C158" s="305"/>
      <c r="D158" s="543"/>
      <c r="E158" s="544"/>
      <c r="F158" s="544"/>
      <c r="G158" s="548"/>
      <c r="H158" s="548"/>
      <c r="I158" s="548"/>
      <c r="J158" s="548"/>
      <c r="K158" s="549"/>
      <c r="L158" s="305"/>
      <c r="M158" s="305"/>
      <c r="N158" s="305"/>
      <c r="O158" s="305"/>
      <c r="P158" s="305"/>
      <c r="Q158" s="305"/>
      <c r="R158" s="305"/>
      <c r="S158" s="305"/>
      <c r="T158" s="305"/>
    </row>
  </sheetData>
  <mergeCells count="4">
    <mergeCell ref="C3:J3"/>
    <mergeCell ref="M3:S3"/>
    <mergeCell ref="E4:F4"/>
    <mergeCell ref="N4:O4"/>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22241"/>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2" width="1.38"/>
    <col customWidth="1" min="3" max="3" width="16.38"/>
    <col customWidth="1" min="4" max="4" width="3.88"/>
    <col customWidth="1" min="5" max="6" width="3.25"/>
    <col customWidth="1" min="7" max="7" width="3.88"/>
    <col customWidth="1" min="8" max="8" width="16.5"/>
    <col customWidth="1" min="9" max="10" width="1.38"/>
  </cols>
  <sheetData>
    <row r="1" ht="7.5" customHeight="1">
      <c r="A1" s="127"/>
      <c r="B1" s="127"/>
      <c r="C1" s="128"/>
      <c r="D1" s="128"/>
      <c r="E1" s="128"/>
      <c r="F1" s="128"/>
      <c r="G1" s="128"/>
      <c r="H1" s="128"/>
      <c r="I1" s="129"/>
      <c r="J1" s="129"/>
    </row>
    <row r="2" ht="7.5" customHeight="1">
      <c r="A2" s="127"/>
      <c r="B2" s="130"/>
      <c r="C2" s="131"/>
      <c r="D2" s="131"/>
      <c r="E2" s="131"/>
      <c r="F2" s="131"/>
      <c r="G2" s="131"/>
      <c r="H2" s="131"/>
      <c r="I2" s="132"/>
      <c r="J2" s="129"/>
    </row>
    <row r="3">
      <c r="A3" s="127"/>
      <c r="B3" s="133"/>
      <c r="C3" s="134"/>
      <c r="D3" s="34"/>
      <c r="E3" s="34"/>
      <c r="F3" s="34"/>
      <c r="G3" s="34"/>
      <c r="H3" s="35"/>
      <c r="I3" s="135"/>
      <c r="J3" s="136"/>
    </row>
    <row r="4">
      <c r="A4" s="127"/>
      <c r="B4" s="133"/>
      <c r="C4" s="144" t="s">
        <v>31</v>
      </c>
      <c r="D4" s="145" t="s">
        <v>35</v>
      </c>
      <c r="E4" s="146" t="s">
        <v>36</v>
      </c>
      <c r="F4" s="153"/>
      <c r="G4" s="145" t="s">
        <v>35</v>
      </c>
      <c r="H4" s="159" t="s">
        <v>38</v>
      </c>
      <c r="I4" s="162"/>
      <c r="J4" s="171"/>
    </row>
    <row r="5" ht="3.75" customHeight="1">
      <c r="A5" s="127"/>
      <c r="B5" s="133"/>
      <c r="C5" s="172"/>
      <c r="D5" s="172"/>
      <c r="E5" s="172"/>
      <c r="F5" s="172"/>
      <c r="G5" s="172"/>
      <c r="H5" s="172"/>
      <c r="I5" s="173"/>
      <c r="J5" s="174"/>
    </row>
    <row r="6" ht="18.75" customHeight="1">
      <c r="A6" s="179"/>
      <c r="B6" s="188"/>
      <c r="C6" s="190" t="s">
        <v>163</v>
      </c>
      <c r="D6" s="91"/>
      <c r="E6" s="91"/>
      <c r="F6" s="91"/>
      <c r="G6" s="91"/>
      <c r="H6" s="92"/>
      <c r="I6" s="135"/>
      <c r="J6" s="136"/>
    </row>
    <row r="7">
      <c r="A7" s="129"/>
      <c r="B7" s="194"/>
      <c r="C7" s="201" t="str">
        <f t="array" ref="C7:C8">Source!$P$62:$P$63</f>
        <v>Tyler Gottfredsen</v>
      </c>
      <c r="D7" s="205" t="str">
        <f>'Playoff Stats'!$I$14</f>
        <v>W</v>
      </c>
      <c r="E7" s="205">
        <f>'Playoff Stats'!$D$12</f>
        <v>5</v>
      </c>
      <c r="F7" s="205">
        <f>'Playoff Stats'!$H$12</f>
        <v>-5</v>
      </c>
      <c r="G7" s="205" t="str">
        <f>'Playoff Stats'!$J$14</f>
        <v>L</v>
      </c>
      <c r="H7" s="211" t="str">
        <f t="array" ref="H7:H8">Source!$R$62:$R$63</f>
        <v>Dick Hansen</v>
      </c>
      <c r="I7" s="212"/>
      <c r="J7" s="213"/>
    </row>
    <row r="8">
      <c r="A8" s="129"/>
      <c r="B8" s="194"/>
      <c r="C8" s="214" t="s">
        <v>132</v>
      </c>
      <c r="D8" s="215" t="str">
        <f>'Playoff Stats'!$I$25</f>
        <v>L</v>
      </c>
      <c r="E8" s="216">
        <f>'Playoff Stats'!$D$23</f>
        <v>0</v>
      </c>
      <c r="F8" s="216">
        <f>'Playoff Stats'!$H$23</f>
        <v>0</v>
      </c>
      <c r="G8" s="215" t="str">
        <f>'Playoff Stats'!$J$25</f>
        <v>W</v>
      </c>
      <c r="H8" s="219" t="s">
        <v>65</v>
      </c>
      <c r="I8" s="212"/>
      <c r="J8" s="213"/>
    </row>
    <row r="9" ht="7.5" customHeight="1">
      <c r="A9" s="129"/>
      <c r="B9" s="194"/>
      <c r="C9" s="228"/>
      <c r="D9" s="228"/>
      <c r="E9" s="228"/>
      <c r="F9" s="228"/>
      <c r="G9" s="228"/>
      <c r="H9" s="228"/>
      <c r="I9" s="229"/>
      <c r="J9" s="230"/>
    </row>
    <row r="10" ht="18.75" customHeight="1">
      <c r="A10" s="179"/>
      <c r="B10" s="188"/>
      <c r="C10" s="190" t="s">
        <v>166</v>
      </c>
      <c r="D10" s="91"/>
      <c r="E10" s="91"/>
      <c r="F10" s="91"/>
      <c r="G10" s="91"/>
      <c r="H10" s="92"/>
      <c r="I10" s="135"/>
      <c r="J10" s="136"/>
    </row>
    <row r="11">
      <c r="A11" s="129"/>
      <c r="B11" s="194"/>
      <c r="C11" s="201" t="str">
        <f t="array" ref="C11:C12">Source!$P$64:$P$65</f>
        <v>Ian Heslin</v>
      </c>
      <c r="D11" s="236" t="str">
        <f>'Playoff Stats'!$R$14</f>
        <v>W</v>
      </c>
      <c r="E11" s="236">
        <f>'Playoff Stats'!$M$12</f>
        <v>5</v>
      </c>
      <c r="F11" s="236">
        <f>'Playoff Stats'!$Q$12</f>
        <v>-5</v>
      </c>
      <c r="G11" s="236" t="str">
        <f>'Playoff Stats'!$S$14</f>
        <v>L</v>
      </c>
      <c r="H11" s="211" t="str">
        <f t="array" ref="H11:H12">Source!$R$64:$R$65</f>
        <v>Ryan Tidey</v>
      </c>
      <c r="I11" s="212"/>
      <c r="J11" s="213"/>
    </row>
    <row r="12">
      <c r="A12" s="129"/>
      <c r="B12" s="194"/>
      <c r="C12" s="214" t="s">
        <v>81</v>
      </c>
      <c r="D12" s="215" t="str">
        <f>'Playoff Stats'!$R$25</f>
        <v>L</v>
      </c>
      <c r="E12" s="216">
        <f>'Playoff Stats'!$M$23</f>
        <v>-5</v>
      </c>
      <c r="F12" s="216">
        <f>'Playoff Stats'!$Q$23</f>
        <v>5</v>
      </c>
      <c r="G12" s="215" t="str">
        <f>'Playoff Stats'!$S$25</f>
        <v>W</v>
      </c>
      <c r="H12" s="219" t="s">
        <v>66</v>
      </c>
      <c r="I12" s="212"/>
      <c r="J12" s="213"/>
    </row>
    <row r="13" ht="7.5" customHeight="1">
      <c r="A13" s="129"/>
      <c r="B13" s="194"/>
      <c r="C13" s="228"/>
      <c r="D13" s="228"/>
      <c r="E13" s="228"/>
      <c r="F13" s="228"/>
      <c r="G13" s="228"/>
      <c r="H13" s="228"/>
      <c r="I13" s="229"/>
      <c r="J13" s="230"/>
    </row>
    <row r="14" ht="18.75" customHeight="1">
      <c r="A14" s="179"/>
      <c r="B14" s="188"/>
      <c r="C14" s="190" t="s">
        <v>169</v>
      </c>
      <c r="D14" s="91"/>
      <c r="E14" s="91"/>
      <c r="F14" s="91"/>
      <c r="G14" s="91"/>
      <c r="H14" s="92"/>
      <c r="I14" s="135"/>
      <c r="J14" s="136"/>
    </row>
    <row r="15">
      <c r="A15" s="129"/>
      <c r="B15" s="194"/>
      <c r="C15" s="201" t="str">
        <f t="array" ref="C15:C16">Source!$P$66:$P$67</f>
        <v>Jackson McLoughlin</v>
      </c>
      <c r="D15" s="236" t="str">
        <f>'Playoff Stats'!$AA$14</f>
        <v>W</v>
      </c>
      <c r="E15" s="236">
        <f>'Playoff Stats'!$V$12</f>
        <v>0</v>
      </c>
      <c r="F15" s="236">
        <f>'Playoff Stats'!$Z$12</f>
        <v>0</v>
      </c>
      <c r="G15" s="236" t="str">
        <f>'Playoff Stats'!$AB$14</f>
        <v>L</v>
      </c>
      <c r="H15" s="211" t="str">
        <f t="array" ref="H15:H16">Source!$R$66:$R$67</f>
        <v>Dick Hansen</v>
      </c>
      <c r="I15" s="212"/>
      <c r="J15" s="213"/>
    </row>
    <row r="16">
      <c r="A16" s="129"/>
      <c r="B16" s="194"/>
      <c r="C16" s="214" t="s">
        <v>65</v>
      </c>
      <c r="D16" s="216" t="str">
        <f>'Playoff Stats'!$AA$25</f>
        <v>L</v>
      </c>
      <c r="E16" s="216">
        <f>'Playoff Stats'!$V$23</f>
        <v>-2</v>
      </c>
      <c r="F16" s="216">
        <f>'Playoff Stats'!$Z$23</f>
        <v>2</v>
      </c>
      <c r="G16" s="216" t="str">
        <f>'Playoff Stats'!$AB$25</f>
        <v>W</v>
      </c>
      <c r="H16" s="219" t="s">
        <v>81</v>
      </c>
      <c r="I16" s="212"/>
      <c r="J16" s="213"/>
    </row>
    <row r="17" ht="7.5" customHeight="1">
      <c r="A17" s="129"/>
      <c r="B17" s="194"/>
      <c r="C17" s="228"/>
      <c r="D17" s="228"/>
      <c r="E17" s="228"/>
      <c r="F17" s="228"/>
      <c r="G17" s="228"/>
      <c r="H17" s="228"/>
      <c r="I17" s="229"/>
      <c r="J17" s="230"/>
    </row>
    <row r="18" ht="18.75" customHeight="1">
      <c r="A18" s="179"/>
      <c r="B18" s="188"/>
      <c r="C18" s="190" t="s">
        <v>173</v>
      </c>
      <c r="D18" s="91"/>
      <c r="E18" s="91"/>
      <c r="F18" s="91"/>
      <c r="G18" s="91"/>
      <c r="H18" s="92"/>
      <c r="I18" s="135"/>
      <c r="J18" s="136"/>
    </row>
    <row r="19">
      <c r="A19" s="129"/>
      <c r="B19" s="194"/>
      <c r="C19" s="201" t="str">
        <f t="array" ref="C19">Source!$P$68</f>
        <v>Jackson McLoughlin</v>
      </c>
      <c r="D19" s="236" t="str">
        <f>'Playoff Stats'!$AJ$14</f>
        <v>L</v>
      </c>
      <c r="E19" s="236">
        <f>'Playoff Stats'!$AE$12</f>
        <v>0</v>
      </c>
      <c r="F19" s="236">
        <f>'Playoff Stats'!$AI$12</f>
        <v>0</v>
      </c>
      <c r="G19" s="236" t="str">
        <f>'Playoff Stats'!$AK$14</f>
        <v>W</v>
      </c>
      <c r="H19" s="211" t="str">
        <f t="array" ref="H19">Source!$R$68</f>
        <v>Zach VanSickle</v>
      </c>
      <c r="I19" s="212"/>
      <c r="J19" s="213"/>
    </row>
    <row r="20" ht="7.5" customHeight="1">
      <c r="A20" s="129"/>
      <c r="B20" s="194"/>
      <c r="C20" s="228"/>
      <c r="D20" s="228"/>
      <c r="E20" s="228"/>
      <c r="F20" s="228"/>
      <c r="G20" s="228"/>
      <c r="H20" s="228"/>
      <c r="I20" s="229"/>
      <c r="J20" s="230"/>
    </row>
    <row r="21" ht="18.75" customHeight="1">
      <c r="A21" s="179"/>
      <c r="B21" s="188"/>
      <c r="C21" s="190" t="s">
        <v>175</v>
      </c>
      <c r="D21" s="91"/>
      <c r="E21" s="91"/>
      <c r="F21" s="91"/>
      <c r="G21" s="91"/>
      <c r="H21" s="92"/>
      <c r="I21" s="135"/>
      <c r="J21" s="136"/>
    </row>
    <row r="22">
      <c r="A22" s="129"/>
      <c r="B22" s="194"/>
      <c r="C22" s="201" t="str">
        <f t="array" ref="C22">Source!$P$70</f>
        <v>Ian Heslin</v>
      </c>
      <c r="D22" s="205" t="str">
        <f>'Playoff Stats'!$AS$14</f>
        <v>W</v>
      </c>
      <c r="E22" s="236">
        <f>'Playoff Stats'!$AN$12</f>
        <v>3</v>
      </c>
      <c r="F22" s="236">
        <f>'Playoff Stats'!$AR$12</f>
        <v>-3</v>
      </c>
      <c r="G22" s="205" t="str">
        <f>'Playoff Stats'!$AT$14</f>
        <v>L</v>
      </c>
      <c r="H22" s="211" t="str">
        <f t="array" ref="H22">Source!$R$70</f>
        <v>Tyler Gottfredsen</v>
      </c>
      <c r="I22" s="212"/>
      <c r="J22" s="213"/>
    </row>
    <row r="23" ht="7.5" customHeight="1">
      <c r="A23" s="129"/>
      <c r="B23" s="194"/>
      <c r="C23" s="228"/>
      <c r="D23" s="228"/>
      <c r="E23" s="228"/>
      <c r="F23" s="228"/>
      <c r="G23" s="228"/>
      <c r="H23" s="228"/>
      <c r="I23" s="229"/>
      <c r="J23" s="230"/>
    </row>
    <row r="24" ht="18.75" customHeight="1">
      <c r="A24" s="179"/>
      <c r="B24" s="188"/>
      <c r="C24" s="190" t="s">
        <v>176</v>
      </c>
      <c r="D24" s="91"/>
      <c r="E24" s="91"/>
      <c r="F24" s="91"/>
      <c r="G24" s="91"/>
      <c r="H24" s="92"/>
      <c r="I24" s="135"/>
      <c r="J24" s="136"/>
    </row>
    <row r="25">
      <c r="A25" s="129"/>
      <c r="B25" s="194"/>
      <c r="C25" s="201" t="str">
        <f t="array" ref="C25">Source!$P$72</f>
        <v>Tyler Gottfredsen</v>
      </c>
      <c r="D25" s="236" t="str">
        <f>'Playoff Stats'!$BB$14</f>
        <v>W</v>
      </c>
      <c r="E25" s="236">
        <f>'Playoff Stats'!$AW$12</f>
        <v>5</v>
      </c>
      <c r="F25" s="236">
        <f>'Playoff Stats'!$BA$12</f>
        <v>-5</v>
      </c>
      <c r="G25" s="236" t="str">
        <f>'Playoff Stats'!$BC$14</f>
        <v>L</v>
      </c>
      <c r="H25" s="211" t="str">
        <f t="array" ref="H25">Source!$R$72</f>
        <v>Zach VanSickle</v>
      </c>
      <c r="I25" s="212"/>
      <c r="J25" s="213"/>
    </row>
    <row r="26" ht="7.5" customHeight="1">
      <c r="A26" s="129"/>
      <c r="B26" s="194"/>
      <c r="C26" s="228"/>
      <c r="D26" s="228"/>
      <c r="E26" s="228"/>
      <c r="F26" s="228"/>
      <c r="G26" s="228"/>
      <c r="H26" s="228"/>
      <c r="I26" s="229"/>
      <c r="J26" s="230"/>
    </row>
    <row r="27" ht="18.75" customHeight="1">
      <c r="A27" s="179"/>
      <c r="B27" s="188"/>
      <c r="C27" s="190" t="s">
        <v>178</v>
      </c>
      <c r="D27" s="91"/>
      <c r="E27" s="91"/>
      <c r="F27" s="91"/>
      <c r="G27" s="91"/>
      <c r="H27" s="92"/>
      <c r="I27" s="135"/>
      <c r="J27" s="136"/>
    </row>
    <row r="28" ht="15.75" customHeight="1">
      <c r="A28" s="129"/>
      <c r="B28" s="194"/>
      <c r="C28" s="201" t="str">
        <f t="array" ref="C28">Source!$P$73</f>
        <v>Ian Heslin</v>
      </c>
      <c r="D28" s="236" t="str">
        <f>'Playoff Stats'!$BK$14</f>
        <v>W</v>
      </c>
      <c r="E28" s="236">
        <f>'Playoff Stats'!$BF$12</f>
        <v>2</v>
      </c>
      <c r="F28" s="236">
        <f>'Playoff Stats'!$BJ$12</f>
        <v>-2</v>
      </c>
      <c r="G28" s="236" t="str">
        <f>'Playoff Stats'!$BL$14</f>
        <v>L</v>
      </c>
      <c r="H28" s="211" t="str">
        <f t="array" ref="H28">Source!$R$73</f>
        <v>Tyler Gottfredsen</v>
      </c>
      <c r="I28" s="212"/>
      <c r="J28" s="213"/>
    </row>
    <row r="29" ht="7.5" customHeight="1">
      <c r="A29" s="129"/>
      <c r="B29" s="278"/>
      <c r="C29" s="279"/>
      <c r="D29" s="279"/>
      <c r="E29" s="279"/>
      <c r="F29" s="279"/>
      <c r="G29" s="279"/>
      <c r="H29" s="279"/>
      <c r="I29" s="280"/>
      <c r="J29" s="129"/>
    </row>
    <row r="30" ht="7.5" customHeight="1">
      <c r="A30" s="129"/>
      <c r="B30" s="129"/>
      <c r="C30" s="281"/>
      <c r="D30" s="281"/>
      <c r="E30" s="281"/>
      <c r="F30" s="281"/>
      <c r="G30" s="281"/>
      <c r="H30" s="281"/>
      <c r="I30" s="129"/>
      <c r="J30" s="129"/>
    </row>
  </sheetData>
  <mergeCells count="9">
    <mergeCell ref="C24:H24"/>
    <mergeCell ref="C27:H27"/>
    <mergeCell ref="C3:H3"/>
    <mergeCell ref="E4:F4"/>
    <mergeCell ref="C6:H6"/>
    <mergeCell ref="C10:H10"/>
    <mergeCell ref="C14:H14"/>
    <mergeCell ref="C18:H18"/>
    <mergeCell ref="C21:H21"/>
  </mergeCells>
  <conditionalFormatting sqref="A1:J30">
    <cfRule type="cellIs" dxfId="0" priority="1" operator="equal">
      <formula>"W"</formula>
    </cfRule>
  </conditionalFormatting>
  <conditionalFormatting sqref="A1:J30">
    <cfRule type="cellIs" dxfId="1" priority="2" operator="equal">
      <formula>"L"</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59EFF"/>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2" width="1.38"/>
    <col customWidth="1" min="3" max="3" width="15.13"/>
    <col customWidth="1" min="4" max="6" width="3.25"/>
    <col customWidth="1" min="7" max="7" width="16.38"/>
    <col customWidth="1" min="8" max="10" width="3.25"/>
    <col customWidth="1" min="11" max="11" width="1.38"/>
    <col customWidth="1" min="12" max="12" width="15.13"/>
    <col customWidth="1" min="13" max="15" width="3.25"/>
    <col customWidth="1" min="16" max="16" width="16.38"/>
    <col customWidth="1" min="17" max="19" width="3.25"/>
    <col customWidth="1" min="20" max="20" width="1.38"/>
    <col customWidth="1" min="21" max="21" width="15.13"/>
    <col customWidth="1" min="22" max="24" width="3.25"/>
    <col customWidth="1" min="25" max="25" width="16.38"/>
    <col customWidth="1" min="26" max="28" width="3.25"/>
    <col customWidth="1" min="29" max="29" width="1.38"/>
    <col customWidth="1" min="30" max="30" width="16.38"/>
    <col customWidth="1" min="31" max="33" width="3.25"/>
    <col customWidth="1" min="34" max="34" width="15.13"/>
    <col customWidth="1" min="35" max="37" width="3.25"/>
    <col customWidth="1" min="38" max="38" width="1.38"/>
    <col customWidth="1" min="39" max="39" width="15.13"/>
    <col customWidth="1" min="40" max="42" width="3.25"/>
    <col customWidth="1" min="43" max="43" width="16.38"/>
    <col customWidth="1" min="44" max="46" width="3.25"/>
    <col customWidth="1" min="47" max="47" width="1.38"/>
    <col customWidth="1" min="48" max="48" width="16.38"/>
    <col customWidth="1" min="49" max="51" width="3.25"/>
    <col customWidth="1" min="52" max="52" width="15.13"/>
    <col customWidth="1" min="53" max="55" width="3.25"/>
    <col customWidth="1" min="56" max="56" width="1.38"/>
    <col customWidth="1" min="57" max="57" width="15.13"/>
    <col customWidth="1" min="58" max="60" width="3.25"/>
    <col customWidth="1" min="61" max="61" width="16.38"/>
    <col customWidth="1" min="62" max="64" width="3.25"/>
    <col customWidth="1" min="65" max="66" width="1.38"/>
  </cols>
  <sheetData>
    <row r="1" ht="7.5" customHeight="1">
      <c r="A1" s="301"/>
      <c r="B1" s="301"/>
      <c r="C1" s="301"/>
      <c r="D1" s="301"/>
      <c r="E1" s="301"/>
      <c r="F1" s="301"/>
      <c r="G1" s="301"/>
      <c r="H1" s="301"/>
      <c r="I1" s="301"/>
      <c r="J1" s="301"/>
      <c r="K1" s="301"/>
      <c r="L1" s="301"/>
      <c r="M1" s="301"/>
      <c r="N1" s="301"/>
      <c r="O1" s="301"/>
      <c r="P1" s="301"/>
      <c r="Q1" s="301"/>
      <c r="R1" s="301"/>
      <c r="S1" s="301"/>
      <c r="T1" s="301"/>
      <c r="U1" s="301"/>
      <c r="V1" s="301"/>
      <c r="W1" s="301"/>
      <c r="X1" s="301"/>
      <c r="Y1" s="301"/>
      <c r="Z1" s="301"/>
      <c r="AA1" s="301"/>
      <c r="AB1" s="301"/>
      <c r="AC1" s="301"/>
      <c r="AD1" s="301"/>
      <c r="AE1" s="301"/>
      <c r="AF1" s="301"/>
      <c r="AG1" s="301"/>
      <c r="AH1" s="301"/>
      <c r="AI1" s="301"/>
      <c r="AJ1" s="301"/>
      <c r="AK1" s="301"/>
      <c r="AL1" s="301"/>
      <c r="AM1" s="301"/>
      <c r="AN1" s="301"/>
      <c r="AO1" s="301"/>
      <c r="AP1" s="301"/>
      <c r="AQ1" s="301"/>
      <c r="AR1" s="301"/>
      <c r="AS1" s="301"/>
      <c r="AT1" s="301"/>
      <c r="AU1" s="301"/>
      <c r="AV1" s="301"/>
      <c r="AW1" s="301"/>
      <c r="AX1" s="301"/>
      <c r="AY1" s="301"/>
      <c r="AZ1" s="301"/>
      <c r="BA1" s="301"/>
      <c r="BB1" s="301"/>
      <c r="BC1" s="301"/>
      <c r="BD1" s="301"/>
      <c r="BE1" s="301"/>
      <c r="BF1" s="301"/>
      <c r="BG1" s="301"/>
      <c r="BH1" s="301"/>
      <c r="BI1" s="301"/>
      <c r="BJ1" s="301"/>
      <c r="BK1" s="301"/>
      <c r="BL1" s="301"/>
      <c r="BM1" s="301"/>
      <c r="BN1" s="301"/>
    </row>
    <row r="2" ht="7.5" customHeight="1">
      <c r="A2" s="301"/>
      <c r="B2" s="302"/>
      <c r="C2" s="303"/>
      <c r="D2" s="303"/>
      <c r="E2" s="303"/>
      <c r="F2" s="303"/>
      <c r="G2" s="303"/>
      <c r="H2" s="303"/>
      <c r="I2" s="303"/>
      <c r="J2" s="303"/>
      <c r="K2" s="303"/>
      <c r="L2" s="303"/>
      <c r="M2" s="303"/>
      <c r="N2" s="303"/>
      <c r="O2" s="303"/>
      <c r="P2" s="303"/>
      <c r="Q2" s="303"/>
      <c r="R2" s="303"/>
      <c r="S2" s="303"/>
      <c r="T2" s="303"/>
      <c r="U2" s="303"/>
      <c r="V2" s="303"/>
      <c r="W2" s="303"/>
      <c r="X2" s="303"/>
      <c r="Y2" s="303"/>
      <c r="Z2" s="303"/>
      <c r="AA2" s="303"/>
      <c r="AB2" s="303"/>
      <c r="AC2" s="303"/>
      <c r="AD2" s="303"/>
      <c r="AE2" s="303"/>
      <c r="AF2" s="303"/>
      <c r="AG2" s="303"/>
      <c r="AH2" s="303"/>
      <c r="AI2" s="303"/>
      <c r="AJ2" s="303"/>
      <c r="AK2" s="303"/>
      <c r="AL2" s="303"/>
      <c r="AM2" s="303"/>
      <c r="AN2" s="303"/>
      <c r="AO2" s="303"/>
      <c r="AP2" s="303"/>
      <c r="AQ2" s="303"/>
      <c r="AR2" s="303"/>
      <c r="AS2" s="303"/>
      <c r="AT2" s="303"/>
      <c r="AU2" s="303"/>
      <c r="AV2" s="303"/>
      <c r="AW2" s="303"/>
      <c r="AX2" s="303"/>
      <c r="AY2" s="303"/>
      <c r="AZ2" s="303"/>
      <c r="BA2" s="303"/>
      <c r="BB2" s="303"/>
      <c r="BC2" s="303"/>
      <c r="BD2" s="303"/>
      <c r="BE2" s="303"/>
      <c r="BF2" s="303"/>
      <c r="BG2" s="303"/>
      <c r="BH2" s="303"/>
      <c r="BI2" s="303"/>
      <c r="BJ2" s="303"/>
      <c r="BK2" s="303"/>
      <c r="BL2" s="303"/>
      <c r="BM2" s="304"/>
      <c r="BN2" s="301"/>
    </row>
    <row r="3">
      <c r="A3" s="305"/>
      <c r="B3" s="306"/>
      <c r="C3" s="307" t="s">
        <v>163</v>
      </c>
      <c r="D3" s="34"/>
      <c r="E3" s="34"/>
      <c r="F3" s="34"/>
      <c r="G3" s="34"/>
      <c r="H3" s="34"/>
      <c r="I3" s="34"/>
      <c r="J3" s="35"/>
      <c r="K3" s="315"/>
      <c r="L3" s="307" t="s">
        <v>166</v>
      </c>
      <c r="M3" s="34"/>
      <c r="N3" s="34"/>
      <c r="O3" s="34"/>
      <c r="P3" s="34"/>
      <c r="Q3" s="34"/>
      <c r="R3" s="34"/>
      <c r="S3" s="35"/>
      <c r="T3" s="315"/>
      <c r="U3" s="307" t="s">
        <v>169</v>
      </c>
      <c r="V3" s="34"/>
      <c r="W3" s="34"/>
      <c r="X3" s="34"/>
      <c r="Y3" s="34"/>
      <c r="Z3" s="34"/>
      <c r="AA3" s="34"/>
      <c r="AB3" s="35"/>
      <c r="AC3" s="315"/>
      <c r="AD3" s="307" t="s">
        <v>173</v>
      </c>
      <c r="AE3" s="34"/>
      <c r="AF3" s="34"/>
      <c r="AG3" s="34"/>
      <c r="AH3" s="34"/>
      <c r="AI3" s="34"/>
      <c r="AJ3" s="34"/>
      <c r="AK3" s="35"/>
      <c r="AL3" s="315"/>
      <c r="AM3" s="307" t="s">
        <v>175</v>
      </c>
      <c r="AN3" s="34"/>
      <c r="AO3" s="34"/>
      <c r="AP3" s="34"/>
      <c r="AQ3" s="34"/>
      <c r="AR3" s="34"/>
      <c r="AS3" s="34"/>
      <c r="AT3" s="35"/>
      <c r="AU3" s="315"/>
      <c r="AV3" s="307" t="s">
        <v>205</v>
      </c>
      <c r="AW3" s="34"/>
      <c r="AX3" s="34"/>
      <c r="AY3" s="34"/>
      <c r="AZ3" s="34"/>
      <c r="BA3" s="34"/>
      <c r="BB3" s="34"/>
      <c r="BC3" s="35"/>
      <c r="BD3" s="315"/>
      <c r="BE3" s="307" t="s">
        <v>207</v>
      </c>
      <c r="BF3" s="34"/>
      <c r="BG3" s="34"/>
      <c r="BH3" s="34"/>
      <c r="BI3" s="34"/>
      <c r="BJ3" s="34"/>
      <c r="BK3" s="34"/>
      <c r="BL3" s="35"/>
      <c r="BM3" s="319"/>
      <c r="BN3" s="320"/>
    </row>
    <row r="4" ht="3.75" customHeight="1">
      <c r="A4" s="301"/>
      <c r="B4" s="324"/>
      <c r="C4" s="325"/>
      <c r="D4" s="325"/>
      <c r="E4" s="325"/>
      <c r="F4" s="325"/>
      <c r="G4" s="325"/>
      <c r="H4" s="325"/>
      <c r="I4" s="325"/>
      <c r="J4" s="325"/>
      <c r="K4" s="325"/>
      <c r="L4" s="325"/>
      <c r="M4" s="325"/>
      <c r="N4" s="325"/>
      <c r="O4" s="325"/>
      <c r="P4" s="325"/>
      <c r="Q4" s="325"/>
      <c r="R4" s="325"/>
      <c r="S4" s="325"/>
      <c r="T4" s="325"/>
      <c r="U4" s="325"/>
      <c r="V4" s="325"/>
      <c r="W4" s="325"/>
      <c r="X4" s="325"/>
      <c r="Y4" s="325"/>
      <c r="Z4" s="325"/>
      <c r="AA4" s="325"/>
      <c r="AB4" s="325"/>
      <c r="AC4" s="325"/>
      <c r="AD4" s="325"/>
      <c r="AE4" s="325"/>
      <c r="AF4" s="325"/>
      <c r="AG4" s="325"/>
      <c r="AH4" s="325"/>
      <c r="AI4" s="325"/>
      <c r="AJ4" s="325"/>
      <c r="AK4" s="325"/>
      <c r="AL4" s="325"/>
      <c r="AM4" s="325"/>
      <c r="AN4" s="325"/>
      <c r="AO4" s="325"/>
      <c r="AP4" s="325"/>
      <c r="AQ4" s="325"/>
      <c r="AR4" s="325"/>
      <c r="AS4" s="325"/>
      <c r="AT4" s="325"/>
      <c r="AU4" s="325"/>
      <c r="AV4" s="325"/>
      <c r="AW4" s="325"/>
      <c r="AX4" s="325"/>
      <c r="AY4" s="325"/>
      <c r="AZ4" s="325"/>
      <c r="BA4" s="325"/>
      <c r="BB4" s="325"/>
      <c r="BC4" s="325"/>
      <c r="BD4" s="325"/>
      <c r="BE4" s="325"/>
      <c r="BF4" s="325"/>
      <c r="BG4" s="325"/>
      <c r="BH4" s="325"/>
      <c r="BI4" s="325"/>
      <c r="BJ4" s="325"/>
      <c r="BK4" s="325"/>
      <c r="BL4" s="325"/>
      <c r="BM4" s="327"/>
      <c r="BN4" s="301"/>
    </row>
    <row r="5">
      <c r="A5" s="301"/>
      <c r="B5" s="324"/>
      <c r="C5" s="328" t="str">
        <f>Source!$P$62</f>
        <v>Tyler Gottfredsen</v>
      </c>
      <c r="D5" s="329" t="s">
        <v>148</v>
      </c>
      <c r="E5" s="330" t="s">
        <v>149</v>
      </c>
      <c r="F5" s="330" t="s">
        <v>36</v>
      </c>
      <c r="G5" s="331" t="str">
        <f>Source!$R$62</f>
        <v>Dick Hansen</v>
      </c>
      <c r="H5" s="332" t="s">
        <v>148</v>
      </c>
      <c r="I5" s="336" t="s">
        <v>149</v>
      </c>
      <c r="J5" s="337" t="s">
        <v>36</v>
      </c>
      <c r="K5" s="325"/>
      <c r="L5" s="328" t="str">
        <f>Source!$P$64</f>
        <v>Ian Heslin</v>
      </c>
      <c r="M5" s="329" t="s">
        <v>148</v>
      </c>
      <c r="N5" s="330" t="s">
        <v>149</v>
      </c>
      <c r="O5" s="330" t="s">
        <v>36</v>
      </c>
      <c r="P5" s="331" t="str">
        <f>Source!$R$64</f>
        <v>Ryan Tidey</v>
      </c>
      <c r="Q5" s="332" t="s">
        <v>148</v>
      </c>
      <c r="R5" s="336" t="s">
        <v>149</v>
      </c>
      <c r="S5" s="337" t="s">
        <v>36</v>
      </c>
      <c r="T5" s="325"/>
      <c r="U5" s="328" t="str">
        <f>Source!$P$66</f>
        <v>Jackson McLoughlin</v>
      </c>
      <c r="V5" s="329" t="s">
        <v>148</v>
      </c>
      <c r="W5" s="330" t="s">
        <v>149</v>
      </c>
      <c r="X5" s="330" t="s">
        <v>36</v>
      </c>
      <c r="Y5" s="331" t="str">
        <f>Source!$R$66</f>
        <v>Dick Hansen</v>
      </c>
      <c r="Z5" s="332" t="s">
        <v>148</v>
      </c>
      <c r="AA5" s="336" t="s">
        <v>149</v>
      </c>
      <c r="AB5" s="337" t="s">
        <v>36</v>
      </c>
      <c r="AC5" s="325"/>
      <c r="AD5" s="328" t="str">
        <f>Source!$P$68</f>
        <v>Jackson McLoughlin</v>
      </c>
      <c r="AE5" s="329" t="s">
        <v>148</v>
      </c>
      <c r="AF5" s="330" t="s">
        <v>149</v>
      </c>
      <c r="AG5" s="330" t="s">
        <v>36</v>
      </c>
      <c r="AH5" s="331" t="str">
        <f>Source!$R$68</f>
        <v>Zach VanSickle</v>
      </c>
      <c r="AI5" s="332" t="s">
        <v>148</v>
      </c>
      <c r="AJ5" s="336" t="s">
        <v>149</v>
      </c>
      <c r="AK5" s="337" t="s">
        <v>36</v>
      </c>
      <c r="AL5" s="325"/>
      <c r="AM5" s="328" t="str">
        <f>Source!$P$70</f>
        <v>Ian Heslin</v>
      </c>
      <c r="AN5" s="329" t="s">
        <v>148</v>
      </c>
      <c r="AO5" s="330" t="s">
        <v>149</v>
      </c>
      <c r="AP5" s="330" t="s">
        <v>36</v>
      </c>
      <c r="AQ5" s="331" t="str">
        <f>Source!$R$70</f>
        <v>Tyler Gottfredsen</v>
      </c>
      <c r="AR5" s="332" t="s">
        <v>148</v>
      </c>
      <c r="AS5" s="336" t="s">
        <v>149</v>
      </c>
      <c r="AT5" s="337" t="s">
        <v>36</v>
      </c>
      <c r="AU5" s="325"/>
      <c r="AV5" s="328" t="str">
        <f>Source!$P$72</f>
        <v>Tyler Gottfredsen</v>
      </c>
      <c r="AW5" s="329" t="s">
        <v>148</v>
      </c>
      <c r="AX5" s="330" t="s">
        <v>149</v>
      </c>
      <c r="AY5" s="330" t="s">
        <v>36</v>
      </c>
      <c r="AZ5" s="331" t="str">
        <f>Source!$R$72</f>
        <v>Zach VanSickle</v>
      </c>
      <c r="BA5" s="332" t="s">
        <v>148</v>
      </c>
      <c r="BB5" s="336" t="s">
        <v>149</v>
      </c>
      <c r="BC5" s="337" t="s">
        <v>36</v>
      </c>
      <c r="BD5" s="325"/>
      <c r="BE5" s="328" t="str">
        <f>Source!$P$73</f>
        <v>Ian Heslin</v>
      </c>
      <c r="BF5" s="329" t="s">
        <v>148</v>
      </c>
      <c r="BG5" s="330" t="s">
        <v>149</v>
      </c>
      <c r="BH5" s="330" t="s">
        <v>36</v>
      </c>
      <c r="BI5" s="331" t="str">
        <f>Source!$R$73</f>
        <v>Tyler Gottfredsen</v>
      </c>
      <c r="BJ5" s="332" t="s">
        <v>148</v>
      </c>
      <c r="BK5" s="336" t="s">
        <v>149</v>
      </c>
      <c r="BL5" s="337" t="s">
        <v>36</v>
      </c>
      <c r="BM5" s="327"/>
      <c r="BN5" s="301"/>
    </row>
    <row r="6">
      <c r="A6" s="301"/>
      <c r="B6" s="324"/>
      <c r="C6" s="347" t="s">
        <v>80</v>
      </c>
      <c r="D6" s="361">
        <v>4.0</v>
      </c>
      <c r="E6" s="361">
        <v>1.0</v>
      </c>
      <c r="F6" s="362">
        <f t="shared" ref="F6:F11" si="1">D6-E6</f>
        <v>3</v>
      </c>
      <c r="G6" s="347" t="s">
        <v>70</v>
      </c>
      <c r="H6" s="361">
        <v>1.0</v>
      </c>
      <c r="I6" s="361">
        <v>2.0</v>
      </c>
      <c r="J6" s="493">
        <f t="shared" ref="J6:J11" si="2">H6-I6</f>
        <v>-1</v>
      </c>
      <c r="K6" s="325"/>
      <c r="L6" s="347" t="s">
        <v>129</v>
      </c>
      <c r="M6" s="361">
        <v>5.0</v>
      </c>
      <c r="N6" s="361">
        <v>2.0</v>
      </c>
      <c r="O6" s="362">
        <f t="shared" ref="O6:O11" si="3">M6-N6</f>
        <v>3</v>
      </c>
      <c r="P6" s="347" t="s">
        <v>112</v>
      </c>
      <c r="Q6" s="361"/>
      <c r="R6" s="361">
        <v>1.0</v>
      </c>
      <c r="S6" s="493">
        <f t="shared" ref="S6:S11" si="4">Q6-R6</f>
        <v>-1</v>
      </c>
      <c r="T6" s="325"/>
      <c r="U6" s="347" t="s">
        <v>120</v>
      </c>
      <c r="V6" s="361"/>
      <c r="W6" s="361"/>
      <c r="X6" s="362">
        <f t="shared" ref="X6:X11" si="5">V6-W6</f>
        <v>0</v>
      </c>
      <c r="Y6" s="347" t="s">
        <v>70</v>
      </c>
      <c r="Z6" s="361"/>
      <c r="AA6" s="361"/>
      <c r="AB6" s="493">
        <f t="shared" ref="AB6:AB11" si="6">Z6-AA6</f>
        <v>0</v>
      </c>
      <c r="AC6" s="325"/>
      <c r="AD6" s="347" t="s">
        <v>120</v>
      </c>
      <c r="AE6" s="361"/>
      <c r="AF6" s="361"/>
      <c r="AG6" s="362">
        <f t="shared" ref="AG6:AG11" si="7">AE6-AF6</f>
        <v>0</v>
      </c>
      <c r="AH6" s="347" t="s">
        <v>84</v>
      </c>
      <c r="AI6" s="361"/>
      <c r="AJ6" s="361"/>
      <c r="AK6" s="493">
        <f t="shared" ref="AK6:AK11" si="8">AI6-AJ6</f>
        <v>0</v>
      </c>
      <c r="AL6" s="325"/>
      <c r="AM6" s="347" t="s">
        <v>61</v>
      </c>
      <c r="AN6" s="361">
        <v>4.0</v>
      </c>
      <c r="AO6" s="361">
        <v>2.0</v>
      </c>
      <c r="AP6" s="362">
        <f t="shared" ref="AP6:AP11" si="9">AN6-AO6</f>
        <v>2</v>
      </c>
      <c r="AQ6" s="347" t="s">
        <v>101</v>
      </c>
      <c r="AR6" s="361"/>
      <c r="AS6" s="361">
        <v>3.0</v>
      </c>
      <c r="AT6" s="493">
        <f t="shared" ref="AT6:AT11" si="10">AR6-AS6</f>
        <v>-3</v>
      </c>
      <c r="AU6" s="325"/>
      <c r="AV6" s="347" t="s">
        <v>80</v>
      </c>
      <c r="AW6" s="361"/>
      <c r="AX6" s="361">
        <v>1.0</v>
      </c>
      <c r="AY6" s="361">
        <f t="shared" ref="AY6:AY11" si="11">AW6-AX6</f>
        <v>-1</v>
      </c>
      <c r="AZ6" s="347" t="s">
        <v>84</v>
      </c>
      <c r="BA6" s="361"/>
      <c r="BB6" s="361">
        <v>1.0</v>
      </c>
      <c r="BC6" s="500">
        <f t="shared" ref="BC6:BC11" si="12">BA6-BB6</f>
        <v>-1</v>
      </c>
      <c r="BD6" s="325"/>
      <c r="BE6" s="347" t="s">
        <v>61</v>
      </c>
      <c r="BF6" s="361">
        <v>1.0</v>
      </c>
      <c r="BG6" s="361">
        <v>2.0</v>
      </c>
      <c r="BH6" s="362">
        <f t="shared" ref="BH6:BH11" si="13">BF6-BG6</f>
        <v>-1</v>
      </c>
      <c r="BI6" s="347" t="s">
        <v>101</v>
      </c>
      <c r="BJ6" s="361">
        <v>2.0</v>
      </c>
      <c r="BK6" s="361">
        <v>2.0</v>
      </c>
      <c r="BL6" s="493">
        <f t="shared" ref="BL6:BL11" si="14">BJ6-BK6</f>
        <v>0</v>
      </c>
      <c r="BM6" s="327"/>
      <c r="BN6" s="301"/>
    </row>
    <row r="7">
      <c r="A7" s="301"/>
      <c r="B7" s="324"/>
      <c r="C7" s="370" t="s">
        <v>101</v>
      </c>
      <c r="D7" s="371"/>
      <c r="E7" s="371">
        <v>1.0</v>
      </c>
      <c r="F7" s="362">
        <f t="shared" si="1"/>
        <v>-1</v>
      </c>
      <c r="G7" s="370" t="s">
        <v>59</v>
      </c>
      <c r="H7" s="371"/>
      <c r="I7" s="371">
        <v>2.0</v>
      </c>
      <c r="J7" s="493">
        <f t="shared" si="2"/>
        <v>-2</v>
      </c>
      <c r="K7" s="325"/>
      <c r="L7" s="370" t="s">
        <v>61</v>
      </c>
      <c r="M7" s="371">
        <v>3.0</v>
      </c>
      <c r="N7" s="371">
        <v>1.0</v>
      </c>
      <c r="O7" s="362">
        <f t="shared" si="3"/>
        <v>2</v>
      </c>
      <c r="P7" s="370" t="s">
        <v>124</v>
      </c>
      <c r="Q7" s="371"/>
      <c r="R7" s="371">
        <v>1.0</v>
      </c>
      <c r="S7" s="493">
        <f t="shared" si="4"/>
        <v>-1</v>
      </c>
      <c r="T7" s="325"/>
      <c r="U7" s="370" t="s">
        <v>108</v>
      </c>
      <c r="V7" s="371"/>
      <c r="W7" s="371"/>
      <c r="X7" s="362">
        <f t="shared" si="5"/>
        <v>0</v>
      </c>
      <c r="Y7" s="370" t="s">
        <v>59</v>
      </c>
      <c r="Z7" s="371"/>
      <c r="AA7" s="371"/>
      <c r="AB7" s="493">
        <f t="shared" si="6"/>
        <v>0</v>
      </c>
      <c r="AC7" s="325"/>
      <c r="AD7" s="370" t="s">
        <v>108</v>
      </c>
      <c r="AE7" s="371"/>
      <c r="AF7" s="371"/>
      <c r="AG7" s="362">
        <f t="shared" si="7"/>
        <v>0</v>
      </c>
      <c r="AH7" s="370" t="s">
        <v>76</v>
      </c>
      <c r="AI7" s="371"/>
      <c r="AJ7" s="371"/>
      <c r="AK7" s="493">
        <f t="shared" si="8"/>
        <v>0</v>
      </c>
      <c r="AL7" s="325"/>
      <c r="AM7" s="370" t="s">
        <v>78</v>
      </c>
      <c r="AN7" s="371">
        <v>2.0</v>
      </c>
      <c r="AO7" s="371">
        <v>2.0</v>
      </c>
      <c r="AP7" s="362">
        <f t="shared" si="9"/>
        <v>0</v>
      </c>
      <c r="AQ7" s="370" t="s">
        <v>94</v>
      </c>
      <c r="AR7" s="371">
        <v>2.0</v>
      </c>
      <c r="AS7" s="371">
        <v>3.0</v>
      </c>
      <c r="AT7" s="493">
        <f t="shared" si="10"/>
        <v>-1</v>
      </c>
      <c r="AU7" s="325"/>
      <c r="AV7" s="370" t="s">
        <v>101</v>
      </c>
      <c r="AW7" s="371">
        <v>1.0</v>
      </c>
      <c r="AX7" s="371">
        <v>1.0</v>
      </c>
      <c r="AY7" s="361">
        <f t="shared" si="11"/>
        <v>0</v>
      </c>
      <c r="AZ7" s="370" t="s">
        <v>76</v>
      </c>
      <c r="BA7" s="371">
        <v>1.0</v>
      </c>
      <c r="BB7" s="371">
        <v>1.0</v>
      </c>
      <c r="BC7" s="500">
        <f t="shared" si="12"/>
        <v>0</v>
      </c>
      <c r="BD7" s="325"/>
      <c r="BE7" s="370" t="s">
        <v>86</v>
      </c>
      <c r="BF7" s="371">
        <v>1.0</v>
      </c>
      <c r="BG7" s="371">
        <v>2.0</v>
      </c>
      <c r="BH7" s="362">
        <f t="shared" si="13"/>
        <v>-1</v>
      </c>
      <c r="BI7" s="370" t="s">
        <v>94</v>
      </c>
      <c r="BJ7" s="371"/>
      <c r="BK7" s="371">
        <v>2.0</v>
      </c>
      <c r="BL7" s="493">
        <f t="shared" si="14"/>
        <v>-2</v>
      </c>
      <c r="BM7" s="327"/>
      <c r="BN7" s="301"/>
    </row>
    <row r="8">
      <c r="A8" s="301"/>
      <c r="B8" s="324"/>
      <c r="C8" s="370" t="s">
        <v>94</v>
      </c>
      <c r="D8" s="371">
        <v>3.0</v>
      </c>
      <c r="E8" s="371">
        <v>1.0</v>
      </c>
      <c r="F8" s="362">
        <f t="shared" si="1"/>
        <v>2</v>
      </c>
      <c r="G8" s="370" t="s">
        <v>91</v>
      </c>
      <c r="H8" s="371">
        <v>2.0</v>
      </c>
      <c r="I8" s="371">
        <v>1.0</v>
      </c>
      <c r="J8" s="493">
        <f t="shared" si="2"/>
        <v>1</v>
      </c>
      <c r="K8" s="325"/>
      <c r="L8" s="370" t="s">
        <v>78</v>
      </c>
      <c r="M8" s="371">
        <v>1.0</v>
      </c>
      <c r="N8" s="371">
        <v>1.0</v>
      </c>
      <c r="O8" s="362">
        <f t="shared" si="3"/>
        <v>0</v>
      </c>
      <c r="P8" s="370" t="s">
        <v>63</v>
      </c>
      <c r="Q8" s="371">
        <v>3.0</v>
      </c>
      <c r="R8" s="371">
        <v>2.0</v>
      </c>
      <c r="S8" s="493">
        <f t="shared" si="4"/>
        <v>1</v>
      </c>
      <c r="T8" s="325"/>
      <c r="U8" s="370" t="s">
        <v>57</v>
      </c>
      <c r="V8" s="371"/>
      <c r="W8" s="371"/>
      <c r="X8" s="362">
        <f t="shared" si="5"/>
        <v>0</v>
      </c>
      <c r="Y8" s="370" t="s">
        <v>91</v>
      </c>
      <c r="Z8" s="371"/>
      <c r="AA8" s="371"/>
      <c r="AB8" s="493">
        <f t="shared" si="6"/>
        <v>0</v>
      </c>
      <c r="AC8" s="325"/>
      <c r="AD8" s="370" t="s">
        <v>57</v>
      </c>
      <c r="AE8" s="371"/>
      <c r="AF8" s="371"/>
      <c r="AG8" s="362">
        <f t="shared" si="7"/>
        <v>0</v>
      </c>
      <c r="AH8" s="370" t="s">
        <v>115</v>
      </c>
      <c r="AI8" s="371"/>
      <c r="AJ8" s="371"/>
      <c r="AK8" s="493">
        <f t="shared" si="8"/>
        <v>0</v>
      </c>
      <c r="AL8" s="325"/>
      <c r="AM8" s="370" t="s">
        <v>129</v>
      </c>
      <c r="AN8" s="371"/>
      <c r="AO8" s="371">
        <v>1.0</v>
      </c>
      <c r="AP8" s="362">
        <f t="shared" si="9"/>
        <v>-1</v>
      </c>
      <c r="AQ8" s="370" t="s">
        <v>107</v>
      </c>
      <c r="AR8" s="371"/>
      <c r="AS8" s="371">
        <v>2.0</v>
      </c>
      <c r="AT8" s="493">
        <f t="shared" si="10"/>
        <v>-2</v>
      </c>
      <c r="AU8" s="325"/>
      <c r="AV8" s="370" t="s">
        <v>107</v>
      </c>
      <c r="AW8" s="371">
        <v>2.0</v>
      </c>
      <c r="AX8" s="371">
        <v>1.0</v>
      </c>
      <c r="AY8" s="361">
        <f t="shared" si="11"/>
        <v>1</v>
      </c>
      <c r="AZ8" s="370" t="s">
        <v>58</v>
      </c>
      <c r="BA8" s="371">
        <v>1.0</v>
      </c>
      <c r="BB8" s="371">
        <v>2.0</v>
      </c>
      <c r="BC8" s="500">
        <f t="shared" si="12"/>
        <v>-1</v>
      </c>
      <c r="BD8" s="325"/>
      <c r="BE8" s="370" t="s">
        <v>78</v>
      </c>
      <c r="BF8" s="371">
        <v>5.0</v>
      </c>
      <c r="BG8" s="371"/>
      <c r="BH8" s="362">
        <f t="shared" si="13"/>
        <v>5</v>
      </c>
      <c r="BI8" s="370" t="s">
        <v>80</v>
      </c>
      <c r="BJ8" s="371">
        <v>2.0</v>
      </c>
      <c r="BK8" s="371">
        <v>2.0</v>
      </c>
      <c r="BL8" s="493">
        <f t="shared" si="14"/>
        <v>0</v>
      </c>
      <c r="BM8" s="327"/>
      <c r="BN8" s="301"/>
    </row>
    <row r="9">
      <c r="A9" s="301"/>
      <c r="B9" s="324"/>
      <c r="C9" s="370" t="s">
        <v>107</v>
      </c>
      <c r="D9" s="371">
        <v>1.0</v>
      </c>
      <c r="E9" s="371"/>
      <c r="F9" s="362">
        <f t="shared" si="1"/>
        <v>1</v>
      </c>
      <c r="G9" s="370" t="s">
        <v>97</v>
      </c>
      <c r="H9" s="371"/>
      <c r="I9" s="371">
        <v>2.0</v>
      </c>
      <c r="J9" s="493">
        <f t="shared" si="2"/>
        <v>-2</v>
      </c>
      <c r="K9" s="325"/>
      <c r="L9" s="370" t="s">
        <v>71</v>
      </c>
      <c r="M9" s="371"/>
      <c r="N9" s="371"/>
      <c r="O9" s="362">
        <f t="shared" si="3"/>
        <v>0</v>
      </c>
      <c r="P9" s="370" t="s">
        <v>72</v>
      </c>
      <c r="Q9" s="371"/>
      <c r="R9" s="371">
        <v>2.0</v>
      </c>
      <c r="S9" s="493">
        <f t="shared" si="4"/>
        <v>-2</v>
      </c>
      <c r="T9" s="325"/>
      <c r="U9" s="370" t="s">
        <v>75</v>
      </c>
      <c r="V9" s="371"/>
      <c r="W9" s="371"/>
      <c r="X9" s="362">
        <f t="shared" si="5"/>
        <v>0</v>
      </c>
      <c r="Y9" s="370" t="s">
        <v>97</v>
      </c>
      <c r="Z9" s="371"/>
      <c r="AA9" s="371"/>
      <c r="AB9" s="493">
        <f t="shared" si="6"/>
        <v>0</v>
      </c>
      <c r="AC9" s="325"/>
      <c r="AD9" s="370" t="s">
        <v>75</v>
      </c>
      <c r="AE9" s="371"/>
      <c r="AF9" s="371"/>
      <c r="AG9" s="362">
        <f t="shared" si="7"/>
        <v>0</v>
      </c>
      <c r="AH9" s="370" t="s">
        <v>96</v>
      </c>
      <c r="AI9" s="371"/>
      <c r="AJ9" s="371"/>
      <c r="AK9" s="493">
        <f t="shared" si="8"/>
        <v>0</v>
      </c>
      <c r="AL9" s="325"/>
      <c r="AM9" s="370" t="s">
        <v>71</v>
      </c>
      <c r="AN9" s="371">
        <v>2.0</v>
      </c>
      <c r="AO9" s="371">
        <v>2.0</v>
      </c>
      <c r="AP9" s="362">
        <f t="shared" si="9"/>
        <v>0</v>
      </c>
      <c r="AQ9" s="370" t="s">
        <v>80</v>
      </c>
      <c r="AR9" s="371">
        <v>5.0</v>
      </c>
      <c r="AS9" s="371">
        <v>1.0</v>
      </c>
      <c r="AT9" s="493">
        <f t="shared" si="10"/>
        <v>4</v>
      </c>
      <c r="AU9" s="325"/>
      <c r="AV9" s="370" t="s">
        <v>94</v>
      </c>
      <c r="AW9" s="371">
        <v>5.0</v>
      </c>
      <c r="AX9" s="371"/>
      <c r="AY9" s="361">
        <f t="shared" si="11"/>
        <v>5</v>
      </c>
      <c r="AZ9" s="370" t="s">
        <v>96</v>
      </c>
      <c r="BA9" s="371">
        <v>1.0</v>
      </c>
      <c r="BB9" s="371">
        <v>2.0</v>
      </c>
      <c r="BC9" s="500">
        <f t="shared" si="12"/>
        <v>-1</v>
      </c>
      <c r="BD9" s="325"/>
      <c r="BE9" s="370" t="s">
        <v>71</v>
      </c>
      <c r="BF9" s="371">
        <v>1.0</v>
      </c>
      <c r="BG9" s="371">
        <v>2.0</v>
      </c>
      <c r="BH9" s="362">
        <f t="shared" si="13"/>
        <v>-1</v>
      </c>
      <c r="BI9" s="370" t="s">
        <v>107</v>
      </c>
      <c r="BJ9" s="371">
        <v>2.0</v>
      </c>
      <c r="BK9" s="371">
        <v>2.0</v>
      </c>
      <c r="BL9" s="493">
        <f t="shared" si="14"/>
        <v>0</v>
      </c>
      <c r="BM9" s="327"/>
      <c r="BN9" s="301"/>
    </row>
    <row r="10">
      <c r="A10" s="301"/>
      <c r="B10" s="324"/>
      <c r="C10" s="370" t="s">
        <v>64</v>
      </c>
      <c r="D10" s="371"/>
      <c r="E10" s="371"/>
      <c r="F10" s="362">
        <f t="shared" si="1"/>
        <v>0</v>
      </c>
      <c r="G10" s="370" t="s">
        <v>77</v>
      </c>
      <c r="H10" s="371"/>
      <c r="I10" s="371">
        <v>1.0</v>
      </c>
      <c r="J10" s="493">
        <f t="shared" si="2"/>
        <v>-1</v>
      </c>
      <c r="K10" s="325"/>
      <c r="L10" s="370" t="s">
        <v>86</v>
      </c>
      <c r="M10" s="371"/>
      <c r="N10" s="371"/>
      <c r="O10" s="362">
        <f t="shared" si="3"/>
        <v>0</v>
      </c>
      <c r="P10" s="370" t="s">
        <v>87</v>
      </c>
      <c r="Q10" s="371"/>
      <c r="R10" s="371">
        <v>1.0</v>
      </c>
      <c r="S10" s="493">
        <f t="shared" si="4"/>
        <v>-1</v>
      </c>
      <c r="T10" s="325"/>
      <c r="U10" s="370" t="s">
        <v>126</v>
      </c>
      <c r="V10" s="371"/>
      <c r="W10" s="371"/>
      <c r="X10" s="362">
        <f t="shared" si="5"/>
        <v>0</v>
      </c>
      <c r="Y10" s="370" t="s">
        <v>77</v>
      </c>
      <c r="Z10" s="371"/>
      <c r="AA10" s="371"/>
      <c r="AB10" s="493">
        <f t="shared" si="6"/>
        <v>0</v>
      </c>
      <c r="AC10" s="325"/>
      <c r="AD10" s="370" t="s">
        <v>126</v>
      </c>
      <c r="AE10" s="371"/>
      <c r="AF10" s="371"/>
      <c r="AG10" s="362">
        <f t="shared" si="7"/>
        <v>0</v>
      </c>
      <c r="AH10" s="370" t="s">
        <v>58</v>
      </c>
      <c r="AI10" s="371"/>
      <c r="AJ10" s="371"/>
      <c r="AK10" s="493">
        <f t="shared" si="8"/>
        <v>0</v>
      </c>
      <c r="AL10" s="325"/>
      <c r="AM10" s="370" t="s">
        <v>86</v>
      </c>
      <c r="AN10" s="371">
        <v>3.0</v>
      </c>
      <c r="AO10" s="371">
        <v>1.0</v>
      </c>
      <c r="AP10" s="362">
        <f t="shared" si="9"/>
        <v>2</v>
      </c>
      <c r="AQ10" s="370" t="s">
        <v>64</v>
      </c>
      <c r="AR10" s="371">
        <v>1.0</v>
      </c>
      <c r="AS10" s="371">
        <v>1.0</v>
      </c>
      <c r="AT10" s="493">
        <f t="shared" si="10"/>
        <v>0</v>
      </c>
      <c r="AU10" s="325"/>
      <c r="AV10" s="370" t="s">
        <v>64</v>
      </c>
      <c r="AW10" s="375"/>
      <c r="AX10" s="371"/>
      <c r="AY10" s="361">
        <f t="shared" si="11"/>
        <v>0</v>
      </c>
      <c r="AZ10" s="370" t="s">
        <v>115</v>
      </c>
      <c r="BA10" s="371"/>
      <c r="BB10" s="371">
        <v>1.0</v>
      </c>
      <c r="BC10" s="500">
        <f t="shared" si="12"/>
        <v>-1</v>
      </c>
      <c r="BD10" s="325"/>
      <c r="BE10" s="370" t="s">
        <v>129</v>
      </c>
      <c r="BF10" s="371"/>
      <c r="BG10" s="371"/>
      <c r="BH10" s="362">
        <f t="shared" si="13"/>
        <v>0</v>
      </c>
      <c r="BI10" s="370" t="s">
        <v>64</v>
      </c>
      <c r="BJ10" s="371"/>
      <c r="BK10" s="371"/>
      <c r="BL10" s="493">
        <f t="shared" si="14"/>
        <v>0</v>
      </c>
      <c r="BM10" s="327"/>
      <c r="BN10" s="301"/>
    </row>
    <row r="11">
      <c r="A11" s="301"/>
      <c r="B11" s="324"/>
      <c r="C11" s="377" t="s">
        <v>74</v>
      </c>
      <c r="D11" s="378"/>
      <c r="E11" s="378"/>
      <c r="F11" s="362">
        <f t="shared" si="1"/>
        <v>0</v>
      </c>
      <c r="G11" s="377" t="s">
        <v>85</v>
      </c>
      <c r="H11" s="378"/>
      <c r="I11" s="378"/>
      <c r="J11" s="493">
        <f t="shared" si="2"/>
        <v>0</v>
      </c>
      <c r="K11" s="325"/>
      <c r="L11" s="377" t="s">
        <v>98</v>
      </c>
      <c r="M11" s="378"/>
      <c r="N11" s="378"/>
      <c r="O11" s="362">
        <f t="shared" si="3"/>
        <v>0</v>
      </c>
      <c r="P11" s="377" t="s">
        <v>130</v>
      </c>
      <c r="Q11" s="378"/>
      <c r="R11" s="378">
        <v>1.0</v>
      </c>
      <c r="S11" s="493">
        <f t="shared" si="4"/>
        <v>-1</v>
      </c>
      <c r="T11" s="325"/>
      <c r="U11" s="377" t="s">
        <v>102</v>
      </c>
      <c r="V11" s="378"/>
      <c r="W11" s="378"/>
      <c r="X11" s="362">
        <f t="shared" si="5"/>
        <v>0</v>
      </c>
      <c r="Y11" s="377" t="s">
        <v>85</v>
      </c>
      <c r="Z11" s="378"/>
      <c r="AA11" s="378"/>
      <c r="AB11" s="493">
        <f t="shared" si="6"/>
        <v>0</v>
      </c>
      <c r="AC11" s="325"/>
      <c r="AD11" s="377" t="s">
        <v>102</v>
      </c>
      <c r="AE11" s="378"/>
      <c r="AF11" s="378"/>
      <c r="AG11" s="362">
        <f t="shared" si="7"/>
        <v>0</v>
      </c>
      <c r="AH11" s="377" t="s">
        <v>103</v>
      </c>
      <c r="AI11" s="378"/>
      <c r="AJ11" s="378"/>
      <c r="AK11" s="493">
        <f t="shared" si="8"/>
        <v>0</v>
      </c>
      <c r="AL11" s="325"/>
      <c r="AM11" s="377" t="s">
        <v>98</v>
      </c>
      <c r="AN11" s="378"/>
      <c r="AO11" s="378"/>
      <c r="AP11" s="362">
        <f t="shared" si="9"/>
        <v>0</v>
      </c>
      <c r="AQ11" s="377" t="s">
        <v>74</v>
      </c>
      <c r="AR11" s="378"/>
      <c r="AS11" s="378">
        <v>1.0</v>
      </c>
      <c r="AT11" s="493">
        <f t="shared" si="10"/>
        <v>-1</v>
      </c>
      <c r="AU11" s="325"/>
      <c r="AV11" s="377" t="s">
        <v>74</v>
      </c>
      <c r="AW11" s="384"/>
      <c r="AX11" s="384"/>
      <c r="AY11" s="361">
        <f t="shared" si="11"/>
        <v>0</v>
      </c>
      <c r="AZ11" s="377" t="s">
        <v>103</v>
      </c>
      <c r="BA11" s="378"/>
      <c r="BB11" s="378">
        <v>1.0</v>
      </c>
      <c r="BC11" s="500">
        <f t="shared" si="12"/>
        <v>-1</v>
      </c>
      <c r="BD11" s="325"/>
      <c r="BE11" s="377" t="s">
        <v>98</v>
      </c>
      <c r="BF11" s="378"/>
      <c r="BG11" s="378"/>
      <c r="BH11" s="362">
        <f t="shared" si="13"/>
        <v>0</v>
      </c>
      <c r="BI11" s="377" t="s">
        <v>74</v>
      </c>
      <c r="BJ11" s="378"/>
      <c r="BK11" s="378"/>
      <c r="BL11" s="493">
        <f t="shared" si="14"/>
        <v>0</v>
      </c>
      <c r="BM11" s="327"/>
      <c r="BN11" s="301"/>
    </row>
    <row r="12">
      <c r="A12" s="301"/>
      <c r="B12" s="324"/>
      <c r="C12" s="396" t="s">
        <v>155</v>
      </c>
      <c r="D12" s="398">
        <f>SUM(F6:F11)</f>
        <v>5</v>
      </c>
      <c r="E12" s="399"/>
      <c r="F12" s="399"/>
      <c r="G12" s="396" t="s">
        <v>155</v>
      </c>
      <c r="H12" s="398">
        <f>SUM(J6:J11)</f>
        <v>-5</v>
      </c>
      <c r="I12" s="399"/>
      <c r="J12" s="401"/>
      <c r="K12" s="325"/>
      <c r="L12" s="396" t="s">
        <v>155</v>
      </c>
      <c r="M12" s="398">
        <f>SUM(O6:O11)</f>
        <v>5</v>
      </c>
      <c r="N12" s="399"/>
      <c r="O12" s="399"/>
      <c r="P12" s="396" t="s">
        <v>155</v>
      </c>
      <c r="Q12" s="398">
        <f>SUM(S6:S11)</f>
        <v>-5</v>
      </c>
      <c r="R12" s="399"/>
      <c r="S12" s="401"/>
      <c r="T12" s="325"/>
      <c r="U12" s="396" t="s">
        <v>155</v>
      </c>
      <c r="V12" s="398">
        <f>SUM(X6:X11)</f>
        <v>0</v>
      </c>
      <c r="W12" s="399"/>
      <c r="X12" s="399"/>
      <c r="Y12" s="396" t="s">
        <v>155</v>
      </c>
      <c r="Z12" s="398">
        <f>SUM(AB6:AB11)</f>
        <v>0</v>
      </c>
      <c r="AA12" s="399"/>
      <c r="AB12" s="401"/>
      <c r="AC12" s="325"/>
      <c r="AD12" s="396" t="s">
        <v>155</v>
      </c>
      <c r="AE12" s="398">
        <f>SUM(AG6:AG11)</f>
        <v>0</v>
      </c>
      <c r="AF12" s="399"/>
      <c r="AG12" s="399"/>
      <c r="AH12" s="396" t="s">
        <v>155</v>
      </c>
      <c r="AI12" s="398">
        <f>SUM(AK6:AK11)</f>
        <v>0</v>
      </c>
      <c r="AJ12" s="399"/>
      <c r="AK12" s="401"/>
      <c r="AL12" s="325"/>
      <c r="AM12" s="396" t="s">
        <v>155</v>
      </c>
      <c r="AN12" s="398">
        <f>SUM(AP6:AP11)</f>
        <v>3</v>
      </c>
      <c r="AO12" s="399"/>
      <c r="AP12" s="399"/>
      <c r="AQ12" s="396" t="s">
        <v>155</v>
      </c>
      <c r="AR12" s="398">
        <f>SUM(AT6:AT11)</f>
        <v>-3</v>
      </c>
      <c r="AS12" s="399"/>
      <c r="AT12" s="401"/>
      <c r="AU12" s="325"/>
      <c r="AV12" s="396" t="s">
        <v>155</v>
      </c>
      <c r="AW12" s="512">
        <f>SUM(AY6:AY11)</f>
        <v>5</v>
      </c>
      <c r="AX12" s="399"/>
      <c r="AY12" s="401"/>
      <c r="AZ12" s="412" t="s">
        <v>155</v>
      </c>
      <c r="BA12" s="513">
        <f>SUM(BC6:BC11)</f>
        <v>-5</v>
      </c>
      <c r="BB12" s="399"/>
      <c r="BC12" s="401"/>
      <c r="BD12" s="325"/>
      <c r="BE12" s="396" t="s">
        <v>155</v>
      </c>
      <c r="BF12" s="398">
        <f>SUM(BH6:BH11)</f>
        <v>2</v>
      </c>
      <c r="BG12" s="399"/>
      <c r="BH12" s="399"/>
      <c r="BI12" s="396" t="s">
        <v>155</v>
      </c>
      <c r="BJ12" s="398">
        <f>SUM(BL6:BL11)</f>
        <v>-2</v>
      </c>
      <c r="BK12" s="399"/>
      <c r="BL12" s="401"/>
      <c r="BM12" s="327"/>
      <c r="BN12" s="301"/>
    </row>
    <row r="13">
      <c r="A13" s="5"/>
      <c r="B13" s="416"/>
      <c r="C13" s="417" t="s">
        <v>162</v>
      </c>
      <c r="D13" s="418">
        <v>2.0</v>
      </c>
      <c r="E13" s="124"/>
      <c r="F13" s="419"/>
      <c r="G13" s="417" t="s">
        <v>162</v>
      </c>
      <c r="H13" s="418">
        <v>0.0</v>
      </c>
      <c r="I13" s="124"/>
      <c r="J13" s="125"/>
      <c r="K13" s="420"/>
      <c r="L13" s="417" t="s">
        <v>162</v>
      </c>
      <c r="M13" s="418">
        <v>2.0</v>
      </c>
      <c r="N13" s="124"/>
      <c r="O13" s="419"/>
      <c r="P13" s="417" t="s">
        <v>162</v>
      </c>
      <c r="Q13" s="418">
        <v>0.0</v>
      </c>
      <c r="R13" s="124"/>
      <c r="S13" s="125"/>
      <c r="T13" s="420"/>
      <c r="U13" s="417" t="s">
        <v>162</v>
      </c>
      <c r="V13" s="418">
        <v>2.0</v>
      </c>
      <c r="W13" s="124"/>
      <c r="X13" s="419"/>
      <c r="Y13" s="417" t="s">
        <v>162</v>
      </c>
      <c r="Z13" s="418">
        <v>0.0</v>
      </c>
      <c r="AA13" s="124"/>
      <c r="AB13" s="125"/>
      <c r="AC13" s="420"/>
      <c r="AD13" s="417" t="s">
        <v>162</v>
      </c>
      <c r="AE13" s="418">
        <v>0.0</v>
      </c>
      <c r="AF13" s="124"/>
      <c r="AG13" s="419"/>
      <c r="AH13" s="417" t="s">
        <v>162</v>
      </c>
      <c r="AI13" s="418">
        <v>2.0</v>
      </c>
      <c r="AJ13" s="124"/>
      <c r="AK13" s="125"/>
      <c r="AL13" s="420"/>
      <c r="AM13" s="417" t="s">
        <v>162</v>
      </c>
      <c r="AN13" s="418">
        <v>2.0</v>
      </c>
      <c r="AO13" s="124"/>
      <c r="AP13" s="419"/>
      <c r="AQ13" s="417" t="s">
        <v>162</v>
      </c>
      <c r="AR13" s="418">
        <v>1.0</v>
      </c>
      <c r="AS13" s="124"/>
      <c r="AT13" s="125"/>
      <c r="AU13" s="420"/>
      <c r="AV13" s="417" t="s">
        <v>162</v>
      </c>
      <c r="AW13" s="428">
        <v>2.0</v>
      </c>
      <c r="AX13" s="436"/>
      <c r="AY13" s="437"/>
      <c r="AZ13" s="417" t="s">
        <v>162</v>
      </c>
      <c r="BA13" s="428">
        <v>0.0</v>
      </c>
      <c r="BB13" s="436"/>
      <c r="BC13" s="438"/>
      <c r="BD13" s="420"/>
      <c r="BE13" s="417" t="s">
        <v>162</v>
      </c>
      <c r="BF13" s="418">
        <v>2.0</v>
      </c>
      <c r="BG13" s="124"/>
      <c r="BH13" s="419"/>
      <c r="BI13" s="417" t="s">
        <v>162</v>
      </c>
      <c r="BJ13" s="418">
        <v>0.0</v>
      </c>
      <c r="BK13" s="124"/>
      <c r="BL13" s="125"/>
      <c r="BM13" s="440"/>
      <c r="BN13" s="5"/>
    </row>
    <row r="14">
      <c r="A14" s="5"/>
      <c r="B14" s="416"/>
      <c r="C14" s="445" t="s">
        <v>168</v>
      </c>
      <c r="D14" s="449">
        <v>1.0</v>
      </c>
      <c r="E14" s="452">
        <v>2.0</v>
      </c>
      <c r="F14" s="453">
        <v>3.0</v>
      </c>
      <c r="G14" s="456" t="s">
        <v>174</v>
      </c>
      <c r="H14" s="152"/>
      <c r="I14" s="467" t="str">
        <f>IF(D13=2,"W",IF(H13=2,"L",))</f>
        <v>W</v>
      </c>
      <c r="J14" s="469" t="str">
        <f>IF(H13=2,"W",IF(D13=2,"L",))</f>
        <v>L</v>
      </c>
      <c r="K14" s="470"/>
      <c r="L14" s="471" t="s">
        <v>168</v>
      </c>
      <c r="M14" s="449">
        <v>1.0</v>
      </c>
      <c r="N14" s="472">
        <v>2.0</v>
      </c>
      <c r="O14" s="473">
        <v>3.0</v>
      </c>
      <c r="P14" s="456" t="s">
        <v>174</v>
      </c>
      <c r="Q14" s="152"/>
      <c r="R14" s="467" t="str">
        <f>IF(M13=2,"W",IF(Q13=2,"L",))</f>
        <v>W</v>
      </c>
      <c r="S14" s="469" t="str">
        <f>IF(Q13=2,"W",IF(M13=2,"L",))</f>
        <v>L</v>
      </c>
      <c r="T14" s="470"/>
      <c r="U14" s="471" t="s">
        <v>168</v>
      </c>
      <c r="V14" s="449">
        <v>1.0</v>
      </c>
      <c r="W14" s="449">
        <v>2.0</v>
      </c>
      <c r="X14" s="476">
        <v>3.0</v>
      </c>
      <c r="Y14" s="456" t="s">
        <v>174</v>
      </c>
      <c r="Z14" s="152"/>
      <c r="AA14" s="467" t="str">
        <f>IF(V13=2,"W",IF(Z13=2,"L",))</f>
        <v>W</v>
      </c>
      <c r="AB14" s="469" t="str">
        <f>IF(Z13=2,"W",IF(V13=2,"L",))</f>
        <v>L</v>
      </c>
      <c r="AC14" s="470"/>
      <c r="AD14" s="471" t="s">
        <v>168</v>
      </c>
      <c r="AE14" s="449">
        <v>1.0</v>
      </c>
      <c r="AF14" s="449">
        <v>2.0</v>
      </c>
      <c r="AG14" s="473">
        <v>3.0</v>
      </c>
      <c r="AH14" s="456" t="s">
        <v>174</v>
      </c>
      <c r="AI14" s="152"/>
      <c r="AJ14" s="467" t="str">
        <f>IF(AE13=2,"W",IF(AI13=2,"L",))</f>
        <v>L</v>
      </c>
      <c r="AK14" s="469" t="str">
        <f>IF(AI13=2,"W",IF(AE13=2,"L",))</f>
        <v>W</v>
      </c>
      <c r="AL14" s="470"/>
      <c r="AM14" s="471" t="s">
        <v>168</v>
      </c>
      <c r="AN14" s="449">
        <v>1.0</v>
      </c>
      <c r="AO14" s="449">
        <v>2.0</v>
      </c>
      <c r="AP14" s="473">
        <v>3.0</v>
      </c>
      <c r="AQ14" s="456" t="s">
        <v>174</v>
      </c>
      <c r="AR14" s="152"/>
      <c r="AS14" s="467" t="str">
        <f>IF(AN13=2,"W",IF(AR13=2,"L",))</f>
        <v>W</v>
      </c>
      <c r="AT14" s="469" t="str">
        <f>IF(AR13=2,"W",IF(AN13=2,"L",))</f>
        <v>L</v>
      </c>
      <c r="AU14" s="470"/>
      <c r="AV14" s="471" t="s">
        <v>168</v>
      </c>
      <c r="AW14" s="449">
        <v>1.0</v>
      </c>
      <c r="AX14" s="449">
        <v>2.0</v>
      </c>
      <c r="AY14" s="479">
        <v>3.0</v>
      </c>
      <c r="AZ14" s="456" t="s">
        <v>174</v>
      </c>
      <c r="BA14" s="152"/>
      <c r="BB14" s="467" t="str">
        <f>IF(AW13=2,"W",IF(BA13=2,"L",))</f>
        <v>W</v>
      </c>
      <c r="BC14" s="469" t="str">
        <f>IF(BA13=2,"W",IF(AW13=2,"L",))</f>
        <v>L</v>
      </c>
      <c r="BD14" s="470"/>
      <c r="BE14" s="471" t="s">
        <v>168</v>
      </c>
      <c r="BF14" s="449">
        <v>1.0</v>
      </c>
      <c r="BG14" s="449">
        <v>2.0</v>
      </c>
      <c r="BH14" s="453">
        <v>3.0</v>
      </c>
      <c r="BI14" s="456" t="s">
        <v>174</v>
      </c>
      <c r="BJ14" s="152"/>
      <c r="BK14" s="467" t="str">
        <f>IF(BF13=2,"W",IF(BJ13=2,"L",))</f>
        <v>W</v>
      </c>
      <c r="BL14" s="469" t="str">
        <f>IF(BJ13=2,"W",IF(BF13=2,"L",))</f>
        <v>L</v>
      </c>
      <c r="BM14" s="440"/>
      <c r="BN14" s="5"/>
    </row>
    <row r="15" ht="7.5" customHeight="1">
      <c r="A15" s="301"/>
      <c r="B15" s="324"/>
      <c r="C15" s="325"/>
      <c r="D15" s="481"/>
      <c r="E15" s="481"/>
      <c r="F15" s="481"/>
      <c r="G15" s="481"/>
      <c r="H15" s="481"/>
      <c r="I15" s="481"/>
      <c r="J15" s="481"/>
      <c r="K15" s="481"/>
      <c r="L15" s="481"/>
      <c r="M15" s="481"/>
      <c r="N15" s="481"/>
      <c r="O15" s="481"/>
      <c r="P15" s="481"/>
      <c r="Q15" s="481"/>
      <c r="R15" s="481"/>
      <c r="S15" s="481"/>
      <c r="T15" s="481"/>
      <c r="U15" s="481"/>
      <c r="V15" s="481"/>
      <c r="W15" s="481"/>
      <c r="X15" s="481"/>
      <c r="Y15" s="481"/>
      <c r="Z15" s="481"/>
      <c r="AA15" s="481"/>
      <c r="AB15" s="481"/>
      <c r="AC15" s="481"/>
      <c r="AD15" s="481"/>
      <c r="AE15" s="481"/>
      <c r="AF15" s="481"/>
      <c r="AG15" s="481"/>
      <c r="AH15" s="481"/>
      <c r="AI15" s="481"/>
      <c r="AJ15" s="481"/>
      <c r="AK15" s="481"/>
      <c r="AL15" s="481"/>
      <c r="AM15" s="481"/>
      <c r="AN15" s="481"/>
      <c r="AO15" s="481"/>
      <c r="AP15" s="481"/>
      <c r="AQ15" s="481"/>
      <c r="AR15" s="481"/>
      <c r="AS15" s="481"/>
      <c r="AT15" s="481"/>
      <c r="AU15" s="481"/>
      <c r="AV15" s="481"/>
      <c r="AW15" s="481"/>
      <c r="AX15" s="481"/>
      <c r="AY15" s="481"/>
      <c r="AZ15" s="481"/>
      <c r="BA15" s="481"/>
      <c r="BB15" s="481"/>
      <c r="BC15" s="481"/>
      <c r="BD15" s="481"/>
      <c r="BE15" s="481"/>
      <c r="BF15" s="481"/>
      <c r="BG15" s="481"/>
      <c r="BH15" s="481"/>
      <c r="BI15" s="481"/>
      <c r="BJ15" s="481"/>
      <c r="BK15" s="481"/>
      <c r="BL15" s="481"/>
      <c r="BM15" s="327"/>
      <c r="BN15" s="301"/>
    </row>
    <row r="16">
      <c r="A16" s="301"/>
      <c r="B16" s="324"/>
      <c r="C16" s="328" t="str">
        <f>Source!$P$63</f>
        <v>Jackson McLoughlin</v>
      </c>
      <c r="D16" s="482" t="s">
        <v>148</v>
      </c>
      <c r="E16" s="483" t="s">
        <v>149</v>
      </c>
      <c r="F16" s="483" t="s">
        <v>36</v>
      </c>
      <c r="G16" s="484" t="str">
        <f>Source!$R$63</f>
        <v>Ryan Tidey</v>
      </c>
      <c r="H16" s="485" t="s">
        <v>148</v>
      </c>
      <c r="I16" s="486" t="s">
        <v>149</v>
      </c>
      <c r="J16" s="487" t="s">
        <v>36</v>
      </c>
      <c r="K16" s="481"/>
      <c r="L16" s="488" t="str">
        <f>Source!$P$65</f>
        <v>Zach VanSickle</v>
      </c>
      <c r="M16" s="482" t="s">
        <v>148</v>
      </c>
      <c r="N16" s="483" t="s">
        <v>149</v>
      </c>
      <c r="O16" s="483" t="s">
        <v>36</v>
      </c>
      <c r="P16" s="484" t="str">
        <f>Source!$R$65</f>
        <v>Tyler Gottfredsen</v>
      </c>
      <c r="Q16" s="485" t="s">
        <v>148</v>
      </c>
      <c r="R16" s="486" t="s">
        <v>149</v>
      </c>
      <c r="S16" s="487" t="s">
        <v>36</v>
      </c>
      <c r="T16" s="481"/>
      <c r="U16" s="488" t="str">
        <f>Source!$P$67</f>
        <v>Ryan Tidey</v>
      </c>
      <c r="V16" s="482" t="s">
        <v>148</v>
      </c>
      <c r="W16" s="483" t="s">
        <v>149</v>
      </c>
      <c r="X16" s="483" t="s">
        <v>36</v>
      </c>
      <c r="Y16" s="484" t="str">
        <f>Source!$R$67</f>
        <v>Zach VanSickle</v>
      </c>
      <c r="Z16" s="485" t="s">
        <v>148</v>
      </c>
      <c r="AA16" s="486" t="s">
        <v>149</v>
      </c>
      <c r="AB16" s="487" t="s">
        <v>36</v>
      </c>
      <c r="AC16" s="481"/>
      <c r="AD16" s="526"/>
      <c r="AE16" s="526"/>
      <c r="AF16" s="526"/>
      <c r="AG16" s="526"/>
      <c r="AH16" s="526"/>
      <c r="AI16" s="526"/>
      <c r="AJ16" s="526"/>
      <c r="AK16" s="526"/>
      <c r="AL16" s="481"/>
      <c r="AM16" s="526"/>
      <c r="AN16" s="526"/>
      <c r="AO16" s="526"/>
      <c r="AP16" s="526"/>
      <c r="AQ16" s="526"/>
      <c r="AR16" s="526"/>
      <c r="AS16" s="526"/>
      <c r="AT16" s="526"/>
      <c r="AU16" s="481"/>
      <c r="AV16" s="526"/>
      <c r="AW16" s="526"/>
      <c r="AX16" s="526"/>
      <c r="AY16" s="526"/>
      <c r="AZ16" s="526"/>
      <c r="BA16" s="526"/>
      <c r="BB16" s="526"/>
      <c r="BC16" s="526"/>
      <c r="BD16" s="481"/>
      <c r="BE16" s="526"/>
      <c r="BF16" s="526"/>
      <c r="BG16" s="526"/>
      <c r="BH16" s="526"/>
      <c r="BI16" s="526"/>
      <c r="BJ16" s="526"/>
      <c r="BK16" s="526"/>
      <c r="BL16" s="526"/>
      <c r="BM16" s="327"/>
      <c r="BN16" s="301"/>
    </row>
    <row r="17">
      <c r="A17" s="301"/>
      <c r="B17" s="324"/>
      <c r="C17" s="347" t="s">
        <v>120</v>
      </c>
      <c r="D17" s="491"/>
      <c r="E17" s="491"/>
      <c r="F17" s="362">
        <f t="shared" ref="F17:F22" si="15">D17-E17</f>
        <v>0</v>
      </c>
      <c r="G17" s="494" t="s">
        <v>63</v>
      </c>
      <c r="H17" s="491"/>
      <c r="I17" s="491"/>
      <c r="J17" s="493">
        <f t="shared" ref="J17:J22" si="16">H17-I17</f>
        <v>0</v>
      </c>
      <c r="K17" s="481"/>
      <c r="L17" s="494" t="s">
        <v>96</v>
      </c>
      <c r="M17" s="491">
        <v>1.0</v>
      </c>
      <c r="N17" s="491">
        <v>3.0</v>
      </c>
      <c r="O17" s="362">
        <f t="shared" ref="O17:O22" si="17">M17-N17</f>
        <v>-2</v>
      </c>
      <c r="P17" s="494" t="s">
        <v>64</v>
      </c>
      <c r="Q17" s="491">
        <v>4.0</v>
      </c>
      <c r="R17" s="491">
        <v>2.0</v>
      </c>
      <c r="S17" s="493">
        <f t="shared" ref="S17:S22" si="18">Q17-R17</f>
        <v>2</v>
      </c>
      <c r="T17" s="481"/>
      <c r="U17" s="528" t="s">
        <v>72</v>
      </c>
      <c r="V17" s="491"/>
      <c r="W17" s="491">
        <v>3.0</v>
      </c>
      <c r="X17" s="362">
        <f t="shared" ref="X17:X22" si="19">V17-W17</f>
        <v>-3</v>
      </c>
      <c r="Y17" s="494" t="s">
        <v>84</v>
      </c>
      <c r="Z17" s="491"/>
      <c r="AA17" s="491">
        <v>1.0</v>
      </c>
      <c r="AB17" s="493">
        <f t="shared" ref="AB17:AB22" si="20">Z17-AA17</f>
        <v>-1</v>
      </c>
      <c r="AC17" s="481"/>
      <c r="AD17" s="530"/>
      <c r="AE17" s="530"/>
      <c r="AF17" s="530"/>
      <c r="AG17" s="325"/>
      <c r="AH17" s="530"/>
      <c r="AI17" s="530"/>
      <c r="AJ17" s="530"/>
      <c r="AK17" s="325"/>
      <c r="AL17" s="481"/>
      <c r="AM17" s="530"/>
      <c r="AN17" s="530"/>
      <c r="AO17" s="530"/>
      <c r="AP17" s="325"/>
      <c r="AQ17" s="530"/>
      <c r="AR17" s="530"/>
      <c r="AS17" s="530"/>
      <c r="AT17" s="325"/>
      <c r="AU17" s="481"/>
      <c r="AV17" s="530"/>
      <c r="AW17" s="530"/>
      <c r="AX17" s="530"/>
      <c r="AY17" s="325"/>
      <c r="AZ17" s="530"/>
      <c r="BA17" s="530"/>
      <c r="BB17" s="530"/>
      <c r="BC17" s="325"/>
      <c r="BD17" s="481"/>
      <c r="BE17" s="530"/>
      <c r="BF17" s="530"/>
      <c r="BG17" s="530"/>
      <c r="BH17" s="481"/>
      <c r="BI17" s="530"/>
      <c r="BJ17" s="530"/>
      <c r="BK17" s="530"/>
      <c r="BL17" s="481"/>
      <c r="BM17" s="327"/>
      <c r="BN17" s="301"/>
    </row>
    <row r="18">
      <c r="A18" s="301"/>
      <c r="B18" s="324"/>
      <c r="C18" s="370" t="s">
        <v>108</v>
      </c>
      <c r="D18" s="503"/>
      <c r="E18" s="503"/>
      <c r="F18" s="362">
        <f t="shared" si="15"/>
        <v>0</v>
      </c>
      <c r="G18" s="504" t="s">
        <v>112</v>
      </c>
      <c r="H18" s="503"/>
      <c r="I18" s="503"/>
      <c r="J18" s="493">
        <f t="shared" si="16"/>
        <v>0</v>
      </c>
      <c r="K18" s="481"/>
      <c r="L18" s="504" t="s">
        <v>58</v>
      </c>
      <c r="M18" s="491">
        <v>1.0</v>
      </c>
      <c r="N18" s="503">
        <v>2.0</v>
      </c>
      <c r="O18" s="362">
        <f t="shared" si="17"/>
        <v>-1</v>
      </c>
      <c r="P18" s="504" t="s">
        <v>101</v>
      </c>
      <c r="Q18" s="503">
        <v>3.0</v>
      </c>
      <c r="R18" s="503">
        <v>2.0</v>
      </c>
      <c r="S18" s="493">
        <f t="shared" si="18"/>
        <v>1</v>
      </c>
      <c r="T18" s="481"/>
      <c r="U18" s="531" t="s">
        <v>112</v>
      </c>
      <c r="V18" s="503"/>
      <c r="W18" s="503">
        <v>2.0</v>
      </c>
      <c r="X18" s="362">
        <f t="shared" si="19"/>
        <v>-2</v>
      </c>
      <c r="Y18" s="504" t="s">
        <v>76</v>
      </c>
      <c r="Z18" s="503">
        <v>2.0</v>
      </c>
      <c r="AA18" s="503">
        <v>1.0</v>
      </c>
      <c r="AB18" s="493">
        <f t="shared" si="20"/>
        <v>1</v>
      </c>
      <c r="AC18" s="481"/>
      <c r="AD18" s="530"/>
      <c r="AE18" s="530"/>
      <c r="AF18" s="530"/>
      <c r="AG18" s="325"/>
      <c r="AH18" s="530"/>
      <c r="AI18" s="530"/>
      <c r="AJ18" s="530"/>
      <c r="AK18" s="325"/>
      <c r="AL18" s="481"/>
      <c r="AM18" s="530"/>
      <c r="AN18" s="530"/>
      <c r="AO18" s="530"/>
      <c r="AP18" s="325"/>
      <c r="AQ18" s="530"/>
      <c r="AR18" s="530"/>
      <c r="AS18" s="530"/>
      <c r="AT18" s="325"/>
      <c r="AU18" s="481"/>
      <c r="AV18" s="530"/>
      <c r="AW18" s="530"/>
      <c r="AX18" s="530"/>
      <c r="AY18" s="325"/>
      <c r="AZ18" s="530"/>
      <c r="BA18" s="530"/>
      <c r="BB18" s="530"/>
      <c r="BC18" s="325"/>
      <c r="BD18" s="481"/>
      <c r="BE18" s="530"/>
      <c r="BF18" s="530"/>
      <c r="BG18" s="530"/>
      <c r="BH18" s="481"/>
      <c r="BI18" s="530"/>
      <c r="BJ18" s="530"/>
      <c r="BK18" s="530"/>
      <c r="BL18" s="481"/>
      <c r="BM18" s="327"/>
      <c r="BN18" s="301"/>
    </row>
    <row r="19">
      <c r="A19" s="301"/>
      <c r="B19" s="324"/>
      <c r="C19" s="370" t="s">
        <v>57</v>
      </c>
      <c r="D19" s="503"/>
      <c r="E19" s="503"/>
      <c r="F19" s="362">
        <f t="shared" si="15"/>
        <v>0</v>
      </c>
      <c r="G19" s="504" t="s">
        <v>124</v>
      </c>
      <c r="H19" s="503"/>
      <c r="I19" s="503"/>
      <c r="J19" s="493">
        <f t="shared" si="16"/>
        <v>0</v>
      </c>
      <c r="K19" s="481"/>
      <c r="L19" s="504" t="s">
        <v>103</v>
      </c>
      <c r="M19" s="491">
        <v>4.0</v>
      </c>
      <c r="N19" s="503">
        <v>2.0</v>
      </c>
      <c r="O19" s="362">
        <f t="shared" si="17"/>
        <v>2</v>
      </c>
      <c r="P19" s="504" t="s">
        <v>74</v>
      </c>
      <c r="Q19" s="503">
        <v>1.0</v>
      </c>
      <c r="R19" s="503">
        <v>1.0</v>
      </c>
      <c r="S19" s="493">
        <f t="shared" si="18"/>
        <v>0</v>
      </c>
      <c r="T19" s="481"/>
      <c r="U19" s="531" t="s">
        <v>124</v>
      </c>
      <c r="V19" s="503"/>
      <c r="W19" s="503">
        <v>1.0</v>
      </c>
      <c r="X19" s="362">
        <f t="shared" si="19"/>
        <v>-1</v>
      </c>
      <c r="Y19" s="504" t="s">
        <v>115</v>
      </c>
      <c r="Z19" s="503">
        <v>3.0</v>
      </c>
      <c r="AA19" s="503">
        <v>2.0</v>
      </c>
      <c r="AB19" s="493">
        <f t="shared" si="20"/>
        <v>1</v>
      </c>
      <c r="AC19" s="481"/>
      <c r="AD19" s="530"/>
      <c r="AE19" s="530"/>
      <c r="AF19" s="530"/>
      <c r="AG19" s="325"/>
      <c r="AH19" s="530"/>
      <c r="AI19" s="530"/>
      <c r="AJ19" s="530"/>
      <c r="AK19" s="325"/>
      <c r="AL19" s="481"/>
      <c r="AM19" s="530"/>
      <c r="AN19" s="530"/>
      <c r="AO19" s="530"/>
      <c r="AP19" s="325"/>
      <c r="AQ19" s="530"/>
      <c r="AR19" s="530"/>
      <c r="AS19" s="530"/>
      <c r="AT19" s="325"/>
      <c r="AU19" s="481"/>
      <c r="AV19" s="530"/>
      <c r="AW19" s="530"/>
      <c r="AX19" s="530"/>
      <c r="AY19" s="325"/>
      <c r="AZ19" s="530"/>
      <c r="BA19" s="530"/>
      <c r="BB19" s="530"/>
      <c r="BC19" s="325"/>
      <c r="BD19" s="481"/>
      <c r="BE19" s="530"/>
      <c r="BF19" s="530"/>
      <c r="BG19" s="530"/>
      <c r="BH19" s="481"/>
      <c r="BI19" s="530"/>
      <c r="BJ19" s="530"/>
      <c r="BK19" s="530"/>
      <c r="BL19" s="481"/>
      <c r="BM19" s="327"/>
      <c r="BN19" s="301"/>
    </row>
    <row r="20">
      <c r="A20" s="301"/>
      <c r="B20" s="324"/>
      <c r="C20" s="370" t="s">
        <v>75</v>
      </c>
      <c r="D20" s="503"/>
      <c r="E20" s="503"/>
      <c r="F20" s="362">
        <f t="shared" si="15"/>
        <v>0</v>
      </c>
      <c r="G20" s="504" t="s">
        <v>72</v>
      </c>
      <c r="H20" s="503"/>
      <c r="I20" s="503"/>
      <c r="J20" s="493">
        <f t="shared" si="16"/>
        <v>0</v>
      </c>
      <c r="K20" s="481"/>
      <c r="L20" s="504" t="s">
        <v>115</v>
      </c>
      <c r="M20" s="491"/>
      <c r="N20" s="503">
        <v>2.0</v>
      </c>
      <c r="O20" s="362">
        <f t="shared" si="17"/>
        <v>-2</v>
      </c>
      <c r="P20" s="504" t="s">
        <v>107</v>
      </c>
      <c r="Q20" s="503">
        <v>2.0</v>
      </c>
      <c r="R20" s="503">
        <v>1.0</v>
      </c>
      <c r="S20" s="493">
        <f t="shared" si="18"/>
        <v>1</v>
      </c>
      <c r="T20" s="481"/>
      <c r="U20" s="531" t="s">
        <v>63</v>
      </c>
      <c r="V20" s="503">
        <v>2.0</v>
      </c>
      <c r="W20" s="503">
        <v>1.0</v>
      </c>
      <c r="X20" s="362">
        <f t="shared" si="19"/>
        <v>1</v>
      </c>
      <c r="Y20" s="504" t="s">
        <v>96</v>
      </c>
      <c r="Z20" s="503">
        <v>1.0</v>
      </c>
      <c r="AA20" s="503"/>
      <c r="AB20" s="493">
        <f t="shared" si="20"/>
        <v>1</v>
      </c>
      <c r="AC20" s="481"/>
      <c r="AD20" s="530"/>
      <c r="AE20" s="530"/>
      <c r="AF20" s="530"/>
      <c r="AG20" s="325"/>
      <c r="AH20" s="530"/>
      <c r="AI20" s="530"/>
      <c r="AJ20" s="530"/>
      <c r="AK20" s="325"/>
      <c r="AL20" s="481"/>
      <c r="AM20" s="530"/>
      <c r="AN20" s="530"/>
      <c r="AO20" s="530"/>
      <c r="AP20" s="325"/>
      <c r="AQ20" s="530"/>
      <c r="AR20" s="530"/>
      <c r="AS20" s="530"/>
      <c r="AT20" s="325"/>
      <c r="AU20" s="481"/>
      <c r="AV20" s="530"/>
      <c r="AW20" s="530"/>
      <c r="AX20" s="530"/>
      <c r="AY20" s="325"/>
      <c r="AZ20" s="530"/>
      <c r="BA20" s="530"/>
      <c r="BB20" s="530"/>
      <c r="BC20" s="325"/>
      <c r="BD20" s="481"/>
      <c r="BE20" s="530"/>
      <c r="BF20" s="530"/>
      <c r="BG20" s="530"/>
      <c r="BH20" s="481"/>
      <c r="BI20" s="530"/>
      <c r="BJ20" s="530"/>
      <c r="BK20" s="530"/>
      <c r="BL20" s="481"/>
      <c r="BM20" s="327"/>
      <c r="BN20" s="301"/>
    </row>
    <row r="21">
      <c r="A21" s="301"/>
      <c r="B21" s="324"/>
      <c r="C21" s="370" t="s">
        <v>126</v>
      </c>
      <c r="D21" s="503"/>
      <c r="E21" s="503"/>
      <c r="F21" s="362">
        <f t="shared" si="15"/>
        <v>0</v>
      </c>
      <c r="G21" s="504" t="s">
        <v>130</v>
      </c>
      <c r="H21" s="503"/>
      <c r="I21" s="503"/>
      <c r="J21" s="493">
        <f t="shared" si="16"/>
        <v>0</v>
      </c>
      <c r="K21" s="481"/>
      <c r="L21" s="504" t="s">
        <v>84</v>
      </c>
      <c r="M21" s="491"/>
      <c r="N21" s="503">
        <v>1.0</v>
      </c>
      <c r="O21" s="362">
        <f t="shared" si="17"/>
        <v>-1</v>
      </c>
      <c r="P21" s="504" t="s">
        <v>80</v>
      </c>
      <c r="Q21" s="503"/>
      <c r="R21" s="503">
        <v>1.0</v>
      </c>
      <c r="S21" s="493">
        <f t="shared" si="18"/>
        <v>-1</v>
      </c>
      <c r="T21" s="481"/>
      <c r="U21" s="531" t="s">
        <v>130</v>
      </c>
      <c r="V21" s="503">
        <v>3.0</v>
      </c>
      <c r="W21" s="503"/>
      <c r="X21" s="362">
        <f t="shared" si="19"/>
        <v>3</v>
      </c>
      <c r="Y21" s="504" t="s">
        <v>58</v>
      </c>
      <c r="Z21" s="503"/>
      <c r="AA21" s="503">
        <v>1.0</v>
      </c>
      <c r="AB21" s="493">
        <f t="shared" si="20"/>
        <v>-1</v>
      </c>
      <c r="AC21" s="481"/>
      <c r="AD21" s="530"/>
      <c r="AE21" s="530"/>
      <c r="AF21" s="530"/>
      <c r="AG21" s="325"/>
      <c r="AH21" s="530"/>
      <c r="AI21" s="530"/>
      <c r="AJ21" s="530"/>
      <c r="AK21" s="325"/>
      <c r="AL21" s="481"/>
      <c r="AM21" s="530"/>
      <c r="AN21" s="530"/>
      <c r="AO21" s="530"/>
      <c r="AP21" s="325"/>
      <c r="AQ21" s="530"/>
      <c r="AR21" s="530"/>
      <c r="AS21" s="530"/>
      <c r="AT21" s="325"/>
      <c r="AU21" s="481"/>
      <c r="AV21" s="530"/>
      <c r="AW21" s="530"/>
      <c r="AX21" s="530"/>
      <c r="AY21" s="325"/>
      <c r="AZ21" s="530"/>
      <c r="BA21" s="530"/>
      <c r="BB21" s="530"/>
      <c r="BC21" s="325"/>
      <c r="BD21" s="481"/>
      <c r="BE21" s="530"/>
      <c r="BF21" s="530"/>
      <c r="BG21" s="530"/>
      <c r="BH21" s="481"/>
      <c r="BI21" s="530"/>
      <c r="BJ21" s="530"/>
      <c r="BK21" s="530"/>
      <c r="BL21" s="481"/>
      <c r="BM21" s="327"/>
      <c r="BN21" s="301"/>
    </row>
    <row r="22">
      <c r="A22" s="301"/>
      <c r="B22" s="324"/>
      <c r="C22" s="377" t="s">
        <v>102</v>
      </c>
      <c r="D22" s="510"/>
      <c r="E22" s="510"/>
      <c r="F22" s="362">
        <f t="shared" si="15"/>
        <v>0</v>
      </c>
      <c r="G22" s="511" t="s">
        <v>87</v>
      </c>
      <c r="H22" s="510"/>
      <c r="I22" s="510"/>
      <c r="J22" s="493">
        <f t="shared" si="16"/>
        <v>0</v>
      </c>
      <c r="K22" s="481"/>
      <c r="L22" s="511" t="s">
        <v>76</v>
      </c>
      <c r="M22" s="491"/>
      <c r="N22" s="510">
        <v>1.0</v>
      </c>
      <c r="O22" s="362">
        <f t="shared" si="17"/>
        <v>-1</v>
      </c>
      <c r="P22" s="511" t="s">
        <v>94</v>
      </c>
      <c r="Q22" s="510">
        <v>2.0</v>
      </c>
      <c r="R22" s="510"/>
      <c r="S22" s="493">
        <f t="shared" si="18"/>
        <v>2</v>
      </c>
      <c r="T22" s="481"/>
      <c r="U22" s="531" t="s">
        <v>87</v>
      </c>
      <c r="V22" s="510">
        <v>1.0</v>
      </c>
      <c r="W22" s="510">
        <v>1.0</v>
      </c>
      <c r="X22" s="362">
        <f t="shared" si="19"/>
        <v>0</v>
      </c>
      <c r="Y22" s="511" t="s">
        <v>103</v>
      </c>
      <c r="Z22" s="510">
        <v>2.0</v>
      </c>
      <c r="AA22" s="510">
        <v>1.0</v>
      </c>
      <c r="AB22" s="493">
        <f t="shared" si="20"/>
        <v>1</v>
      </c>
      <c r="AC22" s="481"/>
      <c r="AD22" s="530"/>
      <c r="AE22" s="530"/>
      <c r="AF22" s="530"/>
      <c r="AG22" s="325"/>
      <c r="AH22" s="530"/>
      <c r="AI22" s="530"/>
      <c r="AJ22" s="530"/>
      <c r="AK22" s="325"/>
      <c r="AL22" s="481"/>
      <c r="AM22" s="530"/>
      <c r="AN22" s="530"/>
      <c r="AO22" s="530"/>
      <c r="AP22" s="325"/>
      <c r="AQ22" s="530"/>
      <c r="AR22" s="530"/>
      <c r="AS22" s="530"/>
      <c r="AT22" s="325"/>
      <c r="AU22" s="481"/>
      <c r="AV22" s="530"/>
      <c r="AW22" s="530"/>
      <c r="AX22" s="530"/>
      <c r="AY22" s="325"/>
      <c r="AZ22" s="530"/>
      <c r="BA22" s="530"/>
      <c r="BB22" s="530"/>
      <c r="BC22" s="325"/>
      <c r="BD22" s="481"/>
      <c r="BE22" s="530"/>
      <c r="BF22" s="530"/>
      <c r="BG22" s="530"/>
      <c r="BH22" s="481"/>
      <c r="BI22" s="530"/>
      <c r="BJ22" s="530"/>
      <c r="BK22" s="530"/>
      <c r="BL22" s="481"/>
      <c r="BM22" s="327"/>
      <c r="BN22" s="301"/>
    </row>
    <row r="23">
      <c r="A23" s="301"/>
      <c r="B23" s="324"/>
      <c r="C23" s="396" t="s">
        <v>155</v>
      </c>
      <c r="D23" s="515">
        <f>SUM(F17:F22)</f>
        <v>0</v>
      </c>
      <c r="E23" s="399"/>
      <c r="F23" s="399"/>
      <c r="G23" s="516" t="s">
        <v>155</v>
      </c>
      <c r="H23" s="515">
        <f>SUM(J17:J22)</f>
        <v>0</v>
      </c>
      <c r="I23" s="399"/>
      <c r="J23" s="401"/>
      <c r="K23" s="481"/>
      <c r="L23" s="516" t="s">
        <v>155</v>
      </c>
      <c r="M23" s="515">
        <f>SUM(O17:O22)</f>
        <v>-5</v>
      </c>
      <c r="N23" s="399"/>
      <c r="O23" s="399"/>
      <c r="P23" s="516" t="s">
        <v>155</v>
      </c>
      <c r="Q23" s="515">
        <f>SUM(S17:S22)</f>
        <v>5</v>
      </c>
      <c r="R23" s="399"/>
      <c r="S23" s="401"/>
      <c r="T23" s="481"/>
      <c r="U23" s="516" t="s">
        <v>155</v>
      </c>
      <c r="V23" s="515">
        <f>SUM(X17:X22)</f>
        <v>-2</v>
      </c>
      <c r="W23" s="399"/>
      <c r="X23" s="399"/>
      <c r="Y23" s="516" t="s">
        <v>155</v>
      </c>
      <c r="Z23" s="515">
        <f>SUM(AB17:AB22)</f>
        <v>2</v>
      </c>
      <c r="AA23" s="399"/>
      <c r="AB23" s="401"/>
      <c r="AC23" s="481"/>
      <c r="AD23" s="526"/>
      <c r="AE23" s="481"/>
      <c r="AH23" s="526"/>
      <c r="AI23" s="481"/>
      <c r="AL23" s="481"/>
      <c r="AM23" s="526"/>
      <c r="AN23" s="481"/>
      <c r="AQ23" s="526"/>
      <c r="AR23" s="481"/>
      <c r="AU23" s="481"/>
      <c r="AV23" s="526"/>
      <c r="AW23" s="481"/>
      <c r="AZ23" s="526"/>
      <c r="BA23" s="481"/>
      <c r="BD23" s="481"/>
      <c r="BE23" s="526"/>
      <c r="BF23" s="530"/>
      <c r="BI23" s="526"/>
      <c r="BJ23" s="530"/>
      <c r="BM23" s="327"/>
      <c r="BN23" s="301"/>
    </row>
    <row r="24">
      <c r="A24" s="5"/>
      <c r="B24" s="416"/>
      <c r="C24" s="417" t="s">
        <v>162</v>
      </c>
      <c r="D24" s="521">
        <v>0.0</v>
      </c>
      <c r="E24" s="124"/>
      <c r="F24" s="419"/>
      <c r="G24" s="522" t="s">
        <v>162</v>
      </c>
      <c r="H24" s="521">
        <v>2.0</v>
      </c>
      <c r="I24" s="124"/>
      <c r="J24" s="125"/>
      <c r="K24" s="470"/>
      <c r="L24" s="522" t="s">
        <v>162</v>
      </c>
      <c r="M24" s="521">
        <v>1.0</v>
      </c>
      <c r="N24" s="124"/>
      <c r="O24" s="419"/>
      <c r="P24" s="522" t="s">
        <v>162</v>
      </c>
      <c r="Q24" s="521">
        <v>2.0</v>
      </c>
      <c r="R24" s="124"/>
      <c r="S24" s="125"/>
      <c r="T24" s="470"/>
      <c r="U24" s="522" t="s">
        <v>162</v>
      </c>
      <c r="V24" s="521">
        <v>1.0</v>
      </c>
      <c r="W24" s="124"/>
      <c r="X24" s="419"/>
      <c r="Y24" s="522" t="s">
        <v>162</v>
      </c>
      <c r="Z24" s="521">
        <v>2.0</v>
      </c>
      <c r="AA24" s="124"/>
      <c r="AB24" s="125"/>
      <c r="AC24" s="470"/>
      <c r="AD24" s="546"/>
      <c r="AE24" s="546"/>
      <c r="AH24" s="546"/>
      <c r="AI24" s="546"/>
      <c r="AL24" s="470"/>
      <c r="AM24" s="546"/>
      <c r="AN24" s="546"/>
      <c r="AQ24" s="546"/>
      <c r="AR24" s="546"/>
      <c r="AU24" s="470"/>
      <c r="AV24" s="546"/>
      <c r="AW24" s="546"/>
      <c r="AZ24" s="546"/>
      <c r="BA24" s="546"/>
      <c r="BD24" s="470"/>
      <c r="BE24" s="546"/>
      <c r="BF24" s="546"/>
      <c r="BI24" s="546"/>
      <c r="BJ24" s="546"/>
      <c r="BM24" s="440"/>
      <c r="BN24" s="5"/>
    </row>
    <row r="25">
      <c r="A25" s="5"/>
      <c r="B25" s="416"/>
      <c r="C25" s="445" t="s">
        <v>168</v>
      </c>
      <c r="D25" s="449">
        <v>1.0</v>
      </c>
      <c r="E25" s="449">
        <v>2.0</v>
      </c>
      <c r="F25" s="453">
        <v>3.0</v>
      </c>
      <c r="G25" s="456" t="s">
        <v>174</v>
      </c>
      <c r="H25" s="152"/>
      <c r="I25" s="467" t="str">
        <f>IF(D24=2,"W",IF(H24=2,"L",))</f>
        <v>L</v>
      </c>
      <c r="J25" s="469" t="str">
        <f>IF(H24=2,"W",IF(D24=2,"L",))</f>
        <v>W</v>
      </c>
      <c r="K25" s="470"/>
      <c r="L25" s="471" t="s">
        <v>168</v>
      </c>
      <c r="M25" s="449">
        <v>1.0</v>
      </c>
      <c r="N25" s="449">
        <v>2.0</v>
      </c>
      <c r="O25" s="476">
        <v>3.0</v>
      </c>
      <c r="P25" s="456" t="s">
        <v>174</v>
      </c>
      <c r="Q25" s="152"/>
      <c r="R25" s="467" t="str">
        <f>IF(M24=2,"W",IF(Q24=2,"L",))</f>
        <v>L</v>
      </c>
      <c r="S25" s="469" t="str">
        <f>IF(Q24=2,"W",IF(M24=2,"L",))</f>
        <v>W</v>
      </c>
      <c r="T25" s="470"/>
      <c r="U25" s="471" t="s">
        <v>168</v>
      </c>
      <c r="V25" s="449">
        <v>1.0</v>
      </c>
      <c r="W25" s="449">
        <v>2.0</v>
      </c>
      <c r="X25" s="476">
        <v>3.0</v>
      </c>
      <c r="Y25" s="456" t="s">
        <v>174</v>
      </c>
      <c r="Z25" s="152"/>
      <c r="AA25" s="467" t="str">
        <f>IF(V24=2,"W",IF(Z24=2,"L",))</f>
        <v>L</v>
      </c>
      <c r="AB25" s="469" t="str">
        <f>IF(Z24=2,"W",IF(V24=2,"L",))</f>
        <v>W</v>
      </c>
      <c r="AC25" s="470"/>
      <c r="AD25" s="546"/>
      <c r="AE25" s="555"/>
      <c r="AF25" s="555"/>
      <c r="AG25" s="546"/>
      <c r="AH25" s="546"/>
      <c r="AJ25" s="546"/>
      <c r="AK25" s="546"/>
      <c r="AL25" s="470"/>
      <c r="AM25" s="546"/>
      <c r="AN25" s="555"/>
      <c r="AO25" s="555"/>
      <c r="AP25" s="555"/>
      <c r="AQ25" s="546"/>
      <c r="AS25" s="546"/>
      <c r="AT25" s="546"/>
      <c r="AU25" s="470"/>
      <c r="AV25" s="546"/>
      <c r="AW25" s="555"/>
      <c r="AX25" s="555"/>
      <c r="AY25" s="546"/>
      <c r="AZ25" s="546"/>
      <c r="BB25" s="546"/>
      <c r="BC25" s="546"/>
      <c r="BD25" s="470"/>
      <c r="BE25" s="546"/>
      <c r="BF25" s="555"/>
      <c r="BG25" s="555"/>
      <c r="BH25" s="546"/>
      <c r="BI25" s="546"/>
      <c r="BK25" s="546"/>
      <c r="BL25" s="546"/>
      <c r="BM25" s="440"/>
      <c r="BN25" s="5"/>
    </row>
    <row r="26" ht="7.5" customHeight="1">
      <c r="A26" s="301"/>
      <c r="B26" s="324"/>
      <c r="C26" s="325"/>
      <c r="D26" s="325"/>
      <c r="E26" s="325"/>
      <c r="F26" s="325"/>
      <c r="G26" s="325"/>
      <c r="H26" s="325"/>
      <c r="I26" s="325"/>
      <c r="J26" s="325"/>
      <c r="K26" s="325"/>
      <c r="L26" s="325"/>
      <c r="M26" s="325"/>
      <c r="N26" s="325"/>
      <c r="O26" s="325"/>
      <c r="P26" s="325"/>
      <c r="Q26" s="325"/>
      <c r="R26" s="325"/>
      <c r="S26" s="325"/>
      <c r="T26" s="325"/>
      <c r="U26" s="325"/>
      <c r="V26" s="325"/>
      <c r="W26" s="325"/>
      <c r="X26" s="325"/>
      <c r="Y26" s="325"/>
      <c r="Z26" s="325"/>
      <c r="AA26" s="325"/>
      <c r="AB26" s="325"/>
      <c r="AC26" s="325"/>
      <c r="AD26" s="556"/>
      <c r="AE26" s="325"/>
      <c r="AF26" s="325"/>
      <c r="AG26" s="325"/>
      <c r="AH26" s="325"/>
      <c r="AI26" s="325"/>
      <c r="AJ26" s="325"/>
      <c r="AK26" s="325"/>
      <c r="AL26" s="325"/>
      <c r="AM26" s="325"/>
      <c r="AN26" s="325"/>
      <c r="AO26" s="325"/>
      <c r="AP26" s="325"/>
      <c r="AQ26" s="325"/>
      <c r="AR26" s="325"/>
      <c r="AS26" s="325"/>
      <c r="AT26" s="325"/>
      <c r="AU26" s="325"/>
      <c r="AV26" s="325"/>
      <c r="AW26" s="325"/>
      <c r="AX26" s="325"/>
      <c r="AY26" s="325"/>
      <c r="AZ26" s="325"/>
      <c r="BA26" s="325"/>
      <c r="BB26" s="325"/>
      <c r="BC26" s="325"/>
      <c r="BD26" s="325"/>
      <c r="BE26" s="325"/>
      <c r="BF26" s="325"/>
      <c r="BG26" s="325"/>
      <c r="BH26" s="325"/>
      <c r="BI26" s="325"/>
      <c r="BJ26" s="325"/>
      <c r="BK26" s="325"/>
      <c r="BL26" s="325"/>
      <c r="BM26" s="327"/>
      <c r="BN26" s="301"/>
    </row>
    <row r="27" ht="12.75" customHeight="1">
      <c r="A27" s="301"/>
      <c r="B27" s="324"/>
      <c r="C27" s="325"/>
      <c r="D27" s="325"/>
      <c r="E27" s="325"/>
      <c r="F27" s="325"/>
      <c r="G27" s="325"/>
      <c r="H27" s="325"/>
      <c r="I27" s="325"/>
      <c r="J27" s="558"/>
      <c r="K27" s="559">
        <v>1.0</v>
      </c>
      <c r="L27" s="563" t="str">
        <f>Source!$P$64</f>
        <v>Ian Heslin</v>
      </c>
      <c r="M27" s="564">
        <f>M13</f>
        <v>2</v>
      </c>
      <c r="N27" s="325"/>
      <c r="O27" s="325"/>
      <c r="P27" s="325"/>
      <c r="Q27" s="325"/>
      <c r="R27" s="325"/>
      <c r="S27" s="325"/>
      <c r="T27" s="325"/>
      <c r="U27" s="325"/>
      <c r="V27" s="325"/>
      <c r="W27" s="325"/>
      <c r="X27" s="325"/>
      <c r="Y27" s="325"/>
      <c r="Z27" s="325"/>
      <c r="AA27" s="325"/>
      <c r="AB27" s="325"/>
      <c r="AC27" s="325"/>
      <c r="AD27" s="556" t="s">
        <v>301</v>
      </c>
      <c r="AE27" s="325"/>
      <c r="AF27" s="325"/>
      <c r="AG27" s="325"/>
      <c r="AH27" s="325"/>
      <c r="AI27" s="325"/>
      <c r="AJ27" s="325"/>
      <c r="AK27" s="325"/>
      <c r="AL27" s="325"/>
      <c r="AM27" s="325"/>
      <c r="AN27" s="325"/>
      <c r="AO27" s="325"/>
      <c r="AP27" s="325"/>
      <c r="AQ27" s="325"/>
      <c r="AR27" s="325"/>
      <c r="AS27" s="325"/>
      <c r="AT27" s="325"/>
      <c r="AU27" s="325"/>
      <c r="AV27" s="325"/>
      <c r="AW27" s="325"/>
      <c r="AX27" s="325"/>
      <c r="AY27" s="325"/>
      <c r="AZ27" s="325"/>
      <c r="BA27" s="325"/>
      <c r="BB27" s="325"/>
      <c r="BC27" s="325"/>
      <c r="BD27" s="325"/>
      <c r="BE27" s="325"/>
      <c r="BF27" s="325"/>
      <c r="BG27" s="325"/>
      <c r="BH27" s="325"/>
      <c r="BI27" s="325"/>
      <c r="BJ27" s="325"/>
      <c r="BK27" s="325"/>
      <c r="BL27" s="325"/>
      <c r="BM27" s="327"/>
      <c r="BN27" s="301"/>
    </row>
    <row r="28" ht="12.75" customHeight="1">
      <c r="A28" s="301"/>
      <c r="B28" s="565">
        <v>5.0</v>
      </c>
      <c r="C28" s="567" t="str">
        <f>Source!$R$63</f>
        <v>Ryan Tidey</v>
      </c>
      <c r="D28" s="564">
        <f>H24</f>
        <v>2</v>
      </c>
      <c r="E28" s="325"/>
      <c r="F28" s="558"/>
      <c r="G28" s="558"/>
      <c r="H28" s="558"/>
      <c r="I28" s="568"/>
      <c r="J28" s="325"/>
      <c r="K28" s="325"/>
      <c r="L28" s="563" t="str">
        <f>Source!$R$64</f>
        <v>Ryan Tidey</v>
      </c>
      <c r="M28" s="564">
        <f>Q13</f>
        <v>0</v>
      </c>
      <c r="N28" s="570"/>
      <c r="O28" s="572"/>
      <c r="P28" s="573"/>
      <c r="Q28" s="325"/>
      <c r="R28" s="325"/>
      <c r="S28" s="325"/>
      <c r="T28" s="325"/>
      <c r="U28" s="325"/>
      <c r="V28" s="325"/>
      <c r="W28" s="325"/>
      <c r="X28" s="325"/>
      <c r="Y28" s="325"/>
      <c r="Z28" s="325"/>
      <c r="AA28" s="325"/>
      <c r="AB28" s="325"/>
      <c r="AC28" s="325"/>
      <c r="AD28" s="556"/>
      <c r="AE28" s="325"/>
      <c r="AF28" s="325"/>
      <c r="AG28" s="325"/>
      <c r="AH28" s="325"/>
      <c r="AI28" s="325"/>
      <c r="AJ28" s="325"/>
      <c r="AK28" s="325"/>
      <c r="AL28" s="325"/>
      <c r="AM28" s="325"/>
      <c r="AN28" s="325"/>
      <c r="AO28" s="325"/>
      <c r="AP28" s="325"/>
      <c r="AQ28" s="325"/>
      <c r="AR28" s="325"/>
      <c r="AS28" s="325"/>
      <c r="AT28" s="325"/>
      <c r="AU28" s="325"/>
      <c r="AV28" s="325"/>
      <c r="AW28" s="325"/>
      <c r="AX28" s="325"/>
      <c r="AY28" s="325"/>
      <c r="AZ28" s="325"/>
      <c r="BA28" s="325"/>
      <c r="BB28" s="325"/>
      <c r="BC28" s="325"/>
      <c r="BD28" s="325"/>
      <c r="BE28" s="325"/>
      <c r="BF28" s="325"/>
      <c r="BG28" s="325"/>
      <c r="BH28" s="325"/>
      <c r="BI28" s="325"/>
      <c r="BJ28" s="325"/>
      <c r="BK28" s="325"/>
      <c r="BL28" s="325"/>
      <c r="BM28" s="327"/>
      <c r="BN28" s="301"/>
    </row>
    <row r="29" ht="12.75" customHeight="1">
      <c r="A29" s="301"/>
      <c r="B29" s="565">
        <v>4.0</v>
      </c>
      <c r="C29" s="567" t="str">
        <f>Source!$P$63</f>
        <v>Jackson McLoughlin</v>
      </c>
      <c r="D29" s="564">
        <f>D24</f>
        <v>0</v>
      </c>
      <c r="E29" s="570"/>
      <c r="F29" s="325"/>
      <c r="G29" s="325"/>
      <c r="H29" s="325"/>
      <c r="I29" s="325"/>
      <c r="J29" s="325"/>
      <c r="K29" s="325"/>
      <c r="L29" s="325"/>
      <c r="M29" s="564"/>
      <c r="N29" s="576"/>
      <c r="O29" s="325"/>
      <c r="P29" s="577"/>
      <c r="Q29" s="325"/>
      <c r="R29" s="325"/>
      <c r="S29" s="325"/>
      <c r="T29" s="325"/>
      <c r="U29" s="325"/>
      <c r="V29" s="325"/>
      <c r="W29" s="325"/>
      <c r="X29" s="325"/>
      <c r="Y29" s="325"/>
      <c r="Z29" s="325"/>
      <c r="AA29" s="325"/>
      <c r="AB29" s="325"/>
      <c r="AC29" s="325"/>
      <c r="AD29" s="556"/>
      <c r="AE29" s="325"/>
      <c r="AF29" s="325"/>
      <c r="AG29" s="325"/>
      <c r="AH29" s="325"/>
      <c r="AI29" s="325"/>
      <c r="AJ29" s="325"/>
      <c r="AK29" s="325"/>
      <c r="AL29" s="325"/>
      <c r="AM29" s="563" t="str">
        <f>Source!$P$70</f>
        <v>Ian Heslin</v>
      </c>
      <c r="AN29" s="564">
        <f>AN13</f>
        <v>2</v>
      </c>
      <c r="AO29" s="325"/>
      <c r="AP29" s="325"/>
      <c r="AQ29" s="325"/>
      <c r="AR29" s="325"/>
      <c r="AS29" s="325"/>
      <c r="AT29" s="325"/>
      <c r="AU29" s="325"/>
      <c r="AV29" s="325"/>
      <c r="AW29" s="325"/>
      <c r="AX29" s="325"/>
      <c r="AY29" s="325"/>
      <c r="AZ29" s="325"/>
      <c r="BA29" s="325"/>
      <c r="BB29" s="325"/>
      <c r="BC29" s="325"/>
      <c r="BD29" s="325"/>
      <c r="BE29" s="563" t="str">
        <f>Source!$P$73</f>
        <v>Ian Heslin</v>
      </c>
      <c r="BF29" s="564">
        <f>BF13</f>
        <v>2</v>
      </c>
      <c r="BG29" s="325"/>
      <c r="BH29" s="325"/>
      <c r="BI29" s="325"/>
      <c r="BJ29" s="325"/>
      <c r="BK29" s="325"/>
      <c r="BL29" s="325"/>
      <c r="BM29" s="327"/>
      <c r="BN29" s="301"/>
    </row>
    <row r="30" ht="12.75" customHeight="1">
      <c r="A30" s="301"/>
      <c r="B30" s="594"/>
      <c r="C30" s="325"/>
      <c r="D30" s="564"/>
      <c r="E30" s="576"/>
      <c r="F30" s="595"/>
      <c r="G30" s="325"/>
      <c r="H30" s="325"/>
      <c r="I30" s="325"/>
      <c r="J30" s="325"/>
      <c r="K30" s="325"/>
      <c r="L30" s="325"/>
      <c r="M30" s="564"/>
      <c r="N30" s="325"/>
      <c r="O30" s="596"/>
      <c r="P30" s="577"/>
      <c r="Q30" s="572"/>
      <c r="R30" s="572"/>
      <c r="S30" s="572"/>
      <c r="T30" s="572"/>
      <c r="U30" s="572"/>
      <c r="V30" s="572"/>
      <c r="W30" s="572"/>
      <c r="X30" s="572"/>
      <c r="Y30" s="572"/>
      <c r="Z30" s="572"/>
      <c r="AA30" s="572"/>
      <c r="AB30" s="572"/>
      <c r="AC30" s="572"/>
      <c r="AD30" s="597"/>
      <c r="AE30" s="572"/>
      <c r="AF30" s="572"/>
      <c r="AG30" s="572"/>
      <c r="AH30" s="572"/>
      <c r="AI30" s="572"/>
      <c r="AJ30" s="572"/>
      <c r="AK30" s="572"/>
      <c r="AL30" s="325"/>
      <c r="AM30" s="563" t="str">
        <f>Source!$R$70</f>
        <v>Tyler Gottfredsen</v>
      </c>
      <c r="AN30" s="564">
        <f>AR13</f>
        <v>1</v>
      </c>
      <c r="AO30" s="570"/>
      <c r="AP30" s="572"/>
      <c r="AQ30" s="572"/>
      <c r="AR30" s="572"/>
      <c r="AS30" s="572"/>
      <c r="AT30" s="572"/>
      <c r="AU30" s="572"/>
      <c r="AV30" s="572"/>
      <c r="AW30" s="572"/>
      <c r="AX30" s="572"/>
      <c r="AY30" s="572"/>
      <c r="AZ30" s="572"/>
      <c r="BA30" s="572"/>
      <c r="BB30" s="573"/>
      <c r="BC30" s="572"/>
      <c r="BD30" s="325"/>
      <c r="BE30" s="563" t="str">
        <f>Source!$R$73</f>
        <v>Tyler Gottfredsen</v>
      </c>
      <c r="BF30" s="564">
        <f>BJ13</f>
        <v>0</v>
      </c>
      <c r="BG30" s="325"/>
      <c r="BH30" s="325"/>
      <c r="BI30" s="325"/>
      <c r="BJ30" s="325"/>
      <c r="BK30" s="325"/>
      <c r="BL30" s="325"/>
      <c r="BM30" s="327"/>
      <c r="BN30" s="301"/>
    </row>
    <row r="31" ht="12.75" customHeight="1">
      <c r="A31" s="301"/>
      <c r="B31" s="598">
        <v>3.0</v>
      </c>
      <c r="C31" s="563" t="str">
        <f>Source!$P$62</f>
        <v>Tyler Gottfredsen</v>
      </c>
      <c r="D31" s="564">
        <f>D13</f>
        <v>2</v>
      </c>
      <c r="E31" s="599"/>
      <c r="F31" s="600"/>
      <c r="G31" s="558"/>
      <c r="H31" s="558"/>
      <c r="I31" s="325"/>
      <c r="J31" s="325"/>
      <c r="K31" s="325"/>
      <c r="L31" s="325"/>
      <c r="M31" s="564"/>
      <c r="N31" s="576"/>
      <c r="O31" s="576"/>
      <c r="P31" s="577"/>
      <c r="Q31" s="325"/>
      <c r="R31" s="325"/>
      <c r="S31" s="325"/>
      <c r="T31" s="325"/>
      <c r="U31" s="325"/>
      <c r="V31" s="325"/>
      <c r="W31" s="325"/>
      <c r="X31" s="325"/>
      <c r="Y31" s="325"/>
      <c r="Z31" s="325"/>
      <c r="AA31" s="325"/>
      <c r="AB31" s="325"/>
      <c r="AC31" s="325"/>
      <c r="AD31" s="556"/>
      <c r="AE31" s="325"/>
      <c r="AF31" s="325"/>
      <c r="AG31" s="325"/>
      <c r="AH31" s="325"/>
      <c r="AI31" s="325"/>
      <c r="AJ31" s="325"/>
      <c r="AK31" s="325"/>
      <c r="AL31" s="325"/>
      <c r="AM31" s="325"/>
      <c r="AN31" s="325"/>
      <c r="AO31" s="576"/>
      <c r="AP31" s="325"/>
      <c r="AQ31" s="325"/>
      <c r="AR31" s="325"/>
      <c r="AS31" s="325"/>
      <c r="AT31" s="325"/>
      <c r="AU31" s="325"/>
      <c r="AV31" s="325"/>
      <c r="AW31" s="325"/>
      <c r="AX31" s="325"/>
      <c r="AY31" s="325"/>
      <c r="AZ31" s="325"/>
      <c r="BA31" s="325"/>
      <c r="BB31" s="577"/>
      <c r="BC31" s="325"/>
      <c r="BD31" s="325"/>
      <c r="BE31" s="325"/>
      <c r="BF31" s="325"/>
      <c r="BG31" s="325"/>
      <c r="BH31" s="325"/>
      <c r="BI31" s="325"/>
      <c r="BJ31" s="325"/>
      <c r="BK31" s="325"/>
      <c r="BL31" s="325"/>
      <c r="BM31" s="327"/>
      <c r="BN31" s="301"/>
    </row>
    <row r="32" ht="12.75" customHeight="1">
      <c r="A32" s="301"/>
      <c r="B32" s="598">
        <v>6.0</v>
      </c>
      <c r="C32" s="563" t="str">
        <f>Source!$R$62</f>
        <v>Dick Hansen</v>
      </c>
      <c r="D32" s="564">
        <f>H13</f>
        <v>0</v>
      </c>
      <c r="E32" s="325"/>
      <c r="F32" s="576"/>
      <c r="G32" s="325"/>
      <c r="H32" s="325"/>
      <c r="I32" s="601"/>
      <c r="J32" s="558"/>
      <c r="K32" s="325"/>
      <c r="L32" s="563" t="str">
        <f>Source!$R$65</f>
        <v>Tyler Gottfredsen</v>
      </c>
      <c r="M32" s="564">
        <f>Q24</f>
        <v>2</v>
      </c>
      <c r="N32" s="599"/>
      <c r="O32" s="600"/>
      <c r="P32" s="603"/>
      <c r="Q32" s="325"/>
      <c r="R32" s="325"/>
      <c r="S32" s="325"/>
      <c r="T32" s="325"/>
      <c r="U32" s="325"/>
      <c r="V32" s="325"/>
      <c r="W32" s="325"/>
      <c r="X32" s="325"/>
      <c r="Y32" s="325"/>
      <c r="Z32" s="325"/>
      <c r="AA32" s="325"/>
      <c r="AB32" s="325"/>
      <c r="AC32" s="325"/>
      <c r="AD32" s="556"/>
      <c r="AE32" s="325"/>
      <c r="AF32" s="325"/>
      <c r="AG32" s="325"/>
      <c r="AH32" s="325"/>
      <c r="AI32" s="325"/>
      <c r="AJ32" s="325"/>
      <c r="AK32" s="325"/>
      <c r="AL32" s="325"/>
      <c r="AM32" s="325"/>
      <c r="AN32" s="325"/>
      <c r="AO32" s="576"/>
      <c r="AP32" s="325"/>
      <c r="AQ32" s="325"/>
      <c r="AR32" s="325"/>
      <c r="AS32" s="325"/>
      <c r="AT32" s="325"/>
      <c r="AU32" s="325"/>
      <c r="AV32" s="325"/>
      <c r="AW32" s="325"/>
      <c r="AX32" s="325"/>
      <c r="AY32" s="325"/>
      <c r="AZ32" s="325"/>
      <c r="BA32" s="325"/>
      <c r="BB32" s="577"/>
      <c r="BC32" s="325"/>
      <c r="BD32" s="325"/>
      <c r="BE32" s="325"/>
      <c r="BF32" s="325"/>
      <c r="BG32" s="325"/>
      <c r="BH32" s="325"/>
      <c r="BI32" s="325"/>
      <c r="BJ32" s="325"/>
      <c r="BK32" s="325"/>
      <c r="BL32" s="325"/>
      <c r="BM32" s="327"/>
      <c r="BN32" s="301"/>
    </row>
    <row r="33" ht="12.75" customHeight="1">
      <c r="A33" s="301"/>
      <c r="B33" s="324"/>
      <c r="C33" s="325"/>
      <c r="D33" s="325"/>
      <c r="E33" s="325"/>
      <c r="F33" s="576"/>
      <c r="G33" s="325"/>
      <c r="H33" s="325"/>
      <c r="I33" s="325"/>
      <c r="J33" s="325"/>
      <c r="K33" s="559">
        <v>2.0</v>
      </c>
      <c r="L33" s="563" t="str">
        <f>Source!$P$65</f>
        <v>Zach VanSickle</v>
      </c>
      <c r="M33" s="564">
        <f>M24</f>
        <v>1</v>
      </c>
      <c r="N33" s="325"/>
      <c r="O33" s="576"/>
      <c r="P33" s="325"/>
      <c r="Q33" s="325"/>
      <c r="R33" s="325"/>
      <c r="S33" s="325"/>
      <c r="T33" s="325"/>
      <c r="U33" s="325"/>
      <c r="V33" s="325"/>
      <c r="W33" s="325"/>
      <c r="X33" s="325"/>
      <c r="Y33" s="325"/>
      <c r="Z33" s="325"/>
      <c r="AA33" s="325"/>
      <c r="AB33" s="325"/>
      <c r="AC33" s="325"/>
      <c r="AD33" s="556"/>
      <c r="AE33" s="325"/>
      <c r="AF33" s="325"/>
      <c r="AG33" s="325"/>
      <c r="AH33" s="325"/>
      <c r="AI33" s="325"/>
      <c r="AJ33" s="325"/>
      <c r="AK33" s="325"/>
      <c r="AL33" s="325"/>
      <c r="AM33" s="325"/>
      <c r="AN33" s="325"/>
      <c r="AO33" s="576"/>
      <c r="AP33" s="325"/>
      <c r="AQ33" s="325"/>
      <c r="AR33" s="325"/>
      <c r="AS33" s="325"/>
      <c r="AT33" s="325"/>
      <c r="AU33" s="325"/>
      <c r="AV33" s="325"/>
      <c r="AW33" s="325"/>
      <c r="AX33" s="325"/>
      <c r="AY33" s="325"/>
      <c r="AZ33" s="325"/>
      <c r="BA33" s="325"/>
      <c r="BB33" s="577"/>
      <c r="BC33" s="325"/>
      <c r="BD33" s="325"/>
      <c r="BE33" s="325"/>
      <c r="BF33" s="325"/>
      <c r="BG33" s="325"/>
      <c r="BH33" s="325"/>
      <c r="BI33" s="325"/>
      <c r="BJ33" s="325"/>
      <c r="BK33" s="325"/>
      <c r="BL33" s="325"/>
      <c r="BM33" s="327"/>
      <c r="BN33" s="301"/>
    </row>
    <row r="34" ht="12.75" customHeight="1">
      <c r="A34" s="301"/>
      <c r="B34" s="324"/>
      <c r="C34" s="325"/>
      <c r="D34" s="325"/>
      <c r="E34" s="325"/>
      <c r="F34" s="576"/>
      <c r="G34" s="325"/>
      <c r="H34" s="325"/>
      <c r="I34" s="325"/>
      <c r="J34" s="325"/>
      <c r="K34" s="325"/>
      <c r="L34" s="325"/>
      <c r="M34" s="325"/>
      <c r="N34" s="325"/>
      <c r="O34" s="576"/>
      <c r="P34" s="325"/>
      <c r="Q34" s="325"/>
      <c r="R34" s="325"/>
      <c r="S34" s="325"/>
      <c r="T34" s="325"/>
      <c r="U34" s="325"/>
      <c r="V34" s="325"/>
      <c r="W34" s="325"/>
      <c r="X34" s="325"/>
      <c r="Y34" s="563"/>
      <c r="Z34" s="325"/>
      <c r="AA34" s="325"/>
      <c r="AB34" s="325"/>
      <c r="AC34" s="325"/>
      <c r="AD34" s="556"/>
      <c r="AE34" s="325"/>
      <c r="AF34" s="325"/>
      <c r="AG34" s="325"/>
      <c r="AH34" s="325"/>
      <c r="AI34" s="325"/>
      <c r="AJ34" s="325"/>
      <c r="AK34" s="325"/>
      <c r="AL34" s="325"/>
      <c r="AM34" s="325"/>
      <c r="AN34" s="325"/>
      <c r="AO34" s="576"/>
      <c r="AP34" s="325"/>
      <c r="AQ34" s="325"/>
      <c r="AR34" s="325"/>
      <c r="AS34" s="325"/>
      <c r="AT34" s="325"/>
      <c r="AU34" s="325"/>
      <c r="AV34" s="325"/>
      <c r="AW34" s="325"/>
      <c r="AX34" s="325"/>
      <c r="AY34" s="325"/>
      <c r="AZ34" s="325"/>
      <c r="BA34" s="325"/>
      <c r="BB34" s="577"/>
      <c r="BC34" s="325"/>
      <c r="BD34" s="325"/>
      <c r="BE34" s="325"/>
      <c r="BF34" s="325"/>
      <c r="BG34" s="325"/>
      <c r="BH34" s="325"/>
      <c r="BI34" s="325"/>
      <c r="BJ34" s="325"/>
      <c r="BK34" s="325"/>
      <c r="BL34" s="325"/>
      <c r="BM34" s="327"/>
      <c r="BN34" s="301"/>
    </row>
    <row r="35" ht="12.75" customHeight="1">
      <c r="A35" s="301"/>
      <c r="B35" s="324"/>
      <c r="C35" s="325"/>
      <c r="D35" s="325"/>
      <c r="E35" s="325"/>
      <c r="F35" s="576"/>
      <c r="G35" s="325"/>
      <c r="H35" s="325"/>
      <c r="I35" s="325"/>
      <c r="J35" s="325"/>
      <c r="K35" s="325"/>
      <c r="L35" s="325"/>
      <c r="M35" s="325"/>
      <c r="N35" s="325"/>
      <c r="O35" s="576"/>
      <c r="P35" s="325"/>
      <c r="Q35" s="325"/>
      <c r="R35" s="325"/>
      <c r="S35" s="325"/>
      <c r="T35" s="325"/>
      <c r="U35" s="325"/>
      <c r="V35" s="325"/>
      <c r="W35" s="325"/>
      <c r="X35" s="325"/>
      <c r="Y35" s="563"/>
      <c r="Z35" s="325"/>
      <c r="AA35" s="325"/>
      <c r="AB35" s="325"/>
      <c r="AC35" s="325"/>
      <c r="AD35" s="556"/>
      <c r="AE35" s="325"/>
      <c r="AF35" s="325"/>
      <c r="AG35" s="325"/>
      <c r="AH35" s="325"/>
      <c r="AI35" s="325"/>
      <c r="AJ35" s="325"/>
      <c r="AK35" s="325"/>
      <c r="AL35" s="325"/>
      <c r="AM35" s="325"/>
      <c r="AN35" s="325"/>
      <c r="AO35" s="576"/>
      <c r="AP35" s="325"/>
      <c r="AQ35" s="325"/>
      <c r="AR35" s="325"/>
      <c r="AS35" s="325"/>
      <c r="AT35" s="325"/>
      <c r="AU35" s="325"/>
      <c r="AV35" s="325"/>
      <c r="AW35" s="325"/>
      <c r="AX35" s="325"/>
      <c r="AY35" s="325"/>
      <c r="AZ35" s="325"/>
      <c r="BA35" s="325"/>
      <c r="BB35" s="577"/>
      <c r="BC35" s="325"/>
      <c r="BD35" s="325"/>
      <c r="BE35" s="325"/>
      <c r="BF35" s="325"/>
      <c r="BG35" s="325"/>
      <c r="BH35" s="325"/>
      <c r="BI35" s="325"/>
      <c r="BJ35" s="325"/>
      <c r="BK35" s="325"/>
      <c r="BL35" s="325"/>
      <c r="BM35" s="327"/>
      <c r="BN35" s="301"/>
    </row>
    <row r="36" ht="12.75" customHeight="1">
      <c r="A36" s="301"/>
      <c r="B36" s="324"/>
      <c r="C36" s="325"/>
      <c r="D36" s="325"/>
      <c r="E36" s="325"/>
      <c r="F36" s="576"/>
      <c r="G36" s="611"/>
      <c r="H36" s="325"/>
      <c r="I36" s="325"/>
      <c r="J36" s="325"/>
      <c r="K36" s="325"/>
      <c r="L36" s="325"/>
      <c r="M36" s="325"/>
      <c r="N36" s="325"/>
      <c r="O36" s="576"/>
      <c r="P36" s="325"/>
      <c r="Q36" s="325"/>
      <c r="R36" s="325"/>
      <c r="S36" s="325"/>
      <c r="T36" s="325"/>
      <c r="U36" s="563" t="str">
        <f>Source!$P$67</f>
        <v>Ryan Tidey</v>
      </c>
      <c r="V36" s="564">
        <f>V24</f>
        <v>1</v>
      </c>
      <c r="W36" s="325"/>
      <c r="X36" s="325"/>
      <c r="Y36" s="325"/>
      <c r="Z36" s="325"/>
      <c r="AA36" s="325"/>
      <c r="AB36" s="325"/>
      <c r="AC36" s="325"/>
      <c r="AD36" s="556"/>
      <c r="AE36" s="325"/>
      <c r="AF36" s="325"/>
      <c r="AG36" s="325"/>
      <c r="AH36" s="325"/>
      <c r="AI36" s="325"/>
      <c r="AJ36" s="325"/>
      <c r="AK36" s="325"/>
      <c r="AL36" s="325"/>
      <c r="AM36" s="325"/>
      <c r="AN36" s="325"/>
      <c r="AO36" s="576"/>
      <c r="AP36" s="325"/>
      <c r="AQ36" s="325"/>
      <c r="AR36" s="325"/>
      <c r="AS36" s="325"/>
      <c r="AT36" s="325"/>
      <c r="AU36" s="325"/>
      <c r="AV36" s="325"/>
      <c r="AW36" s="325"/>
      <c r="AX36" s="325"/>
      <c r="AY36" s="325"/>
      <c r="AZ36" s="325"/>
      <c r="BA36" s="325"/>
      <c r="BB36" s="577"/>
      <c r="BC36" s="325"/>
      <c r="BD36" s="325"/>
      <c r="BE36" s="325"/>
      <c r="BF36" s="325"/>
      <c r="BG36" s="325"/>
      <c r="BH36" s="325"/>
      <c r="BI36" s="325"/>
      <c r="BJ36" s="325"/>
      <c r="BK36" s="325"/>
      <c r="BL36" s="325"/>
      <c r="BM36" s="327"/>
      <c r="BN36" s="301"/>
    </row>
    <row r="37" ht="12.75" customHeight="1">
      <c r="A37" s="301"/>
      <c r="B37" s="324"/>
      <c r="C37" s="325"/>
      <c r="D37" s="325"/>
      <c r="E37" s="325"/>
      <c r="F37" s="325"/>
      <c r="G37" s="611"/>
      <c r="H37" s="325"/>
      <c r="I37" s="325"/>
      <c r="J37" s="325"/>
      <c r="K37" s="325"/>
      <c r="L37" s="325"/>
      <c r="M37" s="325"/>
      <c r="N37" s="325"/>
      <c r="O37" s="325"/>
      <c r="P37" s="612"/>
      <c r="Q37" s="612"/>
      <c r="R37" s="612"/>
      <c r="S37" s="612"/>
      <c r="T37" s="325"/>
      <c r="U37" s="563" t="str">
        <f>Source!$R$67</f>
        <v>Zach VanSickle</v>
      </c>
      <c r="V37" s="564">
        <f>Z24</f>
        <v>2</v>
      </c>
      <c r="W37" s="572"/>
      <c r="X37" s="573"/>
      <c r="Y37" s="325"/>
      <c r="Z37" s="325"/>
      <c r="AA37" s="325"/>
      <c r="AB37" s="325"/>
      <c r="AC37" s="325"/>
      <c r="AD37" s="556"/>
      <c r="AE37" s="325"/>
      <c r="AF37" s="325"/>
      <c r="AG37" s="325"/>
      <c r="AH37" s="325"/>
      <c r="AI37" s="325"/>
      <c r="AJ37" s="325"/>
      <c r="AK37" s="325"/>
      <c r="AL37" s="325"/>
      <c r="AM37" s="325"/>
      <c r="AN37" s="325"/>
      <c r="AO37" s="576"/>
      <c r="AP37" s="595"/>
      <c r="AQ37" s="595"/>
      <c r="AR37" s="595"/>
      <c r="AS37" s="595"/>
      <c r="AT37" s="325"/>
      <c r="AU37" s="325"/>
      <c r="AV37" s="325"/>
      <c r="AW37" s="325"/>
      <c r="AX37" s="325"/>
      <c r="AY37" s="325"/>
      <c r="AZ37" s="325"/>
      <c r="BA37" s="325"/>
      <c r="BB37" s="577"/>
      <c r="BC37" s="325"/>
      <c r="BD37" s="325"/>
      <c r="BE37" s="325"/>
      <c r="BF37" s="325"/>
      <c r="BG37" s="325"/>
      <c r="BH37" s="325"/>
      <c r="BI37" s="325"/>
      <c r="BJ37" s="325"/>
      <c r="BK37" s="325"/>
      <c r="BL37" s="325"/>
      <c r="BM37" s="327"/>
      <c r="BN37" s="301"/>
    </row>
    <row r="38" ht="12.75" customHeight="1">
      <c r="A38" s="301"/>
      <c r="B38" s="324"/>
      <c r="C38" s="325"/>
      <c r="D38" s="325"/>
      <c r="E38" s="325"/>
      <c r="F38" s="325"/>
      <c r="G38" s="611"/>
      <c r="H38" s="325"/>
      <c r="I38" s="325"/>
      <c r="J38" s="325"/>
      <c r="K38" s="325"/>
      <c r="L38" s="325"/>
      <c r="M38" s="325"/>
      <c r="N38" s="325"/>
      <c r="O38" s="325"/>
      <c r="P38" s="325"/>
      <c r="Q38" s="325"/>
      <c r="R38" s="325"/>
      <c r="S38" s="325"/>
      <c r="T38" s="325"/>
      <c r="U38" s="325"/>
      <c r="V38" s="564"/>
      <c r="W38" s="325"/>
      <c r="X38" s="577"/>
      <c r="Y38" s="558"/>
      <c r="Z38" s="558"/>
      <c r="AA38" s="558"/>
      <c r="AB38" s="558"/>
      <c r="AC38" s="325"/>
      <c r="AD38" s="615" t="str">
        <f>Source!$P$68</f>
        <v>Jackson McLoughlin</v>
      </c>
      <c r="AE38" s="564">
        <f>AE13</f>
        <v>0</v>
      </c>
      <c r="AF38" s="558"/>
      <c r="AG38" s="558"/>
      <c r="AH38" s="558"/>
      <c r="AI38" s="558"/>
      <c r="AJ38" s="558"/>
      <c r="AK38" s="558"/>
      <c r="AL38" s="558"/>
      <c r="AM38" s="558"/>
      <c r="AN38" s="558"/>
      <c r="AO38" s="558"/>
      <c r="AP38" s="558"/>
      <c r="AQ38" s="558"/>
      <c r="AR38" s="558"/>
      <c r="AS38" s="558"/>
      <c r="AT38" s="596"/>
      <c r="AU38" s="325"/>
      <c r="AV38" s="563" t="str">
        <f>Source!$P$72</f>
        <v>Tyler Gottfredsen</v>
      </c>
      <c r="AW38" s="564">
        <f>AW13</f>
        <v>2</v>
      </c>
      <c r="AX38" s="558"/>
      <c r="AY38" s="558"/>
      <c r="AZ38" s="558"/>
      <c r="BA38" s="558"/>
      <c r="BB38" s="603"/>
      <c r="BC38" s="325"/>
      <c r="BD38" s="325"/>
      <c r="BE38" s="325"/>
      <c r="BF38" s="325"/>
      <c r="BG38" s="325"/>
      <c r="BH38" s="325"/>
      <c r="BI38" s="325"/>
      <c r="BJ38" s="325"/>
      <c r="BK38" s="325"/>
      <c r="BL38" s="325"/>
      <c r="BM38" s="327"/>
      <c r="BN38" s="301"/>
    </row>
    <row r="39" ht="12.75" customHeight="1">
      <c r="A39" s="301"/>
      <c r="B39" s="324"/>
      <c r="C39" s="325"/>
      <c r="D39" s="325"/>
      <c r="E39" s="325"/>
      <c r="F39" s="325"/>
      <c r="G39" s="611"/>
      <c r="H39" s="325"/>
      <c r="I39" s="325"/>
      <c r="J39" s="325"/>
      <c r="K39" s="325"/>
      <c r="L39" s="325"/>
      <c r="M39" s="325"/>
      <c r="N39" s="325"/>
      <c r="O39" s="325"/>
      <c r="P39" s="325"/>
      <c r="Q39" s="325"/>
      <c r="R39" s="325"/>
      <c r="S39" s="325"/>
      <c r="T39" s="325"/>
      <c r="U39" s="616"/>
      <c r="V39" s="564"/>
      <c r="W39" s="325"/>
      <c r="X39" s="577"/>
      <c r="Y39" s="325"/>
      <c r="Z39" s="325"/>
      <c r="AA39" s="325"/>
      <c r="AB39" s="325"/>
      <c r="AC39" s="325"/>
      <c r="AD39" s="615" t="str">
        <f>Source!$R$68</f>
        <v>Zach VanSickle</v>
      </c>
      <c r="AE39" s="564">
        <f>AI13</f>
        <v>2</v>
      </c>
      <c r="AF39" s="325"/>
      <c r="AG39" s="325"/>
      <c r="AH39" s="325"/>
      <c r="AI39" s="325"/>
      <c r="AJ39" s="325"/>
      <c r="AK39" s="325"/>
      <c r="AL39" s="325"/>
      <c r="AM39" s="325"/>
      <c r="AN39" s="325"/>
      <c r="AO39" s="325"/>
      <c r="AP39" s="325"/>
      <c r="AQ39" s="325"/>
      <c r="AR39" s="325"/>
      <c r="AS39" s="325"/>
      <c r="AT39" s="325"/>
      <c r="AU39" s="325"/>
      <c r="AV39" s="563" t="str">
        <f>Source!$R$72</f>
        <v>Zach VanSickle</v>
      </c>
      <c r="AW39" s="564">
        <f>BA13</f>
        <v>0</v>
      </c>
      <c r="AX39" s="325"/>
      <c r="AY39" s="325"/>
      <c r="AZ39" s="325"/>
      <c r="BA39" s="325"/>
      <c r="BB39" s="325"/>
      <c r="BC39" s="325"/>
      <c r="BD39" s="325"/>
      <c r="BE39" s="325"/>
      <c r="BF39" s="325"/>
      <c r="BG39" s="325"/>
      <c r="BH39" s="325"/>
      <c r="BI39" s="325"/>
      <c r="BJ39" s="325"/>
      <c r="BK39" s="325"/>
      <c r="BL39" s="325"/>
      <c r="BM39" s="327"/>
      <c r="BN39" s="301"/>
    </row>
    <row r="40" ht="12.75" customHeight="1">
      <c r="A40" s="301"/>
      <c r="B40" s="324"/>
      <c r="C40" s="325"/>
      <c r="D40" s="325"/>
      <c r="E40" s="325"/>
      <c r="F40" s="325"/>
      <c r="G40" s="596"/>
      <c r="H40" s="595"/>
      <c r="I40" s="595"/>
      <c r="J40" s="595"/>
      <c r="K40" s="595"/>
      <c r="L40" s="595"/>
      <c r="M40" s="595"/>
      <c r="N40" s="595"/>
      <c r="O40" s="325"/>
      <c r="P40" s="325"/>
      <c r="Q40" s="325"/>
      <c r="R40" s="325"/>
      <c r="S40" s="325"/>
      <c r="T40" s="325"/>
      <c r="U40" s="563" t="str">
        <f>Source!$P$66</f>
        <v>Jackson McLoughlin</v>
      </c>
      <c r="V40" s="564">
        <f>V13</f>
        <v>2</v>
      </c>
      <c r="W40" s="325"/>
      <c r="X40" s="603"/>
      <c r="Y40" s="325"/>
      <c r="Z40" s="325"/>
      <c r="AA40" s="325"/>
      <c r="AB40" s="325"/>
      <c r="AC40" s="325"/>
      <c r="AD40" s="556"/>
      <c r="AE40" s="325"/>
      <c r="AF40" s="325"/>
      <c r="AG40" s="325"/>
      <c r="AH40" s="325"/>
      <c r="AI40" s="325"/>
      <c r="AJ40" s="325"/>
      <c r="AK40" s="325"/>
      <c r="AL40" s="325"/>
      <c r="AM40" s="325"/>
      <c r="AN40" s="325"/>
      <c r="AO40" s="325"/>
      <c r="AP40" s="325"/>
      <c r="AQ40" s="325"/>
      <c r="AR40" s="325"/>
      <c r="AS40" s="325"/>
      <c r="AT40" s="325"/>
      <c r="AU40" s="325"/>
      <c r="AV40" s="325"/>
      <c r="AW40" s="325"/>
      <c r="AX40" s="325"/>
      <c r="AY40" s="325"/>
      <c r="AZ40" s="325"/>
      <c r="BA40" s="325"/>
      <c r="BB40" s="325"/>
      <c r="BC40" s="325"/>
      <c r="BD40" s="325"/>
      <c r="BE40" s="325"/>
      <c r="BF40" s="325"/>
      <c r="BG40" s="325"/>
      <c r="BH40" s="325"/>
      <c r="BI40" s="325"/>
      <c r="BJ40" s="325"/>
      <c r="BK40" s="325"/>
      <c r="BL40" s="325"/>
      <c r="BM40" s="327"/>
      <c r="BN40" s="301"/>
    </row>
    <row r="41" ht="12.75" customHeight="1">
      <c r="A41" s="301"/>
      <c r="B41" s="324"/>
      <c r="C41" s="325"/>
      <c r="D41" s="325"/>
      <c r="E41" s="325"/>
      <c r="F41" s="325"/>
      <c r="G41" s="325"/>
      <c r="H41" s="325"/>
      <c r="I41" s="325"/>
      <c r="J41" s="325"/>
      <c r="K41" s="325"/>
      <c r="L41" s="325"/>
      <c r="M41" s="325"/>
      <c r="N41" s="325"/>
      <c r="O41" s="612"/>
      <c r="P41" s="612"/>
      <c r="Q41" s="612"/>
      <c r="R41" s="612"/>
      <c r="S41" s="612"/>
      <c r="T41" s="325"/>
      <c r="U41" s="563" t="str">
        <f>Source!$R$66</f>
        <v>Dick Hansen</v>
      </c>
      <c r="V41" s="564">
        <f>Z13</f>
        <v>0</v>
      </c>
      <c r="W41" s="572"/>
      <c r="X41" s="325"/>
      <c r="Y41" s="325"/>
      <c r="Z41" s="325"/>
      <c r="AA41" s="325"/>
      <c r="AB41" s="325"/>
      <c r="AC41" s="325"/>
      <c r="AD41" s="325"/>
      <c r="AE41" s="325"/>
      <c r="AF41" s="325"/>
      <c r="AG41" s="325"/>
      <c r="AH41" s="325"/>
      <c r="AI41" s="325"/>
      <c r="AJ41" s="325"/>
      <c r="AK41" s="325"/>
      <c r="AL41" s="325"/>
      <c r="AM41" s="325"/>
      <c r="AN41" s="325"/>
      <c r="AO41" s="325"/>
      <c r="AP41" s="325"/>
      <c r="AQ41" s="325"/>
      <c r="AR41" s="325"/>
      <c r="AS41" s="325"/>
      <c r="AT41" s="325"/>
      <c r="AU41" s="325"/>
      <c r="AV41" s="325"/>
      <c r="AW41" s="325"/>
      <c r="AX41" s="325"/>
      <c r="AY41" s="325"/>
      <c r="AZ41" s="325"/>
      <c r="BA41" s="325"/>
      <c r="BB41" s="325"/>
      <c r="BC41" s="325"/>
      <c r="BD41" s="325"/>
      <c r="BE41" s="325"/>
      <c r="BF41" s="325"/>
      <c r="BG41" s="325"/>
      <c r="BH41" s="325"/>
      <c r="BI41" s="325"/>
      <c r="BJ41" s="325"/>
      <c r="BK41" s="325"/>
      <c r="BL41" s="325"/>
      <c r="BM41" s="327"/>
      <c r="BN41" s="301"/>
    </row>
    <row r="42" ht="7.5" customHeight="1">
      <c r="A42" s="301"/>
      <c r="B42" s="623"/>
      <c r="C42" s="624"/>
      <c r="D42" s="624"/>
      <c r="E42" s="624"/>
      <c r="F42" s="624"/>
      <c r="G42" s="624"/>
      <c r="H42" s="624"/>
      <c r="I42" s="624"/>
      <c r="J42" s="624"/>
      <c r="K42" s="624"/>
      <c r="L42" s="624"/>
      <c r="M42" s="624"/>
      <c r="N42" s="624"/>
      <c r="O42" s="624"/>
      <c r="P42" s="624"/>
      <c r="Q42" s="624"/>
      <c r="R42" s="624"/>
      <c r="S42" s="624"/>
      <c r="T42" s="624"/>
      <c r="U42" s="624"/>
      <c r="V42" s="624"/>
      <c r="W42" s="624"/>
      <c r="X42" s="624"/>
      <c r="Y42" s="624"/>
      <c r="Z42" s="624"/>
      <c r="AA42" s="624"/>
      <c r="AB42" s="624"/>
      <c r="AC42" s="624"/>
      <c r="AD42" s="624"/>
      <c r="AE42" s="624"/>
      <c r="AF42" s="624"/>
      <c r="AG42" s="624"/>
      <c r="AH42" s="624"/>
      <c r="AI42" s="624"/>
      <c r="AJ42" s="624"/>
      <c r="AK42" s="624"/>
      <c r="AL42" s="624"/>
      <c r="AM42" s="624"/>
      <c r="AN42" s="624"/>
      <c r="AO42" s="624"/>
      <c r="AP42" s="624"/>
      <c r="AQ42" s="624"/>
      <c r="AR42" s="624"/>
      <c r="AS42" s="624"/>
      <c r="AT42" s="624"/>
      <c r="AU42" s="624"/>
      <c r="AV42" s="624"/>
      <c r="AW42" s="624"/>
      <c r="AX42" s="624"/>
      <c r="AY42" s="624"/>
      <c r="AZ42" s="624"/>
      <c r="BA42" s="624"/>
      <c r="BB42" s="624"/>
      <c r="BC42" s="624"/>
      <c r="BD42" s="624"/>
      <c r="BE42" s="624"/>
      <c r="BF42" s="624"/>
      <c r="BG42" s="624"/>
      <c r="BH42" s="624"/>
      <c r="BI42" s="624"/>
      <c r="BJ42" s="624"/>
      <c r="BK42" s="624"/>
      <c r="BL42" s="624"/>
      <c r="BM42" s="627"/>
      <c r="BN42" s="301"/>
    </row>
    <row r="43" ht="7.5" customHeight="1">
      <c r="A43" s="301"/>
      <c r="B43" s="301"/>
      <c r="C43" s="301"/>
      <c r="D43" s="301"/>
      <c r="E43" s="301"/>
      <c r="F43" s="301"/>
      <c r="G43" s="301"/>
      <c r="H43" s="301"/>
      <c r="I43" s="301"/>
      <c r="J43" s="301"/>
      <c r="K43" s="301"/>
      <c r="L43" s="301"/>
      <c r="M43" s="301"/>
      <c r="N43" s="301"/>
      <c r="O43" s="301"/>
      <c r="P43" s="301"/>
      <c r="Q43" s="301"/>
      <c r="R43" s="301"/>
      <c r="S43" s="301"/>
      <c r="T43" s="301"/>
      <c r="U43" s="301"/>
      <c r="V43" s="301"/>
      <c r="W43" s="301"/>
      <c r="X43" s="301"/>
      <c r="Y43" s="301"/>
      <c r="Z43" s="301"/>
      <c r="AA43" s="301"/>
      <c r="AB43" s="301"/>
      <c r="AC43" s="301"/>
      <c r="AD43" s="629"/>
      <c r="AE43" s="301"/>
      <c r="AF43" s="301"/>
      <c r="AG43" s="301"/>
      <c r="AH43" s="301"/>
      <c r="AI43" s="301"/>
      <c r="AJ43" s="301"/>
      <c r="AK43" s="301"/>
      <c r="AL43" s="301"/>
      <c r="AM43" s="301"/>
      <c r="AN43" s="301"/>
      <c r="AO43" s="301"/>
      <c r="AP43" s="301"/>
      <c r="AQ43" s="301"/>
      <c r="AR43" s="301"/>
      <c r="AS43" s="301"/>
      <c r="AT43" s="301"/>
      <c r="AU43" s="301"/>
      <c r="AV43" s="301"/>
      <c r="AW43" s="301"/>
      <c r="AX43" s="301"/>
      <c r="AY43" s="301"/>
      <c r="AZ43" s="301"/>
      <c r="BA43" s="301"/>
      <c r="BB43" s="301"/>
      <c r="BC43" s="301"/>
      <c r="BD43" s="301"/>
      <c r="BE43" s="301"/>
      <c r="BF43" s="301"/>
      <c r="BG43" s="301"/>
      <c r="BH43" s="301"/>
      <c r="BI43" s="301"/>
      <c r="BJ43" s="301"/>
      <c r="BK43" s="301"/>
      <c r="BL43" s="301"/>
      <c r="BM43" s="301"/>
      <c r="BN43" s="301"/>
    </row>
  </sheetData>
  <mergeCells count="77">
    <mergeCell ref="M23:O23"/>
    <mergeCell ref="M24:O24"/>
    <mergeCell ref="Q24:S24"/>
    <mergeCell ref="P25:Q25"/>
    <mergeCell ref="H12:J12"/>
    <mergeCell ref="H13:J13"/>
    <mergeCell ref="G14:H14"/>
    <mergeCell ref="D23:F23"/>
    <mergeCell ref="H23:J23"/>
    <mergeCell ref="D24:F24"/>
    <mergeCell ref="H24:J24"/>
    <mergeCell ref="G25:H25"/>
    <mergeCell ref="AI23:AK23"/>
    <mergeCell ref="AN23:AP23"/>
    <mergeCell ref="AR23:AT23"/>
    <mergeCell ref="AW23:AY23"/>
    <mergeCell ref="BA23:BC23"/>
    <mergeCell ref="BF23:BH23"/>
    <mergeCell ref="BJ23:BL23"/>
    <mergeCell ref="AI24:AK24"/>
    <mergeCell ref="AH25:AI25"/>
    <mergeCell ref="BA24:BC24"/>
    <mergeCell ref="AZ25:BA25"/>
    <mergeCell ref="BI25:BJ25"/>
    <mergeCell ref="Z23:AB23"/>
    <mergeCell ref="Z24:AB24"/>
    <mergeCell ref="AN24:AP24"/>
    <mergeCell ref="AR24:AT24"/>
    <mergeCell ref="AW24:AY24"/>
    <mergeCell ref="Y25:Z25"/>
    <mergeCell ref="AQ25:AR25"/>
    <mergeCell ref="C3:J3"/>
    <mergeCell ref="L3:S3"/>
    <mergeCell ref="U3:AB3"/>
    <mergeCell ref="AD3:AK3"/>
    <mergeCell ref="AM3:AT3"/>
    <mergeCell ref="AV3:BC3"/>
    <mergeCell ref="BE3:BL3"/>
    <mergeCell ref="AI12:AK12"/>
    <mergeCell ref="AN12:AP12"/>
    <mergeCell ref="AR12:AT12"/>
    <mergeCell ref="AW12:AY12"/>
    <mergeCell ref="BA12:BC12"/>
    <mergeCell ref="BF12:BH12"/>
    <mergeCell ref="BJ12:BL12"/>
    <mergeCell ref="Z12:AB12"/>
    <mergeCell ref="Z13:AB13"/>
    <mergeCell ref="Y14:Z14"/>
    <mergeCell ref="AH14:AI14"/>
    <mergeCell ref="AQ14:AR14"/>
    <mergeCell ref="AZ14:BA14"/>
    <mergeCell ref="BI14:BJ14"/>
    <mergeCell ref="AE13:AG13"/>
    <mergeCell ref="AI13:AK13"/>
    <mergeCell ref="AN13:AP13"/>
    <mergeCell ref="AR13:AT13"/>
    <mergeCell ref="AW13:AY13"/>
    <mergeCell ref="BA13:BC13"/>
    <mergeCell ref="BF13:BH13"/>
    <mergeCell ref="BJ13:BL13"/>
    <mergeCell ref="D12:F12"/>
    <mergeCell ref="M12:O12"/>
    <mergeCell ref="V12:X12"/>
    <mergeCell ref="AE12:AG12"/>
    <mergeCell ref="D13:F13"/>
    <mergeCell ref="M13:O13"/>
    <mergeCell ref="V13:X13"/>
    <mergeCell ref="Q12:S12"/>
    <mergeCell ref="Q13:S13"/>
    <mergeCell ref="P14:Q14"/>
    <mergeCell ref="Q23:S23"/>
    <mergeCell ref="V23:X23"/>
    <mergeCell ref="AE23:AG23"/>
    <mergeCell ref="V24:X24"/>
    <mergeCell ref="AE24:AG24"/>
    <mergeCell ref="BF24:BH24"/>
    <mergeCell ref="BJ24:BL24"/>
  </mergeCells>
  <conditionalFormatting sqref="D12:F12 H12 M12:O12 Q12 V12:X12 Z12 AE12:AG12 AI12 AN12:AP12 AR12 AW12:AY12 BA12 BF12:BH12 BJ12 D23:F23 H23 M23:O23 Q23 V23:X23 Z23 AE23:AG23 AI23 AN23:AP23 AR23 AW23:AY23 BA23 BF23:BH23 BJ23">
    <cfRule type="cellIs" dxfId="1" priority="1" operator="lessThan">
      <formula>0</formula>
    </cfRule>
  </conditionalFormatting>
  <conditionalFormatting sqref="D12:F12 H12 M12:O12 Q12 V12:X12 Z12 AE12:AG12 AI12 AN12:AP12 AR12 AW12:AY12 BA12 BF12:BH12 BJ12 D23:F23 H23 M23:O23 Q23 V23:X23 Z23 AE23:AG23 AI23 AN23:AP23 AR23 AW23:AY23 BA23 BF23:BH23 BJ23">
    <cfRule type="cellIs" dxfId="0" priority="2" operator="greaterThan">
      <formula>0</formula>
    </cfRule>
  </conditionalFormatting>
  <conditionalFormatting sqref="C12 G12 L12 P12 U12 Y12 AD12 AH12 AM12 AQ12 AV12 AZ12 BE12 BI12 I14:J14 R14:S14 AA14:AB14 AJ14:AK14 AS14:AT14 BB14:BC14 BK14:BL14 C23 G23 L23 P23 U23 Y23 AD23 AH23 AM23 AQ23 AV23 AZ23 BE23 BI23 I25:J25 R25:S25 AA25:AB25 AJ25:AK25 AS25:AT25 BB25:BC25 BK25:BL25">
    <cfRule type="cellIs" dxfId="0" priority="3" operator="equal">
      <formula>"W"</formula>
    </cfRule>
  </conditionalFormatting>
  <conditionalFormatting sqref="C12 G12 L12 P12 U12 Y12 AD12 AH12 AM12 AQ12 AV12 AZ12 BE12 BI12 I14:J14 R14:S14 AA14:AB14 AJ14:AK14 AS14:AT14 BB14:BC14 BK14:BL14 C23 G23 L23 P23 U23 Y23 AD23 AH23 AM23 AQ23 AV23 AZ23 BE23 BI23 I25:J25 R25:S25 AA25:AB25 AJ25:AK25 AS25:AT25 BB25:BC25 BK25:BL25">
    <cfRule type="cellIs" dxfId="1" priority="4" operator="equal">
      <formula>"L"</formula>
    </cfRule>
  </conditionalFormatting>
  <dataValidations>
    <dataValidation type="list" allowBlank="1" sqref="C6:C11 G6:G11 L6:L11 P6:P11 U6:U11 Y6:Y11 AD6:AD11 AH6:AH11 AM6:AM11 AQ6:AQ11 AV6:AV11 AZ6:AZ11 BE6:BE11 BI6:BI11 C17:C22 G17:G22 L17:L22 P17:P22 U17:U22 Y17:Y22">
      <formula1>Source!$B$2:$B43</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showGridLines="0" workbookViewId="0">
      <pane xSplit="2.0" topLeftCell="C1" activePane="topRight" state="frozen"/>
      <selection activeCell="D2" sqref="D2" pane="topRight"/>
    </sheetView>
  </sheetViews>
  <sheetFormatPr customHeight="1" defaultColWidth="12.63" defaultRowHeight="15.75"/>
  <cols>
    <col customWidth="1" min="1" max="1" width="1.38"/>
    <col customWidth="1" min="2" max="2" width="4.63"/>
    <col customWidth="1" min="3" max="41" width="3.25"/>
    <col customWidth="1" min="42" max="42" width="1.38"/>
    <col customWidth="1" min="43" max="81" width="3.25"/>
    <col customWidth="1" min="82" max="82" width="1.38"/>
  </cols>
  <sheetData>
    <row r="1" ht="7.5" customHeight="1">
      <c r="A1" s="569"/>
      <c r="B1" s="569"/>
      <c r="C1" s="569"/>
      <c r="D1" s="569"/>
      <c r="E1" s="569"/>
      <c r="F1" s="569"/>
      <c r="G1" s="571"/>
      <c r="H1" s="569"/>
      <c r="I1" s="569"/>
      <c r="J1" s="569"/>
      <c r="K1" s="569"/>
      <c r="L1" s="571"/>
      <c r="M1" s="569"/>
      <c r="N1" s="569"/>
      <c r="O1" s="569"/>
      <c r="P1" s="569"/>
      <c r="Q1" s="571"/>
      <c r="R1" s="305"/>
      <c r="S1" s="305"/>
      <c r="T1" s="305"/>
      <c r="U1" s="305"/>
      <c r="V1" s="571"/>
      <c r="W1" s="305"/>
      <c r="X1" s="305"/>
      <c r="Y1" s="305"/>
      <c r="Z1" s="305"/>
      <c r="AA1" s="571"/>
      <c r="AB1" s="305"/>
      <c r="AC1" s="305"/>
      <c r="AD1" s="305"/>
      <c r="AE1" s="305"/>
      <c r="AF1" s="571"/>
      <c r="AG1" s="305"/>
      <c r="AH1" s="305"/>
      <c r="AI1" s="305"/>
      <c r="AJ1" s="305"/>
      <c r="AK1" s="571"/>
      <c r="AL1" s="305"/>
      <c r="AM1" s="305"/>
      <c r="AN1" s="305"/>
      <c r="AO1" s="305"/>
      <c r="AP1" s="305"/>
      <c r="AQ1" s="305"/>
      <c r="AR1" s="305"/>
      <c r="AS1" s="305"/>
      <c r="AT1" s="305"/>
      <c r="AU1" s="305"/>
      <c r="AV1" s="305"/>
      <c r="AW1" s="305"/>
      <c r="AX1" s="305"/>
      <c r="AY1" s="305"/>
      <c r="AZ1" s="305"/>
      <c r="BA1" s="305"/>
      <c r="BB1" s="305"/>
      <c r="BC1" s="305"/>
      <c r="BD1" s="305"/>
      <c r="BE1" s="305"/>
      <c r="BF1" s="305"/>
      <c r="BG1" s="305"/>
      <c r="BH1" s="305"/>
      <c r="BI1" s="305"/>
      <c r="BJ1" s="305"/>
      <c r="BK1" s="305"/>
      <c r="BL1" s="305"/>
      <c r="BM1" s="305"/>
      <c r="BN1" s="305"/>
      <c r="BO1" s="305"/>
      <c r="BP1" s="305"/>
      <c r="BQ1" s="305"/>
      <c r="BR1" s="305"/>
      <c r="BS1" s="305"/>
      <c r="BT1" s="305"/>
      <c r="BU1" s="305"/>
      <c r="BV1" s="305"/>
      <c r="BW1" s="305"/>
      <c r="BX1" s="305"/>
      <c r="BY1" s="305"/>
      <c r="BZ1" s="305"/>
      <c r="CA1" s="305"/>
      <c r="CB1" s="305"/>
      <c r="CC1" s="305"/>
      <c r="CD1" s="305"/>
    </row>
    <row r="2" ht="7.5" customHeight="1">
      <c r="A2" s="569"/>
      <c r="B2" s="575"/>
      <c r="C2" s="575"/>
      <c r="D2" s="575"/>
      <c r="E2" s="575"/>
      <c r="F2" s="575"/>
      <c r="G2" s="578"/>
      <c r="H2" s="575"/>
      <c r="I2" s="575"/>
      <c r="J2" s="575"/>
      <c r="K2" s="575"/>
      <c r="L2" s="578"/>
      <c r="M2" s="575"/>
      <c r="N2" s="575"/>
      <c r="O2" s="575"/>
      <c r="P2" s="575"/>
      <c r="Q2" s="578"/>
      <c r="R2" s="311"/>
      <c r="S2" s="311"/>
      <c r="T2" s="311"/>
      <c r="U2" s="311"/>
      <c r="V2" s="578"/>
      <c r="W2" s="311"/>
      <c r="X2" s="311"/>
      <c r="Y2" s="311"/>
      <c r="Z2" s="311"/>
      <c r="AA2" s="578"/>
      <c r="AB2" s="311"/>
      <c r="AC2" s="311"/>
      <c r="AD2" s="311"/>
      <c r="AE2" s="311"/>
      <c r="AF2" s="578"/>
      <c r="AG2" s="311"/>
      <c r="AH2" s="311"/>
      <c r="AI2" s="311"/>
      <c r="AJ2" s="311"/>
      <c r="AK2" s="578"/>
      <c r="AL2" s="311"/>
      <c r="AM2" s="311"/>
      <c r="AN2" s="311"/>
      <c r="AO2" s="311"/>
      <c r="AP2" s="311"/>
      <c r="AQ2" s="575"/>
      <c r="AR2" s="575"/>
      <c r="AS2" s="575"/>
      <c r="AT2" s="575"/>
      <c r="AU2" s="578"/>
      <c r="AV2" s="575"/>
      <c r="AW2" s="575"/>
      <c r="AX2" s="575"/>
      <c r="AY2" s="575"/>
      <c r="AZ2" s="578"/>
      <c r="BA2" s="575"/>
      <c r="BB2" s="575"/>
      <c r="BC2" s="575"/>
      <c r="BD2" s="575"/>
      <c r="BE2" s="578"/>
      <c r="BF2" s="311"/>
      <c r="BG2" s="311"/>
      <c r="BH2" s="311"/>
      <c r="BI2" s="311"/>
      <c r="BJ2" s="578"/>
      <c r="BK2" s="311"/>
      <c r="BL2" s="311"/>
      <c r="BM2" s="311"/>
      <c r="BN2" s="311"/>
      <c r="BO2" s="578"/>
      <c r="BP2" s="311"/>
      <c r="BQ2" s="311"/>
      <c r="BR2" s="311"/>
      <c r="BS2" s="311"/>
      <c r="BT2" s="578"/>
      <c r="BU2" s="311"/>
      <c r="BV2" s="311"/>
      <c r="BW2" s="311"/>
      <c r="BX2" s="311"/>
      <c r="BY2" s="578"/>
      <c r="BZ2" s="311"/>
      <c r="CA2" s="311"/>
      <c r="CB2" s="311"/>
      <c r="CC2" s="311"/>
      <c r="CD2" s="311"/>
    </row>
    <row r="3" ht="30.0" customHeight="1">
      <c r="A3" s="569"/>
      <c r="B3" s="579"/>
      <c r="C3" s="580" t="s">
        <v>307</v>
      </c>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c r="AG3" s="34"/>
      <c r="AH3" s="34"/>
      <c r="AI3" s="34"/>
      <c r="AJ3" s="34"/>
      <c r="AK3" s="34"/>
      <c r="AL3" s="34"/>
      <c r="AM3" s="34"/>
      <c r="AN3" s="34"/>
      <c r="AO3" s="35"/>
      <c r="AP3" s="315"/>
      <c r="AQ3" s="581" t="s">
        <v>308</v>
      </c>
      <c r="AR3" s="34"/>
      <c r="AS3" s="34"/>
      <c r="AT3" s="34"/>
      <c r="AU3" s="34"/>
      <c r="AV3" s="34"/>
      <c r="AW3" s="34"/>
      <c r="AX3" s="34"/>
      <c r="AY3" s="34"/>
      <c r="AZ3" s="34"/>
      <c r="BA3" s="34"/>
      <c r="BB3" s="34"/>
      <c r="BC3" s="34"/>
      <c r="BD3" s="34"/>
      <c r="BE3" s="34"/>
      <c r="BF3" s="34"/>
      <c r="BG3" s="34"/>
      <c r="BH3" s="34"/>
      <c r="BI3" s="34"/>
      <c r="BJ3" s="34"/>
      <c r="BK3" s="34"/>
      <c r="BL3" s="34"/>
      <c r="BM3" s="34"/>
      <c r="BN3" s="34"/>
      <c r="BO3" s="34"/>
      <c r="BP3" s="34"/>
      <c r="BQ3" s="34"/>
      <c r="BR3" s="34"/>
      <c r="BS3" s="34"/>
      <c r="BT3" s="34"/>
      <c r="BU3" s="34"/>
      <c r="BV3" s="34"/>
      <c r="BW3" s="34"/>
      <c r="BX3" s="34"/>
      <c r="BY3" s="34"/>
      <c r="BZ3" s="34"/>
      <c r="CA3" s="34"/>
      <c r="CB3" s="34"/>
      <c r="CC3" s="35"/>
      <c r="CD3" s="315"/>
    </row>
    <row r="4" ht="11.25" customHeight="1">
      <c r="A4" s="569"/>
      <c r="B4" s="579"/>
      <c r="C4" s="579"/>
      <c r="D4" s="579"/>
      <c r="E4" s="579"/>
      <c r="F4" s="579"/>
      <c r="G4" s="582"/>
      <c r="H4" s="579"/>
      <c r="I4" s="579"/>
      <c r="J4" s="579"/>
      <c r="K4" s="579"/>
      <c r="L4" s="582"/>
      <c r="M4" s="579"/>
      <c r="N4" s="579"/>
      <c r="O4" s="579"/>
      <c r="P4" s="579"/>
      <c r="Q4" s="582"/>
      <c r="R4" s="315"/>
      <c r="S4" s="315"/>
      <c r="T4" s="315"/>
      <c r="U4" s="315"/>
      <c r="V4" s="582"/>
      <c r="W4" s="315"/>
      <c r="X4" s="315"/>
      <c r="Y4" s="315"/>
      <c r="Z4" s="315"/>
      <c r="AA4" s="582"/>
      <c r="AB4" s="315"/>
      <c r="AC4" s="315"/>
      <c r="AD4" s="315"/>
      <c r="AE4" s="315"/>
      <c r="AF4" s="582"/>
      <c r="AG4" s="315"/>
      <c r="AH4" s="315"/>
      <c r="AI4" s="315"/>
      <c r="AJ4" s="315"/>
      <c r="AK4" s="582"/>
      <c r="AL4" s="315"/>
      <c r="AM4" s="315"/>
      <c r="AN4" s="315"/>
      <c r="AO4" s="315"/>
      <c r="AP4" s="315"/>
      <c r="AQ4" s="579"/>
      <c r="AR4" s="579"/>
      <c r="AS4" s="579"/>
      <c r="AT4" s="579"/>
      <c r="AU4" s="582"/>
      <c r="AV4" s="579"/>
      <c r="AW4" s="579"/>
      <c r="AX4" s="579"/>
      <c r="AY4" s="579"/>
      <c r="AZ4" s="582"/>
      <c r="BA4" s="579"/>
      <c r="BB4" s="579"/>
      <c r="BC4" s="579"/>
      <c r="BD4" s="579"/>
      <c r="BE4" s="582"/>
      <c r="BF4" s="315"/>
      <c r="BG4" s="315"/>
      <c r="BH4" s="315"/>
      <c r="BI4" s="315"/>
      <c r="BJ4" s="582"/>
      <c r="BK4" s="315"/>
      <c r="BL4" s="315"/>
      <c r="BM4" s="315"/>
      <c r="BN4" s="315"/>
      <c r="BO4" s="582"/>
      <c r="BP4" s="315"/>
      <c r="BQ4" s="315"/>
      <c r="BR4" s="315"/>
      <c r="BS4" s="315"/>
      <c r="BT4" s="582"/>
      <c r="BU4" s="315"/>
      <c r="BV4" s="315"/>
      <c r="BW4" s="315"/>
      <c r="BX4" s="315"/>
      <c r="BY4" s="582"/>
      <c r="BZ4" s="315"/>
      <c r="CA4" s="315"/>
      <c r="CB4" s="315"/>
      <c r="CC4" s="315"/>
      <c r="CD4" s="315"/>
    </row>
    <row r="5" ht="18.75" customHeight="1">
      <c r="A5" s="569"/>
      <c r="B5" s="583" t="s">
        <v>309</v>
      </c>
      <c r="C5" s="584" t="s">
        <v>310</v>
      </c>
      <c r="D5" s="91"/>
      <c r="E5" s="91"/>
      <c r="F5" s="92"/>
      <c r="G5" s="585" t="s">
        <v>311</v>
      </c>
      <c r="H5" s="584" t="s">
        <v>312</v>
      </c>
      <c r="I5" s="91"/>
      <c r="J5" s="91"/>
      <c r="K5" s="92"/>
      <c r="L5" s="582"/>
      <c r="M5" s="586" t="s">
        <v>313</v>
      </c>
      <c r="N5" s="91"/>
      <c r="O5" s="91"/>
      <c r="P5" s="92"/>
      <c r="Q5" s="585" t="s">
        <v>311</v>
      </c>
      <c r="R5" s="586" t="s">
        <v>314</v>
      </c>
      <c r="S5" s="91"/>
      <c r="T5" s="91"/>
      <c r="U5" s="92"/>
      <c r="V5" s="582"/>
      <c r="W5" s="584" t="s">
        <v>315</v>
      </c>
      <c r="X5" s="91"/>
      <c r="Y5" s="91"/>
      <c r="Z5" s="92"/>
      <c r="AA5" s="585" t="s">
        <v>311</v>
      </c>
      <c r="AB5" s="584" t="s">
        <v>316</v>
      </c>
      <c r="AC5" s="91"/>
      <c r="AD5" s="91"/>
      <c r="AE5" s="92"/>
      <c r="AF5" s="582"/>
      <c r="AG5" s="586" t="s">
        <v>317</v>
      </c>
      <c r="AH5" s="91"/>
      <c r="AI5" s="91"/>
      <c r="AJ5" s="92"/>
      <c r="AK5" s="585" t="s">
        <v>311</v>
      </c>
      <c r="AL5" s="586" t="s">
        <v>318</v>
      </c>
      <c r="AM5" s="91"/>
      <c r="AN5" s="91"/>
      <c r="AO5" s="92"/>
      <c r="AP5" s="587"/>
      <c r="AQ5" s="588" t="s">
        <v>310</v>
      </c>
      <c r="AR5" s="91"/>
      <c r="AS5" s="91"/>
      <c r="AT5" s="92"/>
      <c r="AU5" s="585" t="s">
        <v>311</v>
      </c>
      <c r="AV5" s="588" t="s">
        <v>312</v>
      </c>
      <c r="AW5" s="91"/>
      <c r="AX5" s="91"/>
      <c r="AY5" s="92"/>
      <c r="AZ5" s="582"/>
      <c r="BA5" s="589" t="s">
        <v>313</v>
      </c>
      <c r="BB5" s="91"/>
      <c r="BC5" s="91"/>
      <c r="BD5" s="92"/>
      <c r="BE5" s="585" t="s">
        <v>311</v>
      </c>
      <c r="BF5" s="589" t="s">
        <v>314</v>
      </c>
      <c r="BG5" s="91"/>
      <c r="BH5" s="91"/>
      <c r="BI5" s="92"/>
      <c r="BJ5" s="582"/>
      <c r="BK5" s="588" t="s">
        <v>315</v>
      </c>
      <c r="BL5" s="91"/>
      <c r="BM5" s="91"/>
      <c r="BN5" s="92"/>
      <c r="BO5" s="585" t="s">
        <v>311</v>
      </c>
      <c r="BP5" s="588" t="s">
        <v>316</v>
      </c>
      <c r="BQ5" s="91"/>
      <c r="BR5" s="91"/>
      <c r="BS5" s="92"/>
      <c r="BT5" s="582"/>
      <c r="BU5" s="589" t="s">
        <v>317</v>
      </c>
      <c r="BV5" s="91"/>
      <c r="BW5" s="91"/>
      <c r="BX5" s="92"/>
      <c r="BY5" s="585" t="s">
        <v>311</v>
      </c>
      <c r="BZ5" s="589" t="s">
        <v>318</v>
      </c>
      <c r="CA5" s="91"/>
      <c r="CB5" s="91"/>
      <c r="CC5" s="92"/>
      <c r="CD5" s="587"/>
    </row>
    <row r="6" ht="18.75" customHeight="1">
      <c r="A6" s="569"/>
      <c r="B6" s="590"/>
      <c r="C6" s="584" t="str">
        <f>IFERROR(VLOOKUP($C$10,Source!$F$2:$J$19,5,FALSE)," ")</f>
        <v/>
      </c>
      <c r="D6" s="91"/>
      <c r="E6" s="91"/>
      <c r="F6" s="92"/>
      <c r="G6" s="98"/>
      <c r="H6" s="584" t="str">
        <f>IFERROR(VLOOKUP($H$10,Source!$F$2:$J$19,5,FALSE)," ")</f>
        <v> </v>
      </c>
      <c r="I6" s="91"/>
      <c r="J6" s="91"/>
      <c r="K6" s="92"/>
      <c r="L6" s="582"/>
      <c r="M6" s="586" t="str">
        <f>IFERROR(VLOOKUP($M$10,Source!$F$2:$J$19,5,FALSE)," ")</f>
        <v/>
      </c>
      <c r="N6" s="91"/>
      <c r="O6" s="91"/>
      <c r="P6" s="92"/>
      <c r="Q6" s="98"/>
      <c r="R6" s="586" t="str">
        <f>IFERROR(VLOOKUP($R$10,Source!$F$2:$J$19,5,FALSE)," ")</f>
        <v/>
      </c>
      <c r="S6" s="91"/>
      <c r="T6" s="91"/>
      <c r="U6" s="92"/>
      <c r="V6" s="582"/>
      <c r="W6" s="584" t="str">
        <f>IFERROR(VLOOKUP($W$10,Source!$F$2:$J$19,5,FALSE)," ")</f>
        <v/>
      </c>
      <c r="X6" s="91"/>
      <c r="Y6" s="91"/>
      <c r="Z6" s="92"/>
      <c r="AA6" s="98"/>
      <c r="AB6" s="584" t="str">
        <f>IFERROR(VLOOKUP($AB$10,Source!$F$2:$J$19,5,FALSE)," ")</f>
        <v> </v>
      </c>
      <c r="AC6" s="91"/>
      <c r="AD6" s="91"/>
      <c r="AE6" s="92"/>
      <c r="AF6" s="582"/>
      <c r="AG6" s="586" t="str">
        <f>IFERROR(VLOOKUP($AG$10,Source!$F$2:$J$19,5,FALSE)," ")</f>
        <v/>
      </c>
      <c r="AH6" s="91"/>
      <c r="AI6" s="91"/>
      <c r="AJ6" s="92"/>
      <c r="AK6" s="98"/>
      <c r="AL6" s="586" t="str">
        <f>IFERROR(VLOOKUP($AL$10,Source!$F$2:$J$19,5,FALSE)," ")</f>
        <v/>
      </c>
      <c r="AM6" s="91"/>
      <c r="AN6" s="91"/>
      <c r="AO6" s="92"/>
      <c r="AP6" s="587"/>
      <c r="AQ6" s="588" t="str">
        <f>IFERROR(VLOOKUP($AQ$10,Source!$F$20:$J$35,5,FALSE)," ")</f>
        <v> </v>
      </c>
      <c r="AR6" s="91"/>
      <c r="AS6" s="91"/>
      <c r="AT6" s="92"/>
      <c r="AU6" s="98"/>
      <c r="AV6" s="588" t="str">
        <f>IFERROR(VLOOKUP($AV$10,Source!$F$20:$J$39,5,FALSE)," ")</f>
        <v> </v>
      </c>
      <c r="AW6" s="91"/>
      <c r="AX6" s="91"/>
      <c r="AY6" s="92"/>
      <c r="AZ6" s="582"/>
      <c r="BA6" s="589" t="str">
        <f>IFERROR(VLOOKUP($BA$10,Source!$F$20:$J$39,5,FALSE)," ")</f>
        <v> </v>
      </c>
      <c r="BB6" s="91"/>
      <c r="BC6" s="91"/>
      <c r="BD6" s="92"/>
      <c r="BE6" s="98"/>
      <c r="BF6" s="589" t="str">
        <f>IFERROR(VLOOKUP($BF$10,Source!$F$20:$J$39,5,FALSE)," ")</f>
        <v> </v>
      </c>
      <c r="BG6" s="91"/>
      <c r="BH6" s="91"/>
      <c r="BI6" s="92"/>
      <c r="BJ6" s="582"/>
      <c r="BK6" s="588" t="str">
        <f>IFERROR(VLOOKUP($BK$10,Source!$F$20:$J$39,5,FALSE)," ")</f>
        <v> </v>
      </c>
      <c r="BL6" s="91"/>
      <c r="BM6" s="91"/>
      <c r="BN6" s="92"/>
      <c r="BO6" s="98"/>
      <c r="BP6" s="588" t="str">
        <f>IFERROR(VLOOKUP($BP$10,Source!$F$20:$J$39,5,FALSE)," ")</f>
        <v> </v>
      </c>
      <c r="BQ6" s="91"/>
      <c r="BR6" s="91"/>
      <c r="BS6" s="92"/>
      <c r="BT6" s="582"/>
      <c r="BU6" s="589" t="str">
        <f>IFERROR(VLOOKUP($BU$10,Source!$F$20:$J$39,5,FALSE)," ")</f>
        <v> </v>
      </c>
      <c r="BV6" s="91"/>
      <c r="BW6" s="91"/>
      <c r="BX6" s="92"/>
      <c r="BY6" s="98"/>
      <c r="BZ6" s="589" t="str">
        <f>IFERROR(VLOOKUP($BZ$10,Source!$F$20:$J$39,5,FALSE)," ")</f>
        <v> </v>
      </c>
      <c r="CA6" s="91"/>
      <c r="CB6" s="91"/>
      <c r="CC6" s="92"/>
      <c r="CD6" s="587"/>
    </row>
    <row r="7" ht="18.75" customHeight="1">
      <c r="A7" s="569"/>
      <c r="B7" s="590"/>
      <c r="C7" s="97"/>
      <c r="F7" s="98"/>
      <c r="G7" s="98"/>
      <c r="H7" s="97"/>
      <c r="K7" s="98"/>
      <c r="L7" s="582"/>
      <c r="M7" s="97"/>
      <c r="P7" s="98"/>
      <c r="Q7" s="98"/>
      <c r="R7" s="97"/>
      <c r="U7" s="98"/>
      <c r="V7" s="582"/>
      <c r="W7" s="97"/>
      <c r="Z7" s="98"/>
      <c r="AA7" s="98"/>
      <c r="AB7" s="97"/>
      <c r="AE7" s="98"/>
      <c r="AF7" s="582"/>
      <c r="AG7" s="97"/>
      <c r="AJ7" s="98"/>
      <c r="AK7" s="98"/>
      <c r="AL7" s="97"/>
      <c r="AO7" s="98"/>
      <c r="AP7" s="587"/>
      <c r="AQ7" s="97"/>
      <c r="AT7" s="98"/>
      <c r="AU7" s="98"/>
      <c r="AV7" s="97"/>
      <c r="AY7" s="98"/>
      <c r="AZ7" s="582"/>
      <c r="BA7" s="97"/>
      <c r="BD7" s="98"/>
      <c r="BE7" s="98"/>
      <c r="BF7" s="97"/>
      <c r="BI7" s="98"/>
      <c r="BJ7" s="582"/>
      <c r="BK7" s="97"/>
      <c r="BN7" s="98"/>
      <c r="BO7" s="98"/>
      <c r="BP7" s="97"/>
      <c r="BS7" s="98"/>
      <c r="BT7" s="582"/>
      <c r="BU7" s="97"/>
      <c r="BX7" s="98"/>
      <c r="BY7" s="98"/>
      <c r="BZ7" s="97"/>
      <c r="CC7" s="98"/>
      <c r="CD7" s="587"/>
    </row>
    <row r="8" ht="18.75" customHeight="1">
      <c r="A8" s="569"/>
      <c r="B8" s="590"/>
      <c r="C8" s="97"/>
      <c r="F8" s="98"/>
      <c r="G8" s="98"/>
      <c r="H8" s="97"/>
      <c r="K8" s="98"/>
      <c r="L8" s="582"/>
      <c r="M8" s="97"/>
      <c r="P8" s="98"/>
      <c r="Q8" s="98"/>
      <c r="R8" s="97"/>
      <c r="U8" s="98"/>
      <c r="V8" s="582"/>
      <c r="W8" s="97"/>
      <c r="Z8" s="98"/>
      <c r="AA8" s="98"/>
      <c r="AB8" s="97"/>
      <c r="AE8" s="98"/>
      <c r="AF8" s="582"/>
      <c r="AG8" s="97"/>
      <c r="AJ8" s="98"/>
      <c r="AK8" s="98"/>
      <c r="AL8" s="97"/>
      <c r="AO8" s="98"/>
      <c r="AP8" s="587"/>
      <c r="AQ8" s="97"/>
      <c r="AT8" s="98"/>
      <c r="AU8" s="98"/>
      <c r="AV8" s="97"/>
      <c r="AY8" s="98"/>
      <c r="AZ8" s="582"/>
      <c r="BA8" s="97"/>
      <c r="BD8" s="98"/>
      <c r="BE8" s="98"/>
      <c r="BF8" s="97"/>
      <c r="BI8" s="98"/>
      <c r="BJ8" s="582"/>
      <c r="BK8" s="97"/>
      <c r="BN8" s="98"/>
      <c r="BO8" s="98"/>
      <c r="BP8" s="97"/>
      <c r="BS8" s="98"/>
      <c r="BT8" s="582"/>
      <c r="BU8" s="97"/>
      <c r="BX8" s="98"/>
      <c r="BY8" s="98"/>
      <c r="BZ8" s="97"/>
      <c r="CC8" s="98"/>
      <c r="CD8" s="587"/>
    </row>
    <row r="9" ht="18.75" customHeight="1">
      <c r="A9" s="569"/>
      <c r="B9" s="590"/>
      <c r="C9" s="110"/>
      <c r="D9" s="111"/>
      <c r="E9" s="111"/>
      <c r="F9" s="112"/>
      <c r="G9" s="98"/>
      <c r="H9" s="110"/>
      <c r="I9" s="111"/>
      <c r="J9" s="111"/>
      <c r="K9" s="112"/>
      <c r="L9" s="582"/>
      <c r="M9" s="110"/>
      <c r="N9" s="111"/>
      <c r="O9" s="111"/>
      <c r="P9" s="112"/>
      <c r="Q9" s="98"/>
      <c r="R9" s="110"/>
      <c r="S9" s="111"/>
      <c r="T9" s="111"/>
      <c r="U9" s="112"/>
      <c r="V9" s="582"/>
      <c r="W9" s="110"/>
      <c r="X9" s="111"/>
      <c r="Y9" s="111"/>
      <c r="Z9" s="112"/>
      <c r="AA9" s="98"/>
      <c r="AB9" s="110"/>
      <c r="AC9" s="111"/>
      <c r="AD9" s="111"/>
      <c r="AE9" s="112"/>
      <c r="AF9" s="582"/>
      <c r="AG9" s="110"/>
      <c r="AH9" s="111"/>
      <c r="AI9" s="111"/>
      <c r="AJ9" s="112"/>
      <c r="AK9" s="98"/>
      <c r="AL9" s="110"/>
      <c r="AM9" s="111"/>
      <c r="AN9" s="111"/>
      <c r="AO9" s="112"/>
      <c r="AP9" s="587"/>
      <c r="AQ9" s="110"/>
      <c r="AR9" s="111"/>
      <c r="AS9" s="111"/>
      <c r="AT9" s="112"/>
      <c r="AU9" s="98"/>
      <c r="AV9" s="110"/>
      <c r="AW9" s="111"/>
      <c r="AX9" s="111"/>
      <c r="AY9" s="112"/>
      <c r="AZ9" s="582"/>
      <c r="BA9" s="110"/>
      <c r="BB9" s="111"/>
      <c r="BC9" s="111"/>
      <c r="BD9" s="112"/>
      <c r="BE9" s="98"/>
      <c r="BF9" s="110"/>
      <c r="BG9" s="111"/>
      <c r="BH9" s="111"/>
      <c r="BI9" s="112"/>
      <c r="BJ9" s="582"/>
      <c r="BK9" s="110"/>
      <c r="BL9" s="111"/>
      <c r="BM9" s="111"/>
      <c r="BN9" s="112"/>
      <c r="BO9" s="98"/>
      <c r="BP9" s="110"/>
      <c r="BQ9" s="111"/>
      <c r="BR9" s="111"/>
      <c r="BS9" s="112"/>
      <c r="BT9" s="582"/>
      <c r="BU9" s="110"/>
      <c r="BV9" s="111"/>
      <c r="BW9" s="111"/>
      <c r="BX9" s="112"/>
      <c r="BY9" s="98"/>
      <c r="BZ9" s="110"/>
      <c r="CA9" s="111"/>
      <c r="CB9" s="111"/>
      <c r="CC9" s="112"/>
      <c r="CD9" s="587"/>
    </row>
    <row r="10" ht="18.75" customHeight="1">
      <c r="A10" s="569"/>
      <c r="B10" s="590"/>
      <c r="C10" s="607" t="str">
        <f>Standings!$E$4</f>
        <v>Ian Heslin</v>
      </c>
      <c r="D10" s="111"/>
      <c r="E10" s="111"/>
      <c r="F10" s="112"/>
      <c r="G10" s="98"/>
      <c r="H10" s="608" t="str">
        <f>#REF!</f>
        <v>#REF!</v>
      </c>
      <c r="I10" s="111"/>
      <c r="J10" s="111"/>
      <c r="K10" s="112"/>
      <c r="L10" s="582"/>
      <c r="M10" s="610" t="str">
        <f>Standings!$E$10</f>
        <v>Jackson McLoughlin</v>
      </c>
      <c r="N10" s="111"/>
      <c r="O10" s="111"/>
      <c r="P10" s="112"/>
      <c r="Q10" s="98"/>
      <c r="R10" s="610" t="str">
        <f>Standings!$E$12</f>
        <v>Ryan Tidey</v>
      </c>
      <c r="S10" s="111"/>
      <c r="T10" s="111"/>
      <c r="U10" s="112"/>
      <c r="V10" s="582"/>
      <c r="W10" s="607" t="str">
        <f>Standings!$E$6</f>
        <v>Zach VanSickle</v>
      </c>
      <c r="X10" s="111"/>
      <c r="Y10" s="111"/>
      <c r="Z10" s="112"/>
      <c r="AA10" s="98"/>
      <c r="AB10" s="608" t="str">
        <f>#REF!</f>
        <v>#REF!</v>
      </c>
      <c r="AC10" s="111"/>
      <c r="AD10" s="111"/>
      <c r="AE10" s="112"/>
      <c r="AF10" s="582"/>
      <c r="AG10" s="610" t="str">
        <f>Standings!$E$8</f>
        <v>Tyler Gottfredsen</v>
      </c>
      <c r="AH10" s="111"/>
      <c r="AI10" s="111"/>
      <c r="AJ10" s="112"/>
      <c r="AK10" s="98"/>
      <c r="AL10" s="610" t="str">
        <f>Standings!$E$14</f>
        <v>Dick Hansen</v>
      </c>
      <c r="AM10" s="111"/>
      <c r="AN10" s="111"/>
      <c r="AO10" s="112"/>
      <c r="AP10" s="587"/>
      <c r="AQ10" s="613" t="str">
        <f>#REF!</f>
        <v>#REF!</v>
      </c>
      <c r="AR10" s="111"/>
      <c r="AS10" s="111"/>
      <c r="AT10" s="112"/>
      <c r="AU10" s="98"/>
      <c r="AV10" s="613" t="str">
        <f>#REF!</f>
        <v>#REF!</v>
      </c>
      <c r="AW10" s="111"/>
      <c r="AX10" s="111"/>
      <c r="AY10" s="112"/>
      <c r="AZ10" s="582"/>
      <c r="BA10" s="614" t="str">
        <f>#REF!</f>
        <v>#REF!</v>
      </c>
      <c r="BB10" s="111"/>
      <c r="BC10" s="111"/>
      <c r="BD10" s="112"/>
      <c r="BE10" s="98"/>
      <c r="BF10" s="614" t="str">
        <f>#REF!</f>
        <v>#REF!</v>
      </c>
      <c r="BG10" s="111"/>
      <c r="BH10" s="111"/>
      <c r="BI10" s="112"/>
      <c r="BJ10" s="582"/>
      <c r="BK10" s="613" t="str">
        <f>#REF!</f>
        <v>#REF!</v>
      </c>
      <c r="BL10" s="111"/>
      <c r="BM10" s="111"/>
      <c r="BN10" s="112"/>
      <c r="BO10" s="98"/>
      <c r="BP10" s="613" t="str">
        <f>#REF!</f>
        <v>#REF!</v>
      </c>
      <c r="BQ10" s="111"/>
      <c r="BR10" s="111"/>
      <c r="BS10" s="112"/>
      <c r="BT10" s="582"/>
      <c r="BU10" s="614" t="str">
        <f>#REF!</f>
        <v>#REF!</v>
      </c>
      <c r="BV10" s="111"/>
      <c r="BW10" s="111"/>
      <c r="BX10" s="112"/>
      <c r="BY10" s="98"/>
      <c r="BZ10" s="614" t="str">
        <f>#REF!</f>
        <v>#REF!</v>
      </c>
      <c r="CA10" s="111"/>
      <c r="CB10" s="111"/>
      <c r="CC10" s="112"/>
      <c r="CD10" s="587"/>
    </row>
    <row r="11" ht="18.75" customHeight="1">
      <c r="A11" s="569"/>
      <c r="B11" s="590"/>
      <c r="C11" s="617" t="s">
        <v>36</v>
      </c>
      <c r="D11" s="437"/>
      <c r="E11" s="618" t="s">
        <v>35</v>
      </c>
      <c r="F11" s="438"/>
      <c r="G11" s="98"/>
      <c r="H11" s="617" t="s">
        <v>35</v>
      </c>
      <c r="I11" s="437"/>
      <c r="J11" s="618" t="s">
        <v>36</v>
      </c>
      <c r="K11" s="438"/>
      <c r="L11" s="582"/>
      <c r="M11" s="619" t="s">
        <v>36</v>
      </c>
      <c r="N11" s="437"/>
      <c r="O11" s="620" t="s">
        <v>35</v>
      </c>
      <c r="P11" s="438"/>
      <c r="Q11" s="98"/>
      <c r="R11" s="619" t="s">
        <v>35</v>
      </c>
      <c r="S11" s="437"/>
      <c r="T11" s="620" t="s">
        <v>36</v>
      </c>
      <c r="U11" s="438"/>
      <c r="V11" s="582"/>
      <c r="W11" s="617" t="s">
        <v>36</v>
      </c>
      <c r="X11" s="437"/>
      <c r="Y11" s="618" t="s">
        <v>35</v>
      </c>
      <c r="Z11" s="438"/>
      <c r="AA11" s="98"/>
      <c r="AB11" s="617" t="s">
        <v>35</v>
      </c>
      <c r="AC11" s="437"/>
      <c r="AD11" s="618" t="s">
        <v>36</v>
      </c>
      <c r="AE11" s="438"/>
      <c r="AF11" s="582"/>
      <c r="AG11" s="619" t="s">
        <v>36</v>
      </c>
      <c r="AH11" s="437"/>
      <c r="AI11" s="620" t="s">
        <v>35</v>
      </c>
      <c r="AJ11" s="438"/>
      <c r="AK11" s="98"/>
      <c r="AL11" s="619" t="s">
        <v>35</v>
      </c>
      <c r="AM11" s="437"/>
      <c r="AN11" s="620" t="s">
        <v>36</v>
      </c>
      <c r="AO11" s="438"/>
      <c r="AP11" s="587"/>
      <c r="AQ11" s="622" t="s">
        <v>36</v>
      </c>
      <c r="AR11" s="437"/>
      <c r="AS11" s="625" t="s">
        <v>35</v>
      </c>
      <c r="AT11" s="438"/>
      <c r="AU11" s="98"/>
      <c r="AV11" s="622" t="s">
        <v>35</v>
      </c>
      <c r="AW11" s="437"/>
      <c r="AX11" s="625" t="s">
        <v>36</v>
      </c>
      <c r="AY11" s="438"/>
      <c r="AZ11" s="582"/>
      <c r="BA11" s="626" t="s">
        <v>36</v>
      </c>
      <c r="BB11" s="437"/>
      <c r="BC11" s="630" t="s">
        <v>35</v>
      </c>
      <c r="BD11" s="438"/>
      <c r="BE11" s="98"/>
      <c r="BF11" s="626" t="s">
        <v>35</v>
      </c>
      <c r="BG11" s="437"/>
      <c r="BH11" s="630" t="s">
        <v>36</v>
      </c>
      <c r="BI11" s="438"/>
      <c r="BJ11" s="582"/>
      <c r="BK11" s="622" t="s">
        <v>36</v>
      </c>
      <c r="BL11" s="437"/>
      <c r="BM11" s="625" t="s">
        <v>35</v>
      </c>
      <c r="BN11" s="438"/>
      <c r="BO11" s="98"/>
      <c r="BP11" s="622" t="s">
        <v>35</v>
      </c>
      <c r="BQ11" s="437"/>
      <c r="BR11" s="625" t="s">
        <v>36</v>
      </c>
      <c r="BS11" s="438"/>
      <c r="BT11" s="582"/>
      <c r="BU11" s="626" t="s">
        <v>36</v>
      </c>
      <c r="BV11" s="437"/>
      <c r="BW11" s="630" t="s">
        <v>35</v>
      </c>
      <c r="BX11" s="438"/>
      <c r="BY11" s="98"/>
      <c r="BZ11" s="626" t="s">
        <v>35</v>
      </c>
      <c r="CA11" s="437"/>
      <c r="CB11" s="630" t="s">
        <v>36</v>
      </c>
      <c r="CC11" s="438"/>
      <c r="CD11" s="587"/>
    </row>
    <row r="12" ht="18.75" customHeight="1">
      <c r="A12" s="569"/>
      <c r="B12" s="590"/>
      <c r="C12" s="635">
        <v>-4.0</v>
      </c>
      <c r="D12" s="152"/>
      <c r="E12" s="636" t="s">
        <v>140</v>
      </c>
      <c r="F12" s="401"/>
      <c r="G12" s="112"/>
      <c r="H12" s="635" t="s">
        <v>139</v>
      </c>
      <c r="I12" s="152"/>
      <c r="J12" s="636">
        <v>4.0</v>
      </c>
      <c r="K12" s="401"/>
      <c r="L12" s="582"/>
      <c r="M12" s="639">
        <v>5.0</v>
      </c>
      <c r="N12" s="152"/>
      <c r="O12" s="640" t="s">
        <v>139</v>
      </c>
      <c r="P12" s="401"/>
      <c r="Q12" s="112"/>
      <c r="R12" s="639" t="s">
        <v>140</v>
      </c>
      <c r="S12" s="152"/>
      <c r="T12" s="640">
        <v>-5.0</v>
      </c>
      <c r="U12" s="401"/>
      <c r="V12" s="582"/>
      <c r="W12" s="635">
        <v>4.0</v>
      </c>
      <c r="X12" s="152"/>
      <c r="Y12" s="636" t="s">
        <v>139</v>
      </c>
      <c r="Z12" s="401"/>
      <c r="AA12" s="112"/>
      <c r="AB12" s="635" t="s">
        <v>140</v>
      </c>
      <c r="AC12" s="152"/>
      <c r="AD12" s="636">
        <v>-4.0</v>
      </c>
      <c r="AE12" s="401"/>
      <c r="AF12" s="582"/>
      <c r="AG12" s="639">
        <v>3.0</v>
      </c>
      <c r="AH12" s="152"/>
      <c r="AI12" s="640" t="s">
        <v>139</v>
      </c>
      <c r="AJ12" s="401"/>
      <c r="AK12" s="112"/>
      <c r="AL12" s="639" t="s">
        <v>140</v>
      </c>
      <c r="AM12" s="152"/>
      <c r="AN12" s="640">
        <v>-3.0</v>
      </c>
      <c r="AO12" s="401"/>
      <c r="AP12" s="587"/>
      <c r="AQ12" s="642">
        <v>2.0</v>
      </c>
      <c r="AR12" s="152"/>
      <c r="AS12" s="643" t="s">
        <v>139</v>
      </c>
      <c r="AT12" s="401"/>
      <c r="AU12" s="112"/>
      <c r="AV12" s="642" t="s">
        <v>140</v>
      </c>
      <c r="AW12" s="152"/>
      <c r="AX12" s="643">
        <v>-2.0</v>
      </c>
      <c r="AY12" s="401"/>
      <c r="AZ12" s="582"/>
      <c r="BA12" s="644">
        <v>-4.0</v>
      </c>
      <c r="BB12" s="152"/>
      <c r="BC12" s="645" t="s">
        <v>140</v>
      </c>
      <c r="BD12" s="401"/>
      <c r="BE12" s="112"/>
      <c r="BF12" s="644" t="s">
        <v>139</v>
      </c>
      <c r="BG12" s="152"/>
      <c r="BH12" s="645">
        <v>4.0</v>
      </c>
      <c r="BI12" s="401"/>
      <c r="BJ12" s="582"/>
      <c r="BK12" s="642">
        <v>-3.0</v>
      </c>
      <c r="BL12" s="152"/>
      <c r="BM12" s="643" t="s">
        <v>140</v>
      </c>
      <c r="BN12" s="401"/>
      <c r="BO12" s="112"/>
      <c r="BP12" s="642" t="s">
        <v>139</v>
      </c>
      <c r="BQ12" s="152"/>
      <c r="BR12" s="643">
        <v>3.0</v>
      </c>
      <c r="BS12" s="401"/>
      <c r="BT12" s="582"/>
      <c r="BU12" s="644">
        <v>-2.0</v>
      </c>
      <c r="BV12" s="152"/>
      <c r="BW12" s="645" t="s">
        <v>140</v>
      </c>
      <c r="BX12" s="401"/>
      <c r="BY12" s="112"/>
      <c r="BZ12" s="644" t="s">
        <v>139</v>
      </c>
      <c r="CA12" s="152"/>
      <c r="CB12" s="645">
        <v>2.0</v>
      </c>
      <c r="CC12" s="401"/>
      <c r="CD12" s="587"/>
    </row>
    <row r="13" ht="15.75" customHeight="1">
      <c r="A13" s="569"/>
      <c r="B13" s="647"/>
      <c r="C13" s="648" t="s">
        <v>321</v>
      </c>
      <c r="D13" s="34"/>
      <c r="E13" s="153"/>
      <c r="F13" s="650">
        <v>1.0</v>
      </c>
      <c r="G13" s="34"/>
      <c r="H13" s="650">
        <v>2.0</v>
      </c>
      <c r="I13" s="34"/>
      <c r="J13" s="650">
        <v>3.0</v>
      </c>
      <c r="K13" s="34"/>
      <c r="L13" s="652"/>
      <c r="M13" s="653" t="s">
        <v>321</v>
      </c>
      <c r="N13" s="34"/>
      <c r="O13" s="153"/>
      <c r="P13" s="650">
        <v>1.0</v>
      </c>
      <c r="Q13" s="34"/>
      <c r="R13" s="650">
        <v>2.0</v>
      </c>
      <c r="S13" s="34"/>
      <c r="T13" s="659">
        <v>3.0</v>
      </c>
      <c r="U13" s="34"/>
      <c r="V13" s="660"/>
      <c r="W13" s="653" t="s">
        <v>321</v>
      </c>
      <c r="X13" s="34"/>
      <c r="Y13" s="153"/>
      <c r="Z13" s="650">
        <v>1.0</v>
      </c>
      <c r="AA13" s="34"/>
      <c r="AB13" s="650">
        <v>2.0</v>
      </c>
      <c r="AC13" s="34"/>
      <c r="AD13" s="659">
        <v>3.0</v>
      </c>
      <c r="AE13" s="34"/>
      <c r="AF13" s="660"/>
      <c r="AG13" s="653" t="s">
        <v>321</v>
      </c>
      <c r="AH13" s="34"/>
      <c r="AI13" s="153"/>
      <c r="AJ13" s="650">
        <v>1.0</v>
      </c>
      <c r="AK13" s="34"/>
      <c r="AL13" s="650">
        <v>2.0</v>
      </c>
      <c r="AM13" s="34"/>
      <c r="AN13" s="650">
        <v>3.0</v>
      </c>
      <c r="AO13" s="34"/>
      <c r="AP13" s="126"/>
      <c r="AQ13" s="653" t="s">
        <v>321</v>
      </c>
      <c r="AR13" s="34"/>
      <c r="AS13" s="153"/>
      <c r="AT13" s="650">
        <v>1.0</v>
      </c>
      <c r="AU13" s="34"/>
      <c r="AV13" s="650">
        <v>2.0</v>
      </c>
      <c r="AW13" s="34"/>
      <c r="AX13" s="650">
        <v>3.0</v>
      </c>
      <c r="AY13" s="34"/>
      <c r="AZ13" s="652"/>
      <c r="BA13" s="653" t="s">
        <v>321</v>
      </c>
      <c r="BB13" s="34"/>
      <c r="BC13" s="153"/>
      <c r="BD13" s="659">
        <v>1.0</v>
      </c>
      <c r="BE13" s="34"/>
      <c r="BF13" s="659">
        <v>2.0</v>
      </c>
      <c r="BG13" s="34"/>
      <c r="BH13" s="659">
        <v>3.0</v>
      </c>
      <c r="BI13" s="34"/>
      <c r="BJ13" s="582"/>
      <c r="BK13" s="648" t="s">
        <v>321</v>
      </c>
      <c r="BL13" s="34"/>
      <c r="BM13" s="153"/>
      <c r="BN13" s="650">
        <v>1.0</v>
      </c>
      <c r="BO13" s="34"/>
      <c r="BP13" s="650">
        <v>2.0</v>
      </c>
      <c r="BQ13" s="34"/>
      <c r="BR13" s="650">
        <v>3.0</v>
      </c>
      <c r="BS13" s="34"/>
      <c r="BT13" s="582"/>
      <c r="BU13" s="648" t="s">
        <v>321</v>
      </c>
      <c r="BV13" s="34"/>
      <c r="BW13" s="153"/>
      <c r="BX13" s="650">
        <v>1.0</v>
      </c>
      <c r="BY13" s="34"/>
      <c r="BZ13" s="650">
        <v>2.0</v>
      </c>
      <c r="CA13" s="34"/>
      <c r="CB13" s="650">
        <v>3.0</v>
      </c>
      <c r="CC13" s="34"/>
      <c r="CD13" s="126"/>
    </row>
    <row r="14" ht="11.25" customHeight="1">
      <c r="A14" s="569"/>
      <c r="B14" s="579"/>
      <c r="C14" s="587"/>
      <c r="D14" s="587"/>
      <c r="E14" s="587"/>
      <c r="F14" s="587"/>
      <c r="G14" s="669"/>
      <c r="H14" s="587"/>
      <c r="I14" s="587"/>
      <c r="J14" s="587"/>
      <c r="K14" s="587"/>
      <c r="L14" s="669"/>
      <c r="M14" s="587"/>
      <c r="N14" s="587"/>
      <c r="O14" s="579"/>
      <c r="P14" s="579"/>
      <c r="Q14" s="582"/>
      <c r="R14" s="315"/>
      <c r="S14" s="315"/>
      <c r="T14" s="315"/>
      <c r="U14" s="315"/>
      <c r="V14" s="582"/>
      <c r="W14" s="315"/>
      <c r="X14" s="315"/>
      <c r="Y14" s="315"/>
      <c r="Z14" s="315"/>
      <c r="AA14" s="582"/>
      <c r="AB14" s="315"/>
      <c r="AC14" s="315"/>
      <c r="AD14" s="315"/>
      <c r="AE14" s="315"/>
      <c r="AF14" s="582"/>
      <c r="AG14" s="315"/>
      <c r="AH14" s="315"/>
      <c r="AI14" s="315"/>
      <c r="AJ14" s="315"/>
      <c r="AK14" s="582"/>
      <c r="AL14" s="315"/>
      <c r="AM14" s="315"/>
      <c r="AN14" s="315"/>
      <c r="AO14" s="315"/>
      <c r="AP14" s="315"/>
      <c r="AQ14" s="670"/>
      <c r="AR14" s="670"/>
      <c r="AS14" s="670"/>
      <c r="AT14" s="670"/>
      <c r="AU14" s="652"/>
      <c r="AV14" s="670"/>
      <c r="AW14" s="670"/>
      <c r="AX14" s="670"/>
      <c r="AY14" s="670"/>
      <c r="AZ14" s="652"/>
      <c r="BA14" s="670"/>
      <c r="BB14" s="670"/>
      <c r="BC14" s="671"/>
      <c r="BD14" s="671"/>
      <c r="BE14" s="660"/>
      <c r="BF14" s="672"/>
      <c r="BG14" s="672"/>
      <c r="BH14" s="672"/>
      <c r="BI14" s="672"/>
      <c r="BJ14" s="582"/>
      <c r="BK14" s="315"/>
      <c r="BL14" s="315"/>
      <c r="BM14" s="315"/>
      <c r="BN14" s="315"/>
      <c r="BO14" s="582"/>
      <c r="BP14" s="315"/>
      <c r="BQ14" s="315"/>
      <c r="BR14" s="315"/>
      <c r="BS14" s="315"/>
      <c r="BT14" s="582"/>
      <c r="BU14" s="315"/>
      <c r="BV14" s="315"/>
      <c r="BW14" s="315"/>
      <c r="BX14" s="315"/>
      <c r="BY14" s="582"/>
      <c r="BZ14" s="315"/>
      <c r="CA14" s="315"/>
      <c r="CB14" s="315"/>
      <c r="CC14" s="315"/>
      <c r="CD14" s="315"/>
    </row>
    <row r="15" ht="18.75" customHeight="1">
      <c r="A15" s="569"/>
      <c r="B15" s="583" t="s">
        <v>330</v>
      </c>
      <c r="C15" s="584" t="str">
        <f>IF(E12="W",C5,IF(E12="L",H5,IF(E12=0,"QF1 Winner")))</f>
        <v>Seed 8</v>
      </c>
      <c r="D15" s="91"/>
      <c r="E15" s="91"/>
      <c r="F15" s="92"/>
      <c r="G15" s="585" t="s">
        <v>311</v>
      </c>
      <c r="H15" s="586" t="str">
        <f>IF(O12="W",M5,IF(O12="L",R5,IF(O12=0,"QF2 Winner")))</f>
        <v>Seed 4</v>
      </c>
      <c r="I15" s="91"/>
      <c r="J15" s="91"/>
      <c r="K15" s="92"/>
      <c r="L15" s="582"/>
      <c r="M15" s="584" t="str">
        <f>IF(Y12="W",W5,IF(Y12="L",AB5,IF(Y12=0,"QF3 Winner")))</f>
        <v>Seed 2</v>
      </c>
      <c r="N15" s="91"/>
      <c r="O15" s="91"/>
      <c r="P15" s="92"/>
      <c r="Q15" s="585" t="s">
        <v>311</v>
      </c>
      <c r="R15" s="586" t="str">
        <f>IF(AI12="W",AG5,IF(AI12="L",AL5,IF(AI12=0,"QF4 Winner")))</f>
        <v>Seed 3</v>
      </c>
      <c r="S15" s="91"/>
      <c r="T15" s="91"/>
      <c r="U15" s="92"/>
      <c r="V15" s="582"/>
      <c r="W15" s="691" t="str">
        <f>image("https://cdn.discordapp.com/attachments/363366583839752205/843599770504527882/Drizzle2x.png")</f>
        <v/>
      </c>
      <c r="AP15" s="582"/>
      <c r="AQ15" s="694" t="str">
        <f>IF(AS12="W",AQ5,IF(AS12="L",AV5,IF(AS12=0,"QF1 Winner")))</f>
        <v>Seed 1</v>
      </c>
      <c r="AR15" s="91"/>
      <c r="AS15" s="91"/>
      <c r="AT15" s="92"/>
      <c r="AU15" s="695" t="s">
        <v>311</v>
      </c>
      <c r="AV15" s="696" t="str">
        <f>IF(BC12="W",BA5,IF(BC12="L",BF5,IF(BC12=0,"QF2 Winner")))</f>
        <v>Seed 5</v>
      </c>
      <c r="AW15" s="91"/>
      <c r="AX15" s="91"/>
      <c r="AY15" s="92"/>
      <c r="AZ15" s="660"/>
      <c r="BA15" s="694" t="str">
        <f>IF(BM12="W",BK5,IF(BM12="L",BP5,IF(BM12=0,"QF3 Winner")))</f>
        <v>Seed 7</v>
      </c>
      <c r="BB15" s="91"/>
      <c r="BC15" s="91"/>
      <c r="BD15" s="92"/>
      <c r="BE15" s="695" t="s">
        <v>311</v>
      </c>
      <c r="BF15" s="696" t="str">
        <f>IF(BW12="W",BU5,IF(BW12="L",BZ5,IF(BW12=0,"QF4 Winner")))</f>
        <v>Seed 6</v>
      </c>
      <c r="BG15" s="91"/>
      <c r="BH15" s="91"/>
      <c r="BI15" s="92"/>
      <c r="BJ15" s="582"/>
      <c r="BK15" s="691" t="str">
        <f>image("https://cdn.discordapp.com/attachments/363366583839752205/843599771440381952/Drought2x.png")</f>
        <v/>
      </c>
      <c r="CD15" s="582"/>
    </row>
    <row r="16" ht="18.75" customHeight="1">
      <c r="A16" s="569"/>
      <c r="B16" s="590"/>
      <c r="C16" s="584" t="str">
        <f>IFERROR(VLOOKUP($C$20,Source!$F$2:$J$19,5,FALSE)," ")</f>
        <v> </v>
      </c>
      <c r="D16" s="91"/>
      <c r="E16" s="91"/>
      <c r="F16" s="92"/>
      <c r="G16" s="98"/>
      <c r="H16" s="586" t="str">
        <f>IFERROR(VLOOKUP($H$20,Source!$F$2:$J$19,5,FALSE)," ")</f>
        <v/>
      </c>
      <c r="I16" s="91"/>
      <c r="J16" s="91"/>
      <c r="K16" s="92"/>
      <c r="L16" s="582"/>
      <c r="M16" s="584" t="str">
        <f>IFERROR(VLOOKUP($M$20,Source!$F$2:$J$19,5,FALSE)," ")</f>
        <v/>
      </c>
      <c r="N16" s="91"/>
      <c r="O16" s="91"/>
      <c r="P16" s="92"/>
      <c r="Q16" s="98"/>
      <c r="R16" s="705" t="str">
        <f>IFERROR(VLOOKUP($R$20,Source!$F$2:$J$19,5,FALSE)," ")</f>
        <v/>
      </c>
      <c r="S16" s="706"/>
      <c r="T16" s="706"/>
      <c r="U16" s="707"/>
      <c r="V16" s="582"/>
      <c r="AP16" s="582"/>
      <c r="AQ16" s="694" t="str">
        <f>IFERROR(VLOOKUP($AQ$20,Source!$F$20:$J$39,5,FALSE)," ")</f>
        <v> </v>
      </c>
      <c r="AR16" s="91"/>
      <c r="AS16" s="91"/>
      <c r="AT16" s="92"/>
      <c r="AU16" s="98"/>
      <c r="AV16" s="696" t="str">
        <f>IFERROR(VLOOKUP($AV$20,Source!$F$20:$J$39,5,FALSE)," ")</f>
        <v> </v>
      </c>
      <c r="AW16" s="91"/>
      <c r="AX16" s="91"/>
      <c r="AY16" s="92"/>
      <c r="AZ16" s="660"/>
      <c r="BA16" s="694" t="str">
        <f>IFERROR(VLOOKUP($BA$20,Source!$F$20:$J$39,5,FALSE)," ")</f>
        <v> </v>
      </c>
      <c r="BB16" s="91"/>
      <c r="BC16" s="91"/>
      <c r="BD16" s="92"/>
      <c r="BE16" s="98"/>
      <c r="BF16" s="718" t="str">
        <f>IFERROR(VLOOKUP($BF$20,Source!$F$20:$J$39,5,FALSE)," ")</f>
        <v> </v>
      </c>
      <c r="BG16" s="706"/>
      <c r="BH16" s="706"/>
      <c r="BI16" s="707"/>
      <c r="BJ16" s="582"/>
      <c r="CD16" s="582"/>
    </row>
    <row r="17" ht="18.75" customHeight="1">
      <c r="A17" s="569"/>
      <c r="B17" s="590"/>
      <c r="C17" s="97"/>
      <c r="F17" s="98"/>
      <c r="G17" s="98"/>
      <c r="H17" s="97"/>
      <c r="K17" s="98"/>
      <c r="L17" s="582"/>
      <c r="M17" s="97"/>
      <c r="P17" s="98"/>
      <c r="Q17" s="98"/>
      <c r="R17" s="721"/>
      <c r="U17" s="98"/>
      <c r="V17" s="582"/>
      <c r="AP17" s="582"/>
      <c r="AQ17" s="97"/>
      <c r="AT17" s="98"/>
      <c r="AU17" s="98"/>
      <c r="AV17" s="97"/>
      <c r="AY17" s="98"/>
      <c r="AZ17" s="660"/>
      <c r="BA17" s="97"/>
      <c r="BD17" s="98"/>
      <c r="BE17" s="98"/>
      <c r="BF17" s="721"/>
      <c r="BI17" s="98"/>
      <c r="BJ17" s="582"/>
      <c r="CD17" s="582"/>
    </row>
    <row r="18" ht="18.75" customHeight="1">
      <c r="A18" s="569"/>
      <c r="B18" s="590"/>
      <c r="C18" s="97"/>
      <c r="F18" s="98"/>
      <c r="G18" s="98"/>
      <c r="H18" s="97"/>
      <c r="K18" s="98"/>
      <c r="L18" s="582"/>
      <c r="M18" s="97"/>
      <c r="P18" s="98"/>
      <c r="Q18" s="98"/>
      <c r="R18" s="721"/>
      <c r="U18" s="98"/>
      <c r="V18" s="582"/>
      <c r="AP18" s="582"/>
      <c r="AQ18" s="97"/>
      <c r="AT18" s="98"/>
      <c r="AU18" s="98"/>
      <c r="AV18" s="97"/>
      <c r="AY18" s="98"/>
      <c r="AZ18" s="660"/>
      <c r="BA18" s="97"/>
      <c r="BD18" s="98"/>
      <c r="BE18" s="98"/>
      <c r="BF18" s="721"/>
      <c r="BI18" s="98"/>
      <c r="BJ18" s="582"/>
      <c r="CD18" s="582"/>
    </row>
    <row r="19" ht="18.75" customHeight="1">
      <c r="A19" s="569"/>
      <c r="B19" s="590"/>
      <c r="C19" s="110"/>
      <c r="D19" s="111"/>
      <c r="E19" s="111"/>
      <c r="F19" s="112"/>
      <c r="G19" s="98"/>
      <c r="H19" s="110"/>
      <c r="I19" s="111"/>
      <c r="J19" s="111"/>
      <c r="K19" s="112"/>
      <c r="L19" s="582"/>
      <c r="M19" s="110"/>
      <c r="N19" s="111"/>
      <c r="O19" s="111"/>
      <c r="P19" s="112"/>
      <c r="Q19" s="98"/>
      <c r="R19" s="724"/>
      <c r="S19" s="436"/>
      <c r="T19" s="436"/>
      <c r="U19" s="438"/>
      <c r="V19" s="582"/>
      <c r="AP19" s="582"/>
      <c r="AQ19" s="110"/>
      <c r="AR19" s="111"/>
      <c r="AS19" s="111"/>
      <c r="AT19" s="112"/>
      <c r="AU19" s="98"/>
      <c r="AV19" s="110"/>
      <c r="AW19" s="111"/>
      <c r="AX19" s="111"/>
      <c r="AY19" s="112"/>
      <c r="AZ19" s="660"/>
      <c r="BA19" s="110"/>
      <c r="BB19" s="111"/>
      <c r="BC19" s="111"/>
      <c r="BD19" s="112"/>
      <c r="BE19" s="98"/>
      <c r="BF19" s="724"/>
      <c r="BG19" s="436"/>
      <c r="BH19" s="436"/>
      <c r="BI19" s="438"/>
      <c r="BJ19" s="582"/>
      <c r="CD19" s="582"/>
    </row>
    <row r="20" ht="18.75" customHeight="1">
      <c r="A20" s="569"/>
      <c r="B20" s="590"/>
      <c r="C20" s="608" t="str">
        <f>IF(E12="W",C10,IF(E12="L",H10,IF(E12=0,"QF1 Winner")))</f>
        <v>#REF!</v>
      </c>
      <c r="D20" s="111"/>
      <c r="E20" s="111"/>
      <c r="F20" s="112"/>
      <c r="G20" s="98"/>
      <c r="H20" s="610" t="str">
        <f>IF(O12="W",M10,IF(O12="L",R10,IF(O12=0,"QF2 Winner")))</f>
        <v>Jackson McLoughlin</v>
      </c>
      <c r="I20" s="111"/>
      <c r="J20" s="111"/>
      <c r="K20" s="112"/>
      <c r="L20" s="582"/>
      <c r="M20" s="607" t="str">
        <f>IF(Y12="W",W10,IF(Y12="L",AB10,IF(Y12=0,"QF3 Winner")))</f>
        <v>Zach VanSickle</v>
      </c>
      <c r="N20" s="111"/>
      <c r="O20" s="111"/>
      <c r="P20" s="112"/>
      <c r="Q20" s="98"/>
      <c r="R20" s="610" t="str">
        <f>IF(AI12="W",AG10,IF(AI12="L",AL10,IF(AI12=0,"QF4 Winner")))</f>
        <v>Tyler Gottfredsen</v>
      </c>
      <c r="S20" s="111"/>
      <c r="T20" s="111"/>
      <c r="U20" s="112"/>
      <c r="V20" s="582"/>
      <c r="AP20" s="582"/>
      <c r="AQ20" s="732" t="str">
        <f>IF(AS12="W",AQ10,IF(AS12="L",AV10,IF(AS12=0,"QF1 Winner")))</f>
        <v>#REF!</v>
      </c>
      <c r="AR20" s="111"/>
      <c r="AS20" s="111"/>
      <c r="AT20" s="112"/>
      <c r="AU20" s="98"/>
      <c r="AV20" s="733" t="str">
        <f>IF(BC12="W",BA10,IF(BC12="L",BF10,IF(BC12=0,"QF2 Winner")))</f>
        <v>#REF!</v>
      </c>
      <c r="AW20" s="111"/>
      <c r="AX20" s="111"/>
      <c r="AY20" s="112"/>
      <c r="AZ20" s="660"/>
      <c r="BA20" s="732" t="str">
        <f>IF(BM12="W",BK10,IF(BM12="L",BP10,IF(BM12=0,"QF3 Winner")))</f>
        <v>#REF!</v>
      </c>
      <c r="BB20" s="111"/>
      <c r="BC20" s="111"/>
      <c r="BD20" s="112"/>
      <c r="BE20" s="98"/>
      <c r="BF20" s="733" t="str">
        <f>IF(BW12="W",BU10,IF(BW12="L",BZ10,IF(BW12=0,"QF4 Winner")))</f>
        <v>#REF!</v>
      </c>
      <c r="BG20" s="111"/>
      <c r="BH20" s="111"/>
      <c r="BI20" s="112"/>
      <c r="BJ20" s="582"/>
      <c r="CD20" s="582"/>
    </row>
    <row r="21" ht="18.75" customHeight="1">
      <c r="A21" s="569"/>
      <c r="B21" s="590"/>
      <c r="C21" s="617" t="s">
        <v>36</v>
      </c>
      <c r="D21" s="437"/>
      <c r="E21" s="618" t="s">
        <v>35</v>
      </c>
      <c r="F21" s="438"/>
      <c r="G21" s="98"/>
      <c r="H21" s="619" t="s">
        <v>35</v>
      </c>
      <c r="I21" s="437"/>
      <c r="J21" s="620" t="s">
        <v>36</v>
      </c>
      <c r="K21" s="438"/>
      <c r="L21" s="582"/>
      <c r="M21" s="617" t="s">
        <v>36</v>
      </c>
      <c r="N21" s="437"/>
      <c r="O21" s="618" t="s">
        <v>35</v>
      </c>
      <c r="P21" s="438"/>
      <c r="Q21" s="98"/>
      <c r="R21" s="737" t="s">
        <v>35</v>
      </c>
      <c r="S21" s="738"/>
      <c r="T21" s="620" t="s">
        <v>36</v>
      </c>
      <c r="U21" s="438"/>
      <c r="V21" s="582"/>
      <c r="AP21" s="582"/>
      <c r="AQ21" s="739" t="s">
        <v>36</v>
      </c>
      <c r="AR21" s="437"/>
      <c r="AS21" s="741" t="s">
        <v>35</v>
      </c>
      <c r="AT21" s="438"/>
      <c r="AU21" s="98"/>
      <c r="AV21" s="744" t="s">
        <v>35</v>
      </c>
      <c r="AW21" s="437"/>
      <c r="AX21" s="745" t="s">
        <v>36</v>
      </c>
      <c r="AY21" s="438"/>
      <c r="AZ21" s="660"/>
      <c r="BA21" s="739" t="s">
        <v>36</v>
      </c>
      <c r="BB21" s="437"/>
      <c r="BC21" s="741" t="s">
        <v>35</v>
      </c>
      <c r="BD21" s="438"/>
      <c r="BE21" s="98"/>
      <c r="BF21" s="744" t="s">
        <v>35</v>
      </c>
      <c r="BG21" s="437"/>
      <c r="BH21" s="745" t="s">
        <v>36</v>
      </c>
      <c r="BI21" s="438"/>
      <c r="BJ21" s="582"/>
      <c r="CD21" s="582"/>
    </row>
    <row r="22" ht="18.75" customHeight="1">
      <c r="A22" s="305"/>
      <c r="B22" s="590"/>
      <c r="C22" s="635">
        <v>-6.0</v>
      </c>
      <c r="D22" s="152"/>
      <c r="E22" s="636" t="s">
        <v>140</v>
      </c>
      <c r="F22" s="401"/>
      <c r="G22" s="112"/>
      <c r="H22" s="639" t="s">
        <v>139</v>
      </c>
      <c r="I22" s="152"/>
      <c r="J22" s="640">
        <v>6.0</v>
      </c>
      <c r="K22" s="401"/>
      <c r="L22" s="582"/>
      <c r="M22" s="635">
        <v>0.0</v>
      </c>
      <c r="N22" s="152"/>
      <c r="O22" s="636" t="s">
        <v>140</v>
      </c>
      <c r="P22" s="401"/>
      <c r="Q22" s="112"/>
      <c r="R22" s="747" t="s">
        <v>139</v>
      </c>
      <c r="S22" s="152"/>
      <c r="T22" s="747">
        <v>0.0</v>
      </c>
      <c r="U22" s="401"/>
      <c r="V22" s="582"/>
      <c r="AP22" s="582"/>
      <c r="AQ22" s="748">
        <v>5.0</v>
      </c>
      <c r="AR22" s="152"/>
      <c r="AS22" s="749" t="s">
        <v>139</v>
      </c>
      <c r="AT22" s="401"/>
      <c r="AU22" s="112"/>
      <c r="AV22" s="751" t="s">
        <v>140</v>
      </c>
      <c r="AW22" s="152"/>
      <c r="AX22" s="752">
        <v>-5.0</v>
      </c>
      <c r="AY22" s="401"/>
      <c r="AZ22" s="660"/>
      <c r="BA22" s="748">
        <v>-4.0</v>
      </c>
      <c r="BB22" s="152"/>
      <c r="BC22" s="749" t="s">
        <v>140</v>
      </c>
      <c r="BD22" s="401"/>
      <c r="BE22" s="112"/>
      <c r="BF22" s="751" t="s">
        <v>139</v>
      </c>
      <c r="BG22" s="152"/>
      <c r="BH22" s="752">
        <v>4.0</v>
      </c>
      <c r="BI22" s="401"/>
      <c r="BJ22" s="582"/>
      <c r="CD22" s="582"/>
    </row>
    <row r="23" ht="15.75" customHeight="1">
      <c r="A23" s="305"/>
      <c r="B23" s="647"/>
      <c r="C23" s="648" t="s">
        <v>321</v>
      </c>
      <c r="D23" s="34"/>
      <c r="E23" s="153"/>
      <c r="F23" s="650">
        <v>1.0</v>
      </c>
      <c r="G23" s="34"/>
      <c r="H23" s="650">
        <v>2.0</v>
      </c>
      <c r="I23" s="34"/>
      <c r="J23" s="757">
        <v>3.0</v>
      </c>
      <c r="K23" s="34"/>
      <c r="L23" s="582"/>
      <c r="M23" s="648" t="s">
        <v>321</v>
      </c>
      <c r="N23" s="34"/>
      <c r="O23" s="153"/>
      <c r="P23" s="650">
        <v>1.0</v>
      </c>
      <c r="Q23" s="34"/>
      <c r="R23" s="760">
        <v>2.0</v>
      </c>
      <c r="S23" s="111"/>
      <c r="T23" s="650">
        <v>3.0</v>
      </c>
      <c r="U23" s="34"/>
      <c r="V23" s="582"/>
      <c r="AP23" s="582"/>
      <c r="AQ23" s="653" t="s">
        <v>321</v>
      </c>
      <c r="AR23" s="34"/>
      <c r="AS23" s="153"/>
      <c r="AT23" s="650">
        <v>1.0</v>
      </c>
      <c r="AU23" s="34"/>
      <c r="AV23" s="757">
        <v>2.0</v>
      </c>
      <c r="AW23" s="34"/>
      <c r="AX23" s="659">
        <v>3.0</v>
      </c>
      <c r="AY23" s="34"/>
      <c r="AZ23" s="660"/>
      <c r="BA23" s="653" t="s">
        <v>321</v>
      </c>
      <c r="BB23" s="34"/>
      <c r="BC23" s="153"/>
      <c r="BD23" s="650">
        <v>1.0</v>
      </c>
      <c r="BE23" s="34"/>
      <c r="BF23" s="650">
        <v>2.0</v>
      </c>
      <c r="BG23" s="34"/>
      <c r="BH23" s="650">
        <v>3.0</v>
      </c>
      <c r="BI23" s="34"/>
      <c r="BJ23" s="582"/>
      <c r="CD23" s="582"/>
    </row>
    <row r="24" ht="11.25" customHeight="1">
      <c r="A24" s="305"/>
      <c r="B24" s="315"/>
      <c r="C24" s="587"/>
      <c r="D24" s="587"/>
      <c r="E24" s="587"/>
      <c r="F24" s="587"/>
      <c r="G24" s="669"/>
      <c r="H24" s="587"/>
      <c r="I24" s="587"/>
      <c r="J24" s="587"/>
      <c r="K24" s="587"/>
      <c r="L24" s="669"/>
      <c r="M24" s="587"/>
      <c r="N24" s="587"/>
      <c r="O24" s="315"/>
      <c r="P24" s="315"/>
      <c r="Q24" s="582"/>
      <c r="R24" s="315"/>
      <c r="S24" s="315"/>
      <c r="T24" s="315"/>
      <c r="U24" s="315"/>
      <c r="V24" s="582"/>
      <c r="W24" s="691"/>
      <c r="X24" s="691"/>
      <c r="Y24" s="691"/>
      <c r="Z24" s="691"/>
      <c r="AA24" s="691"/>
      <c r="AB24" s="691"/>
      <c r="AC24" s="691"/>
      <c r="AD24" s="691"/>
      <c r="AE24" s="691"/>
      <c r="AF24" s="691"/>
      <c r="AG24" s="691"/>
      <c r="AH24" s="691"/>
      <c r="AI24" s="691"/>
      <c r="AJ24" s="691"/>
      <c r="AK24" s="691"/>
      <c r="AL24" s="691"/>
      <c r="AM24" s="691"/>
      <c r="AN24" s="691"/>
      <c r="AO24" s="691"/>
      <c r="AP24" s="582"/>
      <c r="AQ24" s="587"/>
      <c r="AR24" s="587"/>
      <c r="AS24" s="587"/>
      <c r="AT24" s="587"/>
      <c r="AU24" s="669"/>
      <c r="AV24" s="587"/>
      <c r="AW24" s="587"/>
      <c r="AX24" s="587"/>
      <c r="AY24" s="587"/>
      <c r="AZ24" s="669"/>
      <c r="BA24" s="587"/>
      <c r="BB24" s="587"/>
      <c r="BC24" s="315"/>
      <c r="BD24" s="315"/>
      <c r="BE24" s="582"/>
      <c r="BF24" s="315"/>
      <c r="BG24" s="315"/>
      <c r="BH24" s="315"/>
      <c r="BI24" s="315"/>
      <c r="BJ24" s="582"/>
      <c r="BK24" s="691"/>
      <c r="BL24" s="691"/>
      <c r="BM24" s="691"/>
      <c r="BN24" s="691"/>
      <c r="BO24" s="691"/>
      <c r="BP24" s="691"/>
      <c r="BQ24" s="691"/>
      <c r="BR24" s="691"/>
      <c r="BS24" s="691"/>
      <c r="BT24" s="691"/>
      <c r="BU24" s="691"/>
      <c r="BV24" s="691"/>
      <c r="BW24" s="691"/>
      <c r="BX24" s="691"/>
      <c r="BY24" s="691"/>
      <c r="BZ24" s="691"/>
      <c r="CA24" s="691"/>
      <c r="CB24" s="691"/>
      <c r="CC24" s="691"/>
      <c r="CD24" s="582"/>
    </row>
    <row r="25" ht="18.75" customHeight="1">
      <c r="A25" s="305"/>
      <c r="B25" s="583" t="s">
        <v>355</v>
      </c>
      <c r="C25" s="584" t="str">
        <f>IF(E22="W",C15,IF(E22="L",H15,IF(E22=0,"SF1 Winner")))</f>
        <v>Seed 4</v>
      </c>
      <c r="D25" s="91"/>
      <c r="E25" s="91"/>
      <c r="F25" s="92"/>
      <c r="G25" s="585" t="s">
        <v>311</v>
      </c>
      <c r="H25" s="586" t="str">
        <f>IF(O22="W",M15,IF(O22="L",R15,IF(O22=0,"SF2 Winner")))</f>
        <v>Seed 3</v>
      </c>
      <c r="I25" s="91"/>
      <c r="J25" s="91"/>
      <c r="K25" s="92"/>
      <c r="L25" s="582"/>
      <c r="M25" s="764" t="s">
        <v>356</v>
      </c>
      <c r="N25" s="765"/>
      <c r="O25" s="765"/>
      <c r="P25" s="765"/>
      <c r="Q25" s="766"/>
      <c r="R25" s="764" t="s">
        <v>357</v>
      </c>
      <c r="S25" s="765"/>
      <c r="T25" s="765"/>
      <c r="U25" s="765"/>
      <c r="V25" s="765"/>
      <c r="W25" s="765"/>
      <c r="X25" s="765"/>
      <c r="Y25" s="765"/>
      <c r="Z25" s="766"/>
      <c r="AA25" s="764" t="s">
        <v>358</v>
      </c>
      <c r="AB25" s="765"/>
      <c r="AC25" s="765"/>
      <c r="AD25" s="766"/>
      <c r="AE25" s="764" t="s">
        <v>359</v>
      </c>
      <c r="AF25" s="765"/>
      <c r="AG25" s="765"/>
      <c r="AH25" s="765"/>
      <c r="AI25" s="765"/>
      <c r="AJ25" s="765"/>
      <c r="AK25" s="765"/>
      <c r="AL25" s="765"/>
      <c r="AM25" s="765"/>
      <c r="AN25" s="765"/>
      <c r="AO25" s="766"/>
      <c r="AP25" s="582"/>
      <c r="AQ25" s="588" t="str">
        <f>IF(AS22="W",AQ15,IF(AS22="L",AV15,IF(AS22=0,"SF1 Winner")))</f>
        <v>Seed 1</v>
      </c>
      <c r="AR25" s="91"/>
      <c r="AS25" s="91"/>
      <c r="AT25" s="92"/>
      <c r="AU25" s="585" t="s">
        <v>311</v>
      </c>
      <c r="AV25" s="589" t="str">
        <f>IF(BC22="W",BA15,IF(BC22="L",BF15,IF(BC22=0,"SF2 Winner")))</f>
        <v>Seed 6</v>
      </c>
      <c r="AW25" s="91"/>
      <c r="AX25" s="91"/>
      <c r="AY25" s="92"/>
      <c r="AZ25" s="582"/>
      <c r="BA25" s="768" t="s">
        <v>356</v>
      </c>
      <c r="BB25" s="410"/>
      <c r="BC25" s="410"/>
      <c r="BD25" s="410"/>
      <c r="BE25" s="411"/>
      <c r="BF25" s="768" t="s">
        <v>360</v>
      </c>
      <c r="BG25" s="410"/>
      <c r="BH25" s="410"/>
      <c r="BI25" s="410"/>
      <c r="BJ25" s="410"/>
      <c r="BK25" s="410"/>
      <c r="BL25" s="410"/>
      <c r="BM25" s="410"/>
      <c r="BN25" s="411"/>
      <c r="BO25" s="768" t="s">
        <v>358</v>
      </c>
      <c r="BP25" s="410"/>
      <c r="BQ25" s="410"/>
      <c r="BR25" s="411"/>
      <c r="BS25" s="768" t="s">
        <v>361</v>
      </c>
      <c r="BT25" s="410"/>
      <c r="BU25" s="410"/>
      <c r="BV25" s="410"/>
      <c r="BW25" s="410"/>
      <c r="BX25" s="410"/>
      <c r="BY25" s="410"/>
      <c r="BZ25" s="410"/>
      <c r="CA25" s="410"/>
      <c r="CB25" s="410"/>
      <c r="CC25" s="411"/>
      <c r="CD25" s="582"/>
    </row>
    <row r="26" ht="18.75" customHeight="1">
      <c r="A26" s="305"/>
      <c r="B26" s="590"/>
      <c r="C26" s="584" t="str">
        <f>IFERROR(VLOOKUP($C$30,Source!$F$2:$J$19,5,FALSE)," ")</f>
        <v/>
      </c>
      <c r="D26" s="91"/>
      <c r="E26" s="91"/>
      <c r="F26" s="92"/>
      <c r="G26" s="98"/>
      <c r="H26" s="586" t="str">
        <f>IFERROR(VLOOKUP($H$30,Source!$F$2:$J$19,5,FALSE)," ")</f>
        <v/>
      </c>
      <c r="I26" s="91"/>
      <c r="J26" s="91"/>
      <c r="K26" s="92"/>
      <c r="L26" s="582"/>
      <c r="M26" s="770"/>
      <c r="Q26" s="770"/>
      <c r="R26" s="771"/>
      <c r="V26" s="771"/>
      <c r="AD26" s="771"/>
      <c r="AH26" s="771"/>
      <c r="AP26" s="582"/>
      <c r="AQ26" s="588" t="str">
        <f>IFERROR(VLOOKUP($AQ$30,Source!$F$20:$J$39,5,FALSE)," ")</f>
        <v> </v>
      </c>
      <c r="AR26" s="91"/>
      <c r="AS26" s="91"/>
      <c r="AT26" s="92"/>
      <c r="AU26" s="98"/>
      <c r="AV26" s="589" t="str">
        <f>IFERROR(VLOOKUP($AV$30,Source!$F$20:$J$39,5,FALSE)," ")</f>
        <v> </v>
      </c>
      <c r="AW26" s="91"/>
      <c r="AX26" s="91"/>
      <c r="AY26" s="92"/>
      <c r="AZ26" s="582"/>
      <c r="BA26" s="770"/>
      <c r="BE26" s="770"/>
      <c r="BF26" s="771"/>
      <c r="BJ26" s="771"/>
      <c r="BR26" s="771"/>
      <c r="BV26" s="771"/>
      <c r="CD26" s="582"/>
    </row>
    <row r="27" ht="18.75" customHeight="1">
      <c r="A27" s="305"/>
      <c r="B27" s="590"/>
      <c r="C27" s="97"/>
      <c r="F27" s="98"/>
      <c r="G27" s="98"/>
      <c r="H27" s="97"/>
      <c r="K27" s="98"/>
      <c r="L27" s="582"/>
      <c r="M27" s="773"/>
      <c r="N27" s="773"/>
      <c r="O27" s="773"/>
      <c r="P27" s="773"/>
      <c r="Q27" s="773"/>
      <c r="R27" s="774" t="str">
        <f t="array" ref="R27">IFNA(VLOOKUP(INDEX(Source!$V$2:$V34,MATCH($R$25,Source!$U$2:$U34,0)+1,),{Pokedex!$C$2:$C34,Pokedex!$E$2:$E34},2,0),"")</f>
        <v/>
      </c>
      <c r="S27" s="775"/>
      <c r="T27" s="775"/>
      <c r="U27" s="776"/>
      <c r="V27" s="773"/>
      <c r="W27" s="774" t="str">
        <f t="array" ref="W27">IFNA(VLOOKUP(INDEX(Source!$V$2:$V34,MATCH($R$25,Source!$U$2:$U34,0)+3,),{Pokedex!$C$2:$C34,Pokedex!$E$2:$E34},2,0),"")</f>
        <v/>
      </c>
      <c r="X27" s="775"/>
      <c r="Y27" s="775"/>
      <c r="Z27" s="776"/>
      <c r="AA27" s="315"/>
      <c r="AB27" s="774" t="str">
        <f t="array" ref="AB27">IFNA(VLOOKUP(INDEX(Source!$V$2:$V34,MATCH($R$25,Source!$U$2:$U34,0)+5,),{Pokedex!$C$2:$C34,Pokedex!$E$2:$E34},2,0),"")</f>
        <v/>
      </c>
      <c r="AC27" s="775"/>
      <c r="AD27" s="775"/>
      <c r="AE27" s="776"/>
      <c r="AF27" s="691"/>
      <c r="AG27" s="774" t="str">
        <f t="array" ref="AG27">IFNA(VLOOKUP(INDEX(Source!$V$2:$V34,MATCH($R$25,Source!$U$2:$U34,0)+7,),{Pokedex!$C$2:$C34,Pokedex!$E$2:$E34},2,0),"")</f>
        <v/>
      </c>
      <c r="AH27" s="775"/>
      <c r="AI27" s="775"/>
      <c r="AJ27" s="776"/>
      <c r="AK27" s="691"/>
      <c r="AL27" s="774" t="str">
        <f t="array" ref="AL27">IFNA(VLOOKUP(INDEX(Source!$V$2:$V34,MATCH($R$25,Source!$U$2:$U34,0)+9,),{Pokedex!$C$2:$C34,Pokedex!$E$2:$E34},2,0),"")</f>
        <v/>
      </c>
      <c r="AM27" s="775"/>
      <c r="AN27" s="775"/>
      <c r="AO27" s="776"/>
      <c r="AP27" s="582"/>
      <c r="AQ27" s="97"/>
      <c r="AT27" s="98"/>
      <c r="AU27" s="98"/>
      <c r="AV27" s="97"/>
      <c r="AY27" s="98"/>
      <c r="AZ27" s="582"/>
      <c r="BA27" s="773"/>
      <c r="BB27" s="773"/>
      <c r="BC27" s="773"/>
      <c r="BD27" s="773"/>
      <c r="BE27" s="773"/>
      <c r="BF27" s="774" t="str">
        <f t="array" ref="BF27">IFNA(VLOOKUP(INDEX(Source!$V$2:$V34,MATCH($BF$25,Source!$U$2:$U34,0)+1,),{Pokedex!$C$2:$C34,Pokedex!$E$2:$E34},2,0),"")</f>
        <v/>
      </c>
      <c r="BG27" s="775"/>
      <c r="BH27" s="775"/>
      <c r="BI27" s="776"/>
      <c r="BJ27" s="773"/>
      <c r="BK27" s="774" t="str">
        <f t="array" ref="BK27">IFNA(VLOOKUP(INDEX(Source!$V$2:$V34,MATCH($BF$25,Source!$U$2:$U34,0)+3,),{Pokedex!$C$2:$C34,Pokedex!$E$2:$E34},2,0),"")</f>
        <v/>
      </c>
      <c r="BL27" s="775"/>
      <c r="BM27" s="775"/>
      <c r="BN27" s="776"/>
      <c r="BO27" s="315"/>
      <c r="BP27" s="774" t="str">
        <f t="array" ref="BP27">IFNA(VLOOKUP(INDEX(Source!$V$2:$V34,MATCH($BF$25,Source!$U$2:$U34,0)+5,),{Pokedex!$C$2:$C34,Pokedex!$E$2:$E34},2,0),"")</f>
        <v/>
      </c>
      <c r="BQ27" s="775"/>
      <c r="BR27" s="775"/>
      <c r="BS27" s="776"/>
      <c r="BT27" s="691"/>
      <c r="BU27" s="774" t="str">
        <f t="array" ref="BU27">IFNA(VLOOKUP(INDEX(Source!$V$2:$V34,MATCH($BF$25,Source!$U$2:$U34,0)+7,),{Pokedex!$C$2:$C34,Pokedex!$E$2:$E34},2,0),"")</f>
        <v/>
      </c>
      <c r="BV27" s="775"/>
      <c r="BW27" s="775"/>
      <c r="BX27" s="776"/>
      <c r="BY27" s="691"/>
      <c r="BZ27" s="774" t="str">
        <f t="array" ref="BZ27">IFNA(VLOOKUP(INDEX(Source!$V$2:$V34,MATCH($BF$25,Source!$U$2:$U34,0)+9,),{Pokedex!$C$2:$C34,Pokedex!$E$2:$E34},2,0),"")</f>
        <v/>
      </c>
      <c r="CA27" s="775"/>
      <c r="CB27" s="775"/>
      <c r="CC27" s="776"/>
      <c r="CD27" s="582"/>
    </row>
    <row r="28" ht="18.75" customHeight="1">
      <c r="A28" s="305"/>
      <c r="B28" s="590"/>
      <c r="C28" s="97"/>
      <c r="F28" s="98"/>
      <c r="G28" s="98"/>
      <c r="H28" s="97"/>
      <c r="K28" s="98"/>
      <c r="L28" s="582"/>
      <c r="M28" s="773"/>
      <c r="N28" s="773"/>
      <c r="O28" s="773"/>
      <c r="P28" s="773"/>
      <c r="Q28" s="773"/>
      <c r="R28" s="818"/>
      <c r="U28" s="819"/>
      <c r="V28" s="773"/>
      <c r="W28" s="818"/>
      <c r="Z28" s="819"/>
      <c r="AA28" s="315"/>
      <c r="AB28" s="818"/>
      <c r="AE28" s="819"/>
      <c r="AF28" s="691"/>
      <c r="AG28" s="818"/>
      <c r="AJ28" s="819"/>
      <c r="AK28" s="691"/>
      <c r="AL28" s="818"/>
      <c r="AO28" s="819"/>
      <c r="AP28" s="582"/>
      <c r="AQ28" s="97"/>
      <c r="AT28" s="98"/>
      <c r="AU28" s="98"/>
      <c r="AV28" s="97"/>
      <c r="AY28" s="98"/>
      <c r="AZ28" s="582"/>
      <c r="BA28" s="773"/>
      <c r="BB28" s="773"/>
      <c r="BC28" s="773"/>
      <c r="BD28" s="773"/>
      <c r="BE28" s="773"/>
      <c r="BF28" s="818"/>
      <c r="BI28" s="819"/>
      <c r="BJ28" s="773"/>
      <c r="BK28" s="818"/>
      <c r="BN28" s="819"/>
      <c r="BO28" s="315"/>
      <c r="BP28" s="818"/>
      <c r="BS28" s="819"/>
      <c r="BT28" s="691"/>
      <c r="BU28" s="818"/>
      <c r="BX28" s="819"/>
      <c r="BY28" s="691"/>
      <c r="BZ28" s="818"/>
      <c r="CC28" s="819"/>
      <c r="CD28" s="582"/>
    </row>
    <row r="29" ht="18.75" customHeight="1">
      <c r="A29" s="305"/>
      <c r="B29" s="590"/>
      <c r="C29" s="110"/>
      <c r="D29" s="111"/>
      <c r="E29" s="111"/>
      <c r="F29" s="112"/>
      <c r="G29" s="98"/>
      <c r="H29" s="110"/>
      <c r="I29" s="111"/>
      <c r="J29" s="111"/>
      <c r="K29" s="112"/>
      <c r="L29" s="582"/>
      <c r="M29" s="774" t="str">
        <f t="array" ref="M29">IFNA(VLOOKUP(INDEX(Source!$V$2:$V34,MATCH($R$25,Source!$U$2:$U34,0),),{Pokedex!$C$2:$C34,Pokedex!$E$2:$E34},2,0),"")</f>
        <v/>
      </c>
      <c r="N29" s="775"/>
      <c r="O29" s="775"/>
      <c r="P29" s="776"/>
      <c r="Q29" s="773"/>
      <c r="R29" s="824"/>
      <c r="S29" s="825"/>
      <c r="T29" s="825"/>
      <c r="U29" s="826"/>
      <c r="V29" s="773"/>
      <c r="W29" s="824"/>
      <c r="X29" s="825"/>
      <c r="Y29" s="825"/>
      <c r="Z29" s="826"/>
      <c r="AA29" s="315"/>
      <c r="AB29" s="824"/>
      <c r="AC29" s="825"/>
      <c r="AD29" s="825"/>
      <c r="AE29" s="826"/>
      <c r="AF29" s="691"/>
      <c r="AG29" s="824"/>
      <c r="AH29" s="825"/>
      <c r="AI29" s="825"/>
      <c r="AJ29" s="826"/>
      <c r="AK29" s="691"/>
      <c r="AL29" s="824"/>
      <c r="AM29" s="825"/>
      <c r="AN29" s="825"/>
      <c r="AO29" s="826"/>
      <c r="AP29" s="582"/>
      <c r="AQ29" s="110"/>
      <c r="AR29" s="111"/>
      <c r="AS29" s="111"/>
      <c r="AT29" s="112"/>
      <c r="AU29" s="98"/>
      <c r="AV29" s="110"/>
      <c r="AW29" s="111"/>
      <c r="AX29" s="111"/>
      <c r="AY29" s="112"/>
      <c r="AZ29" s="582"/>
      <c r="BA29" s="774" t="str">
        <f t="array" ref="BA29">IFNA(VLOOKUP(INDEX(Source!$V$2:$V34,MATCH(BF25,Source!$U$2:$U34,0),),{Pokedex!$C$2:$C34,Pokedex!$E$2:$E34},2,0),"")</f>
        <v/>
      </c>
      <c r="BB29" s="775"/>
      <c r="BC29" s="775"/>
      <c r="BD29" s="776"/>
      <c r="BE29" s="773"/>
      <c r="BF29" s="824"/>
      <c r="BG29" s="825"/>
      <c r="BH29" s="825"/>
      <c r="BI29" s="826"/>
      <c r="BJ29" s="773"/>
      <c r="BK29" s="824"/>
      <c r="BL29" s="825"/>
      <c r="BM29" s="825"/>
      <c r="BN29" s="826"/>
      <c r="BO29" s="315"/>
      <c r="BP29" s="824"/>
      <c r="BQ29" s="825"/>
      <c r="BR29" s="825"/>
      <c r="BS29" s="826"/>
      <c r="BT29" s="691"/>
      <c r="BU29" s="824"/>
      <c r="BV29" s="825"/>
      <c r="BW29" s="825"/>
      <c r="BX29" s="826"/>
      <c r="BY29" s="691"/>
      <c r="BZ29" s="824"/>
      <c r="CA29" s="825"/>
      <c r="CB29" s="825"/>
      <c r="CC29" s="826"/>
      <c r="CD29" s="582"/>
    </row>
    <row r="30" ht="18.75" customHeight="1">
      <c r="A30" s="305"/>
      <c r="B30" s="590"/>
      <c r="C30" s="607" t="str">
        <f>IF(E22="W",C20,IF(E22="L",H20,IF(E22=0,"SF1 Winner")))</f>
        <v>Jackson McLoughlin</v>
      </c>
      <c r="D30" s="111"/>
      <c r="E30" s="111"/>
      <c r="F30" s="112"/>
      <c r="G30" s="98"/>
      <c r="H30" s="610" t="str">
        <f>IF(O22="W",M20,IF(O22="L",R20,IF(O22=0,"SF2 Winner")))</f>
        <v>Tyler Gottfredsen</v>
      </c>
      <c r="I30" s="111"/>
      <c r="J30" s="111"/>
      <c r="K30" s="112"/>
      <c r="L30" s="582"/>
      <c r="M30" s="818"/>
      <c r="P30" s="819"/>
      <c r="Q30" s="773"/>
      <c r="R30" s="773"/>
      <c r="S30" s="773"/>
      <c r="T30" s="773"/>
      <c r="U30" s="773"/>
      <c r="V30" s="773"/>
      <c r="W30" s="773"/>
      <c r="X30" s="773"/>
      <c r="Y30" s="773"/>
      <c r="Z30" s="773"/>
      <c r="AA30" s="773"/>
      <c r="AB30" s="773"/>
      <c r="AC30" s="773"/>
      <c r="AD30" s="773"/>
      <c r="AE30" s="773"/>
      <c r="AF30" s="773"/>
      <c r="AG30" s="773"/>
      <c r="AH30" s="773"/>
      <c r="AI30" s="773"/>
      <c r="AJ30" s="773"/>
      <c r="AK30" s="773"/>
      <c r="AL30" s="773"/>
      <c r="AM30" s="773"/>
      <c r="AN30" s="691"/>
      <c r="AO30" s="691"/>
      <c r="AP30" s="582"/>
      <c r="AQ30" s="613" t="str">
        <f>IF(AS22="W",AQ20,IF(AS22="L",AV20,IF(AS22=0,"SF1 Winner")))</f>
        <v>#REF!</v>
      </c>
      <c r="AR30" s="111"/>
      <c r="AS30" s="111"/>
      <c r="AT30" s="112"/>
      <c r="AU30" s="98"/>
      <c r="AV30" s="614" t="str">
        <f>IF(BC22="W",BA20,IF(BC22="L",BF20,IF(BC22=0,"SF2 Winner")))</f>
        <v>#REF!</v>
      </c>
      <c r="AW30" s="111"/>
      <c r="AX30" s="111"/>
      <c r="AY30" s="112"/>
      <c r="AZ30" s="582"/>
      <c r="BA30" s="818"/>
      <c r="BD30" s="819"/>
      <c r="BE30" s="773"/>
      <c r="BF30" s="773"/>
      <c r="BG30" s="773"/>
      <c r="BH30" s="773"/>
      <c r="BI30" s="773"/>
      <c r="BJ30" s="773"/>
      <c r="BK30" s="773"/>
      <c r="BL30" s="773"/>
      <c r="BM30" s="773"/>
      <c r="BN30" s="773"/>
      <c r="BO30" s="773"/>
      <c r="BP30" s="773"/>
      <c r="BQ30" s="773"/>
      <c r="BR30" s="773"/>
      <c r="BS30" s="773"/>
      <c r="BT30" s="773"/>
      <c r="BU30" s="773"/>
      <c r="BV30" s="773"/>
      <c r="BW30" s="773"/>
      <c r="BX30" s="773"/>
      <c r="BY30" s="773"/>
      <c r="BZ30" s="773"/>
      <c r="CA30" s="773"/>
      <c r="CB30" s="691"/>
      <c r="CC30" s="691"/>
      <c r="CD30" s="582"/>
    </row>
    <row r="31" ht="18.75" customHeight="1">
      <c r="A31" s="305"/>
      <c r="B31" s="590"/>
      <c r="C31" s="617" t="s">
        <v>36</v>
      </c>
      <c r="D31" s="437"/>
      <c r="E31" s="618" t="s">
        <v>35</v>
      </c>
      <c r="F31" s="438"/>
      <c r="G31" s="98"/>
      <c r="H31" s="619" t="s">
        <v>35</v>
      </c>
      <c r="I31" s="437"/>
      <c r="J31" s="620" t="s">
        <v>36</v>
      </c>
      <c r="K31" s="438"/>
      <c r="L31" s="582"/>
      <c r="M31" s="824"/>
      <c r="N31" s="825"/>
      <c r="O31" s="825"/>
      <c r="P31" s="826"/>
      <c r="Q31" s="773"/>
      <c r="R31" s="774" t="str">
        <f t="array" ref="R31">IFNA(VLOOKUP(INDEX(Source!$V$2:$V34,MATCH($R$25,Source!$U$2:$U34,0)+2,),{Pokedex!$C$2:$C34,Pokedex!$E$2:$E34},2,0),"")</f>
        <v/>
      </c>
      <c r="S31" s="775"/>
      <c r="T31" s="775"/>
      <c r="U31" s="776"/>
      <c r="V31" s="773"/>
      <c r="W31" s="774" t="str">
        <f t="array" ref="W31">IFNA(VLOOKUP(INDEX(Source!$V$2:$V34,MATCH($R$25,Source!$U$2:$U34,0)+4,),{Pokedex!$C$2:$C34,Pokedex!$E$2:$E34},2,0),"")</f>
        <v/>
      </c>
      <c r="X31" s="775"/>
      <c r="Y31" s="775"/>
      <c r="Z31" s="776"/>
      <c r="AA31" s="315"/>
      <c r="AB31" s="774" t="str">
        <f t="array" ref="AB31">IFNA(VLOOKUP(INDEX(Source!$V$2:$V34,MATCH($R$25,Source!$U$2:$U34,0)+6,),{Pokedex!$C$2:$C34,Pokedex!$E$2:$E34},2,0),"")</f>
        <v/>
      </c>
      <c r="AC31" s="775"/>
      <c r="AD31" s="775"/>
      <c r="AE31" s="776"/>
      <c r="AF31" s="691"/>
      <c r="AG31" s="774" t="str">
        <f t="array" ref="AG31">IFNA(VLOOKUP(INDEX(Source!$V$2:$V34,MATCH($R$25,Source!$U$2:$U34,0)+8,),{Pokedex!$C$2:$C34,Pokedex!$E$2:$E34},2,0),"")</f>
        <v/>
      </c>
      <c r="AH31" s="775"/>
      <c r="AI31" s="775"/>
      <c r="AJ31" s="776"/>
      <c r="AK31" s="691"/>
      <c r="AL31" s="774" t="str">
        <f t="array" ref="AL31">IFNA(VLOOKUP(INDEX(Source!$V$2:$V34,MATCH($R$25,Source!$U$2:$U34,0)+10,),{Pokedex!$C$2:$C34,Pokedex!$E$2:$E34},2,0),"")</f>
        <v/>
      </c>
      <c r="AM31" s="775"/>
      <c r="AN31" s="775"/>
      <c r="AO31" s="776"/>
      <c r="AP31" s="582"/>
      <c r="AQ31" s="622" t="s">
        <v>36</v>
      </c>
      <c r="AR31" s="437"/>
      <c r="AS31" s="625" t="s">
        <v>35</v>
      </c>
      <c r="AT31" s="438"/>
      <c r="AU31" s="98"/>
      <c r="AV31" s="626" t="s">
        <v>35</v>
      </c>
      <c r="AW31" s="437"/>
      <c r="AX31" s="630" t="s">
        <v>36</v>
      </c>
      <c r="AY31" s="438"/>
      <c r="AZ31" s="582"/>
      <c r="BA31" s="824"/>
      <c r="BB31" s="825"/>
      <c r="BC31" s="825"/>
      <c r="BD31" s="826"/>
      <c r="BE31" s="773"/>
      <c r="BF31" s="774" t="str">
        <f t="array" ref="BF31">IFNA(VLOOKUP(INDEX(Source!$V$2:$V34,MATCH($BF$25,Source!$U$2:$U34,0)+2,),{Pokedex!$C$2:$C34,Pokedex!$E$2:$E34},2,0),"")</f>
        <v/>
      </c>
      <c r="BG31" s="775"/>
      <c r="BH31" s="775"/>
      <c r="BI31" s="776"/>
      <c r="BJ31" s="773"/>
      <c r="BK31" s="774" t="str">
        <f t="array" ref="BK31">IFNA(VLOOKUP(INDEX(Source!$V$2:$V34,MATCH($BF$25,Source!$U$2:$U34,0)+4,),{Pokedex!$C$2:$C34,Pokedex!$E$2:$E34},2,0),"")</f>
        <v/>
      </c>
      <c r="BL31" s="775"/>
      <c r="BM31" s="775"/>
      <c r="BN31" s="776"/>
      <c r="BO31" s="315"/>
      <c r="BP31" s="774" t="str">
        <f t="array" ref="BP31">IFNA(VLOOKUP(INDEX(Source!$V$2:$V34,MATCH($BF$25,Source!$U$2:$U34,0)+6,),{Pokedex!$C$2:$C34,Pokedex!$E$2:$E34},2,0),"")</f>
        <v/>
      </c>
      <c r="BQ31" s="775"/>
      <c r="BR31" s="775"/>
      <c r="BS31" s="776"/>
      <c r="BT31" s="691"/>
      <c r="BU31" s="774" t="str">
        <f t="array" ref="BU31">IFNA(VLOOKUP(INDEX(Source!$V$2:$V34,MATCH($BF$25,Source!$U$2:$U34,0)+8,),{Pokedex!$C$2:$C34,Pokedex!$E$2:$E34},2,0),"")</f>
        <v/>
      </c>
      <c r="BV31" s="775"/>
      <c r="BW31" s="775"/>
      <c r="BX31" s="776"/>
      <c r="BY31" s="691"/>
      <c r="BZ31" s="774" t="str">
        <f t="array" ref="BZ31">IFNA(VLOOKUP(INDEX(Source!$V$2:$V34,MATCH($BF$25,Source!$U$2:$U34,0)+10,),{Pokedex!$C$2:$C34,Pokedex!$E$2:$E34},2,0),"")</f>
        <v/>
      </c>
      <c r="CA31" s="775"/>
      <c r="CB31" s="775"/>
      <c r="CC31" s="776"/>
      <c r="CD31" s="582"/>
    </row>
    <row r="32" ht="18.75" customHeight="1">
      <c r="A32" s="305"/>
      <c r="B32" s="590"/>
      <c r="C32" s="635">
        <v>-5.0</v>
      </c>
      <c r="D32" s="152"/>
      <c r="E32" s="636" t="str">
        <f>IF(C32&gt;0,"W",IF(C32&lt;0,"L",))</f>
        <v>L</v>
      </c>
      <c r="F32" s="401"/>
      <c r="G32" s="112"/>
      <c r="H32" s="639" t="str">
        <f>IF(J32&gt;0,"W",IF(J32&lt;0,"L",))</f>
        <v>W</v>
      </c>
      <c r="I32" s="152"/>
      <c r="J32" s="640">
        <v>5.0</v>
      </c>
      <c r="K32" s="401"/>
      <c r="L32" s="582"/>
      <c r="M32" s="773"/>
      <c r="N32" s="773"/>
      <c r="O32" s="773"/>
      <c r="P32" s="773"/>
      <c r="Q32" s="773"/>
      <c r="R32" s="818"/>
      <c r="U32" s="819"/>
      <c r="V32" s="773"/>
      <c r="W32" s="818"/>
      <c r="Z32" s="819"/>
      <c r="AA32" s="315"/>
      <c r="AB32" s="818"/>
      <c r="AE32" s="819"/>
      <c r="AF32" s="691"/>
      <c r="AG32" s="818"/>
      <c r="AJ32" s="819"/>
      <c r="AK32" s="691"/>
      <c r="AL32" s="818"/>
      <c r="AO32" s="819"/>
      <c r="AP32" s="582"/>
      <c r="AQ32" s="642">
        <v>3.0</v>
      </c>
      <c r="AR32" s="152"/>
      <c r="AS32" s="643" t="str">
        <f>IF(AQ32&gt;0,"W",IF(AQ32&lt;0,"L",))</f>
        <v>W</v>
      </c>
      <c r="AT32" s="401"/>
      <c r="AU32" s="112"/>
      <c r="AV32" s="644" t="str">
        <f>IF(AX32&gt;0,"W",IF(AX32&lt;0,"L",))</f>
        <v>L</v>
      </c>
      <c r="AW32" s="152"/>
      <c r="AX32" s="645">
        <v>-3.0</v>
      </c>
      <c r="AY32" s="401"/>
      <c r="AZ32" s="582"/>
      <c r="BA32" s="773"/>
      <c r="BB32" s="773"/>
      <c r="BC32" s="773"/>
      <c r="BD32" s="773"/>
      <c r="BE32" s="773"/>
      <c r="BF32" s="818"/>
      <c r="BI32" s="819"/>
      <c r="BJ32" s="773"/>
      <c r="BK32" s="818"/>
      <c r="BN32" s="819"/>
      <c r="BO32" s="315"/>
      <c r="BP32" s="818"/>
      <c r="BS32" s="819"/>
      <c r="BT32" s="691"/>
      <c r="BU32" s="818"/>
      <c r="BX32" s="819"/>
      <c r="BY32" s="691"/>
      <c r="BZ32" s="818"/>
      <c r="CC32" s="819"/>
      <c r="CD32" s="582"/>
    </row>
    <row r="33" ht="15.75" customHeight="1">
      <c r="A33" s="305"/>
      <c r="B33" s="647"/>
      <c r="C33" s="648" t="s">
        <v>321</v>
      </c>
      <c r="D33" s="34"/>
      <c r="E33" s="153"/>
      <c r="F33" s="650">
        <v>1.0</v>
      </c>
      <c r="G33" s="34"/>
      <c r="H33" s="650">
        <v>2.0</v>
      </c>
      <c r="I33" s="34"/>
      <c r="J33" s="757">
        <v>3.0</v>
      </c>
      <c r="K33" s="34"/>
      <c r="L33" s="582"/>
      <c r="M33" s="773"/>
      <c r="N33" s="773"/>
      <c r="O33" s="773"/>
      <c r="P33" s="773"/>
      <c r="Q33" s="773"/>
      <c r="R33" s="824"/>
      <c r="S33" s="825"/>
      <c r="T33" s="825"/>
      <c r="U33" s="826"/>
      <c r="V33" s="773"/>
      <c r="W33" s="824"/>
      <c r="X33" s="825"/>
      <c r="Y33" s="825"/>
      <c r="Z33" s="826"/>
      <c r="AA33" s="315"/>
      <c r="AB33" s="824"/>
      <c r="AC33" s="825"/>
      <c r="AD33" s="825"/>
      <c r="AE33" s="826"/>
      <c r="AF33" s="691"/>
      <c r="AG33" s="824"/>
      <c r="AH33" s="825"/>
      <c r="AI33" s="825"/>
      <c r="AJ33" s="826"/>
      <c r="AK33" s="691"/>
      <c r="AL33" s="824"/>
      <c r="AM33" s="825"/>
      <c r="AN33" s="825"/>
      <c r="AO33" s="826"/>
      <c r="AP33" s="582"/>
      <c r="AQ33" s="648" t="s">
        <v>321</v>
      </c>
      <c r="AR33" s="34"/>
      <c r="AS33" s="153"/>
      <c r="AT33" s="650">
        <v>1.0</v>
      </c>
      <c r="AU33" s="34"/>
      <c r="AV33" s="650">
        <v>2.0</v>
      </c>
      <c r="AW33" s="34"/>
      <c r="AX33" s="757">
        <v>3.0</v>
      </c>
      <c r="AY33" s="34"/>
      <c r="AZ33" s="582"/>
      <c r="BA33" s="773"/>
      <c r="BB33" s="773"/>
      <c r="BC33" s="773"/>
      <c r="BD33" s="773"/>
      <c r="BE33" s="773"/>
      <c r="BF33" s="824"/>
      <c r="BG33" s="825"/>
      <c r="BH33" s="825"/>
      <c r="BI33" s="826"/>
      <c r="BJ33" s="773"/>
      <c r="BK33" s="824"/>
      <c r="BL33" s="825"/>
      <c r="BM33" s="825"/>
      <c r="BN33" s="826"/>
      <c r="BO33" s="315"/>
      <c r="BP33" s="824"/>
      <c r="BQ33" s="825"/>
      <c r="BR33" s="825"/>
      <c r="BS33" s="826"/>
      <c r="BT33" s="691"/>
      <c r="BU33" s="824"/>
      <c r="BV33" s="825"/>
      <c r="BW33" s="825"/>
      <c r="BX33" s="826"/>
      <c r="BY33" s="691"/>
      <c r="BZ33" s="824"/>
      <c r="CA33" s="825"/>
      <c r="CB33" s="825"/>
      <c r="CC33" s="826"/>
      <c r="CD33" s="582"/>
    </row>
    <row r="34" ht="11.25" customHeight="1">
      <c r="A34" s="305"/>
      <c r="B34" s="315"/>
      <c r="C34" s="587"/>
      <c r="D34" s="587"/>
      <c r="E34" s="587"/>
      <c r="F34" s="587"/>
      <c r="G34" s="669"/>
      <c r="H34" s="587"/>
      <c r="I34" s="587"/>
      <c r="J34" s="587"/>
      <c r="K34" s="587"/>
      <c r="L34" s="669"/>
      <c r="M34" s="587"/>
      <c r="N34" s="587"/>
      <c r="O34" s="315"/>
      <c r="P34" s="315"/>
      <c r="Q34" s="582"/>
      <c r="R34" s="773"/>
      <c r="S34" s="773"/>
      <c r="T34" s="773"/>
      <c r="U34" s="773"/>
      <c r="V34" s="773"/>
      <c r="W34" s="773"/>
      <c r="X34" s="773"/>
      <c r="Y34" s="773"/>
      <c r="Z34" s="773"/>
      <c r="AA34" s="773"/>
      <c r="AB34" s="773"/>
      <c r="AC34" s="773"/>
      <c r="AD34" s="773"/>
      <c r="AE34" s="773"/>
      <c r="AF34" s="773"/>
      <c r="AG34" s="773"/>
      <c r="AH34" s="773"/>
      <c r="AI34" s="773"/>
      <c r="AJ34" s="773"/>
      <c r="AK34" s="773"/>
      <c r="AL34" s="773"/>
      <c r="AM34" s="773"/>
      <c r="AN34" s="691"/>
      <c r="AO34" s="691"/>
      <c r="AP34" s="582"/>
      <c r="AQ34" s="315"/>
      <c r="AR34" s="315"/>
      <c r="AS34" s="315"/>
      <c r="AT34" s="582"/>
      <c r="AU34" s="315"/>
      <c r="AV34" s="315"/>
      <c r="AW34" s="315"/>
      <c r="AX34" s="315"/>
      <c r="AY34" s="315"/>
      <c r="AZ34" s="587"/>
      <c r="BA34" s="587"/>
      <c r="BB34" s="587"/>
      <c r="BC34" s="587"/>
      <c r="BD34" s="669"/>
      <c r="BE34" s="587"/>
      <c r="BF34" s="587"/>
      <c r="BG34" s="587"/>
      <c r="BH34" s="587"/>
      <c r="BI34" s="669"/>
      <c r="BJ34" s="587"/>
      <c r="BK34" s="587"/>
      <c r="BL34" s="315"/>
      <c r="BM34" s="315"/>
      <c r="BN34" s="582"/>
      <c r="BO34" s="315"/>
      <c r="BP34" s="315"/>
      <c r="BQ34" s="315"/>
      <c r="BR34" s="315"/>
      <c r="BS34" s="582"/>
      <c r="BT34" s="315"/>
      <c r="BU34" s="315"/>
      <c r="BV34" s="315"/>
      <c r="BW34" s="315"/>
      <c r="BX34" s="582"/>
      <c r="BY34" s="315"/>
      <c r="BZ34" s="315"/>
      <c r="CA34" s="315"/>
      <c r="CB34" s="315"/>
      <c r="CC34" s="582"/>
      <c r="CD34" s="315"/>
    </row>
  </sheetData>
  <mergeCells count="313">
    <mergeCell ref="BY5:BY12"/>
    <mergeCell ref="BZ5:CC5"/>
    <mergeCell ref="BZ6:CC9"/>
    <mergeCell ref="BZ10:CC10"/>
    <mergeCell ref="BZ11:CA11"/>
    <mergeCell ref="CB11:CC11"/>
    <mergeCell ref="BZ12:CA12"/>
    <mergeCell ref="CB12:CC12"/>
    <mergeCell ref="C3:AO3"/>
    <mergeCell ref="AQ3:CC3"/>
    <mergeCell ref="G5:G12"/>
    <mergeCell ref="Q5:Q12"/>
    <mergeCell ref="AK5:AK12"/>
    <mergeCell ref="BU6:BX9"/>
    <mergeCell ref="BU10:BX10"/>
    <mergeCell ref="BP13:BQ13"/>
    <mergeCell ref="BR13:BS13"/>
    <mergeCell ref="BU13:BW13"/>
    <mergeCell ref="BX13:BY13"/>
    <mergeCell ref="BZ13:CA13"/>
    <mergeCell ref="CB13:CC13"/>
    <mergeCell ref="AX13:AY13"/>
    <mergeCell ref="BA13:BC13"/>
    <mergeCell ref="BD13:BE13"/>
    <mergeCell ref="BF13:BG13"/>
    <mergeCell ref="BH13:BI13"/>
    <mergeCell ref="BK13:BM13"/>
    <mergeCell ref="BN13:BO13"/>
    <mergeCell ref="BK6:BN9"/>
    <mergeCell ref="BP6:BS9"/>
    <mergeCell ref="C5:F5"/>
    <mergeCell ref="C10:F10"/>
    <mergeCell ref="BK10:BN10"/>
    <mergeCell ref="BP10:BS10"/>
    <mergeCell ref="E11:F11"/>
    <mergeCell ref="W11:X11"/>
    <mergeCell ref="Y11:Z11"/>
    <mergeCell ref="AB11:AC11"/>
    <mergeCell ref="B5:B13"/>
    <mergeCell ref="C11:D11"/>
    <mergeCell ref="C13:E13"/>
    <mergeCell ref="F13:G13"/>
    <mergeCell ref="H13:I13"/>
    <mergeCell ref="J13:K13"/>
    <mergeCell ref="M13:O13"/>
    <mergeCell ref="AD11:AE11"/>
    <mergeCell ref="AG11:AH11"/>
    <mergeCell ref="AL13:AM13"/>
    <mergeCell ref="AN13:AO13"/>
    <mergeCell ref="AQ13:AS13"/>
    <mergeCell ref="AT13:AU13"/>
    <mergeCell ref="AV13:AW13"/>
    <mergeCell ref="H5:K5"/>
    <mergeCell ref="AL5:AO5"/>
    <mergeCell ref="AQ5:AT5"/>
    <mergeCell ref="AU5:AU12"/>
    <mergeCell ref="AL10:AO10"/>
    <mergeCell ref="AQ10:AT10"/>
    <mergeCell ref="AV10:AY10"/>
    <mergeCell ref="AV5:AY5"/>
    <mergeCell ref="BA5:BD5"/>
    <mergeCell ref="BE5:BE12"/>
    <mergeCell ref="BF5:BI5"/>
    <mergeCell ref="BA6:BD9"/>
    <mergeCell ref="BF6:BI9"/>
    <mergeCell ref="BA10:BD10"/>
    <mergeCell ref="BF10:BI10"/>
    <mergeCell ref="M11:N11"/>
    <mergeCell ref="O11:P11"/>
    <mergeCell ref="T12:U12"/>
    <mergeCell ref="AB12:AC12"/>
    <mergeCell ref="AD12:AE12"/>
    <mergeCell ref="AG12:AH12"/>
    <mergeCell ref="AI12:AJ12"/>
    <mergeCell ref="AB5:AE5"/>
    <mergeCell ref="AG5:AJ5"/>
    <mergeCell ref="W5:Z5"/>
    <mergeCell ref="AA5:AA12"/>
    <mergeCell ref="W10:Z10"/>
    <mergeCell ref="AB10:AE10"/>
    <mergeCell ref="AG10:AJ10"/>
    <mergeCell ref="W12:X12"/>
    <mergeCell ref="Y12:Z12"/>
    <mergeCell ref="AQ16:AT19"/>
    <mergeCell ref="AQ20:AT20"/>
    <mergeCell ref="BA21:BB21"/>
    <mergeCell ref="BC21:BD21"/>
    <mergeCell ref="BA25:BE25"/>
    <mergeCell ref="BF21:BG21"/>
    <mergeCell ref="BH21:BI21"/>
    <mergeCell ref="BF25:BN25"/>
    <mergeCell ref="BO25:BR25"/>
    <mergeCell ref="BJ26:BQ26"/>
    <mergeCell ref="AQ22:AR22"/>
    <mergeCell ref="AS22:AT22"/>
    <mergeCell ref="AV22:AW22"/>
    <mergeCell ref="AX22:AY22"/>
    <mergeCell ref="BA22:BB22"/>
    <mergeCell ref="BC22:BD22"/>
    <mergeCell ref="BF22:BG22"/>
    <mergeCell ref="BH22:BI22"/>
    <mergeCell ref="C25:F25"/>
    <mergeCell ref="H25:K25"/>
    <mergeCell ref="M25:Q25"/>
    <mergeCell ref="R25:Z25"/>
    <mergeCell ref="AA25:AD25"/>
    <mergeCell ref="AE25:AO25"/>
    <mergeCell ref="AV21:AW21"/>
    <mergeCell ref="AU25:AU32"/>
    <mergeCell ref="AQ33:AS33"/>
    <mergeCell ref="AT33:AU33"/>
    <mergeCell ref="AV33:AW33"/>
    <mergeCell ref="AX33:AY33"/>
    <mergeCell ref="H26:K29"/>
    <mergeCell ref="M26:P26"/>
    <mergeCell ref="R26:U26"/>
    <mergeCell ref="V26:AC26"/>
    <mergeCell ref="AD26:AG26"/>
    <mergeCell ref="AH26:AO26"/>
    <mergeCell ref="BA26:BD26"/>
    <mergeCell ref="BF26:BI26"/>
    <mergeCell ref="BF27:BI29"/>
    <mergeCell ref="BF31:BI33"/>
    <mergeCell ref="BK31:BN33"/>
    <mergeCell ref="BP31:BS33"/>
    <mergeCell ref="BU31:BX33"/>
    <mergeCell ref="BZ31:CC33"/>
    <mergeCell ref="AV25:AY25"/>
    <mergeCell ref="AV26:AY29"/>
    <mergeCell ref="BK27:BN29"/>
    <mergeCell ref="BP27:BS29"/>
    <mergeCell ref="BU27:BX29"/>
    <mergeCell ref="BZ27:CC29"/>
    <mergeCell ref="BA29:BD31"/>
    <mergeCell ref="G25:G32"/>
    <mergeCell ref="C26:F29"/>
    <mergeCell ref="C30:F30"/>
    <mergeCell ref="C31:D31"/>
    <mergeCell ref="E31:F31"/>
    <mergeCell ref="C32:D32"/>
    <mergeCell ref="E32:F32"/>
    <mergeCell ref="B25:B33"/>
    <mergeCell ref="M29:P31"/>
    <mergeCell ref="H30:K30"/>
    <mergeCell ref="H31:I31"/>
    <mergeCell ref="J31:K31"/>
    <mergeCell ref="H32:I32"/>
    <mergeCell ref="J32:K32"/>
    <mergeCell ref="R27:U29"/>
    <mergeCell ref="W27:Z29"/>
    <mergeCell ref="R31:U33"/>
    <mergeCell ref="W31:Z33"/>
    <mergeCell ref="AB31:AE33"/>
    <mergeCell ref="AG31:AJ33"/>
    <mergeCell ref="AL31:AO33"/>
    <mergeCell ref="AB27:AE29"/>
    <mergeCell ref="AG27:AJ29"/>
    <mergeCell ref="AV20:AY20"/>
    <mergeCell ref="AQ21:AR21"/>
    <mergeCell ref="AS21:AT21"/>
    <mergeCell ref="AX21:AY21"/>
    <mergeCell ref="AQ25:AT25"/>
    <mergeCell ref="AQ26:AT29"/>
    <mergeCell ref="AL27:AO29"/>
    <mergeCell ref="AV31:AW31"/>
    <mergeCell ref="AV32:AW32"/>
    <mergeCell ref="AQ30:AT30"/>
    <mergeCell ref="AV30:AY30"/>
    <mergeCell ref="AQ31:AR31"/>
    <mergeCell ref="AS31:AT31"/>
    <mergeCell ref="AX31:AY31"/>
    <mergeCell ref="AQ32:AR32"/>
    <mergeCell ref="AS32:AT32"/>
    <mergeCell ref="AX32:AY32"/>
    <mergeCell ref="C33:E33"/>
    <mergeCell ref="F33:G33"/>
    <mergeCell ref="H33:I33"/>
    <mergeCell ref="J33:K33"/>
    <mergeCell ref="R11:S11"/>
    <mergeCell ref="T11:U11"/>
    <mergeCell ref="M5:P5"/>
    <mergeCell ref="R5:U5"/>
    <mergeCell ref="H10:K10"/>
    <mergeCell ref="M10:P10"/>
    <mergeCell ref="R10:U10"/>
    <mergeCell ref="H11:I11"/>
    <mergeCell ref="J11:K11"/>
    <mergeCell ref="BK5:BN5"/>
    <mergeCell ref="BO5:BO12"/>
    <mergeCell ref="BK11:BL11"/>
    <mergeCell ref="BM11:BN11"/>
    <mergeCell ref="BP5:BS5"/>
    <mergeCell ref="BU5:BX5"/>
    <mergeCell ref="W6:Z9"/>
    <mergeCell ref="AB6:AE9"/>
    <mergeCell ref="AG6:AJ9"/>
    <mergeCell ref="AL6:AO9"/>
    <mergeCell ref="AI11:AJ11"/>
    <mergeCell ref="AL11:AM11"/>
    <mergeCell ref="AN11:AO11"/>
    <mergeCell ref="AQ6:AT9"/>
    <mergeCell ref="AV6:AY9"/>
    <mergeCell ref="AQ11:AR11"/>
    <mergeCell ref="AS11:AT11"/>
    <mergeCell ref="AV11:AW11"/>
    <mergeCell ref="AX11:AY11"/>
    <mergeCell ref="BA11:BB11"/>
    <mergeCell ref="O12:P12"/>
    <mergeCell ref="R12:S12"/>
    <mergeCell ref="BU12:BV12"/>
    <mergeCell ref="BW12:BX12"/>
    <mergeCell ref="BC11:BD11"/>
    <mergeCell ref="BF11:BG11"/>
    <mergeCell ref="BH11:BI11"/>
    <mergeCell ref="BP11:BQ11"/>
    <mergeCell ref="BR11:BS11"/>
    <mergeCell ref="BU11:BV11"/>
    <mergeCell ref="BW11:BX11"/>
    <mergeCell ref="AL12:AM12"/>
    <mergeCell ref="AN12:AO12"/>
    <mergeCell ref="AQ12:AR12"/>
    <mergeCell ref="AS12:AT12"/>
    <mergeCell ref="AV12:AW12"/>
    <mergeCell ref="AX12:AY12"/>
    <mergeCell ref="BA12:BB12"/>
    <mergeCell ref="BC12:BD12"/>
    <mergeCell ref="BF12:BG12"/>
    <mergeCell ref="BH12:BI12"/>
    <mergeCell ref="BK12:BL12"/>
    <mergeCell ref="BM12:BN12"/>
    <mergeCell ref="BP12:BQ12"/>
    <mergeCell ref="BR12:BS12"/>
    <mergeCell ref="AG13:AI13"/>
    <mergeCell ref="AJ13:AK13"/>
    <mergeCell ref="AQ15:AT15"/>
    <mergeCell ref="AV15:AY15"/>
    <mergeCell ref="BA15:BD15"/>
    <mergeCell ref="BF15:BI15"/>
    <mergeCell ref="P13:Q13"/>
    <mergeCell ref="R13:S13"/>
    <mergeCell ref="T13:U13"/>
    <mergeCell ref="W13:Y13"/>
    <mergeCell ref="Z13:AA13"/>
    <mergeCell ref="AB13:AC13"/>
    <mergeCell ref="AD13:AE13"/>
    <mergeCell ref="C12:D12"/>
    <mergeCell ref="C16:F19"/>
    <mergeCell ref="J21:K21"/>
    <mergeCell ref="M21:N21"/>
    <mergeCell ref="O21:P21"/>
    <mergeCell ref="C22:D22"/>
    <mergeCell ref="E22:F22"/>
    <mergeCell ref="H22:I22"/>
    <mergeCell ref="J22:K22"/>
    <mergeCell ref="M22:N22"/>
    <mergeCell ref="O22:P22"/>
    <mergeCell ref="C6:F9"/>
    <mergeCell ref="H6:K9"/>
    <mergeCell ref="H12:I12"/>
    <mergeCell ref="M12:N12"/>
    <mergeCell ref="G15:G22"/>
    <mergeCell ref="Q15:Q22"/>
    <mergeCell ref="M20:P20"/>
    <mergeCell ref="BA16:BD19"/>
    <mergeCell ref="BA20:BD20"/>
    <mergeCell ref="AQ23:AS23"/>
    <mergeCell ref="AT23:AU23"/>
    <mergeCell ref="AV23:AW23"/>
    <mergeCell ref="AX23:AY23"/>
    <mergeCell ref="BA23:BC23"/>
    <mergeCell ref="BD23:BE23"/>
    <mergeCell ref="BF23:BG23"/>
    <mergeCell ref="BH23:BI23"/>
    <mergeCell ref="BS25:CC25"/>
    <mergeCell ref="BR26:BU26"/>
    <mergeCell ref="BV26:CC26"/>
    <mergeCell ref="W15:AO23"/>
    <mergeCell ref="AU15:AU22"/>
    <mergeCell ref="BE15:BE22"/>
    <mergeCell ref="BK15:CC23"/>
    <mergeCell ref="AV16:AY19"/>
    <mergeCell ref="BF16:BI19"/>
    <mergeCell ref="BF20:BI20"/>
    <mergeCell ref="M23:O23"/>
    <mergeCell ref="P23:Q23"/>
    <mergeCell ref="R23:S23"/>
    <mergeCell ref="T23:U23"/>
    <mergeCell ref="E21:F21"/>
    <mergeCell ref="H21:I21"/>
    <mergeCell ref="R21:S21"/>
    <mergeCell ref="T21:U21"/>
    <mergeCell ref="R22:S22"/>
    <mergeCell ref="T22:U22"/>
    <mergeCell ref="F23:G23"/>
    <mergeCell ref="M6:P9"/>
    <mergeCell ref="R6:U9"/>
    <mergeCell ref="E12:F12"/>
    <mergeCell ref="C15:F15"/>
    <mergeCell ref="J12:K12"/>
    <mergeCell ref="H15:K15"/>
    <mergeCell ref="M15:P15"/>
    <mergeCell ref="R15:U15"/>
    <mergeCell ref="H16:K19"/>
    <mergeCell ref="M16:P19"/>
    <mergeCell ref="R16:U19"/>
    <mergeCell ref="C20:F20"/>
    <mergeCell ref="H20:K20"/>
    <mergeCell ref="R20:U20"/>
    <mergeCell ref="B15:B23"/>
    <mergeCell ref="C21:D21"/>
    <mergeCell ref="C23:E23"/>
    <mergeCell ref="H23:I23"/>
    <mergeCell ref="J23:K23"/>
  </mergeCells>
  <conditionalFormatting sqref="E12:F12 H12:I12 O12:P12 R12:S12 Y12:Z12 AB12:AC12 AI12:AJ12 AL12:AM12 AS12:AT12 AV12:AW12 BC12:BD12 BF12:BG12 BM12:BN12 BP12:BQ12 BW12:BX12 BZ12:CA12 E22:F22 H22:I22 O22:P22 R22:S22 AS22:AT22 AV22:AW22 BC22:BD22 BF22:BG22 E32:F32 H32:I32 AS32:AT32 AV32:AW32">
    <cfRule type="cellIs" dxfId="0" priority="1" operator="equal">
      <formula>"W"</formula>
    </cfRule>
  </conditionalFormatting>
  <conditionalFormatting sqref="E12:F12 H12:I12 O12:P12 R12:S12 Y12:Z12 AB12:AC12 AI12:AJ12 AL12:AM12 AS12:AT12 AV12:AW12 BC12:BD12 BF12:BG12 BM12:BN12 BP12:BQ12 BW12:BX12 BZ12:CA12 E22:F22 H22:I22 O22:P22 R22:S22 AS22:AT22 AV22:AW22 BC22:BD22 BF22:BG22 E32:F32 H32:I32 AS32:AT32 AV32:AW32">
    <cfRule type="cellIs" dxfId="5" priority="2" operator="equal">
      <formula>"L"</formula>
    </cfRule>
  </conditionalFormatting>
  <hyperlinks>
    <hyperlink r:id="rId1" ref="F13"/>
    <hyperlink r:id="rId2" ref="H13"/>
    <hyperlink r:id="rId3" ref="J13"/>
    <hyperlink r:id="rId4" ref="P13"/>
    <hyperlink r:id="rId5" ref="R13"/>
    <hyperlink r:id="rId6" ref="Z13"/>
    <hyperlink r:id="rId7" ref="AB13"/>
    <hyperlink r:id="rId8" ref="AJ13"/>
    <hyperlink r:id="rId9" ref="AL13"/>
    <hyperlink r:id="rId10" ref="AN13"/>
    <hyperlink r:id="rId11" ref="AT13"/>
    <hyperlink r:id="rId12" ref="AV13"/>
    <hyperlink r:id="rId13" ref="AX13"/>
    <hyperlink r:id="rId14" ref="BN13"/>
    <hyperlink r:id="rId15" ref="BP13"/>
    <hyperlink r:id="rId16" ref="BR13"/>
    <hyperlink r:id="rId17" ref="BX13"/>
    <hyperlink r:id="rId18" ref="BZ13"/>
    <hyperlink r:id="rId19" ref="CB13"/>
    <hyperlink r:id="rId20" ref="F23"/>
    <hyperlink r:id="rId21" ref="H23"/>
    <hyperlink r:id="rId22" ref="P23"/>
    <hyperlink r:id="rId23" ref="R23"/>
    <hyperlink r:id="rId24" ref="T23"/>
    <hyperlink r:id="rId25" ref="AT23"/>
    <hyperlink r:id="rId26" ref="BD23"/>
    <hyperlink r:id="rId27" ref="BF23"/>
    <hyperlink r:id="rId28" ref="BH23"/>
    <hyperlink r:id="rId29" ref="F33"/>
    <hyperlink r:id="rId30" ref="H33"/>
    <hyperlink r:id="rId31" ref="AT33"/>
    <hyperlink r:id="rId32" ref="AV33"/>
  </hyperlinks>
  <drawing r:id="rId3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55151"/>
    <outlinePr summaryBelow="0" summaryRight="0"/>
  </sheetPr>
  <sheetViews>
    <sheetView showGridLines="0" workbookViewId="0"/>
  </sheetViews>
  <sheetFormatPr customHeight="1" defaultColWidth="12.63" defaultRowHeight="15.75"/>
  <cols>
    <col customWidth="1" min="1" max="2" width="1.38"/>
    <col customWidth="1" min="3" max="3" width="4.5"/>
    <col customWidth="1" min="4" max="4" width="13.88"/>
    <col customWidth="1" min="5" max="5" width="5.13"/>
    <col customWidth="1" min="6" max="6" width="1.38"/>
    <col customWidth="1" min="7" max="7" width="4.5"/>
    <col customWidth="1" min="8" max="8" width="13.88"/>
    <col customWidth="1" min="9" max="9" width="5.13"/>
    <col customWidth="1" min="10" max="10" width="1.38"/>
    <col customWidth="1" min="11" max="11" width="4.5"/>
    <col customWidth="1" min="12" max="12" width="13.88"/>
    <col customWidth="1" min="13" max="13" width="5.13"/>
    <col customWidth="1" min="14" max="14" width="1.38"/>
    <col customWidth="1" min="15" max="15" width="4.5"/>
    <col customWidth="1" min="16" max="16" width="13.88"/>
    <col customWidth="1" min="17" max="17" width="5.13"/>
    <col customWidth="1" min="18" max="18" width="1.38"/>
    <col customWidth="1" min="19" max="19" width="4.5"/>
    <col customWidth="1" min="20" max="20" width="13.88"/>
    <col customWidth="1" min="21" max="21" width="5.13"/>
    <col customWidth="1" min="22" max="22" width="1.38"/>
    <col customWidth="1" min="23" max="23" width="4.5"/>
    <col customWidth="1" min="24" max="24" width="13.88"/>
    <col customWidth="1" min="25" max="25" width="5.13"/>
    <col customWidth="1" min="26" max="26" width="1.38"/>
    <col customWidth="1" min="27" max="27" width="4.5"/>
    <col customWidth="1" min="28" max="28" width="13.88"/>
    <col customWidth="1" min="29" max="29" width="5.13"/>
    <col customWidth="1" min="30" max="30" width="1.38"/>
    <col customWidth="1" min="31" max="31" width="4.5"/>
    <col customWidth="1" min="32" max="32" width="13.88"/>
    <col customWidth="1" min="33" max="33" width="5.13"/>
    <col customWidth="1" min="34" max="35" width="1.38"/>
  </cols>
  <sheetData>
    <row r="1" ht="7.5" customHeight="1">
      <c r="A1" s="105" t="s">
        <v>319</v>
      </c>
      <c r="B1" s="105"/>
      <c r="C1" s="105"/>
      <c r="D1" s="105"/>
      <c r="E1" s="105"/>
      <c r="F1" s="105"/>
      <c r="G1" s="105"/>
      <c r="H1" s="105"/>
      <c r="I1" s="105"/>
      <c r="J1" s="105"/>
      <c r="K1" s="105"/>
      <c r="L1" s="105"/>
      <c r="M1" s="105"/>
      <c r="N1" s="105"/>
      <c r="O1" s="105"/>
      <c r="P1" s="105"/>
      <c r="Q1" s="105"/>
      <c r="R1" s="105"/>
      <c r="S1" s="105"/>
      <c r="T1" s="105"/>
      <c r="U1" s="105"/>
      <c r="V1" s="105"/>
      <c r="W1" s="105"/>
      <c r="X1" s="105"/>
      <c r="Y1" s="105"/>
      <c r="Z1" s="105"/>
      <c r="AA1" s="105"/>
      <c r="AB1" s="105"/>
      <c r="AC1" s="105"/>
      <c r="AD1" s="105"/>
      <c r="AE1" s="105"/>
      <c r="AF1" s="105"/>
      <c r="AG1" s="105"/>
      <c r="AH1" s="105"/>
      <c r="AI1" s="105"/>
    </row>
    <row r="2" ht="7.5" customHeight="1">
      <c r="A2" s="105"/>
      <c r="B2" s="108"/>
      <c r="C2" s="120"/>
      <c r="D2" s="120"/>
      <c r="E2" s="120"/>
      <c r="F2" s="120"/>
      <c r="G2" s="120"/>
      <c r="H2" s="120"/>
      <c r="I2" s="120"/>
      <c r="J2" s="120"/>
      <c r="K2" s="120"/>
      <c r="L2" s="120" t="s">
        <v>320</v>
      </c>
      <c r="M2" s="120"/>
      <c r="N2" s="120"/>
      <c r="O2" s="120"/>
      <c r="P2" s="120"/>
      <c r="Q2" s="120"/>
      <c r="R2" s="120"/>
      <c r="S2" s="120"/>
      <c r="T2" s="120"/>
      <c r="U2" s="120"/>
      <c r="V2" s="120"/>
      <c r="W2" s="120"/>
      <c r="X2" s="120"/>
      <c r="Y2" s="120"/>
      <c r="Z2" s="120"/>
      <c r="AA2" s="120"/>
      <c r="AB2" s="120"/>
      <c r="AC2" s="120"/>
      <c r="AD2" s="120"/>
      <c r="AE2" s="120"/>
      <c r="AF2" s="120"/>
      <c r="AG2" s="120"/>
      <c r="AH2" s="121"/>
      <c r="AI2" s="105"/>
    </row>
    <row r="3">
      <c r="A3" s="105"/>
      <c r="B3" s="122"/>
      <c r="C3" s="646" t="str">
        <f>Source!G20</f>
        <v/>
      </c>
      <c r="D3" s="124"/>
      <c r="E3" s="125"/>
      <c r="F3" s="126"/>
      <c r="G3" s="646" t="str">
        <f>Source!G21</f>
        <v/>
      </c>
      <c r="H3" s="124"/>
      <c r="I3" s="125"/>
      <c r="J3" s="126"/>
      <c r="K3" s="646" t="str">
        <f>Source!G22</f>
        <v/>
      </c>
      <c r="L3" s="124"/>
      <c r="M3" s="125"/>
      <c r="N3" s="126"/>
      <c r="O3" s="646" t="str">
        <f>Source!G23</f>
        <v/>
      </c>
      <c r="P3" s="124"/>
      <c r="Q3" s="125"/>
      <c r="R3" s="126"/>
      <c r="S3" s="646" t="str">
        <f>Source!G24</f>
        <v/>
      </c>
      <c r="T3" s="124"/>
      <c r="U3" s="125"/>
      <c r="V3" s="126"/>
      <c r="W3" s="646" t="str">
        <f>Source!G25</f>
        <v/>
      </c>
      <c r="X3" s="124"/>
      <c r="Y3" s="125"/>
      <c r="Z3" s="126"/>
      <c r="AA3" s="646" t="str">
        <f>Source!G26</f>
        <v/>
      </c>
      <c r="AB3" s="124"/>
      <c r="AC3" s="125"/>
      <c r="AD3" s="126"/>
      <c r="AE3" s="646" t="str">
        <f>Source!G27</f>
        <v/>
      </c>
      <c r="AF3" s="124"/>
      <c r="AG3" s="125"/>
      <c r="AH3" s="141"/>
      <c r="AI3" s="149"/>
    </row>
    <row r="4">
      <c r="A4" s="105"/>
      <c r="B4" s="122"/>
      <c r="C4" s="649" t="str">
        <f>Source!F20</f>
        <v/>
      </c>
      <c r="D4" s="152"/>
      <c r="E4" s="651" t="str">
        <f>Source!I20</f>
        <v/>
      </c>
      <c r="F4" s="158"/>
      <c r="G4" s="649" t="str">
        <f>Source!F21</f>
        <v/>
      </c>
      <c r="H4" s="152"/>
      <c r="I4" s="651" t="str">
        <f>Source!I21</f>
        <v/>
      </c>
      <c r="J4" s="158"/>
      <c r="K4" s="649" t="str">
        <f>Source!F22</f>
        <v/>
      </c>
      <c r="L4" s="152"/>
      <c r="M4" s="651" t="str">
        <f>Source!I22</f>
        <v/>
      </c>
      <c r="N4" s="158"/>
      <c r="O4" s="649" t="str">
        <f>Source!F23</f>
        <v/>
      </c>
      <c r="P4" s="152"/>
      <c r="Q4" s="651" t="str">
        <f>Source!I23</f>
        <v/>
      </c>
      <c r="R4" s="158"/>
      <c r="S4" s="649" t="str">
        <f>Source!F24</f>
        <v/>
      </c>
      <c r="T4" s="152"/>
      <c r="U4" s="651" t="str">
        <f>Source!I24</f>
        <v/>
      </c>
      <c r="V4" s="158"/>
      <c r="W4" s="649" t="str">
        <f>Source!F25</f>
        <v/>
      </c>
      <c r="X4" s="152"/>
      <c r="Y4" s="651" t="str">
        <f>Source!I25</f>
        <v/>
      </c>
      <c r="Z4" s="158"/>
      <c r="AA4" s="649" t="str">
        <f>Source!F26</f>
        <v/>
      </c>
      <c r="AB4" s="152"/>
      <c r="AC4" s="651" t="str">
        <f>Source!I26</f>
        <v/>
      </c>
      <c r="AD4" s="158"/>
      <c r="AE4" s="649" t="str">
        <f>Source!F27</f>
        <v/>
      </c>
      <c r="AF4" s="152"/>
      <c r="AG4" s="651" t="str">
        <f>Source!I27</f>
        <v/>
      </c>
      <c r="AH4" s="141"/>
      <c r="AI4" s="149"/>
    </row>
    <row r="5" ht="17.25" customHeight="1">
      <c r="A5" s="149"/>
      <c r="B5" s="169"/>
      <c r="C5" s="664" t="str">
        <f t="array" ref="C5:C15">IFERROR(VLOOKUP(D5:D15,Pokedex!$C$2:$D54,2,FALSE),"")</f>
        <v/>
      </c>
      <c r="D5" s="666"/>
      <c r="E5" s="667" t="str">
        <f t="array" ref="E5:E15">IFERROR(VLOOKUP(D5:D15,Source!$B$2:$C54,2,false),)</f>
        <v/>
      </c>
      <c r="F5" s="126"/>
      <c r="G5" s="664" t="str">
        <f t="array" ref="G5:G15">IFERROR(VLOOKUP(H5:H15,Pokedex!$C$2:$D54,2,FALSE),"")</f>
        <v/>
      </c>
      <c r="H5" s="666"/>
      <c r="I5" s="667" t="str">
        <f t="array" ref="I5:I15">IFERROR(VLOOKUP(H5:H15,Source!$B$2:$C54,2,false),)</f>
        <v/>
      </c>
      <c r="J5" s="126"/>
      <c r="K5" s="664" t="str">
        <f t="array" ref="K5:K15">IFERROR(VLOOKUP(L5:L15,Pokedex!$C$2:$D54,2,FALSE),"")</f>
        <v/>
      </c>
      <c r="L5" s="666"/>
      <c r="M5" s="667" t="str">
        <f t="array" ref="M5:M15">IFERROR(VLOOKUP(L5:L15,Source!$B$2:$C54,2,false),)</f>
        <v/>
      </c>
      <c r="N5" s="126"/>
      <c r="O5" s="664" t="str">
        <f t="array" ref="O5:O15">IFERROR(VLOOKUP(P5:P15,Pokedex!$C$2:$D54,2,FALSE),"")</f>
        <v/>
      </c>
      <c r="P5" s="666"/>
      <c r="Q5" s="667" t="str">
        <f t="array" ref="Q5:Q15">IFERROR(VLOOKUP(P5:P15,Source!$B$2:$C54,2,false),)</f>
        <v/>
      </c>
      <c r="R5" s="126"/>
      <c r="S5" s="664" t="str">
        <f t="array" ref="S5:S15">IFERROR(VLOOKUP(T5:T15,Pokedex!$C$2:$D54,2,FALSE),"")</f>
        <v/>
      </c>
      <c r="T5" s="666"/>
      <c r="U5" s="667" t="str">
        <f t="array" ref="U5:U15">IFERROR(VLOOKUP(T5:T15,Source!$B$2:$C54,2,false),)</f>
        <v/>
      </c>
      <c r="V5" s="126"/>
      <c r="W5" s="664" t="str">
        <f t="array" ref="W5:W15">IFERROR(VLOOKUP(X5:X15,Pokedex!$C$2:$D54,2,FALSE),"")</f>
        <v/>
      </c>
      <c r="X5" s="666"/>
      <c r="Y5" s="667" t="str">
        <f t="array" ref="Y5:Y15">IFERROR(VLOOKUP(X5:X15,Source!$B$2:$C54,2,false),)</f>
        <v/>
      </c>
      <c r="Z5" s="126"/>
      <c r="AA5" s="664" t="str">
        <f t="array" ref="AA5:AA15">IFERROR(VLOOKUP(AB5:AB15,Pokedex!$C$2:$D54,2,FALSE),"")</f>
        <v/>
      </c>
      <c r="AB5" s="666"/>
      <c r="AC5" s="667" t="str">
        <f t="array" ref="AC5:AC15">IFERROR(VLOOKUP(AB5:AB15,Source!$B$2:$C54,2,false),)</f>
        <v/>
      </c>
      <c r="AD5" s="126"/>
      <c r="AE5" s="664" t="str">
        <f t="array" ref="AE5:AE15">IFERROR(VLOOKUP(AF5:AF15,Pokedex!$C$2:$D54,2,FALSE),"")</f>
        <v/>
      </c>
      <c r="AF5" s="666"/>
      <c r="AG5" s="667" t="str">
        <f t="array" ref="AG5:AG15">IFERROR(VLOOKUP(AF5:AF15,Source!$B$2:$C54,2,false),)</f>
        <v/>
      </c>
      <c r="AH5" s="226"/>
      <c r="AI5" s="105"/>
    </row>
    <row r="6" ht="17.25" customHeight="1">
      <c r="A6" s="149"/>
      <c r="B6" s="169"/>
      <c r="C6" s="711"/>
      <c r="D6" s="712"/>
      <c r="E6" s="713"/>
      <c r="F6" s="126"/>
      <c r="G6" s="711"/>
      <c r="H6" s="712"/>
      <c r="I6" s="713"/>
      <c r="J6" s="126"/>
      <c r="K6" s="711"/>
      <c r="L6" s="712"/>
      <c r="M6" s="713"/>
      <c r="N6" s="126"/>
      <c r="O6" s="711"/>
      <c r="P6" s="712"/>
      <c r="Q6" s="713"/>
      <c r="R6" s="126"/>
      <c r="S6" s="711"/>
      <c r="T6" s="712"/>
      <c r="U6" s="713"/>
      <c r="V6" s="126"/>
      <c r="W6" s="711"/>
      <c r="X6" s="712"/>
      <c r="Y6" s="713"/>
      <c r="Z6" s="126"/>
      <c r="AA6" s="711"/>
      <c r="AB6" s="712"/>
      <c r="AC6" s="713"/>
      <c r="AD6" s="126"/>
      <c r="AE6" s="711"/>
      <c r="AF6" s="712"/>
      <c r="AG6" s="713"/>
      <c r="AH6" s="226"/>
      <c r="AI6" s="105"/>
    </row>
    <row r="7" ht="17.25" customHeight="1">
      <c r="A7" s="149"/>
      <c r="B7" s="169"/>
      <c r="C7" s="711"/>
      <c r="D7" s="712"/>
      <c r="E7" s="713"/>
      <c r="F7" s="126"/>
      <c r="G7" s="711"/>
      <c r="H7" s="712"/>
      <c r="I7" s="713"/>
      <c r="J7" s="126"/>
      <c r="K7" s="711"/>
      <c r="L7" s="717"/>
      <c r="M7" s="713"/>
      <c r="N7" s="126"/>
      <c r="O7" s="711"/>
      <c r="P7" s="712"/>
      <c r="Q7" s="713"/>
      <c r="R7" s="126"/>
      <c r="S7" s="711"/>
      <c r="T7" s="712"/>
      <c r="U7" s="713"/>
      <c r="V7" s="126"/>
      <c r="W7" s="711"/>
      <c r="X7" s="712"/>
      <c r="Y7" s="713"/>
      <c r="Z7" s="126"/>
      <c r="AA7" s="711"/>
      <c r="AB7" s="712"/>
      <c r="AC7" s="713"/>
      <c r="AD7" s="126"/>
      <c r="AE7" s="711"/>
      <c r="AF7" s="712"/>
      <c r="AG7" s="713"/>
      <c r="AH7" s="226"/>
      <c r="AI7" s="105"/>
    </row>
    <row r="8" ht="17.25" customHeight="1">
      <c r="A8" s="149"/>
      <c r="B8" s="169"/>
      <c r="C8" s="719"/>
      <c r="D8" s="720"/>
      <c r="E8" s="713"/>
      <c r="F8" s="126"/>
      <c r="G8" s="719"/>
      <c r="H8" s="720"/>
      <c r="I8" s="713"/>
      <c r="J8" s="126"/>
      <c r="K8" s="719"/>
      <c r="L8" s="712"/>
      <c r="M8" s="713"/>
      <c r="N8" s="126"/>
      <c r="O8" s="719"/>
      <c r="P8" s="720"/>
      <c r="Q8" s="713"/>
      <c r="R8" s="126"/>
      <c r="S8" s="719"/>
      <c r="T8" s="720"/>
      <c r="U8" s="713"/>
      <c r="V8" s="126"/>
      <c r="W8" s="719"/>
      <c r="X8" s="720"/>
      <c r="Y8" s="713"/>
      <c r="Z8" s="126"/>
      <c r="AA8" s="719"/>
      <c r="AB8" s="720"/>
      <c r="AC8" s="713"/>
      <c r="AD8" s="126"/>
      <c r="AE8" s="719"/>
      <c r="AF8" s="720"/>
      <c r="AG8" s="713"/>
      <c r="AH8" s="226"/>
      <c r="AI8" s="105"/>
    </row>
    <row r="9" ht="17.25" customHeight="1">
      <c r="A9" s="149"/>
      <c r="B9" s="169"/>
      <c r="C9" s="719"/>
      <c r="D9" s="720"/>
      <c r="E9" s="713"/>
      <c r="F9" s="126"/>
      <c r="G9" s="719"/>
      <c r="H9" s="720"/>
      <c r="I9" s="713"/>
      <c r="J9" s="126"/>
      <c r="K9" s="719"/>
      <c r="L9" s="717"/>
      <c r="M9" s="713"/>
      <c r="N9" s="126"/>
      <c r="O9" s="719"/>
      <c r="P9" s="720"/>
      <c r="Q9" s="713"/>
      <c r="R9" s="126"/>
      <c r="S9" s="719"/>
      <c r="T9" s="720"/>
      <c r="U9" s="713"/>
      <c r="V9" s="126"/>
      <c r="W9" s="719"/>
      <c r="X9" s="720"/>
      <c r="Y9" s="713"/>
      <c r="Z9" s="126"/>
      <c r="AA9" s="719"/>
      <c r="AB9" s="720"/>
      <c r="AC9" s="713"/>
      <c r="AD9" s="126"/>
      <c r="AE9" s="719"/>
      <c r="AF9" s="720"/>
      <c r="AG9" s="713"/>
      <c r="AH9" s="226"/>
      <c r="AI9" s="105"/>
    </row>
    <row r="10" ht="17.25" customHeight="1">
      <c r="A10" s="149"/>
      <c r="B10" s="169"/>
      <c r="C10" s="719"/>
      <c r="D10" s="720"/>
      <c r="E10" s="713"/>
      <c r="F10" s="126"/>
      <c r="G10" s="719"/>
      <c r="H10" s="720"/>
      <c r="I10" s="713"/>
      <c r="J10" s="126"/>
      <c r="K10" s="719"/>
      <c r="L10" s="720"/>
      <c r="M10" s="713"/>
      <c r="N10" s="126"/>
      <c r="O10" s="719"/>
      <c r="P10" s="720"/>
      <c r="Q10" s="713"/>
      <c r="R10" s="126"/>
      <c r="S10" s="719"/>
      <c r="T10" s="720"/>
      <c r="U10" s="713"/>
      <c r="V10" s="126"/>
      <c r="W10" s="719"/>
      <c r="X10" s="720"/>
      <c r="Y10" s="713"/>
      <c r="Z10" s="126"/>
      <c r="AA10" s="719"/>
      <c r="AB10" s="720"/>
      <c r="AC10" s="713"/>
      <c r="AD10" s="126"/>
      <c r="AE10" s="719"/>
      <c r="AF10" s="720"/>
      <c r="AG10" s="713"/>
      <c r="AH10" s="226"/>
      <c r="AI10" s="105"/>
    </row>
    <row r="11" ht="17.25" customHeight="1">
      <c r="A11" s="149"/>
      <c r="B11" s="169"/>
      <c r="C11" s="719"/>
      <c r="D11" s="720"/>
      <c r="E11" s="713"/>
      <c r="F11" s="126"/>
      <c r="G11" s="719"/>
      <c r="H11" s="720"/>
      <c r="I11" s="713"/>
      <c r="J11" s="126"/>
      <c r="K11" s="719"/>
      <c r="L11" s="720"/>
      <c r="M11" s="713"/>
      <c r="N11" s="126"/>
      <c r="O11" s="719"/>
      <c r="P11" s="720"/>
      <c r="Q11" s="713"/>
      <c r="R11" s="126"/>
      <c r="S11" s="719"/>
      <c r="T11" s="720"/>
      <c r="U11" s="713"/>
      <c r="V11" s="126"/>
      <c r="W11" s="719"/>
      <c r="X11" s="720"/>
      <c r="Y11" s="713"/>
      <c r="Z11" s="126"/>
      <c r="AA11" s="719"/>
      <c r="AB11" s="720"/>
      <c r="AC11" s="713"/>
      <c r="AD11" s="126"/>
      <c r="AE11" s="719"/>
      <c r="AF11" s="720"/>
      <c r="AG11" s="713"/>
      <c r="AH11" s="226"/>
      <c r="AI11" s="105"/>
    </row>
    <row r="12" ht="17.25" customHeight="1">
      <c r="A12" s="105"/>
      <c r="B12" s="122"/>
      <c r="C12" s="725"/>
      <c r="D12" s="717"/>
      <c r="E12" s="713"/>
      <c r="F12" s="126"/>
      <c r="G12" s="725"/>
      <c r="H12" s="717"/>
      <c r="I12" s="713"/>
      <c r="J12" s="126"/>
      <c r="K12" s="725"/>
      <c r="L12" s="720"/>
      <c r="M12" s="713"/>
      <c r="N12" s="126"/>
      <c r="O12" s="725"/>
      <c r="P12" s="717"/>
      <c r="Q12" s="713"/>
      <c r="R12" s="126"/>
      <c r="S12" s="725"/>
      <c r="T12" s="717"/>
      <c r="U12" s="713"/>
      <c r="V12" s="126"/>
      <c r="W12" s="725"/>
      <c r="X12" s="717"/>
      <c r="Y12" s="713"/>
      <c r="Z12" s="126"/>
      <c r="AA12" s="725"/>
      <c r="AB12" s="717"/>
      <c r="AC12" s="713"/>
      <c r="AD12" s="126"/>
      <c r="AE12" s="725"/>
      <c r="AF12" s="717"/>
      <c r="AG12" s="713"/>
      <c r="AH12" s="226"/>
      <c r="AI12" s="105"/>
    </row>
    <row r="13" ht="17.25" customHeight="1">
      <c r="A13" s="149"/>
      <c r="B13" s="169"/>
      <c r="C13" s="725"/>
      <c r="D13" s="717"/>
      <c r="E13" s="713"/>
      <c r="F13" s="126"/>
      <c r="G13" s="725"/>
      <c r="H13" s="717"/>
      <c r="I13" s="713"/>
      <c r="J13" s="126"/>
      <c r="K13" s="725"/>
      <c r="L13" s="717"/>
      <c r="M13" s="713"/>
      <c r="N13" s="126"/>
      <c r="O13" s="725"/>
      <c r="P13" s="717"/>
      <c r="Q13" s="713"/>
      <c r="R13" s="126"/>
      <c r="S13" s="725"/>
      <c r="T13" s="717"/>
      <c r="U13" s="713"/>
      <c r="V13" s="126"/>
      <c r="W13" s="725"/>
      <c r="X13" s="717"/>
      <c r="Y13" s="713"/>
      <c r="Z13" s="126"/>
      <c r="AA13" s="725"/>
      <c r="AB13" s="717"/>
      <c r="AC13" s="713"/>
      <c r="AD13" s="126"/>
      <c r="AE13" s="725"/>
      <c r="AF13" s="717"/>
      <c r="AG13" s="713"/>
      <c r="AH13" s="226"/>
      <c r="AI13" s="105"/>
    </row>
    <row r="14" ht="17.25" customHeight="1">
      <c r="A14" s="149"/>
      <c r="B14" s="169"/>
      <c r="C14" s="725"/>
      <c r="D14" s="717"/>
      <c r="E14" s="713"/>
      <c r="F14" s="126"/>
      <c r="G14" s="725"/>
      <c r="H14" s="717"/>
      <c r="I14" s="713"/>
      <c r="J14" s="126"/>
      <c r="K14" s="725"/>
      <c r="L14" s="720"/>
      <c r="M14" s="713"/>
      <c r="N14" s="126"/>
      <c r="O14" s="725"/>
      <c r="P14" s="717"/>
      <c r="Q14" s="713"/>
      <c r="R14" s="126"/>
      <c r="S14" s="725"/>
      <c r="T14" s="717"/>
      <c r="U14" s="713"/>
      <c r="V14" s="126"/>
      <c r="W14" s="725"/>
      <c r="X14" s="717"/>
      <c r="Y14" s="713"/>
      <c r="Z14" s="126"/>
      <c r="AA14" s="725"/>
      <c r="AB14" s="717"/>
      <c r="AC14" s="713"/>
      <c r="AD14" s="126"/>
      <c r="AE14" s="725"/>
      <c r="AF14" s="717"/>
      <c r="AG14" s="713"/>
      <c r="AH14" s="226"/>
      <c r="AI14" s="105"/>
    </row>
    <row r="15" ht="17.25" customHeight="1">
      <c r="A15" s="149"/>
      <c r="B15" s="169"/>
      <c r="C15" s="726"/>
      <c r="D15" s="717"/>
      <c r="E15" s="713"/>
      <c r="F15" s="126"/>
      <c r="G15" s="726"/>
      <c r="H15" s="717"/>
      <c r="I15" s="713"/>
      <c r="J15" s="126"/>
      <c r="K15" s="726"/>
      <c r="L15" s="720"/>
      <c r="M15" s="713"/>
      <c r="N15" s="126"/>
      <c r="O15" s="726"/>
      <c r="P15" s="717"/>
      <c r="Q15" s="713"/>
      <c r="R15" s="126"/>
      <c r="S15" s="726"/>
      <c r="T15" s="717"/>
      <c r="U15" s="713"/>
      <c r="V15" s="126"/>
      <c r="W15" s="726"/>
      <c r="X15" s="717"/>
      <c r="Y15" s="713"/>
      <c r="Z15" s="126"/>
      <c r="AA15" s="726"/>
      <c r="AB15" s="717"/>
      <c r="AC15" s="713"/>
      <c r="AD15" s="126"/>
      <c r="AE15" s="726"/>
      <c r="AF15" s="717"/>
      <c r="AG15" s="713"/>
      <c r="AH15" s="226"/>
      <c r="AI15" s="105"/>
    </row>
    <row r="16">
      <c r="A16" s="149"/>
      <c r="B16" s="169"/>
      <c r="C16" s="728" t="s">
        <v>350</v>
      </c>
      <c r="D16" s="730" t="str">
        <f>115-SUM(E5:E15)&amp;" points"</f>
        <v>115 points</v>
      </c>
      <c r="E16" s="35"/>
      <c r="F16" s="158"/>
      <c r="G16" s="731" t="s">
        <v>135</v>
      </c>
      <c r="H16" s="730" t="str">
        <f>115-SUM(I5:I15)&amp;" points"</f>
        <v>115 points</v>
      </c>
      <c r="I16" s="35"/>
      <c r="J16" s="158"/>
      <c r="K16" s="728" t="s">
        <v>350</v>
      </c>
      <c r="L16" s="730" t="str">
        <f>115-SUM(M5:M15)&amp;" points"</f>
        <v>115 points</v>
      </c>
      <c r="M16" s="35"/>
      <c r="N16" s="158"/>
      <c r="O16" s="728" t="s">
        <v>350</v>
      </c>
      <c r="P16" s="730" t="str">
        <f>115-SUM(Q5:Q15)&amp;" points"</f>
        <v>115 points</v>
      </c>
      <c r="Q16" s="35"/>
      <c r="R16" s="158"/>
      <c r="S16" s="731" t="s">
        <v>135</v>
      </c>
      <c r="T16" s="730" t="str">
        <f>115-SUM(U5:U15)&amp;" points"</f>
        <v>115 points</v>
      </c>
      <c r="U16" s="35"/>
      <c r="V16" s="158"/>
      <c r="W16" s="735" t="s">
        <v>135</v>
      </c>
      <c r="X16" s="730" t="str">
        <f>115-SUM(Y5:Y15)&amp;" points"</f>
        <v>115 points</v>
      </c>
      <c r="Y16" s="35"/>
      <c r="Z16" s="158"/>
      <c r="AA16" s="731" t="s">
        <v>135</v>
      </c>
      <c r="AB16" s="730" t="str">
        <f>115-SUM(AC5:AC15)&amp;" points"</f>
        <v>115 points</v>
      </c>
      <c r="AC16" s="35"/>
      <c r="AD16" s="158"/>
      <c r="AE16" s="728" t="s">
        <v>133</v>
      </c>
      <c r="AF16" s="730" t="str">
        <f>115-SUM(AG5:AG15)&amp;" points"</f>
        <v>115 points</v>
      </c>
      <c r="AG16" s="35"/>
      <c r="AH16" s="141"/>
      <c r="AI16" s="149"/>
    </row>
    <row r="17" ht="7.5" customHeight="1">
      <c r="A17" s="105"/>
      <c r="B17" s="122"/>
      <c r="C17" s="126"/>
      <c r="D17" s="126"/>
      <c r="E17" s="126"/>
      <c r="F17" s="126"/>
      <c r="G17" s="126"/>
      <c r="H17" s="126"/>
      <c r="I17" s="126"/>
      <c r="J17" s="126"/>
      <c r="K17" s="126"/>
      <c r="L17" s="126"/>
      <c r="M17" s="126"/>
      <c r="N17" s="126"/>
      <c r="O17" s="126"/>
      <c r="P17" s="126"/>
      <c r="Q17" s="126"/>
      <c r="R17" s="126"/>
      <c r="S17" s="126"/>
      <c r="T17" s="126"/>
      <c r="U17" s="126"/>
      <c r="V17" s="126"/>
      <c r="W17" s="126"/>
      <c r="X17" s="126"/>
      <c r="Y17" s="126"/>
      <c r="Z17" s="126"/>
      <c r="AA17" s="126"/>
      <c r="AB17" s="126"/>
      <c r="AC17" s="126"/>
      <c r="AD17" s="126"/>
      <c r="AE17" s="126"/>
      <c r="AF17" s="126"/>
      <c r="AG17" s="126"/>
      <c r="AH17" s="226"/>
      <c r="AI17" s="105"/>
    </row>
    <row r="18">
      <c r="A18" s="105"/>
      <c r="B18" s="122"/>
      <c r="C18" s="646" t="str">
        <f>Source!G28</f>
        <v/>
      </c>
      <c r="D18" s="124"/>
      <c r="E18" s="125"/>
      <c r="F18" s="126"/>
      <c r="G18" s="646" t="str">
        <f>Source!G29</f>
        <v/>
      </c>
      <c r="H18" s="124"/>
      <c r="I18" s="125"/>
      <c r="J18" s="126"/>
      <c r="K18" s="646" t="str">
        <f>Source!G30</f>
        <v/>
      </c>
      <c r="L18" s="124"/>
      <c r="M18" s="125"/>
      <c r="N18" s="126"/>
      <c r="O18" s="646" t="str">
        <f>Source!G31</f>
        <v/>
      </c>
      <c r="P18" s="124"/>
      <c r="Q18" s="125"/>
      <c r="R18" s="126"/>
      <c r="S18" s="646" t="str">
        <f>Source!G32</f>
        <v/>
      </c>
      <c r="T18" s="124"/>
      <c r="U18" s="125"/>
      <c r="V18" s="126"/>
      <c r="W18" s="646" t="str">
        <f>Source!G33</f>
        <v/>
      </c>
      <c r="X18" s="124"/>
      <c r="Y18" s="125"/>
      <c r="Z18" s="126"/>
      <c r="AA18" s="646" t="str">
        <f>Source!G34</f>
        <v/>
      </c>
      <c r="AB18" s="124"/>
      <c r="AC18" s="125"/>
      <c r="AD18" s="126"/>
      <c r="AE18" s="646" t="str">
        <f>Source!G35</f>
        <v/>
      </c>
      <c r="AF18" s="124"/>
      <c r="AG18" s="125"/>
      <c r="AH18" s="141"/>
      <c r="AI18" s="149"/>
    </row>
    <row r="19">
      <c r="A19" s="105"/>
      <c r="B19" s="122"/>
      <c r="C19" s="649" t="str">
        <f>Source!F28</f>
        <v/>
      </c>
      <c r="D19" s="152"/>
      <c r="E19" s="651" t="str">
        <f>Source!I28</f>
        <v/>
      </c>
      <c r="F19" s="158"/>
      <c r="G19" s="649" t="str">
        <f>Source!F29</f>
        <v/>
      </c>
      <c r="H19" s="152"/>
      <c r="I19" s="651" t="str">
        <f>Source!I29</f>
        <v/>
      </c>
      <c r="J19" s="158"/>
      <c r="K19" s="649" t="str">
        <f>Source!F30</f>
        <v/>
      </c>
      <c r="L19" s="152"/>
      <c r="M19" s="651" t="str">
        <f>Source!I30</f>
        <v/>
      </c>
      <c r="N19" s="158"/>
      <c r="O19" s="649" t="str">
        <f>Source!F31</f>
        <v/>
      </c>
      <c r="P19" s="152"/>
      <c r="Q19" s="651" t="str">
        <f>Source!I31</f>
        <v/>
      </c>
      <c r="R19" s="158"/>
      <c r="S19" s="649" t="str">
        <f>Source!F32</f>
        <v/>
      </c>
      <c r="T19" s="152"/>
      <c r="U19" s="651" t="str">
        <f>Source!I32</f>
        <v/>
      </c>
      <c r="V19" s="158"/>
      <c r="W19" s="649" t="str">
        <f>Source!F33</f>
        <v/>
      </c>
      <c r="X19" s="152"/>
      <c r="Y19" s="651" t="str">
        <f>Source!I33</f>
        <v/>
      </c>
      <c r="Z19" s="158"/>
      <c r="AA19" s="649" t="str">
        <f>Source!F34</f>
        <v/>
      </c>
      <c r="AB19" s="152"/>
      <c r="AC19" s="651" t="str">
        <f>Source!I34</f>
        <v/>
      </c>
      <c r="AD19" s="158"/>
      <c r="AE19" s="649" t="str">
        <f>Source!F35</f>
        <v/>
      </c>
      <c r="AF19" s="152"/>
      <c r="AG19" s="651" t="str">
        <f>Source!I35</f>
        <v/>
      </c>
      <c r="AH19" s="141"/>
      <c r="AI19" s="149"/>
    </row>
    <row r="20" ht="17.25" customHeight="1">
      <c r="A20" s="149"/>
      <c r="B20" s="169"/>
      <c r="C20" s="664" t="str">
        <f t="array" ref="C20:C30">IFERROR(VLOOKUP(D20:D30,Pokedex!$C$2:$D54,2,FALSE),"")</f>
        <v/>
      </c>
      <c r="D20" s="666"/>
      <c r="E20" s="667" t="str">
        <f t="array" ref="E20:E30">IFERROR(VLOOKUP(D20:D30,Source!$B$2:$C54,2,false),)</f>
        <v/>
      </c>
      <c r="F20" s="126"/>
      <c r="G20" s="664" t="str">
        <f t="array" ref="G20:G30">IFERROR(VLOOKUP(H20:H30,Pokedex!$C$2:$D54,2,FALSE),"")</f>
        <v/>
      </c>
      <c r="H20" s="666"/>
      <c r="I20" s="667" t="str">
        <f t="array" ref="I20:I30">IFERROR(VLOOKUP(H20:H30,Source!$B$2:$C54,2,false),)</f>
        <v/>
      </c>
      <c r="J20" s="126"/>
      <c r="K20" s="664" t="str">
        <f t="array" ref="K20:K30">IFERROR(VLOOKUP(L20:L30,Pokedex!$C$2:$D54,2,FALSE),"")</f>
        <v/>
      </c>
      <c r="L20" s="666"/>
      <c r="M20" s="667" t="str">
        <f t="array" ref="M20:M30">IFERROR(VLOOKUP(L20:L30,Source!$B$2:$C54,2,false),)</f>
        <v/>
      </c>
      <c r="N20" s="126"/>
      <c r="O20" s="664" t="str">
        <f t="array" ref="O20:O30">IFERROR(VLOOKUP(P20:P30,Pokedex!$C$2:$D54,2,FALSE),"")</f>
        <v/>
      </c>
      <c r="P20" s="666"/>
      <c r="Q20" s="667" t="str">
        <f t="array" ref="Q20:Q30">IFERROR(VLOOKUP(P20:P30,Source!$B$2:$C54,2,false),)</f>
        <v/>
      </c>
      <c r="R20" s="126"/>
      <c r="S20" s="664" t="str">
        <f t="array" ref="S20:S30">IFERROR(VLOOKUP(T20:T30,Pokedex!$C$2:$D54,2,FALSE),"")</f>
        <v/>
      </c>
      <c r="T20" s="666"/>
      <c r="U20" s="667" t="str">
        <f t="array" ref="U20:U30">IFERROR(VLOOKUP(T20:T30,Source!$B$2:$C54,2,false),)</f>
        <v/>
      </c>
      <c r="V20" s="126"/>
      <c r="W20" s="664" t="str">
        <f t="array" ref="W20:W30">IFERROR(VLOOKUP(X20:X30,Pokedex!$C$2:$D54,2,FALSE),"")</f>
        <v/>
      </c>
      <c r="X20" s="666"/>
      <c r="Y20" s="667" t="str">
        <f t="array" ref="Y20:Y30">IFERROR(VLOOKUP(X20:X30,Source!$B$2:$C54,2,false),)</f>
        <v/>
      </c>
      <c r="Z20" s="126"/>
      <c r="AA20" s="664" t="str">
        <f t="array" ref="AA20:AA30">IFERROR(VLOOKUP(AB20:AB30,Pokedex!$C$2:$D54,2,FALSE),"")</f>
        <v/>
      </c>
      <c r="AB20" s="666"/>
      <c r="AC20" s="667" t="str">
        <f t="array" ref="AC20:AC30">IFERROR(VLOOKUP(AB20:AB30,Source!$B$2:$C54,2,false),)</f>
        <v/>
      </c>
      <c r="AD20" s="126"/>
      <c r="AE20" s="664" t="str">
        <f t="array" ref="AE20:AE30">IFERROR(VLOOKUP(AF20:AF30,Pokedex!$C$2:$D54,2,FALSE),"")</f>
        <v/>
      </c>
      <c r="AF20" s="666"/>
      <c r="AG20" s="667" t="str">
        <f t="array" ref="AG20:AG30">IFERROR(VLOOKUP(AF20:AF30,Source!$B$2:$C54,2,false),)</f>
        <v/>
      </c>
      <c r="AH20" s="226"/>
      <c r="AI20" s="105"/>
    </row>
    <row r="21" ht="17.25" customHeight="1">
      <c r="A21" s="149"/>
      <c r="B21" s="169"/>
      <c r="C21" s="711"/>
      <c r="D21" s="712"/>
      <c r="E21" s="713"/>
      <c r="F21" s="126"/>
      <c r="G21" s="711"/>
      <c r="H21" s="720"/>
      <c r="I21" s="713"/>
      <c r="J21" s="126"/>
      <c r="K21" s="711"/>
      <c r="L21" s="712"/>
      <c r="M21" s="713"/>
      <c r="N21" s="126"/>
      <c r="O21" s="711"/>
      <c r="P21" s="712"/>
      <c r="Q21" s="713"/>
      <c r="R21" s="126"/>
      <c r="S21" s="711"/>
      <c r="T21" s="712"/>
      <c r="U21" s="713"/>
      <c r="V21" s="126"/>
      <c r="W21" s="711"/>
      <c r="X21" s="712"/>
      <c r="Y21" s="713"/>
      <c r="Z21" s="126"/>
      <c r="AA21" s="711"/>
      <c r="AB21" s="712"/>
      <c r="AC21" s="713"/>
      <c r="AD21" s="126"/>
      <c r="AE21" s="711"/>
      <c r="AF21" s="712"/>
      <c r="AG21" s="713"/>
      <c r="AH21" s="226"/>
      <c r="AI21" s="105"/>
    </row>
    <row r="22" ht="17.25" customHeight="1">
      <c r="A22" s="149"/>
      <c r="B22" s="169"/>
      <c r="C22" s="711"/>
      <c r="D22" s="712"/>
      <c r="E22" s="713"/>
      <c r="F22" s="126"/>
      <c r="G22" s="711"/>
      <c r="H22" s="712"/>
      <c r="I22" s="713"/>
      <c r="J22" s="126"/>
      <c r="K22" s="711"/>
      <c r="L22" s="712"/>
      <c r="M22" s="713"/>
      <c r="N22" s="126"/>
      <c r="O22" s="711"/>
      <c r="P22" s="712"/>
      <c r="Q22" s="713"/>
      <c r="R22" s="126"/>
      <c r="S22" s="711"/>
      <c r="T22" s="712"/>
      <c r="U22" s="713"/>
      <c r="V22" s="126"/>
      <c r="W22" s="711"/>
      <c r="X22" s="712"/>
      <c r="Y22" s="713"/>
      <c r="Z22" s="126"/>
      <c r="AA22" s="711"/>
      <c r="AB22" s="712"/>
      <c r="AC22" s="713"/>
      <c r="AD22" s="126"/>
      <c r="AE22" s="711"/>
      <c r="AF22" s="712"/>
      <c r="AG22" s="713"/>
      <c r="AH22" s="226"/>
      <c r="AI22" s="105"/>
    </row>
    <row r="23" ht="17.25" customHeight="1">
      <c r="A23" s="149"/>
      <c r="B23" s="169"/>
      <c r="C23" s="719"/>
      <c r="D23" s="720"/>
      <c r="E23" s="713"/>
      <c r="F23" s="126"/>
      <c r="G23" s="719"/>
      <c r="H23" s="712"/>
      <c r="I23" s="713"/>
      <c r="J23" s="126"/>
      <c r="K23" s="719"/>
      <c r="L23" s="720"/>
      <c r="M23" s="713"/>
      <c r="N23" s="126"/>
      <c r="O23" s="719"/>
      <c r="P23" s="720"/>
      <c r="Q23" s="713"/>
      <c r="R23" s="126"/>
      <c r="S23" s="719"/>
      <c r="T23" s="720"/>
      <c r="U23" s="713"/>
      <c r="V23" s="126"/>
      <c r="W23" s="719"/>
      <c r="X23" s="720"/>
      <c r="Y23" s="713"/>
      <c r="Z23" s="126"/>
      <c r="AA23" s="719"/>
      <c r="AB23" s="720"/>
      <c r="AC23" s="713"/>
      <c r="AD23" s="126"/>
      <c r="AE23" s="719"/>
      <c r="AF23" s="720"/>
      <c r="AG23" s="713"/>
      <c r="AH23" s="226"/>
      <c r="AI23" s="105"/>
    </row>
    <row r="24" ht="17.25" customHeight="1">
      <c r="A24" s="149"/>
      <c r="B24" s="169"/>
      <c r="C24" s="719"/>
      <c r="D24" s="720"/>
      <c r="E24" s="713"/>
      <c r="F24" s="126"/>
      <c r="G24" s="719"/>
      <c r="H24" s="720"/>
      <c r="I24" s="713"/>
      <c r="J24" s="126"/>
      <c r="K24" s="719"/>
      <c r="L24" s="720"/>
      <c r="M24" s="713"/>
      <c r="N24" s="126"/>
      <c r="O24" s="719"/>
      <c r="P24" s="720"/>
      <c r="Q24" s="713"/>
      <c r="R24" s="126"/>
      <c r="S24" s="719"/>
      <c r="T24" s="720"/>
      <c r="U24" s="713"/>
      <c r="V24" s="126"/>
      <c r="W24" s="719"/>
      <c r="X24" s="720"/>
      <c r="Y24" s="713"/>
      <c r="Z24" s="126"/>
      <c r="AA24" s="719"/>
      <c r="AB24" s="720"/>
      <c r="AC24" s="713"/>
      <c r="AD24" s="126"/>
      <c r="AE24" s="719"/>
      <c r="AF24" s="720"/>
      <c r="AG24" s="713"/>
      <c r="AH24" s="226"/>
      <c r="AI24" s="105"/>
    </row>
    <row r="25" ht="17.25" customHeight="1">
      <c r="A25" s="149"/>
      <c r="B25" s="169"/>
      <c r="C25" s="719"/>
      <c r="D25" s="720"/>
      <c r="E25" s="713"/>
      <c r="F25" s="126"/>
      <c r="G25" s="719"/>
      <c r="H25" s="720"/>
      <c r="I25" s="713"/>
      <c r="J25" s="126"/>
      <c r="K25" s="719"/>
      <c r="L25" s="720"/>
      <c r="M25" s="713"/>
      <c r="N25" s="126"/>
      <c r="O25" s="719"/>
      <c r="P25" s="720"/>
      <c r="Q25" s="713"/>
      <c r="R25" s="126"/>
      <c r="S25" s="719"/>
      <c r="T25" s="720"/>
      <c r="U25" s="713"/>
      <c r="V25" s="126"/>
      <c r="W25" s="719"/>
      <c r="X25" s="720"/>
      <c r="Y25" s="713"/>
      <c r="Z25" s="126"/>
      <c r="AA25" s="719"/>
      <c r="AB25" s="720"/>
      <c r="AC25" s="713"/>
      <c r="AD25" s="126"/>
      <c r="AE25" s="719"/>
      <c r="AF25" s="720"/>
      <c r="AG25" s="713"/>
      <c r="AH25" s="226"/>
      <c r="AI25" s="105"/>
    </row>
    <row r="26" ht="17.25" customHeight="1">
      <c r="A26" s="149"/>
      <c r="B26" s="169"/>
      <c r="C26" s="719"/>
      <c r="D26" s="720"/>
      <c r="E26" s="713"/>
      <c r="F26" s="126"/>
      <c r="G26" s="719"/>
      <c r="H26" s="717"/>
      <c r="I26" s="713"/>
      <c r="J26" s="126"/>
      <c r="K26" s="719"/>
      <c r="L26" s="720"/>
      <c r="M26" s="713"/>
      <c r="N26" s="126"/>
      <c r="O26" s="719"/>
      <c r="P26" s="720"/>
      <c r="Q26" s="713"/>
      <c r="R26" s="126"/>
      <c r="S26" s="719"/>
      <c r="T26" s="720"/>
      <c r="U26" s="713"/>
      <c r="V26" s="126"/>
      <c r="W26" s="719"/>
      <c r="X26" s="720"/>
      <c r="Y26" s="713"/>
      <c r="Z26" s="126"/>
      <c r="AA26" s="719"/>
      <c r="AB26" s="720"/>
      <c r="AC26" s="713"/>
      <c r="AD26" s="126"/>
      <c r="AE26" s="719"/>
      <c r="AF26" s="720"/>
      <c r="AG26" s="713"/>
      <c r="AH26" s="226"/>
      <c r="AI26" s="105"/>
    </row>
    <row r="27" ht="17.25" customHeight="1">
      <c r="A27" s="105"/>
      <c r="B27" s="122"/>
      <c r="C27" s="725"/>
      <c r="D27" s="717"/>
      <c r="E27" s="713"/>
      <c r="F27" s="126"/>
      <c r="G27" s="725"/>
      <c r="H27" s="720"/>
      <c r="I27" s="713"/>
      <c r="J27" s="126"/>
      <c r="K27" s="725"/>
      <c r="L27" s="717"/>
      <c r="M27" s="713"/>
      <c r="N27" s="126"/>
      <c r="O27" s="725"/>
      <c r="P27" s="717"/>
      <c r="Q27" s="713"/>
      <c r="R27" s="126"/>
      <c r="S27" s="725"/>
      <c r="T27" s="717"/>
      <c r="U27" s="713"/>
      <c r="V27" s="126"/>
      <c r="W27" s="725"/>
      <c r="X27" s="717"/>
      <c r="Y27" s="713"/>
      <c r="Z27" s="126"/>
      <c r="AA27" s="725"/>
      <c r="AB27" s="717"/>
      <c r="AC27" s="713"/>
      <c r="AD27" s="126"/>
      <c r="AE27" s="725"/>
      <c r="AF27" s="717"/>
      <c r="AG27" s="713"/>
      <c r="AH27" s="226"/>
      <c r="AI27" s="105"/>
    </row>
    <row r="28" ht="17.25" customHeight="1">
      <c r="A28" s="149"/>
      <c r="B28" s="169"/>
      <c r="C28" s="725"/>
      <c r="D28" s="717"/>
      <c r="E28" s="713"/>
      <c r="F28" s="126"/>
      <c r="G28" s="725"/>
      <c r="H28" s="717"/>
      <c r="I28" s="713"/>
      <c r="J28" s="126"/>
      <c r="K28" s="725"/>
      <c r="L28" s="717"/>
      <c r="M28" s="713"/>
      <c r="N28" s="126"/>
      <c r="O28" s="725"/>
      <c r="P28" s="717"/>
      <c r="Q28" s="713"/>
      <c r="R28" s="126"/>
      <c r="S28" s="725"/>
      <c r="T28" s="717"/>
      <c r="U28" s="713"/>
      <c r="V28" s="126"/>
      <c r="W28" s="725"/>
      <c r="X28" s="717"/>
      <c r="Y28" s="713"/>
      <c r="Z28" s="126"/>
      <c r="AA28" s="725"/>
      <c r="AB28" s="717"/>
      <c r="AC28" s="713"/>
      <c r="AD28" s="126"/>
      <c r="AE28" s="725"/>
      <c r="AF28" s="717"/>
      <c r="AG28" s="713"/>
      <c r="AH28" s="226"/>
      <c r="AI28" s="105"/>
    </row>
    <row r="29" ht="17.25" customHeight="1">
      <c r="A29" s="149"/>
      <c r="B29" s="169"/>
      <c r="C29" s="725"/>
      <c r="D29" s="717"/>
      <c r="E29" s="713"/>
      <c r="F29" s="126"/>
      <c r="G29" s="725"/>
      <c r="H29" s="717"/>
      <c r="I29" s="713"/>
      <c r="J29" s="126"/>
      <c r="K29" s="725"/>
      <c r="L29" s="717"/>
      <c r="M29" s="713"/>
      <c r="N29" s="126"/>
      <c r="O29" s="725"/>
      <c r="P29" s="717"/>
      <c r="Q29" s="713"/>
      <c r="R29" s="126"/>
      <c r="S29" s="725"/>
      <c r="T29" s="717"/>
      <c r="U29" s="713"/>
      <c r="V29" s="126"/>
      <c r="W29" s="725"/>
      <c r="X29" s="717"/>
      <c r="Y29" s="713"/>
      <c r="Z29" s="126"/>
      <c r="AA29" s="725"/>
      <c r="AB29" s="717"/>
      <c r="AC29" s="713"/>
      <c r="AD29" s="126"/>
      <c r="AE29" s="725"/>
      <c r="AF29" s="717"/>
      <c r="AG29" s="713"/>
      <c r="AH29" s="226"/>
      <c r="AI29" s="105"/>
    </row>
    <row r="30" ht="17.25" customHeight="1">
      <c r="A30" s="149"/>
      <c r="B30" s="169"/>
      <c r="C30" s="726"/>
      <c r="D30" s="717"/>
      <c r="E30" s="713"/>
      <c r="F30" s="126"/>
      <c r="G30" s="726"/>
      <c r="H30" s="717"/>
      <c r="I30" s="713"/>
      <c r="J30" s="126"/>
      <c r="K30" s="726"/>
      <c r="L30" s="717"/>
      <c r="M30" s="713"/>
      <c r="N30" s="126"/>
      <c r="O30" s="726"/>
      <c r="P30" s="717"/>
      <c r="Q30" s="713"/>
      <c r="R30" s="126"/>
      <c r="S30" s="726"/>
      <c r="T30" s="717"/>
      <c r="U30" s="713"/>
      <c r="V30" s="126"/>
      <c r="W30" s="726"/>
      <c r="X30" s="717"/>
      <c r="Y30" s="713"/>
      <c r="Z30" s="126"/>
      <c r="AA30" s="726"/>
      <c r="AB30" s="717"/>
      <c r="AC30" s="713"/>
      <c r="AD30" s="126"/>
      <c r="AE30" s="726"/>
      <c r="AF30" s="717"/>
      <c r="AG30" s="713"/>
      <c r="AH30" s="226"/>
      <c r="AI30" s="105"/>
    </row>
    <row r="31">
      <c r="A31" s="149"/>
      <c r="B31" s="169"/>
      <c r="C31" s="728" t="s">
        <v>350</v>
      </c>
      <c r="D31" s="730" t="str">
        <f>115-SUM(E20:E30)&amp;" points"</f>
        <v>115 points</v>
      </c>
      <c r="E31" s="35"/>
      <c r="F31" s="158"/>
      <c r="G31" s="735" t="s">
        <v>135</v>
      </c>
      <c r="H31" s="730" t="str">
        <f>115-SUM(I20:I30)&amp;" points"</f>
        <v>115 points</v>
      </c>
      <c r="I31" s="35"/>
      <c r="J31" s="158"/>
      <c r="K31" s="731" t="s">
        <v>135</v>
      </c>
      <c r="L31" s="730" t="str">
        <f>115-SUM(M20:M30)&amp;" points"</f>
        <v>115 points</v>
      </c>
      <c r="M31" s="35"/>
      <c r="N31" s="158"/>
      <c r="O31" s="735" t="s">
        <v>135</v>
      </c>
      <c r="P31" s="730" t="str">
        <f>115-SUM(Q20:Q30)&amp;" points"</f>
        <v>115 points</v>
      </c>
      <c r="Q31" s="35"/>
      <c r="R31" s="158"/>
      <c r="S31" s="735" t="s">
        <v>135</v>
      </c>
      <c r="T31" s="730" t="str">
        <f>115-SUM(U20:U30)&amp;" points"</f>
        <v>115 points</v>
      </c>
      <c r="U31" s="35"/>
      <c r="V31" s="158"/>
      <c r="W31" s="731" t="s">
        <v>135</v>
      </c>
      <c r="X31" s="730" t="str">
        <f>115-SUM(Y20:Y30)&amp;" points"</f>
        <v>115 points</v>
      </c>
      <c r="Y31" s="35"/>
      <c r="Z31" s="158"/>
      <c r="AA31" s="728" t="s">
        <v>350</v>
      </c>
      <c r="AB31" s="730" t="str">
        <f>115-SUM(AC20:AC30)&amp;" points"</f>
        <v>115 points</v>
      </c>
      <c r="AC31" s="35"/>
      <c r="AD31" s="158"/>
      <c r="AE31" s="735" t="s">
        <v>135</v>
      </c>
      <c r="AF31" s="730" t="str">
        <f>115-SUM(AG20:AG30)&amp;" points"</f>
        <v>115 points</v>
      </c>
      <c r="AG31" s="35"/>
      <c r="AH31" s="141"/>
      <c r="AI31" s="149"/>
    </row>
    <row r="32" ht="7.5" customHeight="1">
      <c r="A32" s="105"/>
      <c r="B32" s="259"/>
      <c r="C32" s="260"/>
      <c r="D32" s="260"/>
      <c r="E32" s="260"/>
      <c r="F32" s="260"/>
      <c r="G32" s="260"/>
      <c r="H32" s="260"/>
      <c r="I32" s="260"/>
      <c r="J32" s="260"/>
      <c r="K32" s="260"/>
      <c r="L32" s="260"/>
      <c r="M32" s="260"/>
      <c r="N32" s="260"/>
      <c r="O32" s="260"/>
      <c r="P32" s="260"/>
      <c r="Q32" s="260"/>
      <c r="R32" s="260"/>
      <c r="S32" s="260"/>
      <c r="T32" s="260"/>
      <c r="U32" s="260"/>
      <c r="V32" s="260"/>
      <c r="W32" s="260"/>
      <c r="X32" s="260"/>
      <c r="Y32" s="260"/>
      <c r="Z32" s="260"/>
      <c r="AA32" s="260"/>
      <c r="AB32" s="260"/>
      <c r="AC32" s="260"/>
      <c r="AD32" s="260"/>
      <c r="AE32" s="260"/>
      <c r="AF32" s="260"/>
      <c r="AG32" s="260"/>
      <c r="AH32" s="261"/>
      <c r="AI32" s="105"/>
    </row>
    <row r="33" ht="7.5" customHeight="1">
      <c r="A33" s="105"/>
      <c r="B33" s="105"/>
      <c r="C33" s="105"/>
      <c r="D33" s="105"/>
      <c r="E33" s="105"/>
      <c r="F33" s="105"/>
      <c r="G33" s="105"/>
      <c r="H33" s="105"/>
      <c r="I33" s="105"/>
      <c r="J33" s="105"/>
      <c r="K33" s="105"/>
      <c r="L33" s="105"/>
      <c r="M33" s="105"/>
      <c r="N33" s="105"/>
      <c r="O33" s="105"/>
      <c r="P33" s="105"/>
      <c r="Q33" s="105"/>
      <c r="R33" s="105"/>
      <c r="S33" s="105"/>
      <c r="T33" s="105"/>
      <c r="U33" s="105"/>
      <c r="V33" s="105"/>
      <c r="W33" s="105"/>
      <c r="X33" s="105"/>
      <c r="Y33" s="105"/>
      <c r="Z33" s="105"/>
      <c r="AA33" s="105"/>
      <c r="AB33" s="105"/>
      <c r="AC33" s="105"/>
      <c r="AD33" s="105"/>
      <c r="AE33" s="105"/>
      <c r="AF33" s="105"/>
      <c r="AG33" s="105"/>
      <c r="AH33" s="105"/>
      <c r="AI33" s="105"/>
    </row>
    <row r="34" ht="15.75" hidden="1" customHeight="1">
      <c r="A34" s="105"/>
      <c r="B34" s="105"/>
      <c r="C34" s="105"/>
      <c r="D34" s="263" t="s">
        <v>141</v>
      </c>
      <c r="E34" s="264" t="s">
        <v>142</v>
      </c>
      <c r="F34" s="781"/>
      <c r="G34" s="781"/>
      <c r="H34" s="264" t="s">
        <v>143</v>
      </c>
      <c r="I34" s="105"/>
      <c r="J34" s="105"/>
      <c r="K34" s="105"/>
      <c r="L34" s="782"/>
      <c r="M34" s="105"/>
      <c r="N34" s="105"/>
      <c r="O34" s="105"/>
      <c r="P34" s="105"/>
      <c r="Q34" s="105"/>
      <c r="R34" s="105"/>
      <c r="S34" s="105"/>
      <c r="T34" s="105"/>
      <c r="U34" s="105"/>
      <c r="V34" s="105"/>
      <c r="W34" s="105"/>
      <c r="X34" s="105"/>
      <c r="Y34" s="105"/>
      <c r="Z34" s="105"/>
      <c r="AA34" s="105"/>
      <c r="AB34" s="105"/>
      <c r="AC34" s="105"/>
      <c r="AD34" s="105"/>
      <c r="AE34" s="105"/>
      <c r="AF34" s="105"/>
      <c r="AG34" s="105"/>
      <c r="AH34" s="105"/>
      <c r="AI34" s="105"/>
    </row>
    <row r="35" ht="15.75" hidden="1" customHeight="1">
      <c r="A35" s="105"/>
      <c r="B35" s="105"/>
      <c r="C35" s="105"/>
      <c r="D35" s="783" t="str">
        <f t="array" ref="D35:D50">Source!F20:F35</f>
        <v/>
      </c>
      <c r="E35" s="266"/>
      <c r="F35" s="105"/>
      <c r="G35" s="105"/>
      <c r="H35" s="266">
        <f t="shared" ref="H35:H50" si="1">iferror(240/(2^E35), 240)</f>
        <v>240</v>
      </c>
      <c r="I35" s="105"/>
      <c r="J35" s="105"/>
      <c r="K35" s="105"/>
      <c r="L35" s="784"/>
      <c r="M35" s="105"/>
      <c r="N35" s="105"/>
      <c r="O35" s="105"/>
      <c r="P35" s="105"/>
      <c r="Q35" s="105"/>
      <c r="R35" s="105"/>
      <c r="S35" s="105"/>
      <c r="T35" s="105"/>
      <c r="U35" s="105"/>
      <c r="V35" s="105"/>
      <c r="W35" s="105"/>
      <c r="X35" s="105"/>
      <c r="Y35" s="105"/>
      <c r="Z35" s="105"/>
      <c r="AA35" s="105"/>
      <c r="AB35" s="105"/>
      <c r="AC35" s="105"/>
      <c r="AD35" s="105"/>
      <c r="AE35" s="105"/>
      <c r="AF35" s="105"/>
      <c r="AG35" s="105"/>
      <c r="AH35" s="105"/>
      <c r="AI35" s="105"/>
    </row>
    <row r="36" ht="15.75" hidden="1" customHeight="1">
      <c r="A36" s="105"/>
      <c r="B36" s="105"/>
      <c r="C36" s="105"/>
      <c r="D36" s="271"/>
      <c r="E36" s="266"/>
      <c r="F36" s="105"/>
      <c r="G36" s="105"/>
      <c r="H36" s="266">
        <f t="shared" si="1"/>
        <v>240</v>
      </c>
      <c r="I36" s="105"/>
      <c r="J36" s="105"/>
      <c r="K36" s="105"/>
      <c r="L36" s="213"/>
      <c r="M36" s="105"/>
      <c r="N36" s="105"/>
      <c r="O36" s="105"/>
      <c r="P36" s="105"/>
      <c r="Q36" s="105"/>
      <c r="R36" s="105"/>
      <c r="S36" s="105"/>
      <c r="T36" s="105"/>
      <c r="U36" s="105"/>
      <c r="V36" s="105"/>
      <c r="W36" s="105"/>
      <c r="X36" s="105"/>
      <c r="Y36" s="105"/>
      <c r="Z36" s="105"/>
      <c r="AA36" s="105"/>
      <c r="AB36" s="105"/>
      <c r="AC36" s="105"/>
      <c r="AD36" s="105"/>
      <c r="AE36" s="105"/>
      <c r="AF36" s="105"/>
      <c r="AG36" s="105"/>
      <c r="AH36" s="105"/>
      <c r="AI36" s="105"/>
    </row>
    <row r="37" ht="15.75" hidden="1" customHeight="1">
      <c r="A37" s="105"/>
      <c r="B37" s="105"/>
      <c r="C37" s="105"/>
      <c r="D37" s="271"/>
      <c r="E37" s="266"/>
      <c r="F37" s="105"/>
      <c r="G37" s="105"/>
      <c r="H37" s="266">
        <f t="shared" si="1"/>
        <v>240</v>
      </c>
      <c r="I37" s="105"/>
      <c r="J37" s="105"/>
      <c r="K37" s="105"/>
      <c r="L37" s="213"/>
      <c r="M37" s="105"/>
      <c r="N37" s="105"/>
      <c r="O37" s="105"/>
      <c r="P37" s="105"/>
      <c r="Q37" s="105"/>
      <c r="R37" s="105"/>
      <c r="S37" s="105"/>
      <c r="T37" s="105"/>
      <c r="U37" s="105"/>
      <c r="V37" s="105"/>
      <c r="W37" s="105"/>
      <c r="X37" s="105"/>
      <c r="Y37" s="105"/>
      <c r="Z37" s="105"/>
      <c r="AA37" s="105"/>
      <c r="AB37" s="105"/>
      <c r="AC37" s="105"/>
      <c r="AD37" s="105"/>
      <c r="AE37" s="105"/>
      <c r="AF37" s="105"/>
      <c r="AG37" s="105"/>
      <c r="AH37" s="105"/>
      <c r="AI37" s="105"/>
    </row>
    <row r="38" ht="15.75" hidden="1" customHeight="1">
      <c r="A38" s="105"/>
      <c r="B38" s="105"/>
      <c r="C38" s="105"/>
      <c r="D38" s="271"/>
      <c r="E38" s="266"/>
      <c r="F38" s="105"/>
      <c r="G38" s="105"/>
      <c r="H38" s="266">
        <f t="shared" si="1"/>
        <v>240</v>
      </c>
      <c r="I38" s="105"/>
      <c r="J38" s="105"/>
      <c r="K38" s="105"/>
      <c r="L38" s="213"/>
      <c r="M38" s="105"/>
      <c r="N38" s="105"/>
      <c r="O38" s="105"/>
      <c r="P38" s="105"/>
      <c r="Q38" s="105"/>
      <c r="R38" s="105"/>
      <c r="S38" s="105"/>
      <c r="T38" s="105"/>
      <c r="U38" s="105"/>
      <c r="V38" s="105"/>
      <c r="W38" s="105"/>
      <c r="X38" s="105"/>
      <c r="Y38" s="105"/>
      <c r="Z38" s="105"/>
      <c r="AA38" s="105"/>
      <c r="AB38" s="105"/>
      <c r="AC38" s="105"/>
      <c r="AD38" s="105"/>
      <c r="AE38" s="105"/>
      <c r="AF38" s="105"/>
      <c r="AG38" s="105"/>
      <c r="AH38" s="105"/>
      <c r="AI38" s="105"/>
    </row>
    <row r="39" ht="15.75" hidden="1" customHeight="1">
      <c r="A39" s="105"/>
      <c r="B39" s="105"/>
      <c r="C39" s="105"/>
      <c r="D39" s="271"/>
      <c r="E39" s="266"/>
      <c r="F39" s="105"/>
      <c r="G39" s="105"/>
      <c r="H39" s="266">
        <f t="shared" si="1"/>
        <v>240</v>
      </c>
      <c r="I39" s="105"/>
      <c r="J39" s="105"/>
      <c r="K39" s="105"/>
      <c r="L39" s="213"/>
      <c r="M39" s="105"/>
      <c r="N39" s="105"/>
      <c r="O39" s="105"/>
      <c r="P39" s="105"/>
      <c r="Q39" s="105"/>
      <c r="R39" s="105"/>
      <c r="S39" s="105"/>
      <c r="T39" s="105"/>
      <c r="U39" s="105"/>
      <c r="V39" s="105"/>
      <c r="W39" s="105"/>
      <c r="X39" s="105"/>
      <c r="Y39" s="105"/>
      <c r="Z39" s="105"/>
      <c r="AA39" s="105"/>
      <c r="AB39" s="105"/>
      <c r="AC39" s="105"/>
      <c r="AD39" s="105"/>
      <c r="AE39" s="105"/>
      <c r="AF39" s="105"/>
      <c r="AG39" s="105"/>
      <c r="AH39" s="105"/>
      <c r="AI39" s="105"/>
    </row>
    <row r="40" ht="15.75" hidden="1" customHeight="1">
      <c r="A40" s="105"/>
      <c r="B40" s="105"/>
      <c r="C40" s="105"/>
      <c r="D40" s="271"/>
      <c r="E40" s="266"/>
      <c r="F40" s="105"/>
      <c r="G40" s="105"/>
      <c r="H40" s="266">
        <f t="shared" si="1"/>
        <v>240</v>
      </c>
      <c r="I40" s="105"/>
      <c r="J40" s="105"/>
      <c r="K40" s="105"/>
      <c r="L40" s="213"/>
      <c r="M40" s="105"/>
      <c r="N40" s="105"/>
      <c r="O40" s="105"/>
      <c r="P40" s="105"/>
      <c r="Q40" s="105"/>
      <c r="R40" s="105"/>
      <c r="S40" s="105"/>
      <c r="T40" s="105"/>
      <c r="U40" s="105"/>
      <c r="V40" s="105"/>
      <c r="W40" s="105"/>
      <c r="X40" s="105"/>
      <c r="Y40" s="105"/>
      <c r="Z40" s="105"/>
      <c r="AA40" s="105"/>
      <c r="AB40" s="105"/>
      <c r="AC40" s="105"/>
      <c r="AD40" s="105"/>
      <c r="AE40" s="105"/>
      <c r="AF40" s="105"/>
      <c r="AG40" s="105"/>
      <c r="AH40" s="105"/>
      <c r="AI40" s="105"/>
    </row>
    <row r="41" ht="15.75" hidden="1" customHeight="1">
      <c r="A41" s="105"/>
      <c r="B41" s="105"/>
      <c r="C41" s="105"/>
      <c r="D41" s="271"/>
      <c r="E41" s="266"/>
      <c r="F41" s="105"/>
      <c r="G41" s="105"/>
      <c r="H41" s="266">
        <f t="shared" si="1"/>
        <v>240</v>
      </c>
      <c r="I41" s="105"/>
      <c r="J41" s="105"/>
      <c r="K41" s="105"/>
      <c r="L41" s="213"/>
      <c r="M41" s="105"/>
      <c r="N41" s="105"/>
      <c r="O41" s="105"/>
      <c r="P41" s="105"/>
      <c r="Q41" s="105"/>
      <c r="R41" s="105"/>
      <c r="S41" s="105"/>
      <c r="T41" s="105"/>
      <c r="U41" s="105"/>
      <c r="V41" s="105"/>
      <c r="W41" s="105"/>
      <c r="X41" s="105"/>
      <c r="Y41" s="105"/>
      <c r="Z41" s="105"/>
      <c r="AA41" s="105"/>
      <c r="AB41" s="105"/>
      <c r="AC41" s="105"/>
      <c r="AD41" s="105"/>
      <c r="AE41" s="105"/>
      <c r="AF41" s="105"/>
      <c r="AG41" s="105"/>
      <c r="AH41" s="105"/>
      <c r="AI41" s="105"/>
    </row>
    <row r="42" ht="15.75" hidden="1" customHeight="1">
      <c r="A42" s="105"/>
      <c r="B42" s="105"/>
      <c r="C42" s="105"/>
      <c r="D42" s="271"/>
      <c r="E42" s="266"/>
      <c r="F42" s="105"/>
      <c r="G42" s="105"/>
      <c r="H42" s="266">
        <f t="shared" si="1"/>
        <v>240</v>
      </c>
      <c r="I42" s="105"/>
      <c r="J42" s="105"/>
      <c r="K42" s="105"/>
      <c r="L42" s="213"/>
      <c r="M42" s="105"/>
      <c r="N42" s="105"/>
      <c r="O42" s="105"/>
      <c r="P42" s="105"/>
      <c r="Q42" s="105"/>
      <c r="R42" s="105"/>
      <c r="S42" s="105"/>
      <c r="T42" s="105"/>
      <c r="U42" s="105"/>
      <c r="V42" s="105"/>
      <c r="W42" s="105"/>
      <c r="X42" s="105"/>
      <c r="Y42" s="105"/>
      <c r="Z42" s="105"/>
      <c r="AA42" s="105"/>
      <c r="AB42" s="105"/>
      <c r="AC42" s="105"/>
      <c r="AD42" s="105"/>
      <c r="AE42" s="105"/>
      <c r="AF42" s="105"/>
      <c r="AG42" s="105"/>
      <c r="AH42" s="105"/>
      <c r="AI42" s="105"/>
    </row>
    <row r="43" ht="15.75" hidden="1" customHeight="1">
      <c r="A43" s="105"/>
      <c r="B43" s="105"/>
      <c r="C43" s="105"/>
      <c r="D43" s="271"/>
      <c r="E43" s="266"/>
      <c r="F43" s="105"/>
      <c r="G43" s="105"/>
      <c r="H43" s="266">
        <f t="shared" si="1"/>
        <v>240</v>
      </c>
      <c r="I43" s="105"/>
      <c r="J43" s="105"/>
      <c r="K43" s="105"/>
      <c r="L43" s="213"/>
      <c r="M43" s="105"/>
      <c r="N43" s="105"/>
      <c r="O43" s="105"/>
      <c r="P43" s="105"/>
      <c r="Q43" s="105"/>
      <c r="R43" s="105"/>
      <c r="S43" s="105"/>
      <c r="T43" s="105"/>
      <c r="U43" s="105"/>
      <c r="V43" s="105"/>
      <c r="W43" s="105"/>
      <c r="X43" s="105"/>
      <c r="Y43" s="105"/>
      <c r="Z43" s="105"/>
      <c r="AA43" s="105"/>
      <c r="AB43" s="105"/>
      <c r="AC43" s="105"/>
      <c r="AD43" s="105"/>
      <c r="AE43" s="105"/>
      <c r="AF43" s="105"/>
      <c r="AG43" s="105"/>
      <c r="AH43" s="105"/>
      <c r="AI43" s="105"/>
    </row>
    <row r="44" ht="15.75" hidden="1" customHeight="1">
      <c r="A44" s="105"/>
      <c r="B44" s="105"/>
      <c r="C44" s="105"/>
      <c r="D44" s="271"/>
      <c r="E44" s="266"/>
      <c r="F44" s="105"/>
      <c r="G44" s="105"/>
      <c r="H44" s="266">
        <f t="shared" si="1"/>
        <v>240</v>
      </c>
      <c r="I44" s="105"/>
      <c r="J44" s="105"/>
      <c r="K44" s="105"/>
      <c r="L44" s="213"/>
      <c r="M44" s="105"/>
      <c r="N44" s="105"/>
      <c r="O44" s="105"/>
      <c r="P44" s="105"/>
      <c r="Q44" s="105"/>
      <c r="R44" s="105"/>
      <c r="S44" s="105"/>
      <c r="T44" s="105"/>
      <c r="U44" s="105"/>
      <c r="V44" s="105"/>
      <c r="W44" s="105"/>
      <c r="X44" s="105"/>
      <c r="Y44" s="105"/>
      <c r="Z44" s="105"/>
      <c r="AA44" s="105"/>
      <c r="AB44" s="105"/>
      <c r="AC44" s="105"/>
      <c r="AD44" s="105"/>
      <c r="AE44" s="105"/>
      <c r="AF44" s="105"/>
      <c r="AG44" s="105"/>
      <c r="AH44" s="105"/>
      <c r="AI44" s="105"/>
    </row>
    <row r="45" ht="15.75" hidden="1" customHeight="1">
      <c r="A45" s="105"/>
      <c r="B45" s="105"/>
      <c r="C45" s="105"/>
      <c r="D45" s="271"/>
      <c r="E45" s="266"/>
      <c r="F45" s="105"/>
      <c r="G45" s="105"/>
      <c r="H45" s="266">
        <f t="shared" si="1"/>
        <v>240</v>
      </c>
      <c r="I45" s="105"/>
      <c r="J45" s="105"/>
      <c r="K45" s="105"/>
      <c r="L45" s="213"/>
      <c r="M45" s="105"/>
      <c r="N45" s="105"/>
      <c r="O45" s="105"/>
      <c r="P45" s="105"/>
      <c r="Q45" s="105"/>
      <c r="R45" s="105"/>
      <c r="S45" s="105"/>
      <c r="T45" s="105"/>
      <c r="U45" s="105"/>
      <c r="V45" s="105"/>
      <c r="W45" s="105"/>
      <c r="X45" s="105"/>
      <c r="Y45" s="105"/>
      <c r="Z45" s="105"/>
      <c r="AA45" s="105"/>
      <c r="AB45" s="105"/>
      <c r="AC45" s="105"/>
      <c r="AD45" s="105"/>
      <c r="AE45" s="105"/>
      <c r="AF45" s="105"/>
      <c r="AG45" s="105"/>
      <c r="AH45" s="105"/>
      <c r="AI45" s="105"/>
    </row>
    <row r="46" ht="15.75" hidden="1" customHeight="1">
      <c r="A46" s="105"/>
      <c r="B46" s="105"/>
      <c r="C46" s="105"/>
      <c r="D46" s="271"/>
      <c r="E46" s="266"/>
      <c r="F46" s="105"/>
      <c r="G46" s="105"/>
      <c r="H46" s="266">
        <f t="shared" si="1"/>
        <v>240</v>
      </c>
      <c r="I46" s="105"/>
      <c r="J46" s="105"/>
      <c r="K46" s="105"/>
      <c r="L46" s="213"/>
      <c r="M46" s="105"/>
      <c r="N46" s="105"/>
      <c r="O46" s="105"/>
      <c r="P46" s="105"/>
      <c r="Q46" s="105"/>
      <c r="R46" s="105"/>
      <c r="S46" s="105"/>
      <c r="T46" s="105"/>
      <c r="U46" s="105"/>
      <c r="V46" s="105"/>
      <c r="W46" s="105"/>
      <c r="X46" s="105"/>
      <c r="Y46" s="105"/>
      <c r="Z46" s="105"/>
      <c r="AA46" s="105"/>
      <c r="AB46" s="105"/>
      <c r="AC46" s="105"/>
      <c r="AD46" s="105"/>
      <c r="AE46" s="105"/>
      <c r="AF46" s="105"/>
      <c r="AG46" s="105"/>
      <c r="AH46" s="105"/>
      <c r="AI46" s="105"/>
    </row>
    <row r="47" ht="15.75" hidden="1" customHeight="1">
      <c r="A47" s="105"/>
      <c r="B47" s="105"/>
      <c r="C47" s="105"/>
      <c r="D47" s="271"/>
      <c r="E47" s="266"/>
      <c r="F47" s="105"/>
      <c r="G47" s="105"/>
      <c r="H47" s="266">
        <f t="shared" si="1"/>
        <v>240</v>
      </c>
      <c r="I47" s="105"/>
      <c r="J47" s="105"/>
      <c r="K47" s="105"/>
      <c r="L47" s="213"/>
      <c r="M47" s="105"/>
      <c r="N47" s="105"/>
      <c r="O47" s="105"/>
      <c r="P47" s="105"/>
      <c r="Q47" s="105"/>
      <c r="R47" s="105"/>
      <c r="S47" s="105"/>
      <c r="T47" s="105"/>
      <c r="U47" s="105"/>
      <c r="V47" s="105"/>
      <c r="W47" s="105"/>
      <c r="X47" s="105"/>
      <c r="Y47" s="105"/>
      <c r="Z47" s="105"/>
      <c r="AA47" s="105"/>
      <c r="AB47" s="105"/>
      <c r="AC47" s="105"/>
      <c r="AD47" s="105"/>
      <c r="AE47" s="105"/>
      <c r="AF47" s="105"/>
      <c r="AG47" s="105"/>
      <c r="AH47" s="105"/>
      <c r="AI47" s="105"/>
    </row>
    <row r="48" ht="15.75" hidden="1" customHeight="1">
      <c r="A48" s="105"/>
      <c r="B48" s="105"/>
      <c r="C48" s="105"/>
      <c r="D48" s="271"/>
      <c r="E48" s="266">
        <v>1.0</v>
      </c>
      <c r="F48" s="105"/>
      <c r="G48" s="105"/>
      <c r="H48" s="266">
        <f t="shared" si="1"/>
        <v>120</v>
      </c>
      <c r="I48" s="105"/>
      <c r="J48" s="105"/>
      <c r="K48" s="105"/>
      <c r="L48" s="213"/>
      <c r="M48" s="105"/>
      <c r="N48" s="105"/>
      <c r="O48" s="105"/>
      <c r="P48" s="105"/>
      <c r="Q48" s="105"/>
      <c r="R48" s="105"/>
      <c r="S48" s="105"/>
      <c r="T48" s="105"/>
      <c r="U48" s="105"/>
      <c r="V48" s="105"/>
      <c r="W48" s="105"/>
      <c r="X48" s="105"/>
      <c r="Y48" s="105"/>
      <c r="Z48" s="105"/>
      <c r="AA48" s="105"/>
      <c r="AB48" s="105"/>
      <c r="AC48" s="105"/>
      <c r="AD48" s="105"/>
      <c r="AE48" s="105"/>
      <c r="AF48" s="105"/>
      <c r="AG48" s="105"/>
      <c r="AH48" s="105"/>
      <c r="AI48" s="105"/>
    </row>
    <row r="49" ht="15.75" hidden="1" customHeight="1">
      <c r="A49" s="105"/>
      <c r="B49" s="105"/>
      <c r="C49" s="105"/>
      <c r="D49" s="271"/>
      <c r="E49" s="266">
        <v>1.0</v>
      </c>
      <c r="F49" s="105"/>
      <c r="G49" s="105"/>
      <c r="H49" s="266">
        <f t="shared" si="1"/>
        <v>120</v>
      </c>
      <c r="I49" s="105"/>
      <c r="J49" s="105"/>
      <c r="K49" s="105"/>
      <c r="L49" s="213"/>
      <c r="M49" s="105"/>
      <c r="N49" s="105"/>
      <c r="O49" s="105"/>
      <c r="P49" s="105"/>
      <c r="Q49" s="105"/>
      <c r="R49" s="105"/>
      <c r="S49" s="105"/>
      <c r="T49" s="105"/>
      <c r="U49" s="105"/>
      <c r="V49" s="105"/>
      <c r="W49" s="105"/>
      <c r="X49" s="105"/>
      <c r="Y49" s="105"/>
      <c r="Z49" s="105"/>
      <c r="AA49" s="105"/>
      <c r="AB49" s="105"/>
      <c r="AC49" s="105"/>
      <c r="AD49" s="105"/>
      <c r="AE49" s="105"/>
      <c r="AF49" s="105"/>
      <c r="AG49" s="105"/>
      <c r="AH49" s="105"/>
      <c r="AI49" s="105"/>
    </row>
    <row r="50" ht="15.75" hidden="1" customHeight="1">
      <c r="A50" s="105"/>
      <c r="B50" s="105"/>
      <c r="C50" s="105"/>
      <c r="D50" s="274"/>
      <c r="E50" s="275"/>
      <c r="F50" s="786"/>
      <c r="G50" s="786"/>
      <c r="H50" s="275">
        <f t="shared" si="1"/>
        <v>240</v>
      </c>
      <c r="I50" s="105"/>
      <c r="J50" s="105"/>
      <c r="K50" s="105"/>
      <c r="L50" s="213"/>
      <c r="M50" s="105"/>
      <c r="N50" s="105"/>
      <c r="O50" s="105"/>
      <c r="P50" s="105"/>
      <c r="Q50" s="105"/>
      <c r="R50" s="105"/>
      <c r="S50" s="105"/>
      <c r="T50" s="105"/>
      <c r="U50" s="105"/>
      <c r="V50" s="105"/>
      <c r="W50" s="105"/>
      <c r="X50" s="105"/>
      <c r="Y50" s="105"/>
      <c r="Z50" s="105"/>
      <c r="AA50" s="105"/>
      <c r="AB50" s="105"/>
      <c r="AC50" s="105"/>
      <c r="AD50" s="105"/>
      <c r="AE50" s="105"/>
      <c r="AF50" s="105"/>
      <c r="AG50" s="105"/>
      <c r="AH50" s="105"/>
      <c r="AI50" s="105"/>
    </row>
    <row r="51" ht="15.75" hidden="1" customHeight="1">
      <c r="A51" s="105"/>
      <c r="B51" s="105"/>
      <c r="C51" s="105"/>
      <c r="D51" s="105"/>
      <c r="E51" s="105"/>
      <c r="F51" s="105"/>
      <c r="G51" s="105"/>
      <c r="H51" s="105"/>
      <c r="I51" s="105"/>
      <c r="J51" s="105"/>
      <c r="K51" s="105"/>
      <c r="L51" s="105"/>
      <c r="M51" s="105"/>
      <c r="N51" s="105"/>
      <c r="O51" s="105"/>
      <c r="P51" s="105"/>
      <c r="Q51" s="105"/>
      <c r="R51" s="105"/>
      <c r="S51" s="105"/>
      <c r="T51" s="105"/>
      <c r="U51" s="105"/>
      <c r="V51" s="105"/>
      <c r="W51" s="105"/>
      <c r="X51" s="105"/>
      <c r="Y51" s="105"/>
      <c r="Z51" s="105"/>
      <c r="AA51" s="105"/>
      <c r="AB51" s="105"/>
      <c r="AC51" s="105"/>
      <c r="AD51" s="105"/>
      <c r="AE51" s="105"/>
      <c r="AF51" s="105"/>
      <c r="AG51" s="105"/>
      <c r="AH51" s="105"/>
      <c r="AI51" s="105"/>
    </row>
    <row r="52" ht="15.75" hidden="1" customHeight="1">
      <c r="A52" s="105"/>
      <c r="B52" s="105"/>
      <c r="C52" s="105"/>
      <c r="D52" s="105"/>
      <c r="E52" s="105"/>
      <c r="F52" s="105"/>
      <c r="G52" s="105"/>
      <c r="H52" s="105"/>
      <c r="I52" s="105"/>
      <c r="J52" s="105"/>
      <c r="K52" s="105"/>
      <c r="L52" s="105"/>
      <c r="M52" s="105"/>
      <c r="N52" s="105"/>
      <c r="O52" s="105"/>
      <c r="P52" s="105"/>
      <c r="Q52" s="105"/>
      <c r="R52" s="105"/>
      <c r="S52" s="105"/>
      <c r="T52" s="105"/>
      <c r="U52" s="105"/>
      <c r="V52" s="105"/>
      <c r="W52" s="105"/>
      <c r="X52" s="105"/>
      <c r="Y52" s="105"/>
      <c r="Z52" s="105"/>
      <c r="AA52" s="105"/>
      <c r="AB52" s="105"/>
      <c r="AC52" s="105"/>
      <c r="AD52" s="105"/>
      <c r="AE52" s="105"/>
      <c r="AF52" s="105"/>
      <c r="AG52" s="105"/>
      <c r="AH52" s="105"/>
      <c r="AI52" s="105"/>
    </row>
    <row r="53" ht="15.75" hidden="1" customHeight="1">
      <c r="A53" s="105"/>
      <c r="B53" s="105"/>
      <c r="C53" s="105"/>
      <c r="D53" s="105"/>
      <c r="E53" s="105"/>
      <c r="F53" s="105"/>
      <c r="G53" s="105"/>
      <c r="H53" s="105"/>
      <c r="I53" s="105"/>
      <c r="J53" s="105"/>
      <c r="K53" s="105"/>
      <c r="L53" s="105"/>
      <c r="M53" s="105"/>
      <c r="N53" s="105"/>
      <c r="O53" s="105"/>
      <c r="P53" s="105"/>
      <c r="Q53" s="105"/>
      <c r="R53" s="105"/>
      <c r="S53" s="105"/>
      <c r="T53" s="105"/>
      <c r="U53" s="105"/>
      <c r="V53" s="105"/>
      <c r="W53" s="105"/>
      <c r="X53" s="105"/>
      <c r="Y53" s="105"/>
      <c r="Z53" s="105"/>
      <c r="AA53" s="105"/>
      <c r="AB53" s="105"/>
      <c r="AC53" s="105"/>
      <c r="AD53" s="105"/>
      <c r="AE53" s="105"/>
      <c r="AF53" s="105"/>
      <c r="AG53" s="105"/>
      <c r="AH53" s="105"/>
      <c r="AI53" s="105"/>
    </row>
    <row r="54" ht="15.75" hidden="1" customHeight="1">
      <c r="A54" s="105"/>
      <c r="B54" s="105"/>
      <c r="C54" s="105"/>
      <c r="D54" s="105"/>
      <c r="E54" s="105"/>
      <c r="F54" s="105"/>
      <c r="G54" s="105"/>
      <c r="H54" s="105"/>
      <c r="I54" s="105"/>
      <c r="J54" s="105"/>
      <c r="K54" s="105"/>
      <c r="L54" s="105"/>
      <c r="M54" s="105"/>
      <c r="N54" s="105"/>
      <c r="O54" s="105"/>
      <c r="P54" s="105"/>
      <c r="Q54" s="105"/>
      <c r="R54" s="105"/>
      <c r="S54" s="105"/>
      <c r="T54" s="105"/>
      <c r="U54" s="105"/>
      <c r="V54" s="105"/>
      <c r="W54" s="105"/>
      <c r="X54" s="105"/>
      <c r="Y54" s="105"/>
      <c r="Z54" s="105"/>
      <c r="AA54" s="105"/>
      <c r="AB54" s="105"/>
      <c r="AC54" s="105"/>
      <c r="AD54" s="105"/>
      <c r="AE54" s="105"/>
      <c r="AF54" s="105"/>
      <c r="AG54" s="105"/>
      <c r="AH54" s="105"/>
      <c r="AI54" s="105"/>
    </row>
  </sheetData>
  <mergeCells count="48">
    <mergeCell ref="D16:E16"/>
    <mergeCell ref="C18:E18"/>
    <mergeCell ref="K18:M18"/>
    <mergeCell ref="S18:U18"/>
    <mergeCell ref="C19:D19"/>
    <mergeCell ref="K19:L19"/>
    <mergeCell ref="S19:T19"/>
    <mergeCell ref="X31:Y31"/>
    <mergeCell ref="AB31:AC31"/>
    <mergeCell ref="AF31:AG31"/>
    <mergeCell ref="O18:Q18"/>
    <mergeCell ref="O19:P19"/>
    <mergeCell ref="D31:E31"/>
    <mergeCell ref="H31:I31"/>
    <mergeCell ref="L31:M31"/>
    <mergeCell ref="P31:Q31"/>
    <mergeCell ref="T31:U31"/>
    <mergeCell ref="G3:I3"/>
    <mergeCell ref="K3:M3"/>
    <mergeCell ref="O3:Q3"/>
    <mergeCell ref="S3:U3"/>
    <mergeCell ref="W3:Y3"/>
    <mergeCell ref="AA3:AC3"/>
    <mergeCell ref="AE3:AG3"/>
    <mergeCell ref="AA4:AB4"/>
    <mergeCell ref="AE4:AF4"/>
    <mergeCell ref="C3:E3"/>
    <mergeCell ref="C4:D4"/>
    <mergeCell ref="G4:H4"/>
    <mergeCell ref="K4:L4"/>
    <mergeCell ref="O4:P4"/>
    <mergeCell ref="S4:T4"/>
    <mergeCell ref="W4:X4"/>
    <mergeCell ref="H16:I16"/>
    <mergeCell ref="L16:M16"/>
    <mergeCell ref="P16:Q16"/>
    <mergeCell ref="T16:U16"/>
    <mergeCell ref="X16:Y16"/>
    <mergeCell ref="AB16:AC16"/>
    <mergeCell ref="AF16:AG16"/>
    <mergeCell ref="AA18:AC18"/>
    <mergeCell ref="AE18:AG18"/>
    <mergeCell ref="AE19:AF19"/>
    <mergeCell ref="G18:I18"/>
    <mergeCell ref="G19:H19"/>
    <mergeCell ref="W18:Y18"/>
    <mergeCell ref="W19:X19"/>
    <mergeCell ref="AA19:AB19"/>
  </mergeCells>
  <conditionalFormatting sqref="D5:D15 H5:H15 L5:L15 P5:P15 T5:T15 X5:X15 AB5:AB15 AF5:AF15 D20:D30 H20:H30 L20:L30 P20:P30 T20:T30 X20:X30 AB20:AB30 AF20:AF30">
    <cfRule type="expression" dxfId="4" priority="1">
      <formula>COUNTIF({$D$5:$AF$30},D5)&gt;1</formula>
    </cfRule>
  </conditionalFormatting>
  <dataValidations>
    <dataValidation type="list" allowBlank="1" showDropDown="1" showErrorMessage="1" sqref="D5:D14 H5:H15 L5:L15 P5:P15 T5:T15 X5:X15 AB5:AB15 AF5:AF15 H20:H28 D20:D30 H30 L20:L30 P20:P30 T20:T30 X20:X30 AB20:AB30 AF20:AF30">
      <formula1>Source!$B$2:$B$954</formula1>
    </dataValidation>
    <dataValidation type="list" allowBlank="1" showDropDown="1" showErrorMessage="1" sqref="D15 H29">
      <formula1>Source!$B$2:$B$970</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88"/>
    <col customWidth="1" min="2" max="2" width="15.5"/>
    <col customWidth="1" min="3" max="3" width="4.5"/>
    <col customWidth="1" min="4" max="5" width="3.88"/>
    <col customWidth="1" min="6" max="6" width="18.13"/>
    <col customWidth="1" min="7" max="7" width="18.25"/>
    <col customWidth="1" min="8" max="9" width="6.38"/>
    <col customWidth="1" min="10" max="10" width="5.13"/>
    <col customWidth="1" min="11" max="11" width="11.5"/>
    <col customWidth="1" min="12" max="12" width="2.0"/>
    <col customWidth="1" min="13" max="14" width="3.25"/>
    <col customWidth="1" min="15" max="15" width="4.5"/>
    <col customWidth="1" min="16" max="16" width="15.63"/>
    <col customWidth="1" min="17" max="17" width="2.63"/>
    <col customWidth="1" min="18" max="18" width="15.75"/>
    <col customWidth="1" min="19" max="19" width="2.0"/>
    <col customWidth="1" min="20" max="20" width="12.63"/>
    <col customWidth="1" min="21" max="21" width="15.63"/>
    <col customWidth="1" min="22" max="22" width="13.88"/>
    <col customWidth="1" min="23" max="23" width="12.63"/>
    <col customWidth="1" min="24" max="24" width="13.88"/>
    <col customWidth="1" min="25" max="30" width="12.63"/>
  </cols>
  <sheetData>
    <row r="1">
      <c r="A1" s="654"/>
      <c r="B1" s="655"/>
      <c r="C1" s="654"/>
      <c r="D1" s="656"/>
      <c r="E1" s="657" t="s">
        <v>150</v>
      </c>
      <c r="F1" s="658" t="s">
        <v>322</v>
      </c>
      <c r="G1" s="658" t="s">
        <v>323</v>
      </c>
      <c r="H1" s="658" t="s">
        <v>324</v>
      </c>
      <c r="I1" s="658" t="s">
        <v>325</v>
      </c>
      <c r="J1" s="661" t="s">
        <v>326</v>
      </c>
      <c r="K1" s="658" t="s">
        <v>327</v>
      </c>
      <c r="L1" s="662"/>
      <c r="M1" s="663" t="s">
        <v>328</v>
      </c>
      <c r="N1" s="34"/>
      <c r="O1" s="34"/>
      <c r="P1" s="34"/>
      <c r="Q1" s="34"/>
      <c r="R1" s="35"/>
      <c r="S1" s="662"/>
      <c r="T1" s="665" t="s">
        <v>329</v>
      </c>
      <c r="X1" s="668"/>
      <c r="Y1" s="668"/>
      <c r="Z1" s="662"/>
      <c r="AA1" s="662"/>
      <c r="AB1" s="662"/>
      <c r="AC1" s="662"/>
      <c r="AD1" s="662"/>
    </row>
    <row r="2">
      <c r="A2" s="673" t="str">
        <f t="array" ref="A2:A1285">IFERROR(VLOOKUP(B2:B1285,{Pokedex!$I$2:$I1285,Pokedex!$H$2:$H1285},2,FALSE),"")</f>
        <v/>
      </c>
      <c r="B2" s="674" t="s">
        <v>57</v>
      </c>
      <c r="C2" s="675">
        <v>15.0</v>
      </c>
      <c r="D2" s="676"/>
      <c r="E2" s="663" t="s">
        <v>331</v>
      </c>
      <c r="F2" s="34"/>
      <c r="G2" s="34"/>
      <c r="H2" s="34"/>
      <c r="I2" s="34"/>
      <c r="J2" s="34"/>
      <c r="K2" s="35"/>
      <c r="L2" s="677"/>
      <c r="M2" s="678" t="s">
        <v>332</v>
      </c>
      <c r="N2" s="679" t="s">
        <v>333</v>
      </c>
      <c r="O2" s="680" t="s">
        <v>334</v>
      </c>
      <c r="P2" s="681" t="s">
        <v>335</v>
      </c>
      <c r="Q2" s="682"/>
      <c r="R2" s="683" t="s">
        <v>336</v>
      </c>
      <c r="S2" s="662"/>
      <c r="T2" s="684" t="s">
        <v>337</v>
      </c>
      <c r="U2" s="684" t="s">
        <v>338</v>
      </c>
      <c r="V2" s="684" t="s">
        <v>152</v>
      </c>
      <c r="W2" s="684" t="s">
        <v>339</v>
      </c>
      <c r="X2" s="668"/>
      <c r="Y2" s="668"/>
      <c r="Z2" s="662"/>
      <c r="AA2" s="662"/>
      <c r="AB2" s="662"/>
      <c r="AC2" s="662"/>
      <c r="AD2" s="662"/>
    </row>
    <row r="3">
      <c r="A3" s="673"/>
      <c r="B3" s="674" t="s">
        <v>71</v>
      </c>
      <c r="C3" s="675">
        <v>15.0</v>
      </c>
      <c r="D3" s="676"/>
      <c r="E3" s="680">
        <v>1.0</v>
      </c>
      <c r="F3" s="662" t="s">
        <v>132</v>
      </c>
      <c r="G3" s="685" t="s">
        <v>340</v>
      </c>
      <c r="H3" s="686" t="s">
        <v>172</v>
      </c>
      <c r="I3" s="685" t="s">
        <v>341</v>
      </c>
      <c r="J3" s="687"/>
      <c r="K3" s="688"/>
      <c r="L3" s="677"/>
      <c r="M3" s="689">
        <v>2.0</v>
      </c>
      <c r="N3" s="690">
        <v>1.0</v>
      </c>
      <c r="O3" s="683">
        <v>1.0</v>
      </c>
      <c r="P3" s="692" t="str">
        <f t="shared" ref="P3:P6" si="1">IFERROR(VLOOKUP(M3,$E$3:$F$8,2,FALSE),"")</f>
        <v>Zach VanSickle</v>
      </c>
      <c r="Q3" s="682" t="s">
        <v>342</v>
      </c>
      <c r="R3" s="683" t="str">
        <f t="shared" ref="R3:R58" si="2">IFERROR(VLOOKUP(N3,$E$3:$F$18,2,FALSE),"")</f>
        <v>Jackson McLoughlin</v>
      </c>
      <c r="S3" s="662"/>
      <c r="T3" s="678" t="s">
        <v>331</v>
      </c>
      <c r="U3" s="682" t="str">
        <f t="shared" ref="U3:U13" si="3">$F$3</f>
        <v>Jackson McLoughlin</v>
      </c>
      <c r="V3" s="693" t="str">
        <f>Teams!$D5</f>
        <v>Gholdengo</v>
      </c>
      <c r="W3" s="697">
        <f t="array" ref="W3:W1285">IFERROR(VLOOKUP(V3:V1285,Pokedex!$I$2:$Q1241,9,FALSE),"")</f>
        <v>84</v>
      </c>
      <c r="X3" s="91"/>
      <c r="Y3" s="693" t="str">
        <f t="array" ref="Y3:Z13">SORT(V3:W13,2,0)</f>
        <v>Kilowattrel</v>
      </c>
      <c r="Z3" s="683">
        <v>125.0</v>
      </c>
      <c r="AA3" s="662"/>
      <c r="AB3" s="662"/>
      <c r="AC3" s="662"/>
      <c r="AD3" s="662"/>
    </row>
    <row r="4">
      <c r="A4" s="673"/>
      <c r="B4" s="674" t="s">
        <v>58</v>
      </c>
      <c r="C4" s="675">
        <v>13.0</v>
      </c>
      <c r="D4" s="698"/>
      <c r="E4" s="685">
        <v>2.0</v>
      </c>
      <c r="F4" s="699" t="s">
        <v>81</v>
      </c>
      <c r="G4" s="685" t="s">
        <v>343</v>
      </c>
      <c r="H4" s="686" t="s">
        <v>154</v>
      </c>
      <c r="I4" s="685" t="s">
        <v>341</v>
      </c>
      <c r="J4" s="687"/>
      <c r="K4" s="685"/>
      <c r="L4" s="677"/>
      <c r="M4" s="700">
        <v>3.0</v>
      </c>
      <c r="N4" s="701">
        <v>4.0</v>
      </c>
      <c r="O4" s="686">
        <v>1.0</v>
      </c>
      <c r="P4" s="702" t="str">
        <f t="shared" si="1"/>
        <v>Dick Hansen</v>
      </c>
      <c r="Q4" s="682" t="s">
        <v>342</v>
      </c>
      <c r="R4" s="686" t="str">
        <f t="shared" si="2"/>
        <v>Ian Heslin</v>
      </c>
      <c r="S4" s="662"/>
      <c r="T4" s="657" t="s">
        <v>331</v>
      </c>
      <c r="U4" s="662" t="str">
        <f t="shared" si="3"/>
        <v>Jackson McLoughlin</v>
      </c>
      <c r="V4" s="703" t="str">
        <f>Teams!$D6</f>
        <v>Paldean Tauros (Fire)</v>
      </c>
      <c r="W4" s="662">
        <v>100.0</v>
      </c>
      <c r="Y4" s="703" t="s">
        <v>67</v>
      </c>
      <c r="Z4" s="686">
        <v>100.0</v>
      </c>
      <c r="AA4" s="662"/>
      <c r="AB4" s="662"/>
      <c r="AC4" s="662"/>
      <c r="AD4" s="662"/>
    </row>
    <row r="5">
      <c r="A5" s="673"/>
      <c r="B5" s="674" t="s">
        <v>59</v>
      </c>
      <c r="C5" s="675">
        <v>13.0</v>
      </c>
      <c r="D5" s="704"/>
      <c r="E5" s="685">
        <v>3.0</v>
      </c>
      <c r="F5" s="662" t="s">
        <v>60</v>
      </c>
      <c r="G5" s="685" t="s">
        <v>344</v>
      </c>
      <c r="H5" s="686" t="s">
        <v>218</v>
      </c>
      <c r="I5" s="685" t="s">
        <v>345</v>
      </c>
      <c r="J5" s="687"/>
      <c r="K5" s="685"/>
      <c r="L5" s="677"/>
      <c r="M5" s="700">
        <v>5.0</v>
      </c>
      <c r="N5" s="701">
        <v>6.0</v>
      </c>
      <c r="O5" s="686">
        <v>1.0</v>
      </c>
      <c r="P5" s="702" t="str">
        <f t="shared" si="1"/>
        <v>Ryan Tidey</v>
      </c>
      <c r="Q5" s="682" t="s">
        <v>342</v>
      </c>
      <c r="R5" s="686" t="str">
        <f t="shared" si="2"/>
        <v>Tyler Gottfredsen</v>
      </c>
      <c r="S5" s="662"/>
      <c r="T5" s="657" t="s">
        <v>331</v>
      </c>
      <c r="U5" s="662" t="str">
        <f t="shared" si="3"/>
        <v>Jackson McLoughlin</v>
      </c>
      <c r="V5" s="703" t="str">
        <f>Teams!$D7</f>
        <v>Kilowattrel</v>
      </c>
      <c r="W5" s="662">
        <v>125.0</v>
      </c>
      <c r="Y5" s="662" t="s">
        <v>114</v>
      </c>
      <c r="Z5" s="686">
        <v>100.0</v>
      </c>
      <c r="AA5" s="662"/>
      <c r="AB5" s="662"/>
      <c r="AC5" s="662"/>
      <c r="AD5" s="662"/>
    </row>
    <row r="6">
      <c r="A6" s="673"/>
      <c r="B6" s="708" t="s">
        <v>61</v>
      </c>
      <c r="C6" s="675">
        <v>12.0</v>
      </c>
      <c r="D6" s="676"/>
      <c r="E6" s="685">
        <v>4.0</v>
      </c>
      <c r="F6" s="662" t="s">
        <v>62</v>
      </c>
      <c r="G6" s="685" t="s">
        <v>346</v>
      </c>
      <c r="H6" s="686" t="s">
        <v>179</v>
      </c>
      <c r="I6" s="685" t="s">
        <v>341</v>
      </c>
      <c r="J6" s="687"/>
      <c r="K6" s="685"/>
      <c r="L6" s="677"/>
      <c r="M6" s="709"/>
      <c r="N6" s="710"/>
      <c r="O6" s="686">
        <v>1.0</v>
      </c>
      <c r="P6" s="702" t="str">
        <f t="shared" si="1"/>
        <v/>
      </c>
      <c r="Q6" s="682" t="s">
        <v>342</v>
      </c>
      <c r="R6" s="686" t="str">
        <f t="shared" si="2"/>
        <v/>
      </c>
      <c r="S6" s="662"/>
      <c r="T6" s="657" t="s">
        <v>331</v>
      </c>
      <c r="U6" s="662" t="str">
        <f t="shared" si="3"/>
        <v>Jackson McLoughlin</v>
      </c>
      <c r="V6" s="662" t="str">
        <f>Teams!$D8</f>
        <v>Farigiraf</v>
      </c>
      <c r="W6" s="662">
        <v>60.0</v>
      </c>
      <c r="Y6" s="662" t="s">
        <v>89</v>
      </c>
      <c r="Z6" s="686">
        <v>85.0</v>
      </c>
      <c r="AA6" s="662"/>
      <c r="AB6" s="662"/>
      <c r="AC6" s="662"/>
      <c r="AD6" s="662"/>
    </row>
    <row r="7">
      <c r="A7" s="673"/>
      <c r="B7" s="674" t="s">
        <v>63</v>
      </c>
      <c r="C7" s="675">
        <v>12.0</v>
      </c>
      <c r="D7" s="704"/>
      <c r="E7" s="685">
        <v>5.0</v>
      </c>
      <c r="F7" s="662" t="s">
        <v>65</v>
      </c>
      <c r="G7" s="685" t="s">
        <v>347</v>
      </c>
      <c r="H7" s="686" t="s">
        <v>183</v>
      </c>
      <c r="I7" s="685" t="s">
        <v>345</v>
      </c>
      <c r="J7" s="687"/>
      <c r="K7" s="685"/>
      <c r="L7" s="677"/>
      <c r="M7" s="709"/>
      <c r="N7" s="710"/>
      <c r="O7" s="686">
        <v>1.0</v>
      </c>
      <c r="P7" s="702" t="str">
        <f t="shared" ref="P7:P58" si="4">IFERROR(VLOOKUP(M7,$E$3:$F$18,2,FALSE),"")</f>
        <v/>
      </c>
      <c r="Q7" s="682" t="s">
        <v>342</v>
      </c>
      <c r="R7" s="686" t="str">
        <f t="shared" si="2"/>
        <v/>
      </c>
      <c r="S7" s="662"/>
      <c r="T7" s="657" t="s">
        <v>331</v>
      </c>
      <c r="U7" s="662" t="str">
        <f t="shared" si="3"/>
        <v>Jackson McLoughlin</v>
      </c>
      <c r="V7" s="662" t="str">
        <f>Teams!$D9</f>
        <v>Quaquaval</v>
      </c>
      <c r="W7" s="662">
        <v>85.0</v>
      </c>
      <c r="Y7" s="703" t="s">
        <v>57</v>
      </c>
      <c r="Z7" s="686">
        <v>84.0</v>
      </c>
      <c r="AA7" s="662"/>
      <c r="AB7" s="662"/>
      <c r="AC7" s="662"/>
      <c r="AD7" s="662"/>
    </row>
    <row r="8">
      <c r="A8" s="673"/>
      <c r="B8" s="674" t="s">
        <v>72</v>
      </c>
      <c r="C8" s="675">
        <v>12.0</v>
      </c>
      <c r="D8" s="704"/>
      <c r="E8" s="714">
        <v>6.0</v>
      </c>
      <c r="F8" s="715" t="s">
        <v>66</v>
      </c>
      <c r="G8" s="714" t="s">
        <v>348</v>
      </c>
      <c r="H8" s="715" t="s">
        <v>165</v>
      </c>
      <c r="I8" s="714" t="s">
        <v>341</v>
      </c>
      <c r="J8" s="716"/>
      <c r="K8" s="714"/>
      <c r="L8" s="677"/>
      <c r="M8" s="709"/>
      <c r="N8" s="710"/>
      <c r="O8" s="686">
        <v>1.0</v>
      </c>
      <c r="P8" s="702" t="str">
        <f t="shared" si="4"/>
        <v/>
      </c>
      <c r="Q8" s="682" t="s">
        <v>342</v>
      </c>
      <c r="R8" s="686" t="str">
        <f t="shared" si="2"/>
        <v/>
      </c>
      <c r="S8" s="662"/>
      <c r="T8" s="657" t="s">
        <v>331</v>
      </c>
      <c r="U8" s="662" t="str">
        <f t="shared" si="3"/>
        <v>Jackson McLoughlin</v>
      </c>
      <c r="V8" s="662" t="str">
        <f>Teams!$D10</f>
        <v>Arboliva</v>
      </c>
      <c r="W8" s="662">
        <v>39.0</v>
      </c>
      <c r="Y8" s="662" t="s">
        <v>108</v>
      </c>
      <c r="Z8" s="686">
        <v>73.0</v>
      </c>
      <c r="AA8" s="662"/>
      <c r="AB8" s="662"/>
      <c r="AC8" s="662"/>
      <c r="AD8" s="662"/>
    </row>
    <row r="9">
      <c r="A9" s="673"/>
      <c r="B9" s="674" t="s">
        <v>64</v>
      </c>
      <c r="C9" s="675">
        <v>12.0</v>
      </c>
      <c r="D9" s="704"/>
      <c r="E9" s="662"/>
      <c r="F9" s="662"/>
      <c r="G9" s="662"/>
      <c r="H9" s="662"/>
      <c r="I9" s="662"/>
      <c r="J9" s="677"/>
      <c r="K9" s="677"/>
      <c r="L9" s="677"/>
      <c r="M9" s="709"/>
      <c r="N9" s="710"/>
      <c r="O9" s="686">
        <v>1.0</v>
      </c>
      <c r="P9" s="702" t="str">
        <f t="shared" si="4"/>
        <v/>
      </c>
      <c r="Q9" s="682" t="s">
        <v>342</v>
      </c>
      <c r="R9" s="686" t="str">
        <f t="shared" si="2"/>
        <v/>
      </c>
      <c r="S9" s="662"/>
      <c r="T9" s="657" t="s">
        <v>331</v>
      </c>
      <c r="U9" s="662" t="str">
        <f t="shared" si="3"/>
        <v>Jackson McLoughlin</v>
      </c>
      <c r="V9" s="662" t="str">
        <f>Teams!$D11</f>
        <v>Garganacl</v>
      </c>
      <c r="W9" s="662">
        <v>35.0</v>
      </c>
      <c r="Y9" s="662" t="s">
        <v>83</v>
      </c>
      <c r="Z9" s="686">
        <v>60.0</v>
      </c>
      <c r="AA9" s="662"/>
      <c r="AB9" s="662"/>
      <c r="AC9" s="662"/>
      <c r="AD9" s="662"/>
    </row>
    <row r="10">
      <c r="A10" s="673"/>
      <c r="B10" s="674" t="s">
        <v>74</v>
      </c>
      <c r="C10" s="675">
        <v>12.0</v>
      </c>
      <c r="D10" s="704"/>
      <c r="E10" s="662"/>
      <c r="F10" s="662"/>
      <c r="G10" s="662"/>
      <c r="H10" s="662"/>
      <c r="I10" s="662"/>
      <c r="J10" s="677"/>
      <c r="K10" s="677"/>
      <c r="L10" s="677"/>
      <c r="M10" s="722"/>
      <c r="N10" s="723"/>
      <c r="O10" s="686">
        <v>1.0</v>
      </c>
      <c r="P10" s="702" t="str">
        <f t="shared" si="4"/>
        <v/>
      </c>
      <c r="Q10" s="682" t="s">
        <v>342</v>
      </c>
      <c r="R10" s="686" t="str">
        <f t="shared" si="2"/>
        <v/>
      </c>
      <c r="S10" s="662"/>
      <c r="T10" s="657" t="s">
        <v>331</v>
      </c>
      <c r="U10" s="662" t="str">
        <f t="shared" si="3"/>
        <v>Jackson McLoughlin</v>
      </c>
      <c r="V10" s="662" t="str">
        <f>Teams!$D12</f>
        <v>Cetitan</v>
      </c>
      <c r="W10" s="662">
        <v>73.0</v>
      </c>
      <c r="Y10" s="662" t="s">
        <v>120</v>
      </c>
      <c r="Z10" s="686">
        <v>60.0</v>
      </c>
      <c r="AA10" s="662"/>
      <c r="AB10" s="662"/>
      <c r="AC10" s="662"/>
      <c r="AD10" s="662"/>
    </row>
    <row r="11">
      <c r="A11" s="673"/>
      <c r="B11" s="674" t="s">
        <v>78</v>
      </c>
      <c r="C11" s="675">
        <v>10.0</v>
      </c>
      <c r="D11" s="704"/>
      <c r="E11" s="662"/>
      <c r="F11" s="662"/>
      <c r="G11" s="662"/>
      <c r="H11" s="662"/>
      <c r="I11" s="662"/>
      <c r="J11" s="677"/>
      <c r="K11" s="677"/>
      <c r="L11" s="677"/>
      <c r="M11" s="689">
        <v>5.0</v>
      </c>
      <c r="N11" s="690">
        <v>1.0</v>
      </c>
      <c r="O11" s="683">
        <v>2.0</v>
      </c>
      <c r="P11" s="692" t="str">
        <f t="shared" si="4"/>
        <v>Ryan Tidey</v>
      </c>
      <c r="Q11" s="682" t="s">
        <v>342</v>
      </c>
      <c r="R11" s="683" t="str">
        <f t="shared" si="2"/>
        <v>Jackson McLoughlin</v>
      </c>
      <c r="S11" s="662"/>
      <c r="T11" s="657" t="s">
        <v>331</v>
      </c>
      <c r="U11" s="662" t="str">
        <f t="shared" si="3"/>
        <v>Jackson McLoughlin</v>
      </c>
      <c r="V11" s="662" t="str">
        <f>Teams!$D13</f>
        <v>Salamence</v>
      </c>
      <c r="W11" s="662">
        <v>100.0</v>
      </c>
      <c r="Y11" s="662" t="s">
        <v>95</v>
      </c>
      <c r="Z11" s="686">
        <v>39.0</v>
      </c>
      <c r="AA11" s="662"/>
      <c r="AB11" s="662"/>
      <c r="AC11" s="662"/>
      <c r="AD11" s="662"/>
    </row>
    <row r="12">
      <c r="A12" s="673"/>
      <c r="B12" s="674" t="s">
        <v>76</v>
      </c>
      <c r="C12" s="675">
        <v>10.0</v>
      </c>
      <c r="D12" s="704"/>
      <c r="E12" s="662"/>
      <c r="F12" s="662"/>
      <c r="G12" s="662"/>
      <c r="H12" s="662"/>
      <c r="I12" s="662"/>
      <c r="J12" s="677"/>
      <c r="K12" s="677"/>
      <c r="L12" s="677"/>
      <c r="M12" s="700">
        <v>2.0</v>
      </c>
      <c r="N12" s="701">
        <v>3.0</v>
      </c>
      <c r="O12" s="686">
        <v>2.0</v>
      </c>
      <c r="P12" s="702" t="str">
        <f t="shared" si="4"/>
        <v>Zach VanSickle</v>
      </c>
      <c r="Q12" s="682" t="s">
        <v>342</v>
      </c>
      <c r="R12" s="686" t="str">
        <f t="shared" si="2"/>
        <v>Dick Hansen</v>
      </c>
      <c r="S12" s="662"/>
      <c r="T12" s="657" t="s">
        <v>331</v>
      </c>
      <c r="U12" s="662" t="str">
        <f t="shared" si="3"/>
        <v>Jackson McLoughlin</v>
      </c>
      <c r="V12" s="662" t="str">
        <f>Teams!$D14</f>
        <v>Abomasnow</v>
      </c>
      <c r="W12" s="662">
        <v>60.0</v>
      </c>
      <c r="Y12" s="662" t="s">
        <v>102</v>
      </c>
      <c r="Z12" s="686">
        <v>35.0</v>
      </c>
      <c r="AA12" s="662"/>
      <c r="AB12" s="662"/>
      <c r="AC12" s="662"/>
      <c r="AD12" s="662"/>
    </row>
    <row r="13">
      <c r="A13" s="673"/>
      <c r="B13" s="674" t="s">
        <v>349</v>
      </c>
      <c r="C13" s="675">
        <v>10.0</v>
      </c>
      <c r="D13" s="704"/>
      <c r="E13" s="662"/>
      <c r="F13" s="662"/>
      <c r="G13" s="662"/>
      <c r="H13" s="662"/>
      <c r="I13" s="662"/>
      <c r="J13" s="677"/>
      <c r="K13" s="677"/>
      <c r="L13" s="677"/>
      <c r="M13" s="700">
        <v>4.0</v>
      </c>
      <c r="N13" s="701">
        <v>6.0</v>
      </c>
      <c r="O13" s="686">
        <v>2.0</v>
      </c>
      <c r="P13" s="702" t="str">
        <f t="shared" si="4"/>
        <v>Ian Heslin</v>
      </c>
      <c r="Q13" s="682" t="s">
        <v>342</v>
      </c>
      <c r="R13" s="686" t="str">
        <f t="shared" si="2"/>
        <v>Tyler Gottfredsen</v>
      </c>
      <c r="S13" s="662"/>
      <c r="T13" s="727" t="s">
        <v>331</v>
      </c>
      <c r="U13" s="715" t="str">
        <f t="shared" si="3"/>
        <v>Jackson McLoughlin</v>
      </c>
      <c r="V13" s="715" t="str">
        <f>Teams!$D15</f>
        <v>Toxapex</v>
      </c>
      <c r="W13" s="715">
        <v>35.0</v>
      </c>
      <c r="X13" s="111"/>
      <c r="Y13" s="715" t="s">
        <v>126</v>
      </c>
      <c r="Z13" s="729">
        <v>35.0</v>
      </c>
      <c r="AA13" s="662"/>
      <c r="AB13" s="662"/>
      <c r="AC13" s="662"/>
      <c r="AD13" s="662"/>
    </row>
    <row r="14">
      <c r="A14" s="673"/>
      <c r="B14" s="674" t="s">
        <v>70</v>
      </c>
      <c r="C14" s="675">
        <v>10.0</v>
      </c>
      <c r="D14" s="704"/>
      <c r="E14" s="662"/>
      <c r="F14" s="662"/>
      <c r="G14" s="662"/>
      <c r="H14" s="662"/>
      <c r="I14" s="662"/>
      <c r="J14" s="677"/>
      <c r="K14" s="677"/>
      <c r="L14" s="677"/>
      <c r="M14" s="709"/>
      <c r="N14" s="710"/>
      <c r="O14" s="686">
        <v>2.0</v>
      </c>
      <c r="P14" s="702" t="str">
        <f t="shared" si="4"/>
        <v/>
      </c>
      <c r="Q14" s="682" t="s">
        <v>342</v>
      </c>
      <c r="R14" s="686" t="str">
        <f t="shared" si="2"/>
        <v/>
      </c>
      <c r="S14" s="662"/>
      <c r="T14" s="678" t="s">
        <v>331</v>
      </c>
      <c r="U14" s="682" t="str">
        <f t="shared" ref="U14:U24" si="5">$F$4</f>
        <v>Zach VanSickle</v>
      </c>
      <c r="V14" s="693" t="str">
        <f>Teams!$H5</f>
        <v>Annihilape</v>
      </c>
      <c r="W14" s="682"/>
      <c r="X14" s="91"/>
      <c r="Y14" s="682" t="str">
        <f t="array" ref="Y14:Z24">SORT(V14:W24,2,0)</f>
        <v>Dragapult</v>
      </c>
      <c r="Z14" s="683">
        <v>142.0</v>
      </c>
      <c r="AA14" s="662"/>
      <c r="AB14" s="662"/>
      <c r="AC14" s="662"/>
      <c r="AD14" s="662"/>
    </row>
    <row r="15">
      <c r="A15" s="673"/>
      <c r="B15" s="674" t="s">
        <v>69</v>
      </c>
      <c r="C15" s="675">
        <v>10.0</v>
      </c>
      <c r="D15" s="704"/>
      <c r="E15" s="662"/>
      <c r="F15" s="662"/>
      <c r="G15" s="662"/>
      <c r="H15" s="662"/>
      <c r="I15" s="662"/>
      <c r="J15" s="677"/>
      <c r="K15" s="677"/>
      <c r="L15" s="677"/>
      <c r="M15" s="709"/>
      <c r="N15" s="710"/>
      <c r="O15" s="686">
        <v>2.0</v>
      </c>
      <c r="P15" s="702" t="str">
        <f t="shared" si="4"/>
        <v/>
      </c>
      <c r="Q15" s="682" t="s">
        <v>342</v>
      </c>
      <c r="R15" s="686" t="str">
        <f t="shared" si="2"/>
        <v/>
      </c>
      <c r="S15" s="662"/>
      <c r="T15" s="657" t="s">
        <v>331</v>
      </c>
      <c r="U15" s="662" t="str">
        <f t="shared" si="5"/>
        <v>Zach VanSickle</v>
      </c>
      <c r="V15" s="703" t="str">
        <f>Teams!$H6</f>
        <v>Maushold</v>
      </c>
      <c r="W15" s="662">
        <v>111.0</v>
      </c>
      <c r="Y15" s="703" t="s">
        <v>69</v>
      </c>
      <c r="Z15" s="686">
        <v>111.0</v>
      </c>
      <c r="AA15" s="662"/>
      <c r="AB15" s="662"/>
      <c r="AC15" s="662"/>
      <c r="AD15" s="662"/>
    </row>
    <row r="16">
      <c r="A16" s="673"/>
      <c r="B16" s="734" t="s">
        <v>84</v>
      </c>
      <c r="C16" s="675">
        <v>9.0</v>
      </c>
      <c r="D16" s="704"/>
      <c r="E16" s="662"/>
      <c r="F16" s="662"/>
      <c r="G16" s="662"/>
      <c r="H16" s="662"/>
      <c r="I16" s="662"/>
      <c r="J16" s="677"/>
      <c r="K16" s="677"/>
      <c r="L16" s="677"/>
      <c r="M16" s="709"/>
      <c r="N16" s="710"/>
      <c r="O16" s="686">
        <v>2.0</v>
      </c>
      <c r="P16" s="702" t="str">
        <f t="shared" si="4"/>
        <v/>
      </c>
      <c r="Q16" s="682" t="s">
        <v>342</v>
      </c>
      <c r="R16" s="686" t="str">
        <f t="shared" si="2"/>
        <v/>
      </c>
      <c r="S16" s="662"/>
      <c r="T16" s="657" t="s">
        <v>331</v>
      </c>
      <c r="U16" s="662" t="str">
        <f t="shared" si="5"/>
        <v>Zach VanSickle</v>
      </c>
      <c r="V16" s="703" t="str">
        <f>Teams!$H7</f>
        <v>Armarouge</v>
      </c>
      <c r="W16" s="662">
        <v>75.0</v>
      </c>
      <c r="Y16" s="662" t="s">
        <v>115</v>
      </c>
      <c r="Z16" s="686">
        <v>110.0</v>
      </c>
      <c r="AA16" s="662"/>
      <c r="AB16" s="662"/>
      <c r="AC16" s="662"/>
      <c r="AD16" s="662"/>
    </row>
    <row r="17">
      <c r="A17" s="673"/>
      <c r="B17" s="708" t="s">
        <v>86</v>
      </c>
      <c r="C17" s="675">
        <v>9.0</v>
      </c>
      <c r="D17" s="704"/>
      <c r="E17" s="662"/>
      <c r="F17" s="662"/>
      <c r="G17" s="662"/>
      <c r="H17" s="662"/>
      <c r="I17" s="662"/>
      <c r="J17" s="677"/>
      <c r="K17" s="677"/>
      <c r="L17" s="677"/>
      <c r="M17" s="709"/>
      <c r="N17" s="710"/>
      <c r="O17" s="686">
        <v>2.0</v>
      </c>
      <c r="P17" s="702" t="str">
        <f t="shared" si="4"/>
        <v/>
      </c>
      <c r="Q17" s="682" t="s">
        <v>342</v>
      </c>
      <c r="R17" s="686" t="str">
        <f t="shared" si="2"/>
        <v/>
      </c>
      <c r="S17" s="662"/>
      <c r="T17" s="657" t="s">
        <v>331</v>
      </c>
      <c r="U17" s="662" t="str">
        <f t="shared" si="5"/>
        <v>Zach VanSickle</v>
      </c>
      <c r="V17" s="662" t="str">
        <f>Teams!$H8</f>
        <v>Indeedee-Female</v>
      </c>
      <c r="W17" s="662">
        <v>85.0</v>
      </c>
      <c r="Y17" s="662" t="s">
        <v>109</v>
      </c>
      <c r="Z17" s="686">
        <v>100.0</v>
      </c>
      <c r="AA17" s="662"/>
      <c r="AB17" s="662"/>
      <c r="AC17" s="662"/>
      <c r="AD17" s="662"/>
    </row>
    <row r="18">
      <c r="A18" s="736"/>
      <c r="B18" s="708" t="s">
        <v>80</v>
      </c>
      <c r="C18" s="675">
        <v>9.0</v>
      </c>
      <c r="D18" s="704"/>
      <c r="E18" s="662"/>
      <c r="F18" s="662"/>
      <c r="G18" s="662"/>
      <c r="H18" s="662"/>
      <c r="I18" s="662"/>
      <c r="J18" s="677"/>
      <c r="K18" s="677"/>
      <c r="L18" s="677"/>
      <c r="M18" s="722"/>
      <c r="N18" s="723"/>
      <c r="O18" s="686">
        <v>2.0</v>
      </c>
      <c r="P18" s="702" t="str">
        <f t="shared" si="4"/>
        <v/>
      </c>
      <c r="Q18" s="682" t="s">
        <v>342</v>
      </c>
      <c r="R18" s="686" t="str">
        <f t="shared" si="2"/>
        <v/>
      </c>
      <c r="S18" s="662"/>
      <c r="T18" s="657" t="s">
        <v>331</v>
      </c>
      <c r="U18" s="662" t="str">
        <f t="shared" si="5"/>
        <v>Zach VanSickle</v>
      </c>
      <c r="V18" s="662" t="str">
        <f>Teams!$H9</f>
        <v>Skeledirge</v>
      </c>
      <c r="W18" s="662">
        <v>66.0</v>
      </c>
      <c r="Y18" s="662" t="s">
        <v>84</v>
      </c>
      <c r="Z18" s="686">
        <v>85.0</v>
      </c>
      <c r="AA18" s="662"/>
      <c r="AB18" s="662"/>
      <c r="AC18" s="662"/>
      <c r="AD18" s="662"/>
    </row>
    <row r="19">
      <c r="A19" s="673"/>
      <c r="B19" s="674" t="s">
        <v>77</v>
      </c>
      <c r="C19" s="675">
        <v>9.0</v>
      </c>
      <c r="D19" s="740"/>
      <c r="E19" s="662"/>
      <c r="L19" s="677"/>
      <c r="M19" s="689">
        <v>3.0</v>
      </c>
      <c r="N19" s="690">
        <v>1.0</v>
      </c>
      <c r="O19" s="683">
        <v>3.0</v>
      </c>
      <c r="P19" s="692" t="str">
        <f t="shared" si="4"/>
        <v>Dick Hansen</v>
      </c>
      <c r="Q19" s="682" t="s">
        <v>342</v>
      </c>
      <c r="R19" s="683" t="str">
        <f t="shared" si="2"/>
        <v>Jackson McLoughlin</v>
      </c>
      <c r="S19" s="662"/>
      <c r="T19" s="657" t="s">
        <v>331</v>
      </c>
      <c r="U19" s="662" t="str">
        <f t="shared" si="5"/>
        <v>Zach VanSickle</v>
      </c>
      <c r="V19" s="662" t="str">
        <f>Teams!$H10</f>
        <v>Gastrodon</v>
      </c>
      <c r="W19" s="662">
        <v>39.0</v>
      </c>
      <c r="Y19" s="662" t="s">
        <v>127</v>
      </c>
      <c r="Z19" s="686">
        <v>80.0</v>
      </c>
      <c r="AA19" s="662"/>
      <c r="AB19" s="662"/>
      <c r="AC19" s="662"/>
      <c r="AD19" s="662"/>
    </row>
    <row r="20">
      <c r="A20" s="673"/>
      <c r="B20" s="708" t="s">
        <v>101</v>
      </c>
      <c r="C20" s="675">
        <v>9.0</v>
      </c>
      <c r="D20" s="740"/>
      <c r="E20" s="662"/>
      <c r="F20" s="662"/>
      <c r="G20" s="662"/>
      <c r="H20" s="662"/>
      <c r="I20" s="662"/>
      <c r="J20" s="677"/>
      <c r="K20" s="742"/>
      <c r="L20" s="743"/>
      <c r="M20" s="700">
        <v>2.0</v>
      </c>
      <c r="N20" s="701">
        <v>6.0</v>
      </c>
      <c r="O20" s="686">
        <v>3.0</v>
      </c>
      <c r="P20" s="702" t="str">
        <f t="shared" si="4"/>
        <v>Zach VanSickle</v>
      </c>
      <c r="Q20" s="682" t="s">
        <v>342</v>
      </c>
      <c r="R20" s="686" t="str">
        <f t="shared" si="2"/>
        <v>Tyler Gottfredsen</v>
      </c>
      <c r="S20" s="677"/>
      <c r="T20" s="657" t="s">
        <v>331</v>
      </c>
      <c r="U20" s="662" t="str">
        <f t="shared" si="5"/>
        <v>Zach VanSickle</v>
      </c>
      <c r="V20" s="662" t="str">
        <f>Teams!$H11</f>
        <v>Dragapult</v>
      </c>
      <c r="W20" s="662">
        <v>142.0</v>
      </c>
      <c r="Y20" s="703" t="s">
        <v>76</v>
      </c>
      <c r="Z20" s="686">
        <v>75.0</v>
      </c>
      <c r="AA20" s="677"/>
      <c r="AB20" s="677"/>
      <c r="AC20" s="677"/>
      <c r="AD20" s="677"/>
    </row>
    <row r="21">
      <c r="A21" s="673"/>
      <c r="B21" s="708" t="s">
        <v>87</v>
      </c>
      <c r="C21" s="675">
        <v>9.0</v>
      </c>
      <c r="D21" s="704"/>
      <c r="E21" s="662"/>
      <c r="F21" s="662"/>
      <c r="G21" s="662"/>
      <c r="H21" s="662"/>
      <c r="I21" s="662"/>
      <c r="J21" s="677"/>
      <c r="K21" s="677"/>
      <c r="L21" s="662"/>
      <c r="M21" s="700">
        <v>4.0</v>
      </c>
      <c r="N21" s="701">
        <v>5.0</v>
      </c>
      <c r="O21" s="686">
        <v>3.0</v>
      </c>
      <c r="P21" s="702" t="str">
        <f t="shared" si="4"/>
        <v>Ian Heslin</v>
      </c>
      <c r="Q21" s="682" t="s">
        <v>342</v>
      </c>
      <c r="R21" s="686" t="str">
        <f t="shared" si="2"/>
        <v>Ryan Tidey</v>
      </c>
      <c r="S21" s="677"/>
      <c r="T21" s="657" t="s">
        <v>331</v>
      </c>
      <c r="U21" s="662" t="str">
        <f t="shared" si="5"/>
        <v>Zach VanSickle</v>
      </c>
      <c r="V21" s="662" t="str">
        <f>Teams!$H12</f>
        <v>Slaking</v>
      </c>
      <c r="W21" s="677">
        <v>100.0</v>
      </c>
      <c r="Y21" s="677" t="s">
        <v>90</v>
      </c>
      <c r="Z21" s="746">
        <v>66.0</v>
      </c>
      <c r="AA21" s="677"/>
      <c r="AB21" s="677"/>
      <c r="AC21" s="677"/>
      <c r="AD21" s="677"/>
    </row>
    <row r="22">
      <c r="A22" s="673"/>
      <c r="B22" s="708" t="s">
        <v>112</v>
      </c>
      <c r="C22" s="675">
        <v>8.0</v>
      </c>
      <c r="D22" s="704"/>
      <c r="E22" s="662"/>
      <c r="F22" s="662"/>
      <c r="G22" s="662"/>
      <c r="H22" s="662"/>
      <c r="I22" s="662"/>
      <c r="J22" s="677"/>
      <c r="K22" s="677"/>
      <c r="L22" s="677"/>
      <c r="M22" s="709"/>
      <c r="N22" s="710"/>
      <c r="O22" s="686">
        <v>3.0</v>
      </c>
      <c r="P22" s="702" t="str">
        <f t="shared" si="4"/>
        <v/>
      </c>
      <c r="Q22" s="682" t="s">
        <v>342</v>
      </c>
      <c r="R22" s="686" t="str">
        <f t="shared" si="2"/>
        <v/>
      </c>
      <c r="S22" s="677"/>
      <c r="T22" s="657" t="s">
        <v>331</v>
      </c>
      <c r="U22" s="662" t="str">
        <f t="shared" si="5"/>
        <v>Zach VanSickle</v>
      </c>
      <c r="V22" s="662" t="str">
        <f>Teams!$H13</f>
        <v>Grafaiai</v>
      </c>
      <c r="W22" s="677">
        <v>110.0</v>
      </c>
      <c r="Y22" s="677" t="s">
        <v>121</v>
      </c>
      <c r="Z22" s="746">
        <v>60.0</v>
      </c>
      <c r="AA22" s="677"/>
      <c r="AB22" s="677"/>
      <c r="AC22" s="677"/>
      <c r="AD22" s="677"/>
    </row>
    <row r="23">
      <c r="A23" s="673"/>
      <c r="B23" s="674" t="s">
        <v>102</v>
      </c>
      <c r="C23" s="675">
        <v>8.0</v>
      </c>
      <c r="D23" s="704"/>
      <c r="E23" s="662"/>
      <c r="F23" s="662"/>
      <c r="G23" s="662"/>
      <c r="H23" s="662"/>
      <c r="I23" s="662"/>
      <c r="J23" s="677"/>
      <c r="K23" s="677"/>
      <c r="L23" s="677"/>
      <c r="M23" s="709"/>
      <c r="N23" s="710"/>
      <c r="O23" s="686">
        <v>3.0</v>
      </c>
      <c r="P23" s="702" t="str">
        <f t="shared" si="4"/>
        <v/>
      </c>
      <c r="Q23" s="682" t="s">
        <v>342</v>
      </c>
      <c r="R23" s="686" t="str">
        <f t="shared" si="2"/>
        <v/>
      </c>
      <c r="S23" s="677"/>
      <c r="T23" s="657" t="s">
        <v>331</v>
      </c>
      <c r="U23" s="662" t="str">
        <f t="shared" si="5"/>
        <v>Zach VanSickle</v>
      </c>
      <c r="V23" s="662" t="str">
        <f>Teams!$H14</f>
        <v>Magnezone</v>
      </c>
      <c r="W23" s="677">
        <v>60.0</v>
      </c>
      <c r="Y23" s="677" t="s">
        <v>96</v>
      </c>
      <c r="Z23" s="746">
        <v>39.0</v>
      </c>
      <c r="AA23" s="677"/>
      <c r="AB23" s="677"/>
      <c r="AC23" s="677"/>
      <c r="AD23" s="677"/>
    </row>
    <row r="24">
      <c r="A24" s="673"/>
      <c r="B24" s="674" t="s">
        <v>94</v>
      </c>
      <c r="C24" s="675">
        <v>8.0</v>
      </c>
      <c r="D24" s="704"/>
      <c r="E24" s="662"/>
      <c r="F24" s="662"/>
      <c r="G24" s="662"/>
      <c r="H24" s="662"/>
      <c r="I24" s="662"/>
      <c r="J24" s="677"/>
      <c r="K24" s="677"/>
      <c r="L24" s="677"/>
      <c r="M24" s="709"/>
      <c r="N24" s="710"/>
      <c r="O24" s="686">
        <v>3.0</v>
      </c>
      <c r="P24" s="702" t="str">
        <f t="shared" si="4"/>
        <v/>
      </c>
      <c r="Q24" s="682" t="s">
        <v>342</v>
      </c>
      <c r="R24" s="686" t="str">
        <f t="shared" si="2"/>
        <v/>
      </c>
      <c r="S24" s="677"/>
      <c r="T24" s="727" t="s">
        <v>331</v>
      </c>
      <c r="U24" s="715" t="str">
        <f t="shared" si="5"/>
        <v>Zach VanSickle</v>
      </c>
      <c r="V24" s="715" t="str">
        <f>Teams!$H15</f>
        <v>Magikarp</v>
      </c>
      <c r="W24" s="750">
        <v>80.0</v>
      </c>
      <c r="X24" s="111"/>
      <c r="Y24" s="753" t="s">
        <v>58</v>
      </c>
      <c r="Z24" s="716"/>
      <c r="AA24" s="677"/>
      <c r="AB24" s="677"/>
      <c r="AC24" s="677"/>
      <c r="AD24" s="677"/>
    </row>
    <row r="25">
      <c r="A25" s="673"/>
      <c r="B25" s="708" t="s">
        <v>107</v>
      </c>
      <c r="C25" s="675">
        <v>8.0</v>
      </c>
      <c r="D25" s="704"/>
      <c r="E25" s="662"/>
      <c r="F25" s="662"/>
      <c r="G25" s="662"/>
      <c r="H25" s="662"/>
      <c r="I25" s="662"/>
      <c r="J25" s="677"/>
      <c r="K25" s="677"/>
      <c r="L25" s="677"/>
      <c r="M25" s="709"/>
      <c r="N25" s="710"/>
      <c r="O25" s="686">
        <v>3.0</v>
      </c>
      <c r="P25" s="702" t="str">
        <f t="shared" si="4"/>
        <v/>
      </c>
      <c r="Q25" s="682" t="s">
        <v>342</v>
      </c>
      <c r="R25" s="686" t="str">
        <f t="shared" si="2"/>
        <v/>
      </c>
      <c r="S25" s="677"/>
      <c r="T25" s="678" t="s">
        <v>331</v>
      </c>
      <c r="U25" s="754" t="str">
        <f t="shared" ref="U25:U35" si="6">$F$5</f>
        <v>Dick Hansen</v>
      </c>
      <c r="V25" s="755" t="str">
        <f>Teams!$L5</f>
        <v>Sylveon</v>
      </c>
      <c r="W25" s="754">
        <v>60.0</v>
      </c>
      <c r="X25" s="91"/>
      <c r="Y25" s="682" t="str">
        <f t="array" ref="Y25:Z35">SORT(V25:W35,2,0)</f>
        <v>Lycanroc-Dusk</v>
      </c>
      <c r="Z25" s="756">
        <v>110.0</v>
      </c>
      <c r="AA25" s="677"/>
      <c r="AB25" s="677"/>
      <c r="AC25" s="677"/>
      <c r="AD25" s="677"/>
    </row>
    <row r="26">
      <c r="A26" s="673"/>
      <c r="B26" s="674" t="s">
        <v>90</v>
      </c>
      <c r="C26" s="675">
        <v>8.0</v>
      </c>
      <c r="D26" s="704"/>
      <c r="E26" s="662"/>
      <c r="F26" s="662"/>
      <c r="G26" s="662"/>
      <c r="H26" s="662"/>
      <c r="I26" s="662"/>
      <c r="J26" s="677"/>
      <c r="K26" s="677"/>
      <c r="L26" s="677"/>
      <c r="M26" s="722"/>
      <c r="N26" s="723"/>
      <c r="O26" s="686">
        <v>3.0</v>
      </c>
      <c r="P26" s="702" t="str">
        <f t="shared" si="4"/>
        <v/>
      </c>
      <c r="Q26" s="682" t="s">
        <v>342</v>
      </c>
      <c r="R26" s="686" t="str">
        <f t="shared" si="2"/>
        <v/>
      </c>
      <c r="S26" s="677"/>
      <c r="T26" s="657" t="s">
        <v>331</v>
      </c>
      <c r="U26" s="677" t="str">
        <f t="shared" si="6"/>
        <v>Dick Hansen</v>
      </c>
      <c r="V26" s="758" t="str">
        <f>Teams!$L6</f>
        <v>Kingambit</v>
      </c>
      <c r="W26" s="677">
        <v>50.0</v>
      </c>
      <c r="Y26" s="677" t="s">
        <v>110</v>
      </c>
      <c r="Z26" s="746">
        <v>110.0</v>
      </c>
      <c r="AA26" s="677"/>
      <c r="AB26" s="677"/>
      <c r="AC26" s="677"/>
      <c r="AD26" s="677"/>
    </row>
    <row r="27">
      <c r="A27" s="673"/>
      <c r="B27" s="708" t="s">
        <v>85</v>
      </c>
      <c r="C27" s="675">
        <v>8.0</v>
      </c>
      <c r="D27" s="704"/>
      <c r="E27" s="662"/>
      <c r="F27" s="662"/>
      <c r="G27" s="662"/>
      <c r="H27" s="662"/>
      <c r="I27" s="662"/>
      <c r="J27" s="677"/>
      <c r="K27" s="677"/>
      <c r="L27" s="677"/>
      <c r="M27" s="689">
        <v>2.0</v>
      </c>
      <c r="N27" s="690">
        <v>5.0</v>
      </c>
      <c r="O27" s="683">
        <v>4.0</v>
      </c>
      <c r="P27" s="692" t="str">
        <f t="shared" si="4"/>
        <v>Zach VanSickle</v>
      </c>
      <c r="Q27" s="682" t="s">
        <v>342</v>
      </c>
      <c r="R27" s="683" t="str">
        <f t="shared" si="2"/>
        <v>Ryan Tidey</v>
      </c>
      <c r="S27" s="677"/>
      <c r="T27" s="657" t="s">
        <v>331</v>
      </c>
      <c r="U27" s="677" t="str">
        <f t="shared" si="6"/>
        <v>Dick Hansen</v>
      </c>
      <c r="V27" s="758" t="str">
        <f>Teams!$L7</f>
        <v>Volcarona</v>
      </c>
      <c r="W27" s="677">
        <v>100.0</v>
      </c>
      <c r="Y27" s="677" t="s">
        <v>97</v>
      </c>
      <c r="Z27" s="746">
        <v>105.0</v>
      </c>
      <c r="AA27" s="677"/>
      <c r="AB27" s="677"/>
      <c r="AC27" s="677"/>
      <c r="AD27" s="677"/>
    </row>
    <row r="28">
      <c r="A28" s="673"/>
      <c r="B28" s="674" t="s">
        <v>92</v>
      </c>
      <c r="C28" s="675">
        <v>8.0</v>
      </c>
      <c r="D28" s="704"/>
      <c r="E28" s="662"/>
      <c r="F28" s="662"/>
      <c r="G28" s="662"/>
      <c r="H28" s="662"/>
      <c r="I28" s="662"/>
      <c r="J28" s="759"/>
      <c r="K28" s="677"/>
      <c r="L28" s="677"/>
      <c r="M28" s="700">
        <v>1.0</v>
      </c>
      <c r="N28" s="701">
        <v>4.0</v>
      </c>
      <c r="O28" s="686">
        <v>4.0</v>
      </c>
      <c r="P28" s="702" t="str">
        <f t="shared" si="4"/>
        <v>Jackson McLoughlin</v>
      </c>
      <c r="Q28" s="682" t="s">
        <v>342</v>
      </c>
      <c r="R28" s="686" t="str">
        <f t="shared" si="2"/>
        <v>Ian Heslin</v>
      </c>
      <c r="S28" s="677"/>
      <c r="T28" s="657" t="s">
        <v>331</v>
      </c>
      <c r="U28" s="677" t="str">
        <f t="shared" si="6"/>
        <v>Dick Hansen</v>
      </c>
      <c r="V28" s="677" t="str">
        <f>Teams!$L8</f>
        <v>Pelipper</v>
      </c>
      <c r="W28" s="677">
        <v>65.0</v>
      </c>
      <c r="Y28" s="758" t="s">
        <v>77</v>
      </c>
      <c r="Z28" s="746">
        <v>100.0</v>
      </c>
      <c r="AA28" s="677"/>
      <c r="AB28" s="677"/>
      <c r="AC28" s="677"/>
      <c r="AD28" s="677"/>
    </row>
    <row r="29">
      <c r="A29" s="673"/>
      <c r="B29" s="734" t="s">
        <v>351</v>
      </c>
      <c r="C29" s="675">
        <v>8.0</v>
      </c>
      <c r="D29" s="704"/>
      <c r="E29" s="662"/>
      <c r="F29" s="662"/>
      <c r="G29" s="662"/>
      <c r="H29" s="662"/>
      <c r="I29" s="662"/>
      <c r="J29" s="677"/>
      <c r="K29" s="677"/>
      <c r="L29" s="677"/>
      <c r="M29" s="700">
        <v>3.0</v>
      </c>
      <c r="N29" s="701">
        <v>6.0</v>
      </c>
      <c r="O29" s="686">
        <v>4.0</v>
      </c>
      <c r="P29" s="702" t="str">
        <f t="shared" si="4"/>
        <v>Dick Hansen</v>
      </c>
      <c r="Q29" s="682" t="s">
        <v>342</v>
      </c>
      <c r="R29" s="686" t="str">
        <f t="shared" si="2"/>
        <v>Tyler Gottfredsen</v>
      </c>
      <c r="S29" s="677"/>
      <c r="T29" s="657" t="s">
        <v>331</v>
      </c>
      <c r="U29" s="677" t="str">
        <f t="shared" si="6"/>
        <v>Dick Hansen</v>
      </c>
      <c r="V29" s="677" t="str">
        <f>Teams!$L9</f>
        <v>Palafin</v>
      </c>
      <c r="W29" s="677">
        <v>100.0</v>
      </c>
      <c r="Y29" s="677" t="s">
        <v>91</v>
      </c>
      <c r="Z29" s="746">
        <v>100.0</v>
      </c>
      <c r="AA29" s="677"/>
      <c r="AB29" s="677"/>
      <c r="AC29" s="677"/>
      <c r="AD29" s="677"/>
    </row>
    <row r="30">
      <c r="A30" s="673"/>
      <c r="B30" s="674" t="s">
        <v>91</v>
      </c>
      <c r="C30" s="675">
        <v>8.0</v>
      </c>
      <c r="D30" s="704"/>
      <c r="E30" s="662"/>
      <c r="F30" s="662"/>
      <c r="G30" s="662"/>
      <c r="H30" s="662"/>
      <c r="I30" s="662"/>
      <c r="J30" s="677"/>
      <c r="K30" s="677"/>
      <c r="L30" s="677"/>
      <c r="M30" s="709"/>
      <c r="N30" s="710"/>
      <c r="O30" s="686">
        <v>4.0</v>
      </c>
      <c r="P30" s="702" t="str">
        <f t="shared" si="4"/>
        <v/>
      </c>
      <c r="Q30" s="682" t="s">
        <v>342</v>
      </c>
      <c r="R30" s="686" t="str">
        <f t="shared" si="2"/>
        <v/>
      </c>
      <c r="S30" s="677"/>
      <c r="T30" s="657" t="s">
        <v>331</v>
      </c>
      <c r="U30" s="677" t="str">
        <f t="shared" si="6"/>
        <v>Dick Hansen</v>
      </c>
      <c r="V30" s="677" t="str">
        <f>Teams!$L10</f>
        <v>Pawmot</v>
      </c>
      <c r="W30" s="677">
        <v>105.0</v>
      </c>
      <c r="Y30" s="677" t="s">
        <v>122</v>
      </c>
      <c r="Z30" s="746">
        <v>75.0</v>
      </c>
      <c r="AA30" s="677"/>
      <c r="AB30" s="677"/>
      <c r="AC30" s="677"/>
      <c r="AD30" s="677"/>
    </row>
    <row r="31">
      <c r="A31" s="673"/>
      <c r="B31" s="761" t="s">
        <v>67</v>
      </c>
      <c r="C31" s="675">
        <v>8.0</v>
      </c>
      <c r="D31" s="704"/>
      <c r="E31" s="662"/>
      <c r="F31" s="662"/>
      <c r="G31" s="662"/>
      <c r="H31" s="662"/>
      <c r="I31" s="662"/>
      <c r="J31" s="677"/>
      <c r="K31" s="677"/>
      <c r="L31" s="677"/>
      <c r="M31" s="762"/>
      <c r="N31" s="763"/>
      <c r="O31" s="686">
        <v>4.0</v>
      </c>
      <c r="P31" s="702" t="str">
        <f t="shared" si="4"/>
        <v/>
      </c>
      <c r="Q31" s="682" t="s">
        <v>342</v>
      </c>
      <c r="R31" s="686" t="str">
        <f t="shared" si="2"/>
        <v/>
      </c>
      <c r="S31" s="677"/>
      <c r="T31" s="657" t="s">
        <v>331</v>
      </c>
      <c r="U31" s="677" t="str">
        <f t="shared" si="6"/>
        <v>Dick Hansen</v>
      </c>
      <c r="V31" s="677" t="str">
        <f>Teams!$L11</f>
        <v>Lycanroc-Dusk</v>
      </c>
      <c r="W31" s="677">
        <v>110.0</v>
      </c>
      <c r="Y31" s="677" t="s">
        <v>85</v>
      </c>
      <c r="Z31" s="746">
        <v>65.0</v>
      </c>
      <c r="AA31" s="677"/>
      <c r="AB31" s="677"/>
      <c r="AC31" s="677"/>
      <c r="AD31" s="677"/>
    </row>
    <row r="32">
      <c r="A32" s="673"/>
      <c r="B32" s="761" t="s">
        <v>352</v>
      </c>
      <c r="C32" s="675">
        <v>8.0</v>
      </c>
      <c r="D32" s="704"/>
      <c r="E32" s="662"/>
      <c r="F32" s="662"/>
      <c r="G32" s="662"/>
      <c r="H32" s="662"/>
      <c r="I32" s="662"/>
      <c r="J32" s="677"/>
      <c r="K32" s="677"/>
      <c r="L32" s="677"/>
      <c r="M32" s="700"/>
      <c r="N32" s="701"/>
      <c r="O32" s="686">
        <v>4.0</v>
      </c>
      <c r="P32" s="702" t="str">
        <f t="shared" si="4"/>
        <v/>
      </c>
      <c r="Q32" s="682" t="s">
        <v>342</v>
      </c>
      <c r="R32" s="686" t="str">
        <f t="shared" si="2"/>
        <v/>
      </c>
      <c r="S32" s="677"/>
      <c r="T32" s="657" t="s">
        <v>331</v>
      </c>
      <c r="U32" s="677" t="str">
        <f t="shared" si="6"/>
        <v>Dick Hansen</v>
      </c>
      <c r="V32" s="677" t="str">
        <f>Teams!$L12</f>
        <v>Raichu</v>
      </c>
      <c r="W32" s="677">
        <v>110.0</v>
      </c>
      <c r="Y32" s="758" t="s">
        <v>59</v>
      </c>
      <c r="Z32" s="746">
        <v>60.0</v>
      </c>
      <c r="AA32" s="677"/>
      <c r="AB32" s="677"/>
      <c r="AC32" s="677"/>
      <c r="AD32" s="677"/>
    </row>
    <row r="33">
      <c r="A33" s="673"/>
      <c r="B33" s="734" t="s">
        <v>353</v>
      </c>
      <c r="C33" s="675"/>
      <c r="D33" s="704"/>
      <c r="E33" s="662"/>
      <c r="F33" s="662"/>
      <c r="G33" s="662"/>
      <c r="H33" s="662"/>
      <c r="I33" s="662"/>
      <c r="J33" s="677"/>
      <c r="K33" s="677"/>
      <c r="L33" s="677"/>
      <c r="M33" s="700"/>
      <c r="N33" s="701"/>
      <c r="O33" s="686">
        <v>4.0</v>
      </c>
      <c r="P33" s="702" t="str">
        <f t="shared" si="4"/>
        <v/>
      </c>
      <c r="Q33" s="682" t="s">
        <v>342</v>
      </c>
      <c r="R33" s="686" t="str">
        <f t="shared" si="2"/>
        <v/>
      </c>
      <c r="S33" s="677"/>
      <c r="T33" s="657" t="s">
        <v>331</v>
      </c>
      <c r="U33" s="677" t="str">
        <f t="shared" si="6"/>
        <v>Dick Hansen</v>
      </c>
      <c r="V33" s="677" t="str">
        <f>Teams!$L13</f>
        <v>Mudsdale</v>
      </c>
      <c r="W33" s="677">
        <v>35.0</v>
      </c>
      <c r="Y33" s="758" t="s">
        <v>70</v>
      </c>
      <c r="Z33" s="746">
        <v>50.0</v>
      </c>
      <c r="AA33" s="677"/>
      <c r="AB33" s="677"/>
      <c r="AC33" s="677"/>
      <c r="AD33" s="677"/>
    </row>
    <row r="34">
      <c r="A34" s="673"/>
      <c r="B34" s="708" t="s">
        <v>354</v>
      </c>
      <c r="C34" s="675">
        <v>6.0</v>
      </c>
      <c r="D34" s="704"/>
      <c r="E34" s="662"/>
      <c r="F34" s="662"/>
      <c r="G34" s="662"/>
      <c r="H34" s="662"/>
      <c r="I34" s="662"/>
      <c r="J34" s="677"/>
      <c r="K34" s="677"/>
      <c r="L34" s="677"/>
      <c r="M34" s="722"/>
      <c r="N34" s="723"/>
      <c r="O34" s="686">
        <v>4.0</v>
      </c>
      <c r="P34" s="702" t="str">
        <f t="shared" si="4"/>
        <v/>
      </c>
      <c r="Q34" s="682" t="s">
        <v>342</v>
      </c>
      <c r="R34" s="686" t="str">
        <f t="shared" si="2"/>
        <v/>
      </c>
      <c r="S34" s="677"/>
      <c r="T34" s="657" t="s">
        <v>331</v>
      </c>
      <c r="U34" s="677" t="str">
        <f t="shared" si="6"/>
        <v>Dick Hansen</v>
      </c>
      <c r="V34" s="677" t="str">
        <f>Teams!$L14</f>
        <v>Toxtricity</v>
      </c>
      <c r="W34" s="677">
        <v>75.0</v>
      </c>
      <c r="Y34" s="677" t="s">
        <v>128</v>
      </c>
      <c r="Z34" s="746">
        <v>40.0</v>
      </c>
      <c r="AA34" s="677"/>
      <c r="AB34" s="677"/>
      <c r="AC34" s="677"/>
      <c r="AD34" s="677"/>
    </row>
    <row r="35">
      <c r="A35" s="673"/>
      <c r="B35" s="674" t="s">
        <v>103</v>
      </c>
      <c r="C35" s="675">
        <v>6.0</v>
      </c>
      <c r="D35" s="704"/>
      <c r="E35" s="662"/>
      <c r="F35" s="662"/>
      <c r="G35" s="662"/>
      <c r="H35" s="662"/>
      <c r="I35" s="662"/>
      <c r="J35" s="677"/>
      <c r="K35" s="677"/>
      <c r="L35" s="677"/>
      <c r="M35" s="689">
        <v>2.0</v>
      </c>
      <c r="N35" s="690">
        <v>1.0</v>
      </c>
      <c r="O35" s="683">
        <v>5.0</v>
      </c>
      <c r="P35" s="692" t="str">
        <f t="shared" si="4"/>
        <v>Zach VanSickle</v>
      </c>
      <c r="Q35" s="682" t="s">
        <v>342</v>
      </c>
      <c r="R35" s="683" t="str">
        <f t="shared" si="2"/>
        <v>Jackson McLoughlin</v>
      </c>
      <c r="S35" s="677"/>
      <c r="T35" s="727" t="s">
        <v>331</v>
      </c>
      <c r="U35" s="750" t="str">
        <f t="shared" si="6"/>
        <v>Dick Hansen</v>
      </c>
      <c r="V35" s="750" t="str">
        <f>Teams!$L15</f>
        <v>Camerupt</v>
      </c>
      <c r="W35" s="750">
        <v>40.0</v>
      </c>
      <c r="X35" s="111"/>
      <c r="Y35" s="750" t="s">
        <v>116</v>
      </c>
      <c r="Z35" s="716">
        <v>35.0</v>
      </c>
      <c r="AA35" s="677"/>
      <c r="AB35" s="677"/>
      <c r="AC35" s="677"/>
      <c r="AD35" s="677"/>
    </row>
    <row r="36">
      <c r="A36" s="673"/>
      <c r="B36" s="674" t="s">
        <v>75</v>
      </c>
      <c r="C36" s="675">
        <v>6.0</v>
      </c>
      <c r="D36" s="704"/>
      <c r="E36" s="676"/>
      <c r="F36" s="676"/>
      <c r="G36" s="676"/>
      <c r="H36" s="676"/>
      <c r="I36" s="676"/>
      <c r="J36" s="676"/>
      <c r="K36" s="676"/>
      <c r="L36" s="677"/>
      <c r="M36" s="700">
        <v>3.0</v>
      </c>
      <c r="N36" s="701">
        <v>5.0</v>
      </c>
      <c r="O36" s="686">
        <v>5.0</v>
      </c>
      <c r="P36" s="702" t="str">
        <f t="shared" si="4"/>
        <v>Dick Hansen</v>
      </c>
      <c r="Q36" s="682" t="s">
        <v>342</v>
      </c>
      <c r="R36" s="686" t="str">
        <f t="shared" si="2"/>
        <v>Ryan Tidey</v>
      </c>
      <c r="S36" s="677"/>
      <c r="T36" s="657" t="s">
        <v>331</v>
      </c>
      <c r="U36" s="662" t="str">
        <f t="shared" ref="U36:U46" si="7">$F$6</f>
        <v>Ian Heslin</v>
      </c>
      <c r="V36" s="758" t="str">
        <f>Teams!$P5</f>
        <v>Murkrow</v>
      </c>
      <c r="W36" s="677">
        <v>91.0</v>
      </c>
      <c r="Y36" s="662" t="str">
        <f t="array" ref="Y36:Z46">SORT(V36:W46,2,0)</f>
        <v>Jolteon</v>
      </c>
      <c r="Z36" s="746">
        <v>130.0</v>
      </c>
      <c r="AA36" s="677"/>
      <c r="AB36" s="677"/>
      <c r="AC36" s="677"/>
      <c r="AD36" s="677"/>
    </row>
    <row r="37">
      <c r="A37" s="673"/>
      <c r="B37" s="674" t="s">
        <v>304</v>
      </c>
      <c r="C37" s="675">
        <v>6.0</v>
      </c>
      <c r="D37" s="704"/>
      <c r="E37" s="767"/>
      <c r="F37" s="767"/>
      <c r="G37" s="767"/>
      <c r="H37" s="767"/>
      <c r="I37" s="767"/>
      <c r="J37" s="769"/>
      <c r="K37" s="769"/>
      <c r="L37" s="677"/>
      <c r="M37" s="700">
        <v>4.0</v>
      </c>
      <c r="N37" s="701">
        <v>6.0</v>
      </c>
      <c r="O37" s="686">
        <v>5.0</v>
      </c>
      <c r="P37" s="702" t="str">
        <f t="shared" si="4"/>
        <v>Ian Heslin</v>
      </c>
      <c r="Q37" s="682" t="s">
        <v>342</v>
      </c>
      <c r="R37" s="686" t="str">
        <f t="shared" si="2"/>
        <v>Tyler Gottfredsen</v>
      </c>
      <c r="S37" s="677"/>
      <c r="T37" s="657" t="s">
        <v>331</v>
      </c>
      <c r="U37" s="662" t="str">
        <f t="shared" si="7"/>
        <v>Ian Heslin</v>
      </c>
      <c r="V37" s="758" t="str">
        <f>Teams!$P6</f>
        <v>Meowscarada</v>
      </c>
      <c r="W37" s="677">
        <v>123.0</v>
      </c>
      <c r="Y37" s="758" t="s">
        <v>71</v>
      </c>
      <c r="Z37" s="746">
        <v>123.0</v>
      </c>
      <c r="AA37" s="677"/>
      <c r="AB37" s="677"/>
      <c r="AC37" s="677"/>
      <c r="AD37" s="677"/>
    </row>
    <row r="38">
      <c r="A38" s="673"/>
      <c r="B38" s="674" t="s">
        <v>83</v>
      </c>
      <c r="C38" s="675">
        <v>6.0</v>
      </c>
      <c r="D38" s="704"/>
      <c r="E38" s="767"/>
      <c r="F38" s="767"/>
      <c r="G38" s="767"/>
      <c r="H38" s="767"/>
      <c r="I38" s="767"/>
      <c r="J38" s="769"/>
      <c r="K38" s="769"/>
      <c r="L38" s="677"/>
      <c r="M38" s="709"/>
      <c r="N38" s="710"/>
      <c r="O38" s="686">
        <v>5.0</v>
      </c>
      <c r="P38" s="702" t="str">
        <f t="shared" si="4"/>
        <v/>
      </c>
      <c r="Q38" s="682" t="s">
        <v>342</v>
      </c>
      <c r="R38" s="686" t="str">
        <f t="shared" si="2"/>
        <v/>
      </c>
      <c r="S38" s="677"/>
      <c r="T38" s="657" t="s">
        <v>331</v>
      </c>
      <c r="U38" s="662" t="str">
        <f t="shared" si="7"/>
        <v>Ian Heslin</v>
      </c>
      <c r="V38" s="758" t="str">
        <f>Teams!$P7</f>
        <v>Garchomp</v>
      </c>
      <c r="W38" s="677">
        <v>102.0</v>
      </c>
      <c r="Y38" s="677" t="s">
        <v>117</v>
      </c>
      <c r="Z38" s="746">
        <v>105.0</v>
      </c>
      <c r="AA38" s="677"/>
      <c r="AB38" s="677"/>
      <c r="AC38" s="677"/>
      <c r="AD38" s="677"/>
    </row>
    <row r="39">
      <c r="A39" s="673"/>
      <c r="B39" s="708" t="s">
        <v>93</v>
      </c>
      <c r="C39" s="675">
        <v>6.0</v>
      </c>
      <c r="D39" s="704"/>
      <c r="E39" s="767"/>
      <c r="F39" s="767"/>
      <c r="G39" s="767"/>
      <c r="H39" s="767"/>
      <c r="I39" s="767"/>
      <c r="J39" s="769"/>
      <c r="K39" s="769"/>
      <c r="L39" s="677"/>
      <c r="M39" s="709"/>
      <c r="N39" s="710"/>
      <c r="O39" s="686">
        <v>5.0</v>
      </c>
      <c r="P39" s="702" t="str">
        <f t="shared" si="4"/>
        <v/>
      </c>
      <c r="Q39" s="682" t="s">
        <v>342</v>
      </c>
      <c r="R39" s="686" t="str">
        <f t="shared" si="2"/>
        <v/>
      </c>
      <c r="S39" s="677"/>
      <c r="T39" s="657" t="s">
        <v>331</v>
      </c>
      <c r="U39" s="662" t="str">
        <f t="shared" si="7"/>
        <v>Ian Heslin</v>
      </c>
      <c r="V39" s="677" t="str">
        <f>Teams!$P8</f>
        <v>Arcanine</v>
      </c>
      <c r="W39" s="677">
        <v>95.0</v>
      </c>
      <c r="Y39" s="758" t="s">
        <v>78</v>
      </c>
      <c r="Z39" s="746">
        <v>102.0</v>
      </c>
      <c r="AA39" s="677"/>
      <c r="AB39" s="677"/>
      <c r="AC39" s="677"/>
      <c r="AD39" s="677"/>
    </row>
    <row r="40">
      <c r="A40" s="673"/>
      <c r="B40" s="674" t="s">
        <v>97</v>
      </c>
      <c r="C40" s="675">
        <v>6.0</v>
      </c>
      <c r="D40" s="704"/>
      <c r="E40" s="767"/>
      <c r="F40" s="772"/>
      <c r="G40" s="772"/>
      <c r="H40" s="772"/>
      <c r="I40" s="772"/>
      <c r="J40" s="769"/>
      <c r="K40" s="769"/>
      <c r="L40" s="677"/>
      <c r="M40" s="709"/>
      <c r="N40" s="710"/>
      <c r="O40" s="686">
        <v>5.0</v>
      </c>
      <c r="P40" s="702" t="str">
        <f t="shared" si="4"/>
        <v/>
      </c>
      <c r="Q40" s="682" t="s">
        <v>342</v>
      </c>
      <c r="R40" s="686" t="str">
        <f t="shared" si="2"/>
        <v/>
      </c>
      <c r="S40" s="677"/>
      <c r="T40" s="657" t="s">
        <v>331</v>
      </c>
      <c r="U40" s="662" t="str">
        <f t="shared" si="7"/>
        <v>Ian Heslin</v>
      </c>
      <c r="V40" s="677" t="str">
        <f>Teams!$P9</f>
        <v>Mimikyu</v>
      </c>
      <c r="W40" s="677">
        <v>96.0</v>
      </c>
      <c r="Y40" s="677" t="s">
        <v>129</v>
      </c>
      <c r="Z40" s="746">
        <v>100.0</v>
      </c>
      <c r="AA40" s="677"/>
      <c r="AB40" s="677"/>
      <c r="AC40" s="677"/>
      <c r="AD40" s="677"/>
    </row>
    <row r="41">
      <c r="A41" s="673"/>
      <c r="B41" s="708" t="s">
        <v>79</v>
      </c>
      <c r="C41" s="675">
        <v>6.0</v>
      </c>
      <c r="D41" s="704"/>
      <c r="E41" s="767"/>
      <c r="F41" s="767"/>
      <c r="G41" s="767"/>
      <c r="H41" s="767"/>
      <c r="I41" s="767"/>
      <c r="J41" s="769"/>
      <c r="K41" s="769"/>
      <c r="L41" s="677"/>
      <c r="M41" s="709"/>
      <c r="N41" s="710"/>
      <c r="O41" s="686">
        <v>5.0</v>
      </c>
      <c r="P41" s="702" t="str">
        <f t="shared" si="4"/>
        <v/>
      </c>
      <c r="Q41" s="682" t="s">
        <v>342</v>
      </c>
      <c r="R41" s="686" t="str">
        <f t="shared" si="2"/>
        <v/>
      </c>
      <c r="S41" s="677"/>
      <c r="T41" s="657" t="s">
        <v>331</v>
      </c>
      <c r="U41" s="662" t="str">
        <f t="shared" si="7"/>
        <v>Ian Heslin</v>
      </c>
      <c r="V41" s="677" t="str">
        <f>Teams!$P10</f>
        <v>Gothitelle</v>
      </c>
      <c r="W41" s="677">
        <v>65.0</v>
      </c>
      <c r="Y41" s="677" t="s">
        <v>92</v>
      </c>
      <c r="Z41" s="746">
        <v>96.0</v>
      </c>
      <c r="AA41" s="677"/>
      <c r="AB41" s="677"/>
      <c r="AC41" s="677"/>
      <c r="AD41" s="677"/>
    </row>
    <row r="42">
      <c r="A42" s="673"/>
      <c r="B42" s="674" t="s">
        <v>88</v>
      </c>
      <c r="C42" s="675">
        <v>6.0</v>
      </c>
      <c r="D42" s="704"/>
      <c r="E42" s="767"/>
      <c r="F42" s="772"/>
      <c r="G42" s="772"/>
      <c r="H42" s="772"/>
      <c r="I42" s="772"/>
      <c r="J42" s="769"/>
      <c r="K42" s="769"/>
      <c r="L42" s="677"/>
      <c r="M42" s="722"/>
      <c r="N42" s="723"/>
      <c r="O42" s="686">
        <v>5.0</v>
      </c>
      <c r="P42" s="702" t="str">
        <f t="shared" si="4"/>
        <v/>
      </c>
      <c r="Q42" s="682" t="s">
        <v>342</v>
      </c>
      <c r="R42" s="686" t="str">
        <f t="shared" si="2"/>
        <v/>
      </c>
      <c r="S42" s="677"/>
      <c r="T42" s="657" t="s">
        <v>331</v>
      </c>
      <c r="U42" s="662" t="str">
        <f t="shared" si="7"/>
        <v>Ian Heslin</v>
      </c>
      <c r="V42" s="677" t="str">
        <f>Teams!$P11</f>
        <v>Scizor</v>
      </c>
      <c r="W42" s="677">
        <v>65.0</v>
      </c>
      <c r="Y42" s="677" t="s">
        <v>86</v>
      </c>
      <c r="Z42" s="746">
        <v>95.0</v>
      </c>
      <c r="AA42" s="677"/>
      <c r="AB42" s="677"/>
      <c r="AC42" s="677"/>
      <c r="AD42" s="677"/>
    </row>
    <row r="43">
      <c r="A43" s="673"/>
      <c r="B43" s="674" t="s">
        <v>98</v>
      </c>
      <c r="C43" s="675">
        <v>6.0</v>
      </c>
      <c r="D43" s="704"/>
      <c r="E43" s="767"/>
      <c r="F43" s="772"/>
      <c r="G43" s="772"/>
      <c r="H43" s="772"/>
      <c r="I43" s="772"/>
      <c r="J43" s="769"/>
      <c r="K43" s="769"/>
      <c r="L43" s="677"/>
      <c r="M43" s="689">
        <v>2.0</v>
      </c>
      <c r="N43" s="690">
        <v>3.0</v>
      </c>
      <c r="O43" s="683">
        <v>6.0</v>
      </c>
      <c r="P43" s="692" t="str">
        <f t="shared" si="4"/>
        <v>Zach VanSickle</v>
      </c>
      <c r="Q43" s="682" t="s">
        <v>342</v>
      </c>
      <c r="R43" s="683" t="str">
        <f t="shared" si="2"/>
        <v>Dick Hansen</v>
      </c>
      <c r="S43" s="677"/>
      <c r="T43" s="657" t="s">
        <v>331</v>
      </c>
      <c r="U43" s="677" t="str">
        <f t="shared" si="7"/>
        <v>Ian Heslin</v>
      </c>
      <c r="V43" s="677" t="str">
        <f>Teams!$P12</f>
        <v>Jolteon</v>
      </c>
      <c r="W43" s="677">
        <v>130.0</v>
      </c>
      <c r="Y43" s="758" t="s">
        <v>61</v>
      </c>
      <c r="Z43" s="746">
        <v>91.0</v>
      </c>
      <c r="AA43" s="677"/>
      <c r="AB43" s="677"/>
      <c r="AC43" s="677"/>
      <c r="AD43" s="677"/>
    </row>
    <row r="44">
      <c r="A44" s="673"/>
      <c r="B44" s="674" t="s">
        <v>305</v>
      </c>
      <c r="C44" s="675">
        <v>6.0</v>
      </c>
      <c r="D44" s="704"/>
      <c r="E44" s="767"/>
      <c r="F44" s="772"/>
      <c r="G44" s="772"/>
      <c r="H44" s="772"/>
      <c r="I44" s="772"/>
      <c r="J44" s="769"/>
      <c r="K44" s="769"/>
      <c r="L44" s="677"/>
      <c r="M44" s="700">
        <v>1.0</v>
      </c>
      <c r="N44" s="701">
        <v>6.0</v>
      </c>
      <c r="O44" s="686">
        <v>6.0</v>
      </c>
      <c r="P44" s="702" t="str">
        <f t="shared" si="4"/>
        <v>Jackson McLoughlin</v>
      </c>
      <c r="Q44" s="682" t="s">
        <v>342</v>
      </c>
      <c r="R44" s="686" t="str">
        <f t="shared" si="2"/>
        <v>Tyler Gottfredsen</v>
      </c>
      <c r="S44" s="677"/>
      <c r="T44" s="657" t="s">
        <v>331</v>
      </c>
      <c r="U44" s="677" t="str">
        <f t="shared" si="7"/>
        <v>Ian Heslin</v>
      </c>
      <c r="V44" s="677" t="str">
        <f>Teams!$P13</f>
        <v>Espathra</v>
      </c>
      <c r="W44" s="677">
        <v>105.0</v>
      </c>
      <c r="Y44" s="677" t="s">
        <v>123</v>
      </c>
      <c r="Z44" s="746">
        <v>86.0</v>
      </c>
      <c r="AA44" s="677"/>
      <c r="AB44" s="677"/>
      <c r="AC44" s="677"/>
      <c r="AD44" s="677"/>
    </row>
    <row r="45">
      <c r="A45" s="673"/>
      <c r="B45" s="708" t="s">
        <v>104</v>
      </c>
      <c r="C45" s="675">
        <v>6.0</v>
      </c>
      <c r="D45" s="704"/>
      <c r="E45" s="767"/>
      <c r="F45" s="772"/>
      <c r="G45" s="772"/>
      <c r="H45" s="772"/>
      <c r="I45" s="772"/>
      <c r="J45" s="769"/>
      <c r="K45" s="769"/>
      <c r="L45" s="677"/>
      <c r="M45" s="700">
        <v>4.0</v>
      </c>
      <c r="N45" s="701">
        <v>5.0</v>
      </c>
      <c r="O45" s="686">
        <v>6.0</v>
      </c>
      <c r="P45" s="702" t="str">
        <f t="shared" si="4"/>
        <v>Ian Heslin</v>
      </c>
      <c r="Q45" s="682" t="s">
        <v>342</v>
      </c>
      <c r="R45" s="686" t="str">
        <f t="shared" si="2"/>
        <v>Ryan Tidey</v>
      </c>
      <c r="S45" s="677"/>
      <c r="T45" s="657" t="s">
        <v>331</v>
      </c>
      <c r="U45" s="677" t="str">
        <f t="shared" si="7"/>
        <v>Ian Heslin</v>
      </c>
      <c r="V45" s="677" t="str">
        <f>Teams!$P14</f>
        <v>Rotom-Frost</v>
      </c>
      <c r="W45" s="677">
        <v>86.0</v>
      </c>
      <c r="Y45" s="677" t="s">
        <v>98</v>
      </c>
      <c r="Z45" s="746">
        <v>65.0</v>
      </c>
      <c r="AA45" s="677"/>
      <c r="AB45" s="677"/>
      <c r="AC45" s="677"/>
      <c r="AD45" s="677"/>
    </row>
    <row r="46">
      <c r="A46" s="673"/>
      <c r="B46" s="708" t="s">
        <v>362</v>
      </c>
      <c r="C46" s="675">
        <v>5.0</v>
      </c>
      <c r="D46" s="704"/>
      <c r="E46" s="767"/>
      <c r="F46" s="772"/>
      <c r="G46" s="772"/>
      <c r="H46" s="772"/>
      <c r="I46" s="772"/>
      <c r="J46" s="769"/>
      <c r="K46" s="769"/>
      <c r="L46" s="677"/>
      <c r="M46" s="709"/>
      <c r="N46" s="710"/>
      <c r="O46" s="686">
        <v>6.0</v>
      </c>
      <c r="P46" s="702" t="str">
        <f t="shared" si="4"/>
        <v/>
      </c>
      <c r="Q46" s="682" t="s">
        <v>342</v>
      </c>
      <c r="R46" s="686" t="str">
        <f t="shared" si="2"/>
        <v/>
      </c>
      <c r="S46" s="677"/>
      <c r="T46" s="727" t="s">
        <v>331</v>
      </c>
      <c r="U46" s="750" t="str">
        <f t="shared" si="7"/>
        <v>Ian Heslin</v>
      </c>
      <c r="V46" s="750" t="str">
        <f>Teams!$P15</f>
        <v>Staraptor</v>
      </c>
      <c r="W46" s="750">
        <v>100.0</v>
      </c>
      <c r="X46" s="111"/>
      <c r="Y46" s="750" t="s">
        <v>105</v>
      </c>
      <c r="Z46" s="716">
        <v>65.0</v>
      </c>
      <c r="AA46" s="677"/>
      <c r="AB46" s="677"/>
      <c r="AC46" s="677"/>
      <c r="AD46" s="677"/>
    </row>
    <row r="47">
      <c r="A47" s="673"/>
      <c r="B47" s="674" t="s">
        <v>130</v>
      </c>
      <c r="C47" s="675">
        <v>5.0</v>
      </c>
      <c r="D47" s="704"/>
      <c r="E47" s="767"/>
      <c r="F47" s="772"/>
      <c r="G47" s="772"/>
      <c r="H47" s="772"/>
      <c r="I47" s="772"/>
      <c r="J47" s="769"/>
      <c r="K47" s="769"/>
      <c r="L47" s="677"/>
      <c r="M47" s="709"/>
      <c r="N47" s="710"/>
      <c r="O47" s="686">
        <v>6.0</v>
      </c>
      <c r="P47" s="702" t="str">
        <f t="shared" si="4"/>
        <v/>
      </c>
      <c r="Q47" s="682" t="s">
        <v>342</v>
      </c>
      <c r="R47" s="686" t="str">
        <f t="shared" si="2"/>
        <v/>
      </c>
      <c r="S47" s="677"/>
      <c r="T47" s="657" t="s">
        <v>331</v>
      </c>
      <c r="U47" s="677" t="str">
        <f t="shared" ref="U47:U57" si="8">$F$7</f>
        <v>Ryan Tidey</v>
      </c>
      <c r="V47" s="758" t="str">
        <f>Teams!$T5</f>
        <v>Hydreigon</v>
      </c>
      <c r="W47" s="677">
        <v>98.0</v>
      </c>
      <c r="Y47" s="703" t="str">
        <f t="array" ref="Y47:Z57">SORT(V47:W57,2,0)</f>
        <v>Gengar</v>
      </c>
      <c r="Z47" s="746">
        <v>110.0</v>
      </c>
      <c r="AA47" s="677"/>
      <c r="AB47" s="677"/>
      <c r="AC47" s="677"/>
      <c r="AD47" s="677"/>
    </row>
    <row r="48">
      <c r="A48" s="673"/>
      <c r="B48" s="674" t="s">
        <v>120</v>
      </c>
      <c r="C48" s="675">
        <v>5.0</v>
      </c>
      <c r="D48" s="704"/>
      <c r="E48" s="767"/>
      <c r="F48" s="772"/>
      <c r="G48" s="772"/>
      <c r="H48" s="772"/>
      <c r="I48" s="772"/>
      <c r="J48" s="769"/>
      <c r="K48" s="769"/>
      <c r="L48" s="677"/>
      <c r="M48" s="709"/>
      <c r="N48" s="710"/>
      <c r="O48" s="686">
        <v>6.0</v>
      </c>
      <c r="P48" s="702" t="str">
        <f t="shared" si="4"/>
        <v/>
      </c>
      <c r="Q48" s="682" t="s">
        <v>342</v>
      </c>
      <c r="R48" s="686" t="str">
        <f t="shared" si="2"/>
        <v/>
      </c>
      <c r="S48" s="677"/>
      <c r="T48" s="657" t="s">
        <v>331</v>
      </c>
      <c r="U48" s="677" t="str">
        <f t="shared" si="8"/>
        <v>Ryan Tidey</v>
      </c>
      <c r="V48" s="758" t="str">
        <f>Teams!$T6</f>
        <v>Amoonguss</v>
      </c>
      <c r="W48" s="677">
        <v>30.0</v>
      </c>
      <c r="Y48" s="758" t="s">
        <v>63</v>
      </c>
      <c r="Z48" s="746">
        <v>98.0</v>
      </c>
      <c r="AA48" s="677"/>
      <c r="AB48" s="677"/>
      <c r="AC48" s="677"/>
      <c r="AD48" s="677"/>
    </row>
    <row r="49">
      <c r="A49" s="673"/>
      <c r="B49" s="708" t="s">
        <v>114</v>
      </c>
      <c r="C49" s="675">
        <v>5.0</v>
      </c>
      <c r="D49" s="704"/>
      <c r="E49" s="767"/>
      <c r="F49" s="767"/>
      <c r="G49" s="767"/>
      <c r="H49" s="767"/>
      <c r="I49" s="767"/>
      <c r="J49" s="767"/>
      <c r="K49" s="767"/>
      <c r="L49" s="677"/>
      <c r="M49" s="709"/>
      <c r="N49" s="710"/>
      <c r="O49" s="686">
        <v>6.0</v>
      </c>
      <c r="P49" s="702" t="str">
        <f t="shared" si="4"/>
        <v/>
      </c>
      <c r="Q49" s="682" t="s">
        <v>342</v>
      </c>
      <c r="R49" s="686" t="str">
        <f t="shared" si="2"/>
        <v/>
      </c>
      <c r="S49" s="677"/>
      <c r="T49" s="657" t="s">
        <v>331</v>
      </c>
      <c r="U49" s="677" t="str">
        <f t="shared" si="8"/>
        <v>Ryan Tidey</v>
      </c>
      <c r="V49" s="758" t="str">
        <f>Teams!$T7</f>
        <v>Gengar</v>
      </c>
      <c r="W49" s="677">
        <v>110.0</v>
      </c>
      <c r="Y49" s="677" t="s">
        <v>124</v>
      </c>
      <c r="Z49" s="746">
        <v>90.0</v>
      </c>
      <c r="AA49" s="677"/>
      <c r="AB49" s="677"/>
      <c r="AC49" s="677"/>
      <c r="AD49" s="677"/>
    </row>
    <row r="50">
      <c r="A50" s="673"/>
      <c r="B50" s="708" t="s">
        <v>363</v>
      </c>
      <c r="C50" s="675">
        <v>5.0</v>
      </c>
      <c r="D50" s="704"/>
      <c r="E50" s="767"/>
      <c r="F50" s="767"/>
      <c r="G50" s="767"/>
      <c r="H50" s="767"/>
      <c r="I50" s="767"/>
      <c r="J50" s="767"/>
      <c r="K50" s="767"/>
      <c r="L50" s="677"/>
      <c r="M50" s="722"/>
      <c r="N50" s="723"/>
      <c r="O50" s="686">
        <v>6.0</v>
      </c>
      <c r="P50" s="702" t="str">
        <f t="shared" si="4"/>
        <v/>
      </c>
      <c r="Q50" s="682" t="s">
        <v>342</v>
      </c>
      <c r="R50" s="686" t="str">
        <f t="shared" si="2"/>
        <v/>
      </c>
      <c r="S50" s="677"/>
      <c r="T50" s="657" t="s">
        <v>331</v>
      </c>
      <c r="U50" s="677" t="str">
        <f t="shared" si="8"/>
        <v>Ryan Tidey</v>
      </c>
      <c r="V50" s="677" t="str">
        <f>Teams!$T8</f>
        <v>Azumarill</v>
      </c>
      <c r="W50" s="677">
        <v>50.0</v>
      </c>
      <c r="Y50" s="677" t="s">
        <v>130</v>
      </c>
      <c r="Z50" s="746">
        <v>90.0</v>
      </c>
      <c r="AA50" s="677"/>
      <c r="AB50" s="677"/>
      <c r="AC50" s="677"/>
      <c r="AD50" s="677"/>
    </row>
    <row r="51">
      <c r="A51" s="673"/>
      <c r="B51" s="674" t="s">
        <v>96</v>
      </c>
      <c r="C51" s="675">
        <v>5.0</v>
      </c>
      <c r="D51" s="704"/>
      <c r="E51" s="767"/>
      <c r="F51" s="767"/>
      <c r="G51" s="767"/>
      <c r="H51" s="767"/>
      <c r="I51" s="767"/>
      <c r="J51" s="767"/>
      <c r="K51" s="767"/>
      <c r="L51" s="677"/>
      <c r="M51" s="689">
        <v>3.0</v>
      </c>
      <c r="N51" s="690">
        <v>1.0</v>
      </c>
      <c r="O51" s="683">
        <v>7.0</v>
      </c>
      <c r="P51" s="692" t="str">
        <f t="shared" si="4"/>
        <v>Dick Hansen</v>
      </c>
      <c r="Q51" s="682" t="s">
        <v>342</v>
      </c>
      <c r="R51" s="683" t="str">
        <f t="shared" si="2"/>
        <v>Jackson McLoughlin</v>
      </c>
      <c r="S51" s="677"/>
      <c r="T51" s="657" t="s">
        <v>331</v>
      </c>
      <c r="U51" s="677" t="str">
        <f t="shared" si="8"/>
        <v>Ryan Tidey</v>
      </c>
      <c r="V51" s="677" t="str">
        <f>Teams!$T9</f>
        <v>Hariyama</v>
      </c>
      <c r="W51" s="677">
        <v>50.0</v>
      </c>
      <c r="Y51" s="677" t="s">
        <v>106</v>
      </c>
      <c r="Z51" s="746">
        <v>65.0</v>
      </c>
      <c r="AA51" s="677"/>
      <c r="AB51" s="677"/>
      <c r="AC51" s="677"/>
      <c r="AD51" s="677"/>
    </row>
    <row r="52">
      <c r="A52" s="673"/>
      <c r="B52" s="674" t="s">
        <v>99</v>
      </c>
      <c r="C52" s="675">
        <v>5.0</v>
      </c>
      <c r="D52" s="704"/>
      <c r="E52" s="767"/>
      <c r="F52" s="767"/>
      <c r="G52" s="767"/>
      <c r="H52" s="767"/>
      <c r="I52" s="767"/>
      <c r="J52" s="767"/>
      <c r="K52" s="767"/>
      <c r="L52" s="677"/>
      <c r="M52" s="700">
        <v>2.0</v>
      </c>
      <c r="N52" s="701">
        <v>4.0</v>
      </c>
      <c r="O52" s="686">
        <v>7.0</v>
      </c>
      <c r="P52" s="702" t="str">
        <f t="shared" si="4"/>
        <v>Zach VanSickle</v>
      </c>
      <c r="Q52" s="682" t="s">
        <v>342</v>
      </c>
      <c r="R52" s="686" t="str">
        <f t="shared" si="2"/>
        <v>Ian Heslin</v>
      </c>
      <c r="S52" s="677"/>
      <c r="T52" s="657" t="s">
        <v>331</v>
      </c>
      <c r="U52" s="677" t="str">
        <f t="shared" si="8"/>
        <v>Ryan Tidey</v>
      </c>
      <c r="V52" s="677" t="str">
        <f>Teams!$T10</f>
        <v>Oranguru</v>
      </c>
      <c r="W52" s="677">
        <v>60.0</v>
      </c>
      <c r="Y52" s="677" t="s">
        <v>99</v>
      </c>
      <c r="Z52" s="746">
        <v>60.0</v>
      </c>
      <c r="AA52" s="677"/>
      <c r="AB52" s="677"/>
      <c r="AC52" s="677"/>
      <c r="AD52" s="677"/>
    </row>
    <row r="53">
      <c r="A53" s="673"/>
      <c r="B53" s="674" t="s">
        <v>364</v>
      </c>
      <c r="C53" s="675">
        <v>5.0</v>
      </c>
      <c r="D53" s="704"/>
      <c r="E53" s="767"/>
      <c r="F53" s="767"/>
      <c r="G53" s="767"/>
      <c r="H53" s="767"/>
      <c r="I53" s="767"/>
      <c r="J53" s="767"/>
      <c r="K53" s="767"/>
      <c r="L53" s="677"/>
      <c r="M53" s="700">
        <v>5.0</v>
      </c>
      <c r="N53" s="701">
        <v>6.0</v>
      </c>
      <c r="O53" s="686">
        <v>7.0</v>
      </c>
      <c r="P53" s="702" t="str">
        <f t="shared" si="4"/>
        <v>Ryan Tidey</v>
      </c>
      <c r="Q53" s="682" t="s">
        <v>342</v>
      </c>
      <c r="R53" s="686" t="str">
        <f t="shared" si="2"/>
        <v>Tyler Gottfredsen</v>
      </c>
      <c r="S53" s="677"/>
      <c r="T53" s="657" t="s">
        <v>331</v>
      </c>
      <c r="U53" s="677" t="str">
        <f t="shared" si="8"/>
        <v>Ryan Tidey</v>
      </c>
      <c r="V53" s="677" t="str">
        <f>Teams!$T11</f>
        <v>Orthworm</v>
      </c>
      <c r="W53" s="677">
        <v>65.0</v>
      </c>
      <c r="Y53" s="677" t="s">
        <v>87</v>
      </c>
      <c r="Z53" s="746">
        <v>50.0</v>
      </c>
      <c r="AA53" s="677"/>
      <c r="AB53" s="677"/>
      <c r="AC53" s="677"/>
      <c r="AD53" s="677"/>
    </row>
    <row r="54">
      <c r="A54" s="673"/>
      <c r="B54" s="674" t="s">
        <v>89</v>
      </c>
      <c r="C54" s="675">
        <v>5.0</v>
      </c>
      <c r="D54" s="704"/>
      <c r="E54" s="767"/>
      <c r="F54" s="767"/>
      <c r="G54" s="767"/>
      <c r="H54" s="767"/>
      <c r="I54" s="767"/>
      <c r="J54" s="767"/>
      <c r="K54" s="767"/>
      <c r="L54" s="677"/>
      <c r="M54" s="709"/>
      <c r="N54" s="710"/>
      <c r="O54" s="686">
        <v>7.0</v>
      </c>
      <c r="P54" s="702" t="str">
        <f t="shared" si="4"/>
        <v/>
      </c>
      <c r="Q54" s="682" t="s">
        <v>342</v>
      </c>
      <c r="R54" s="686" t="str">
        <f t="shared" si="2"/>
        <v/>
      </c>
      <c r="S54" s="677"/>
      <c r="T54" s="657" t="s">
        <v>331</v>
      </c>
      <c r="U54" s="677" t="str">
        <f t="shared" si="8"/>
        <v>Ryan Tidey</v>
      </c>
      <c r="V54" s="677" t="str">
        <f>Teams!$T12</f>
        <v>Torkoal</v>
      </c>
      <c r="W54" s="677">
        <v>20.0</v>
      </c>
      <c r="Y54" s="677" t="s">
        <v>93</v>
      </c>
      <c r="Z54" s="746">
        <v>50.0</v>
      </c>
      <c r="AA54" s="677"/>
      <c r="AB54" s="677"/>
      <c r="AC54" s="677"/>
      <c r="AD54" s="677"/>
    </row>
    <row r="55">
      <c r="A55" s="673"/>
      <c r="B55" s="708" t="s">
        <v>365</v>
      </c>
      <c r="C55" s="675">
        <v>5.0</v>
      </c>
      <c r="D55" s="704"/>
      <c r="E55" s="767"/>
      <c r="F55" s="767"/>
      <c r="G55" s="767"/>
      <c r="H55" s="767"/>
      <c r="I55" s="767"/>
      <c r="J55" s="767"/>
      <c r="K55" s="767"/>
      <c r="L55" s="677"/>
      <c r="M55" s="709"/>
      <c r="N55" s="710"/>
      <c r="O55" s="686">
        <v>7.0</v>
      </c>
      <c r="P55" s="702" t="str">
        <f t="shared" si="4"/>
        <v/>
      </c>
      <c r="Q55" s="682" t="s">
        <v>342</v>
      </c>
      <c r="R55" s="686" t="str">
        <f t="shared" si="2"/>
        <v/>
      </c>
      <c r="S55" s="677"/>
      <c r="T55" s="657" t="s">
        <v>331</v>
      </c>
      <c r="U55" s="677" t="str">
        <f t="shared" si="8"/>
        <v>Ryan Tidey</v>
      </c>
      <c r="V55" s="677" t="str">
        <f>Teams!$T13</f>
        <v>Chansey</v>
      </c>
      <c r="W55" s="677">
        <v>50.0</v>
      </c>
      <c r="Y55" s="677" t="s">
        <v>118</v>
      </c>
      <c r="Z55" s="746">
        <v>50.0</v>
      </c>
      <c r="AA55" s="677"/>
      <c r="AB55" s="677"/>
      <c r="AC55" s="677"/>
      <c r="AD55" s="677"/>
    </row>
    <row r="56">
      <c r="A56" s="673"/>
      <c r="B56" s="708" t="s">
        <v>366</v>
      </c>
      <c r="C56" s="675">
        <v>5.0</v>
      </c>
      <c r="D56" s="704"/>
      <c r="E56" s="767"/>
      <c r="F56" s="767"/>
      <c r="G56" s="767"/>
      <c r="H56" s="767"/>
      <c r="I56" s="767"/>
      <c r="J56" s="767"/>
      <c r="K56" s="767"/>
      <c r="L56" s="677"/>
      <c r="M56" s="709"/>
      <c r="N56" s="710"/>
      <c r="O56" s="686">
        <v>7.0</v>
      </c>
      <c r="P56" s="702" t="str">
        <f t="shared" si="4"/>
        <v/>
      </c>
      <c r="Q56" s="682" t="s">
        <v>342</v>
      </c>
      <c r="R56" s="686" t="str">
        <f t="shared" si="2"/>
        <v/>
      </c>
      <c r="S56" s="677"/>
      <c r="T56" s="657" t="s">
        <v>331</v>
      </c>
      <c r="U56" s="677" t="str">
        <f t="shared" si="8"/>
        <v>Ryan Tidey</v>
      </c>
      <c r="V56" s="677" t="str">
        <f>Teams!$T14</f>
        <v>Lilligant</v>
      </c>
      <c r="W56" s="677">
        <v>90.0</v>
      </c>
      <c r="Y56" s="758" t="s">
        <v>72</v>
      </c>
      <c r="Z56" s="746">
        <v>30.0</v>
      </c>
      <c r="AA56" s="677"/>
      <c r="AB56" s="677"/>
      <c r="AC56" s="677"/>
      <c r="AD56" s="677"/>
    </row>
    <row r="57">
      <c r="A57" s="673"/>
      <c r="B57" s="708" t="s">
        <v>105</v>
      </c>
      <c r="C57" s="675">
        <v>4.0</v>
      </c>
      <c r="D57" s="704"/>
      <c r="E57" s="767"/>
      <c r="F57" s="767"/>
      <c r="G57" s="767"/>
      <c r="H57" s="767"/>
      <c r="I57" s="767"/>
      <c r="J57" s="767"/>
      <c r="K57" s="767"/>
      <c r="L57" s="677"/>
      <c r="M57" s="709"/>
      <c r="N57" s="710"/>
      <c r="O57" s="686">
        <v>7.0</v>
      </c>
      <c r="P57" s="702" t="str">
        <f t="shared" si="4"/>
        <v/>
      </c>
      <c r="Q57" s="682" t="s">
        <v>342</v>
      </c>
      <c r="R57" s="686" t="str">
        <f t="shared" si="2"/>
        <v/>
      </c>
      <c r="S57" s="677"/>
      <c r="T57" s="727" t="s">
        <v>331</v>
      </c>
      <c r="U57" s="750" t="str">
        <f t="shared" si="8"/>
        <v>Ryan Tidey</v>
      </c>
      <c r="V57" s="750" t="str">
        <f>Teams!$T15</f>
        <v>Flamigo</v>
      </c>
      <c r="W57" s="750">
        <v>90.0</v>
      </c>
      <c r="X57" s="111"/>
      <c r="Y57" s="750" t="s">
        <v>112</v>
      </c>
      <c r="Z57" s="716">
        <v>20.0</v>
      </c>
      <c r="AA57" s="677"/>
      <c r="AB57" s="677"/>
      <c r="AC57" s="677"/>
      <c r="AD57" s="677"/>
    </row>
    <row r="58">
      <c r="A58" s="673"/>
      <c r="B58" s="674" t="s">
        <v>108</v>
      </c>
      <c r="C58" s="675">
        <v>4.0</v>
      </c>
      <c r="D58" s="704"/>
      <c r="E58" s="767"/>
      <c r="F58" s="767"/>
      <c r="G58" s="767"/>
      <c r="H58" s="767"/>
      <c r="I58" s="767"/>
      <c r="J58" s="767"/>
      <c r="K58" s="767"/>
      <c r="L58" s="677"/>
      <c r="M58" s="777"/>
      <c r="N58" s="778"/>
      <c r="O58" s="729">
        <v>7.0</v>
      </c>
      <c r="P58" s="779" t="str">
        <f t="shared" si="4"/>
        <v/>
      </c>
      <c r="Q58" s="780" t="s">
        <v>342</v>
      </c>
      <c r="R58" s="729" t="str">
        <f t="shared" si="2"/>
        <v/>
      </c>
      <c r="S58" s="677"/>
      <c r="T58" s="657" t="s">
        <v>331</v>
      </c>
      <c r="U58" s="677" t="str">
        <f t="shared" ref="U58:U68" si="9">$F$8</f>
        <v>Tyler Gottfredsen</v>
      </c>
      <c r="V58" s="758" t="str">
        <f>Teams!$X5</f>
        <v>Dondozo</v>
      </c>
      <c r="W58" s="677">
        <v>35.0</v>
      </c>
      <c r="Y58" s="662" t="str">
        <f t="array" ref="Y58:Z68">SORT(V58:W68,2,0)</f>
        <v>Talonflame</v>
      </c>
      <c r="Z58" s="746">
        <v>126.0</v>
      </c>
      <c r="AA58" s="677"/>
      <c r="AB58" s="677"/>
      <c r="AC58" s="677"/>
      <c r="AD58" s="677"/>
    </row>
    <row r="59">
      <c r="A59" s="673"/>
      <c r="B59" s="674" t="s">
        <v>95</v>
      </c>
      <c r="C59" s="675">
        <v>4.0</v>
      </c>
      <c r="D59" s="704"/>
      <c r="E59" s="767"/>
      <c r="F59" s="767"/>
      <c r="G59" s="772"/>
      <c r="H59" s="772"/>
      <c r="I59" s="772"/>
      <c r="J59" s="769"/>
      <c r="K59" s="769"/>
      <c r="L59" s="677"/>
      <c r="S59" s="677"/>
      <c r="T59" s="657" t="s">
        <v>331</v>
      </c>
      <c r="U59" s="677" t="str">
        <f t="shared" si="9"/>
        <v>Tyler Gottfredsen</v>
      </c>
      <c r="V59" s="758" t="str">
        <f>Teams!$X6</f>
        <v>Tatsugiri</v>
      </c>
      <c r="W59" s="677">
        <v>82.0</v>
      </c>
      <c r="Y59" s="677" t="s">
        <v>113</v>
      </c>
      <c r="Z59" s="746">
        <v>112.0</v>
      </c>
      <c r="AA59" s="677"/>
      <c r="AB59" s="677"/>
      <c r="AC59" s="677"/>
      <c r="AD59" s="677"/>
    </row>
    <row r="60">
      <c r="A60" s="673"/>
      <c r="B60" s="674" t="s">
        <v>367</v>
      </c>
      <c r="C60" s="675">
        <v>4.0</v>
      </c>
      <c r="D60" s="704"/>
      <c r="E60" s="767"/>
      <c r="F60" s="767"/>
      <c r="G60" s="772"/>
      <c r="H60" s="772"/>
      <c r="I60" s="772"/>
      <c r="J60" s="769"/>
      <c r="K60" s="769"/>
      <c r="L60" s="677"/>
      <c r="M60" s="785" t="s">
        <v>368</v>
      </c>
      <c r="N60" s="91"/>
      <c r="O60" s="91"/>
      <c r="P60" s="91"/>
      <c r="Q60" s="91"/>
      <c r="R60" s="92"/>
      <c r="S60" s="677"/>
      <c r="T60" s="657" t="s">
        <v>331</v>
      </c>
      <c r="U60" s="677" t="str">
        <f t="shared" si="9"/>
        <v>Tyler Gottfredsen</v>
      </c>
      <c r="V60" s="758" t="str">
        <f>Teams!$X7</f>
        <v>Dragonite</v>
      </c>
      <c r="W60" s="677">
        <v>80.0</v>
      </c>
      <c r="Y60" s="677" t="s">
        <v>119</v>
      </c>
      <c r="Z60" s="746">
        <v>95.0</v>
      </c>
      <c r="AA60" s="677"/>
      <c r="AB60" s="677"/>
      <c r="AC60" s="677"/>
      <c r="AD60" s="677"/>
    </row>
    <row r="61">
      <c r="A61" s="673"/>
      <c r="B61" s="674" t="s">
        <v>303</v>
      </c>
      <c r="C61" s="675">
        <v>4.0</v>
      </c>
      <c r="D61" s="704"/>
      <c r="E61" s="767"/>
      <c r="F61" s="767"/>
      <c r="G61" s="772"/>
      <c r="H61" s="772"/>
      <c r="I61" s="772"/>
      <c r="J61" s="769"/>
      <c r="K61" s="769"/>
      <c r="L61" s="677"/>
      <c r="M61" s="678" t="s">
        <v>332</v>
      </c>
      <c r="N61" s="679" t="s">
        <v>333</v>
      </c>
      <c r="O61" s="658" t="s">
        <v>334</v>
      </c>
      <c r="P61" s="681" t="s">
        <v>335</v>
      </c>
      <c r="Q61" s="682"/>
      <c r="R61" s="683" t="s">
        <v>336</v>
      </c>
      <c r="S61" s="677"/>
      <c r="T61" s="657" t="s">
        <v>331</v>
      </c>
      <c r="U61" s="677" t="str">
        <f t="shared" si="9"/>
        <v>Tyler Gottfredsen</v>
      </c>
      <c r="V61" s="677" t="str">
        <f>Teams!$X8</f>
        <v>Gallade</v>
      </c>
      <c r="W61" s="677">
        <v>80.0</v>
      </c>
      <c r="Y61" s="677" t="s">
        <v>94</v>
      </c>
      <c r="Z61" s="746">
        <v>87.0</v>
      </c>
      <c r="AA61" s="677"/>
      <c r="AB61" s="677"/>
      <c r="AC61" s="677"/>
      <c r="AD61" s="677"/>
    </row>
    <row r="62">
      <c r="A62" s="673"/>
      <c r="B62" s="674" t="s">
        <v>262</v>
      </c>
      <c r="C62" s="675">
        <v>4.0</v>
      </c>
      <c r="D62" s="704"/>
      <c r="E62" s="767"/>
      <c r="F62" s="767"/>
      <c r="G62" s="772"/>
      <c r="H62" s="772"/>
      <c r="I62" s="772"/>
      <c r="J62" s="769"/>
      <c r="K62" s="769"/>
      <c r="L62" s="677"/>
      <c r="M62" s="689"/>
      <c r="N62" s="690"/>
      <c r="O62" s="686" t="s">
        <v>369</v>
      </c>
      <c r="P62" s="681" t="str">
        <f>Data!$AN$7</f>
        <v>Tyler Gottfredsen</v>
      </c>
      <c r="Q62" s="682" t="s">
        <v>342</v>
      </c>
      <c r="R62" s="683" t="str">
        <f>Data!$AN$10</f>
        <v>Dick Hansen</v>
      </c>
      <c r="S62" s="677"/>
      <c r="T62" s="657" t="s">
        <v>331</v>
      </c>
      <c r="U62" s="677" t="str">
        <f t="shared" si="9"/>
        <v>Tyler Gottfredsen</v>
      </c>
      <c r="V62" s="677" t="str">
        <f>Teams!$X9</f>
        <v>Baxcalibur</v>
      </c>
      <c r="W62" s="677">
        <v>87.0</v>
      </c>
      <c r="Y62" s="758" t="s">
        <v>74</v>
      </c>
      <c r="Z62" s="746">
        <v>82.0</v>
      </c>
      <c r="AA62" s="677"/>
      <c r="AB62" s="677"/>
      <c r="AC62" s="677"/>
      <c r="AD62" s="677"/>
    </row>
    <row r="63">
      <c r="A63" s="673"/>
      <c r="B63" s="674" t="s">
        <v>370</v>
      </c>
      <c r="C63" s="675">
        <v>4.0</v>
      </c>
      <c r="D63" s="704"/>
      <c r="E63" s="767"/>
      <c r="F63" s="772"/>
      <c r="G63" s="772"/>
      <c r="H63" s="772"/>
      <c r="I63" s="772"/>
      <c r="J63" s="769"/>
      <c r="K63" s="769"/>
      <c r="L63" s="677"/>
      <c r="M63" s="787"/>
      <c r="N63" s="788"/>
      <c r="O63" s="729" t="s">
        <v>369</v>
      </c>
      <c r="P63" s="789" t="str">
        <f>Data!$AN$8</f>
        <v>Jackson McLoughlin</v>
      </c>
      <c r="Q63" s="780" t="s">
        <v>342</v>
      </c>
      <c r="R63" s="729" t="str">
        <f>Data!$AN$9</f>
        <v>Ryan Tidey</v>
      </c>
      <c r="S63" s="677"/>
      <c r="T63" s="657" t="s">
        <v>331</v>
      </c>
      <c r="U63" s="677" t="str">
        <f t="shared" si="9"/>
        <v>Tyler Gottfredsen</v>
      </c>
      <c r="V63" s="677" t="str">
        <f>Teams!$X10</f>
        <v>Talonflame</v>
      </c>
      <c r="W63" s="677">
        <v>126.0</v>
      </c>
      <c r="Y63" s="758" t="s">
        <v>80</v>
      </c>
      <c r="Z63" s="746">
        <v>80.0</v>
      </c>
      <c r="AA63" s="677"/>
      <c r="AB63" s="677"/>
      <c r="AC63" s="677"/>
      <c r="AD63" s="677"/>
    </row>
    <row r="64">
      <c r="A64" s="673"/>
      <c r="B64" s="674" t="s">
        <v>371</v>
      </c>
      <c r="C64" s="675">
        <v>4.0</v>
      </c>
      <c r="D64" s="704"/>
      <c r="E64" s="767"/>
      <c r="F64" s="772"/>
      <c r="G64" s="772"/>
      <c r="H64" s="772"/>
      <c r="I64" s="772"/>
      <c r="J64" s="769"/>
      <c r="K64" s="769"/>
      <c r="L64" s="677"/>
      <c r="M64" s="762"/>
      <c r="N64" s="790"/>
      <c r="O64" s="686" t="s">
        <v>372</v>
      </c>
      <c r="P64" s="702" t="str">
        <f>Data!$AN$5</f>
        <v>Ian Heslin</v>
      </c>
      <c r="Q64" s="682" t="s">
        <v>342</v>
      </c>
      <c r="R64" s="686" t="str">
        <f>IF('Playoff Stats'!$D$24=2,'Playoff Stats'!$C$16,'Playoff Stats'!$G$16)</f>
        <v>Ryan Tidey</v>
      </c>
      <c r="S64" s="677"/>
      <c r="T64" s="657" t="s">
        <v>331</v>
      </c>
      <c r="U64" s="677" t="str">
        <f t="shared" si="9"/>
        <v>Tyler Gottfredsen</v>
      </c>
      <c r="V64" s="677" t="str">
        <f>Teams!$X11</f>
        <v>Tyranitar</v>
      </c>
      <c r="W64" s="677">
        <v>61.0</v>
      </c>
      <c r="Y64" s="677" t="s">
        <v>88</v>
      </c>
      <c r="Z64" s="746">
        <v>80.0</v>
      </c>
      <c r="AA64" s="677"/>
      <c r="AB64" s="677"/>
      <c r="AC64" s="677"/>
      <c r="AD64" s="677"/>
    </row>
    <row r="65">
      <c r="A65" s="673"/>
      <c r="B65" s="674" t="s">
        <v>373</v>
      </c>
      <c r="C65" s="675">
        <v>4.0</v>
      </c>
      <c r="D65" s="704"/>
      <c r="E65" s="767"/>
      <c r="F65" s="772"/>
      <c r="G65" s="772"/>
      <c r="H65" s="772"/>
      <c r="I65" s="772"/>
      <c r="J65" s="769"/>
      <c r="K65" s="769"/>
      <c r="L65" s="677"/>
      <c r="M65" s="787"/>
      <c r="N65" s="778"/>
      <c r="O65" s="729" t="s">
        <v>372</v>
      </c>
      <c r="P65" s="779" t="str">
        <f>Data!$AN$6</f>
        <v>Zach VanSickle</v>
      </c>
      <c r="Q65" s="780" t="s">
        <v>342</v>
      </c>
      <c r="R65" s="729" t="str">
        <f>IF('Playoff Stats'!$D$13=2,'Playoff Stats'!$C$5,'Playoff Stats'!$G$5)</f>
        <v>Tyler Gottfredsen</v>
      </c>
      <c r="S65" s="677"/>
      <c r="T65" s="657" t="s">
        <v>331</v>
      </c>
      <c r="U65" s="677" t="str">
        <f t="shared" si="9"/>
        <v>Tyler Gottfredsen</v>
      </c>
      <c r="V65" s="677" t="str">
        <f>Teams!$X12</f>
        <v>Lycanroc-Midday</v>
      </c>
      <c r="W65" s="677">
        <v>112.0</v>
      </c>
      <c r="Y65" s="677" t="s">
        <v>107</v>
      </c>
      <c r="Z65" s="746">
        <v>61.0</v>
      </c>
      <c r="AA65" s="677"/>
      <c r="AB65" s="677"/>
      <c r="AC65" s="677"/>
      <c r="AD65" s="677"/>
    </row>
    <row r="66">
      <c r="A66" s="673"/>
      <c r="B66" s="674" t="s">
        <v>374</v>
      </c>
      <c r="C66" s="675">
        <v>4.0</v>
      </c>
      <c r="D66" s="704"/>
      <c r="E66" s="767"/>
      <c r="F66" s="772"/>
      <c r="G66" s="772"/>
      <c r="H66" s="772"/>
      <c r="I66" s="772"/>
      <c r="J66" s="769"/>
      <c r="K66" s="769"/>
      <c r="L66" s="677"/>
      <c r="M66" s="791"/>
      <c r="N66" s="790"/>
      <c r="O66" s="686" t="s">
        <v>375</v>
      </c>
      <c r="P66" s="792" t="s">
        <v>132</v>
      </c>
      <c r="Q66" s="682" t="s">
        <v>342</v>
      </c>
      <c r="R66" s="686" t="s">
        <v>60</v>
      </c>
      <c r="S66" s="677"/>
      <c r="T66" s="657" t="s">
        <v>331</v>
      </c>
      <c r="U66" s="677" t="str">
        <f t="shared" si="9"/>
        <v>Tyler Gottfredsen</v>
      </c>
      <c r="V66" s="677" t="str">
        <f>Teams!$X13</f>
        <v>Pachirisu</v>
      </c>
      <c r="W66" s="677">
        <v>95.0</v>
      </c>
      <c r="Y66" s="677" t="s">
        <v>131</v>
      </c>
      <c r="Z66" s="746">
        <v>40.0</v>
      </c>
      <c r="AA66" s="677"/>
      <c r="AB66" s="677"/>
      <c r="AC66" s="677"/>
      <c r="AD66" s="677"/>
    </row>
    <row r="67">
      <c r="A67" s="673"/>
      <c r="B67" s="674" t="s">
        <v>376</v>
      </c>
      <c r="C67" s="675">
        <v>4.0</v>
      </c>
      <c r="D67" s="704"/>
      <c r="E67" s="767"/>
      <c r="F67" s="772"/>
      <c r="G67" s="772"/>
      <c r="H67" s="772"/>
      <c r="I67" s="772"/>
      <c r="J67" s="769"/>
      <c r="K67" s="769"/>
      <c r="L67" s="677"/>
      <c r="M67" s="777"/>
      <c r="N67" s="778"/>
      <c r="O67" s="729" t="s">
        <v>375</v>
      </c>
      <c r="P67" s="789" t="s">
        <v>65</v>
      </c>
      <c r="Q67" s="780" t="s">
        <v>342</v>
      </c>
      <c r="R67" s="729" t="s">
        <v>81</v>
      </c>
      <c r="S67" s="677"/>
      <c r="T67" s="657" t="s">
        <v>331</v>
      </c>
      <c r="U67" s="677" t="str">
        <f t="shared" si="9"/>
        <v>Tyler Gottfredsen</v>
      </c>
      <c r="V67" s="677" t="str">
        <f>Teams!$X14</f>
        <v>Azurill</v>
      </c>
      <c r="W67" s="677">
        <v>20.0</v>
      </c>
      <c r="Y67" s="758" t="s">
        <v>64</v>
      </c>
      <c r="Z67" s="746">
        <v>35.0</v>
      </c>
      <c r="AA67" s="677"/>
      <c r="AB67" s="677"/>
      <c r="AC67" s="677"/>
      <c r="AD67" s="677"/>
    </row>
    <row r="68">
      <c r="A68" s="673"/>
      <c r="B68" s="674" t="s">
        <v>377</v>
      </c>
      <c r="C68" s="675">
        <v>4.0</v>
      </c>
      <c r="D68" s="704"/>
      <c r="E68" s="767"/>
      <c r="F68" s="772"/>
      <c r="G68" s="772"/>
      <c r="H68" s="772"/>
      <c r="I68" s="772"/>
      <c r="J68" s="769"/>
      <c r="K68" s="769"/>
      <c r="L68" s="677"/>
      <c r="M68" s="791"/>
      <c r="N68" s="790"/>
      <c r="O68" s="686" t="s">
        <v>378</v>
      </c>
      <c r="P68" s="702" t="str">
        <f>IF('Playoff Stats'!$V$13=2,'Playoff Stats'!$U$5,'Playoff Stats'!$Y$5)</f>
        <v>Jackson McLoughlin</v>
      </c>
      <c r="Q68" s="682" t="s">
        <v>342</v>
      </c>
      <c r="R68" s="686" t="str">
        <f>IF('Playoff Stats'!$V$24=2,'Playoff Stats'!$U$16,'Playoff Stats'!$Y$16)</f>
        <v>Zach VanSickle</v>
      </c>
      <c r="S68" s="677"/>
      <c r="T68" s="727" t="s">
        <v>331</v>
      </c>
      <c r="U68" s="750" t="str">
        <f t="shared" si="9"/>
        <v>Tyler Gottfredsen</v>
      </c>
      <c r="V68" s="750" t="str">
        <f>Teams!$X15</f>
        <v>Gulpin</v>
      </c>
      <c r="W68" s="750">
        <v>40.0</v>
      </c>
      <c r="X68" s="111"/>
      <c r="Y68" s="750" t="s">
        <v>125</v>
      </c>
      <c r="Z68" s="716">
        <v>20.0</v>
      </c>
      <c r="AA68" s="677"/>
      <c r="AB68" s="677"/>
      <c r="AC68" s="677"/>
      <c r="AD68" s="677"/>
    </row>
    <row r="69">
      <c r="A69" s="673"/>
      <c r="B69" s="674" t="s">
        <v>379</v>
      </c>
      <c r="C69" s="675">
        <v>4.0</v>
      </c>
      <c r="D69" s="704"/>
      <c r="E69" s="767"/>
      <c r="F69" s="772"/>
      <c r="G69" s="772"/>
      <c r="H69" s="772"/>
      <c r="I69" s="772"/>
      <c r="J69" s="769"/>
      <c r="K69" s="769"/>
      <c r="L69" s="677"/>
      <c r="M69" s="722"/>
      <c r="N69" s="723"/>
      <c r="O69" s="686" t="s">
        <v>378</v>
      </c>
      <c r="P69" s="702" t="str">
        <f>IFERROR(VLOOKUP(M69,$E$3:$F$18,2,FALSE),"")</f>
        <v/>
      </c>
      <c r="Q69" s="682" t="s">
        <v>342</v>
      </c>
      <c r="R69" s="686" t="str">
        <f>IFERROR(VLOOKUP(N69,$E$3:$F$18,2,FALSE),"")</f>
        <v/>
      </c>
      <c r="S69" s="677"/>
      <c r="T69" s="662"/>
      <c r="U69" s="677"/>
      <c r="V69" s="677"/>
      <c r="W69" s="677"/>
      <c r="X69" s="662"/>
      <c r="Y69" s="677"/>
      <c r="Z69" s="677"/>
      <c r="AA69" s="677"/>
      <c r="AB69" s="677"/>
      <c r="AC69" s="677"/>
      <c r="AD69" s="677"/>
    </row>
    <row r="70">
      <c r="A70" s="673"/>
      <c r="B70" s="708" t="s">
        <v>383</v>
      </c>
      <c r="C70" s="675">
        <v>4.0</v>
      </c>
      <c r="D70" s="704"/>
      <c r="E70" s="795"/>
      <c r="F70" s="795"/>
      <c r="G70" s="769"/>
      <c r="H70" s="769"/>
      <c r="I70" s="769"/>
      <c r="J70" s="769"/>
      <c r="K70" s="769"/>
      <c r="L70" s="677"/>
      <c r="M70" s="796"/>
      <c r="N70" s="799"/>
      <c r="O70" s="683" t="s">
        <v>387</v>
      </c>
      <c r="P70" s="692" t="str">
        <f>IF('Playoff Stats'!$M$13=2,'Playoff Stats'!$L$5,'Playoff Stats'!$P$5)</f>
        <v>Ian Heslin</v>
      </c>
      <c r="Q70" s="682" t="s">
        <v>342</v>
      </c>
      <c r="R70" s="683" t="str">
        <f>IF('Playoff Stats'!$M$24=2,'Playoff Stats'!$L$16,'Playoff Stats'!$P$16)</f>
        <v>Tyler Gottfredsen</v>
      </c>
      <c r="S70" s="677"/>
      <c r="T70" s="662"/>
      <c r="U70" s="677"/>
      <c r="V70" s="677"/>
      <c r="W70" s="677"/>
      <c r="X70" s="677"/>
      <c r="Y70" s="677"/>
      <c r="Z70" s="677"/>
      <c r="AA70" s="677"/>
      <c r="AB70" s="677"/>
      <c r="AC70" s="677"/>
      <c r="AD70" s="677"/>
    </row>
    <row r="71">
      <c r="A71" s="673"/>
      <c r="B71" s="708" t="s">
        <v>388</v>
      </c>
      <c r="C71" s="675">
        <v>4.0</v>
      </c>
      <c r="D71" s="704"/>
      <c r="E71" s="795"/>
      <c r="F71" s="795"/>
      <c r="G71" s="677"/>
      <c r="H71" s="677"/>
      <c r="I71" s="677"/>
      <c r="J71" s="677"/>
      <c r="K71" s="677"/>
      <c r="L71" s="677"/>
      <c r="M71" s="777"/>
      <c r="N71" s="778"/>
      <c r="O71" s="729" t="s">
        <v>387</v>
      </c>
      <c r="P71" s="779" t="str">
        <f>IFERROR(VLOOKUP(M71,$E$3:$F$18,2,FALSE),"")</f>
        <v/>
      </c>
      <c r="Q71" s="780" t="s">
        <v>342</v>
      </c>
      <c r="R71" s="729" t="str">
        <f>IFERROR(VLOOKUP(N71,$E$3:$F$18,2,FALSE),"")</f>
        <v/>
      </c>
      <c r="S71" s="677"/>
      <c r="T71" s="662"/>
      <c r="U71" s="677"/>
      <c r="V71" s="677"/>
      <c r="W71" s="677"/>
      <c r="X71" s="677"/>
      <c r="Y71" s="677"/>
      <c r="Z71" s="677"/>
      <c r="AA71" s="677"/>
      <c r="AB71" s="677"/>
      <c r="AC71" s="677"/>
      <c r="AD71" s="677"/>
    </row>
    <row r="72">
      <c r="A72" s="673"/>
      <c r="B72" s="708" t="s">
        <v>390</v>
      </c>
      <c r="C72" s="675">
        <v>4.0</v>
      </c>
      <c r="D72" s="704"/>
      <c r="E72" s="795"/>
      <c r="F72" s="795"/>
      <c r="G72" s="677"/>
      <c r="H72" s="677"/>
      <c r="I72" s="677"/>
      <c r="J72" s="677"/>
      <c r="K72" s="677"/>
      <c r="L72" s="677"/>
      <c r="M72" s="812"/>
      <c r="N72" s="813"/>
      <c r="O72" s="729" t="s">
        <v>391</v>
      </c>
      <c r="P72" s="779" t="str">
        <f>IF('Playoff Stats'!$AN$13=2,'Playoff Stats'!$AQ$5,'Playoff Stats'!$AM$5)</f>
        <v>Tyler Gottfredsen</v>
      </c>
      <c r="Q72" s="780" t="s">
        <v>342</v>
      </c>
      <c r="R72" s="729" t="str">
        <f>IF('Playoff Stats'!$AE$13=2,'Playoff Stats'!$AD$5,'Playoff Stats'!$AH$5)</f>
        <v>Zach VanSickle</v>
      </c>
      <c r="S72" s="677"/>
      <c r="T72" s="662"/>
      <c r="U72" s="677"/>
      <c r="V72" s="677"/>
      <c r="W72" s="677"/>
      <c r="X72" s="677"/>
      <c r="Y72" s="677"/>
      <c r="Z72" s="677"/>
      <c r="AA72" s="677"/>
      <c r="AB72" s="677"/>
      <c r="AC72" s="677"/>
      <c r="AD72" s="677"/>
    </row>
    <row r="73">
      <c r="A73" s="673"/>
      <c r="B73" s="674" t="s">
        <v>126</v>
      </c>
      <c r="C73" s="675">
        <v>4.0</v>
      </c>
      <c r="D73" s="704"/>
      <c r="E73" s="795"/>
      <c r="F73" s="795"/>
      <c r="G73" s="677"/>
      <c r="H73" s="677"/>
      <c r="I73" s="677"/>
      <c r="J73" s="677"/>
      <c r="K73" s="677"/>
      <c r="L73" s="677"/>
      <c r="M73" s="812"/>
      <c r="N73" s="813"/>
      <c r="O73" s="729" t="s">
        <v>392</v>
      </c>
      <c r="P73" s="779" t="str">
        <f>IF('Playoff Stats'!$AN$13=2,'Playoff Stats'!$AM$5,'Playoff Stats'!$AQ$5)</f>
        <v>Ian Heslin</v>
      </c>
      <c r="Q73" s="780" t="s">
        <v>342</v>
      </c>
      <c r="R73" s="729" t="str">
        <f>IF('Playoff Stats'!$AW$13=2,'Playoff Stats'!$AV$5,'Playoff Stats'!$AZ$5)</f>
        <v>Tyler Gottfredsen</v>
      </c>
      <c r="S73" s="677"/>
      <c r="T73" s="662"/>
      <c r="U73" s="677"/>
      <c r="V73" s="677"/>
      <c r="W73" s="677"/>
      <c r="X73" s="677"/>
      <c r="Y73" s="677"/>
      <c r="Z73" s="677"/>
      <c r="AA73" s="677"/>
      <c r="AB73" s="677"/>
      <c r="AC73" s="677"/>
      <c r="AD73" s="677"/>
    </row>
    <row r="74">
      <c r="A74" s="673"/>
      <c r="B74" s="674" t="s">
        <v>124</v>
      </c>
      <c r="C74" s="675">
        <v>3.0</v>
      </c>
      <c r="D74" s="704"/>
      <c r="E74" s="795"/>
      <c r="F74" s="795"/>
      <c r="G74" s="677"/>
      <c r="H74" s="677"/>
      <c r="I74" s="677"/>
      <c r="J74" s="677"/>
      <c r="K74" s="677"/>
      <c r="L74" s="677"/>
      <c r="M74" s="817"/>
      <c r="N74" s="817"/>
      <c r="O74" s="662"/>
      <c r="P74" s="677"/>
      <c r="Q74" s="662"/>
      <c r="R74" s="662"/>
      <c r="S74" s="677"/>
      <c r="T74" s="662"/>
      <c r="U74" s="677"/>
      <c r="V74" s="677"/>
      <c r="W74" s="677"/>
      <c r="X74" s="677"/>
      <c r="Y74" s="677"/>
      <c r="Z74" s="677"/>
      <c r="AA74" s="677"/>
      <c r="AB74" s="677"/>
      <c r="AC74" s="677"/>
      <c r="AD74" s="677"/>
    </row>
    <row r="75">
      <c r="A75" s="673"/>
      <c r="B75" s="708" t="s">
        <v>393</v>
      </c>
      <c r="C75" s="675">
        <v>3.0</v>
      </c>
      <c r="D75" s="704"/>
      <c r="E75" s="795"/>
      <c r="F75" s="795"/>
      <c r="G75" s="677"/>
      <c r="H75" s="677"/>
      <c r="I75" s="677"/>
      <c r="J75" s="677"/>
      <c r="K75" s="677"/>
      <c r="L75" s="677"/>
      <c r="M75" s="817"/>
      <c r="N75" s="817"/>
      <c r="O75" s="662"/>
      <c r="P75" s="677"/>
      <c r="Q75" s="662"/>
      <c r="R75" s="662"/>
      <c r="S75" s="677"/>
      <c r="T75" s="662"/>
      <c r="U75" s="677"/>
      <c r="V75" s="677"/>
      <c r="W75" s="677"/>
      <c r="X75" s="677"/>
      <c r="Y75" s="677"/>
      <c r="Z75" s="677"/>
      <c r="AA75" s="677"/>
      <c r="AB75" s="677"/>
      <c r="AC75" s="677"/>
      <c r="AD75" s="677"/>
    </row>
    <row r="76">
      <c r="A76" s="736"/>
      <c r="B76" s="674" t="s">
        <v>117</v>
      </c>
      <c r="C76" s="675">
        <v>3.0</v>
      </c>
      <c r="D76" s="704"/>
      <c r="E76" s="795"/>
      <c r="F76" s="795"/>
      <c r="G76" s="677"/>
      <c r="H76" s="677"/>
      <c r="I76" s="677"/>
      <c r="J76" s="677"/>
      <c r="K76" s="677"/>
      <c r="L76" s="677"/>
      <c r="M76" s="817"/>
      <c r="N76" s="817"/>
      <c r="O76" s="662"/>
      <c r="P76" s="677"/>
      <c r="Q76" s="662"/>
      <c r="R76" s="662"/>
      <c r="S76" s="677"/>
      <c r="T76" s="662"/>
      <c r="U76" s="677"/>
      <c r="V76" s="677"/>
      <c r="W76" s="677"/>
      <c r="X76" s="677"/>
      <c r="Y76" s="677"/>
      <c r="Z76" s="677"/>
      <c r="AA76" s="677"/>
      <c r="AB76" s="677"/>
      <c r="AC76" s="677"/>
      <c r="AD76" s="677"/>
    </row>
    <row r="77">
      <c r="A77" s="673"/>
      <c r="B77" s="674" t="s">
        <v>394</v>
      </c>
      <c r="C77" s="675">
        <v>3.0</v>
      </c>
      <c r="D77" s="704"/>
      <c r="E77" s="795"/>
      <c r="F77" s="795"/>
      <c r="G77" s="677"/>
      <c r="H77" s="677"/>
      <c r="I77" s="677"/>
      <c r="J77" s="677"/>
      <c r="K77" s="677"/>
      <c r="L77" s="677"/>
      <c r="M77" s="817"/>
      <c r="N77" s="817"/>
      <c r="O77" s="662"/>
      <c r="P77" s="677"/>
      <c r="Q77" s="662"/>
      <c r="R77" s="662"/>
      <c r="S77" s="677"/>
      <c r="T77" s="662"/>
      <c r="U77" s="677"/>
      <c r="V77" s="677"/>
      <c r="W77" s="677"/>
      <c r="X77" s="677"/>
      <c r="Y77" s="677"/>
      <c r="Z77" s="677"/>
      <c r="AA77" s="677"/>
      <c r="AB77" s="677"/>
      <c r="AC77" s="677"/>
      <c r="AD77" s="677"/>
    </row>
    <row r="78">
      <c r="A78" s="673"/>
      <c r="B78" s="674" t="s">
        <v>115</v>
      </c>
      <c r="C78" s="675">
        <v>3.0</v>
      </c>
      <c r="D78" s="704"/>
      <c r="E78" s="795"/>
      <c r="F78" s="795"/>
      <c r="G78" s="677"/>
      <c r="H78" s="677"/>
      <c r="I78" s="677"/>
      <c r="J78" s="677"/>
      <c r="K78" s="677"/>
      <c r="L78" s="677"/>
      <c r="M78" s="820"/>
      <c r="N78" s="821"/>
      <c r="O78" s="662"/>
      <c r="P78" s="677"/>
      <c r="Q78" s="662"/>
      <c r="R78" s="662"/>
      <c r="S78" s="677"/>
      <c r="T78" s="662"/>
      <c r="U78" s="677"/>
      <c r="V78" s="677"/>
      <c r="W78" s="677"/>
      <c r="X78" s="677"/>
      <c r="Y78" s="677"/>
      <c r="Z78" s="677"/>
      <c r="AA78" s="677"/>
      <c r="AB78" s="677"/>
      <c r="AC78" s="677"/>
      <c r="AD78" s="677"/>
    </row>
    <row r="79">
      <c r="A79" s="673"/>
      <c r="B79" s="674" t="s">
        <v>395</v>
      </c>
      <c r="C79" s="675">
        <v>3.0</v>
      </c>
      <c r="D79" s="704"/>
      <c r="E79" s="795"/>
      <c r="F79" s="795"/>
      <c r="G79" s="677"/>
      <c r="H79" s="677"/>
      <c r="I79" s="677"/>
      <c r="J79" s="677"/>
      <c r="K79" s="677"/>
      <c r="L79" s="677"/>
      <c r="M79" s="820"/>
      <c r="N79" s="821"/>
      <c r="O79" s="662"/>
      <c r="P79" s="677"/>
      <c r="Q79" s="662"/>
      <c r="R79" s="662"/>
      <c r="S79" s="677"/>
      <c r="T79" s="662"/>
      <c r="U79" s="677"/>
      <c r="V79" s="677"/>
      <c r="W79" s="677"/>
      <c r="X79" s="677"/>
      <c r="Y79" s="677"/>
      <c r="Z79" s="677"/>
      <c r="AA79" s="677"/>
      <c r="AB79" s="677"/>
      <c r="AC79" s="677"/>
      <c r="AD79" s="677"/>
    </row>
    <row r="80">
      <c r="A80" s="673"/>
      <c r="B80" s="708" t="s">
        <v>110</v>
      </c>
      <c r="C80" s="675">
        <v>3.0</v>
      </c>
      <c r="D80" s="704"/>
      <c r="E80" s="795"/>
      <c r="F80" s="795"/>
      <c r="G80" s="677"/>
      <c r="H80" s="677"/>
      <c r="I80" s="677"/>
      <c r="J80" s="677"/>
      <c r="K80" s="677"/>
      <c r="L80" s="677"/>
      <c r="M80" s="820"/>
      <c r="N80" s="821"/>
      <c r="O80" s="662"/>
      <c r="P80" s="677"/>
      <c r="Q80" s="662"/>
      <c r="R80" s="662"/>
      <c r="S80" s="677"/>
      <c r="T80" s="662"/>
      <c r="U80" s="677"/>
      <c r="V80" s="677"/>
      <c r="W80" s="677"/>
      <c r="X80" s="662"/>
      <c r="Y80" s="677"/>
      <c r="Z80" s="677"/>
      <c r="AA80" s="677"/>
      <c r="AB80" s="677"/>
      <c r="AC80" s="677"/>
      <c r="AD80" s="677"/>
    </row>
    <row r="81">
      <c r="A81" s="673"/>
      <c r="B81" s="674" t="s">
        <v>302</v>
      </c>
      <c r="C81" s="675">
        <v>3.0</v>
      </c>
      <c r="D81" s="704"/>
      <c r="E81" s="795"/>
      <c r="F81" s="795"/>
      <c r="G81" s="677"/>
      <c r="H81" s="677"/>
      <c r="I81" s="677"/>
      <c r="J81" s="677"/>
      <c r="K81" s="677"/>
      <c r="L81" s="677"/>
      <c r="M81" s="820"/>
      <c r="N81" s="821"/>
      <c r="O81" s="662"/>
      <c r="P81" s="677"/>
      <c r="Q81" s="662"/>
      <c r="R81" s="662"/>
      <c r="S81" s="677"/>
      <c r="T81" s="662"/>
      <c r="U81" s="677"/>
      <c r="V81" s="677"/>
      <c r="W81" s="677"/>
      <c r="X81" s="677"/>
      <c r="Y81" s="677"/>
      <c r="Z81" s="677"/>
      <c r="AA81" s="677"/>
      <c r="AB81" s="677"/>
      <c r="AC81" s="677"/>
      <c r="AD81" s="677"/>
    </row>
    <row r="82">
      <c r="A82" s="673"/>
      <c r="B82" s="674" t="s">
        <v>396</v>
      </c>
      <c r="C82" s="675">
        <v>3.0</v>
      </c>
      <c r="D82" s="704"/>
      <c r="E82" s="795"/>
      <c r="F82" s="795"/>
      <c r="G82" s="677"/>
      <c r="H82" s="677"/>
      <c r="I82" s="677"/>
      <c r="J82" s="677"/>
      <c r="K82" s="677"/>
      <c r="L82" s="677"/>
      <c r="M82" s="820"/>
      <c r="N82" s="821"/>
      <c r="O82" s="662"/>
      <c r="P82" s="677"/>
      <c r="Q82" s="662"/>
      <c r="R82" s="662"/>
      <c r="S82" s="677"/>
      <c r="T82" s="662"/>
      <c r="U82" s="677"/>
      <c r="V82" s="677"/>
      <c r="W82" s="677"/>
      <c r="X82" s="677"/>
      <c r="Y82" s="677"/>
      <c r="Z82" s="677"/>
      <c r="AA82" s="677"/>
      <c r="AB82" s="677"/>
      <c r="AC82" s="677"/>
      <c r="AD82" s="677"/>
    </row>
    <row r="83">
      <c r="A83" s="673"/>
      <c r="B83" s="674" t="s">
        <v>397</v>
      </c>
      <c r="C83" s="675">
        <v>3.0</v>
      </c>
      <c r="D83" s="704"/>
      <c r="E83" s="795"/>
      <c r="F83" s="795"/>
      <c r="G83" s="677"/>
      <c r="H83" s="677"/>
      <c r="I83" s="677"/>
      <c r="J83" s="677"/>
      <c r="K83" s="677"/>
      <c r="L83" s="677"/>
      <c r="M83" s="820"/>
      <c r="N83" s="821"/>
      <c r="O83" s="662"/>
      <c r="P83" s="677"/>
      <c r="Q83" s="662"/>
      <c r="R83" s="662"/>
      <c r="S83" s="677"/>
      <c r="T83" s="662"/>
      <c r="U83" s="677"/>
      <c r="V83" s="677"/>
      <c r="W83" s="677"/>
      <c r="X83" s="677"/>
      <c r="Y83" s="677"/>
      <c r="Z83" s="677"/>
      <c r="AA83" s="677"/>
      <c r="AB83" s="677"/>
      <c r="AC83" s="677"/>
      <c r="AD83" s="677"/>
    </row>
    <row r="84">
      <c r="A84" s="673"/>
      <c r="B84" s="674" t="s">
        <v>116</v>
      </c>
      <c r="C84" s="675">
        <v>3.0</v>
      </c>
      <c r="D84" s="704"/>
      <c r="E84" s="795"/>
      <c r="F84" s="795"/>
      <c r="G84" s="677"/>
      <c r="H84" s="677"/>
      <c r="I84" s="677"/>
      <c r="J84" s="677"/>
      <c r="K84" s="677"/>
      <c r="L84" s="677"/>
      <c r="M84" s="820"/>
      <c r="N84" s="821"/>
      <c r="O84" s="662"/>
      <c r="P84" s="677"/>
      <c r="Q84" s="662"/>
      <c r="R84" s="662"/>
      <c r="S84" s="677"/>
      <c r="T84" s="662"/>
      <c r="U84" s="677"/>
      <c r="V84" s="677"/>
      <c r="W84" s="677"/>
      <c r="X84" s="677"/>
      <c r="Y84" s="677"/>
      <c r="Z84" s="677"/>
      <c r="AA84" s="677"/>
      <c r="AB84" s="677"/>
      <c r="AC84" s="677"/>
      <c r="AD84" s="677"/>
    </row>
    <row r="85">
      <c r="A85" s="673"/>
      <c r="B85" s="708" t="s">
        <v>398</v>
      </c>
      <c r="C85" s="675">
        <v>3.0</v>
      </c>
      <c r="D85" s="704"/>
      <c r="E85" s="795"/>
      <c r="F85" s="795"/>
      <c r="G85" s="677"/>
      <c r="H85" s="677"/>
      <c r="I85" s="677"/>
      <c r="J85" s="677"/>
      <c r="K85" s="677"/>
      <c r="L85" s="677"/>
      <c r="M85" s="820"/>
      <c r="N85" s="821"/>
      <c r="O85" s="662"/>
      <c r="P85" s="677"/>
      <c r="Q85" s="662"/>
      <c r="R85" s="662"/>
      <c r="S85" s="677"/>
      <c r="T85" s="662"/>
      <c r="U85" s="677"/>
      <c r="V85" s="677"/>
      <c r="W85" s="677"/>
      <c r="X85" s="677"/>
      <c r="Y85" s="677"/>
      <c r="Z85" s="677"/>
      <c r="AA85" s="677"/>
      <c r="AB85" s="677"/>
      <c r="AC85" s="677"/>
      <c r="AD85" s="677"/>
    </row>
    <row r="86">
      <c r="A86" s="673"/>
      <c r="B86" s="674" t="s">
        <v>122</v>
      </c>
      <c r="C86" s="675">
        <v>3.0</v>
      </c>
      <c r="D86" s="704"/>
      <c r="E86" s="795"/>
      <c r="F86" s="795"/>
      <c r="G86" s="677"/>
      <c r="H86" s="677"/>
      <c r="I86" s="677"/>
      <c r="J86" s="677"/>
      <c r="K86" s="677"/>
      <c r="L86" s="677"/>
      <c r="M86" s="820"/>
      <c r="N86" s="821"/>
      <c r="O86" s="662"/>
      <c r="P86" s="677"/>
      <c r="Q86" s="662"/>
      <c r="R86" s="662"/>
      <c r="S86" s="677"/>
      <c r="T86" s="662"/>
      <c r="U86" s="677"/>
      <c r="V86" s="677"/>
      <c r="W86" s="677"/>
      <c r="X86" s="677"/>
      <c r="Y86" s="677"/>
      <c r="Z86" s="677"/>
      <c r="AA86" s="677"/>
      <c r="AB86" s="677"/>
      <c r="AC86" s="677"/>
      <c r="AD86" s="677"/>
    </row>
    <row r="87">
      <c r="A87" s="673"/>
      <c r="B87" s="674" t="s">
        <v>399</v>
      </c>
      <c r="C87" s="675">
        <v>3.0</v>
      </c>
      <c r="D87" s="704"/>
      <c r="E87" s="795"/>
      <c r="F87" s="795"/>
      <c r="G87" s="677"/>
      <c r="H87" s="677"/>
      <c r="I87" s="677"/>
      <c r="J87" s="677"/>
      <c r="K87" s="677"/>
      <c r="L87" s="677"/>
      <c r="M87" s="820"/>
      <c r="N87" s="821"/>
      <c r="O87" s="662"/>
      <c r="P87" s="677"/>
      <c r="Q87" s="662"/>
      <c r="R87" s="662"/>
      <c r="S87" s="677"/>
      <c r="T87" s="662"/>
      <c r="U87" s="677"/>
      <c r="V87" s="677"/>
      <c r="W87" s="677"/>
      <c r="X87" s="677"/>
      <c r="Y87" s="677"/>
      <c r="Z87" s="677"/>
      <c r="AA87" s="677"/>
      <c r="AB87" s="677"/>
      <c r="AC87" s="677"/>
      <c r="AD87" s="677"/>
    </row>
    <row r="88">
      <c r="A88" s="673"/>
      <c r="B88" s="674" t="s">
        <v>400</v>
      </c>
      <c r="C88" s="675">
        <v>3.0</v>
      </c>
      <c r="D88" s="704"/>
      <c r="E88" s="795"/>
      <c r="F88" s="795"/>
      <c r="G88" s="677"/>
      <c r="H88" s="677"/>
      <c r="I88" s="677"/>
      <c r="J88" s="677"/>
      <c r="K88" s="677"/>
      <c r="L88" s="677"/>
      <c r="M88" s="820"/>
      <c r="N88" s="821"/>
      <c r="O88" s="662"/>
      <c r="P88" s="677"/>
      <c r="Q88" s="662"/>
      <c r="R88" s="662"/>
      <c r="S88" s="677"/>
      <c r="T88" s="662"/>
      <c r="U88" s="677"/>
      <c r="V88" s="677"/>
      <c r="W88" s="677"/>
      <c r="X88" s="677"/>
      <c r="Y88" s="677"/>
      <c r="Z88" s="677"/>
      <c r="AA88" s="677"/>
      <c r="AB88" s="677"/>
      <c r="AC88" s="677"/>
      <c r="AD88" s="677"/>
    </row>
    <row r="89">
      <c r="A89" s="673"/>
      <c r="B89" s="674" t="s">
        <v>401</v>
      </c>
      <c r="C89" s="675">
        <v>3.0</v>
      </c>
      <c r="D89" s="704"/>
      <c r="E89" s="795"/>
      <c r="F89" s="795"/>
      <c r="G89" s="677"/>
      <c r="H89" s="677"/>
      <c r="I89" s="677"/>
      <c r="J89" s="677"/>
      <c r="K89" s="677"/>
      <c r="L89" s="677"/>
      <c r="M89" s="820"/>
      <c r="N89" s="821"/>
      <c r="O89" s="662"/>
      <c r="P89" s="677"/>
      <c r="Q89" s="662"/>
      <c r="R89" s="662"/>
      <c r="S89" s="677"/>
      <c r="T89" s="662"/>
      <c r="U89" s="677"/>
      <c r="V89" s="677"/>
      <c r="W89" s="677"/>
      <c r="X89" s="677"/>
      <c r="Y89" s="677"/>
      <c r="Z89" s="677"/>
      <c r="AA89" s="677"/>
      <c r="AB89" s="677"/>
      <c r="AC89" s="677"/>
      <c r="AD89" s="677"/>
    </row>
    <row r="90">
      <c r="A90" s="673"/>
      <c r="B90" s="674" t="s">
        <v>402</v>
      </c>
      <c r="C90" s="675">
        <v>3.0</v>
      </c>
      <c r="D90" s="704"/>
      <c r="E90" s="795"/>
      <c r="F90" s="795"/>
      <c r="G90" s="677"/>
      <c r="H90" s="677"/>
      <c r="I90" s="677"/>
      <c r="J90" s="677"/>
      <c r="K90" s="677"/>
      <c r="L90" s="677"/>
      <c r="M90" s="820"/>
      <c r="N90" s="821"/>
      <c r="O90" s="662"/>
      <c r="P90" s="677"/>
      <c r="Q90" s="662"/>
      <c r="R90" s="662"/>
      <c r="S90" s="677"/>
      <c r="T90" s="662"/>
      <c r="U90" s="677"/>
      <c r="V90" s="677"/>
      <c r="W90" s="677"/>
      <c r="X90" s="677"/>
      <c r="Y90" s="677"/>
      <c r="Z90" s="677"/>
      <c r="AA90" s="677"/>
      <c r="AB90" s="677"/>
      <c r="AC90" s="677"/>
      <c r="AD90" s="677"/>
    </row>
    <row r="91">
      <c r="A91" s="673"/>
      <c r="B91" s="708" t="s">
        <v>109</v>
      </c>
      <c r="C91" s="675">
        <v>3.0</v>
      </c>
      <c r="D91" s="704"/>
      <c r="E91" s="795"/>
      <c r="F91" s="795"/>
      <c r="G91" s="677"/>
      <c r="H91" s="677"/>
      <c r="I91" s="677"/>
      <c r="J91" s="677"/>
      <c r="K91" s="677"/>
      <c r="L91" s="677"/>
      <c r="M91" s="820"/>
      <c r="N91" s="821"/>
      <c r="O91" s="662"/>
      <c r="P91" s="677"/>
      <c r="Q91" s="662"/>
      <c r="R91" s="662"/>
      <c r="S91" s="677"/>
      <c r="T91" s="662"/>
      <c r="U91" s="677"/>
      <c r="V91" s="677"/>
      <c r="W91" s="677"/>
      <c r="X91" s="662"/>
      <c r="Y91" s="677"/>
      <c r="Z91" s="677"/>
      <c r="AA91" s="677"/>
      <c r="AB91" s="677"/>
      <c r="AC91" s="677"/>
      <c r="AD91" s="677"/>
    </row>
    <row r="92">
      <c r="A92" s="673"/>
      <c r="B92" s="674" t="s">
        <v>403</v>
      </c>
      <c r="C92" s="675">
        <v>3.0</v>
      </c>
      <c r="D92" s="704"/>
      <c r="E92" s="795"/>
      <c r="F92" s="795"/>
      <c r="G92" s="677"/>
      <c r="H92" s="677"/>
      <c r="I92" s="677"/>
      <c r="J92" s="677"/>
      <c r="K92" s="677"/>
      <c r="L92" s="677"/>
      <c r="M92" s="820"/>
      <c r="N92" s="821"/>
      <c r="O92" s="662"/>
      <c r="P92" s="677"/>
      <c r="Q92" s="662"/>
      <c r="R92" s="662"/>
      <c r="S92" s="677"/>
      <c r="T92" s="662"/>
      <c r="U92" s="677"/>
      <c r="V92" s="677"/>
      <c r="W92" s="677"/>
      <c r="X92" s="677"/>
      <c r="Y92" s="677"/>
      <c r="Z92" s="677"/>
      <c r="AA92" s="677"/>
      <c r="AB92" s="677"/>
      <c r="AC92" s="677"/>
      <c r="AD92" s="677"/>
    </row>
    <row r="93">
      <c r="A93" s="673"/>
      <c r="B93" s="674" t="s">
        <v>404</v>
      </c>
      <c r="C93" s="675">
        <v>3.0</v>
      </c>
      <c r="D93" s="704"/>
      <c r="E93" s="795"/>
      <c r="F93" s="795"/>
      <c r="G93" s="677"/>
      <c r="H93" s="677"/>
      <c r="I93" s="677"/>
      <c r="J93" s="677"/>
      <c r="K93" s="677"/>
      <c r="L93" s="677"/>
      <c r="M93" s="820"/>
      <c r="N93" s="821"/>
      <c r="O93" s="662"/>
      <c r="P93" s="677"/>
      <c r="Q93" s="662"/>
      <c r="R93" s="662"/>
      <c r="S93" s="677"/>
      <c r="T93" s="662"/>
      <c r="U93" s="677"/>
      <c r="V93" s="677"/>
      <c r="W93" s="677"/>
      <c r="X93" s="677"/>
      <c r="Y93" s="677"/>
      <c r="Z93" s="677"/>
      <c r="AA93" s="677"/>
      <c r="AB93" s="677"/>
      <c r="AC93" s="677"/>
      <c r="AD93" s="677"/>
    </row>
    <row r="94">
      <c r="A94" s="673"/>
      <c r="B94" s="674" t="s">
        <v>405</v>
      </c>
      <c r="C94" s="675">
        <v>3.0</v>
      </c>
      <c r="D94" s="704"/>
      <c r="E94" s="795"/>
      <c r="F94" s="795"/>
      <c r="G94" s="677"/>
      <c r="H94" s="677"/>
      <c r="I94" s="677"/>
      <c r="J94" s="677"/>
      <c r="K94" s="677"/>
      <c r="L94" s="677"/>
      <c r="M94" s="820"/>
      <c r="N94" s="821"/>
      <c r="O94" s="662"/>
      <c r="P94" s="677"/>
      <c r="Q94" s="662"/>
      <c r="R94" s="662"/>
      <c r="S94" s="677"/>
      <c r="T94" s="662"/>
      <c r="U94" s="677"/>
      <c r="V94" s="677"/>
      <c r="W94" s="677"/>
      <c r="X94" s="677"/>
      <c r="Y94" s="677"/>
      <c r="Z94" s="677"/>
      <c r="AA94" s="677"/>
      <c r="AB94" s="677"/>
      <c r="AC94" s="677"/>
      <c r="AD94" s="677"/>
    </row>
    <row r="95">
      <c r="A95" s="673"/>
      <c r="B95" s="674" t="s">
        <v>306</v>
      </c>
      <c r="C95" s="675">
        <v>3.0</v>
      </c>
      <c r="D95" s="704"/>
      <c r="E95" s="795"/>
      <c r="F95" s="795"/>
      <c r="G95" s="677"/>
      <c r="H95" s="677"/>
      <c r="I95" s="677"/>
      <c r="J95" s="677"/>
      <c r="K95" s="677"/>
      <c r="L95" s="677"/>
      <c r="M95" s="820"/>
      <c r="N95" s="821"/>
      <c r="O95" s="662"/>
      <c r="P95" s="677"/>
      <c r="Q95" s="662"/>
      <c r="R95" s="662"/>
      <c r="S95" s="677"/>
      <c r="T95" s="662"/>
      <c r="U95" s="677"/>
      <c r="V95" s="677"/>
      <c r="W95" s="677"/>
      <c r="X95" s="677"/>
      <c r="Y95" s="677"/>
      <c r="Z95" s="677"/>
      <c r="AA95" s="677"/>
      <c r="AB95" s="677"/>
      <c r="AC95" s="677"/>
      <c r="AD95" s="677"/>
    </row>
    <row r="96">
      <c r="A96" s="673"/>
      <c r="B96" s="708" t="s">
        <v>406</v>
      </c>
      <c r="C96" s="675">
        <v>3.0</v>
      </c>
      <c r="D96" s="704"/>
      <c r="E96" s="795"/>
      <c r="F96" s="795"/>
      <c r="G96" s="677"/>
      <c r="H96" s="677"/>
      <c r="I96" s="677"/>
      <c r="J96" s="677"/>
      <c r="K96" s="677"/>
      <c r="L96" s="677"/>
      <c r="M96" s="820"/>
      <c r="N96" s="821"/>
      <c r="O96" s="662"/>
      <c r="P96" s="677"/>
      <c r="Q96" s="662"/>
      <c r="R96" s="662"/>
      <c r="S96" s="677"/>
      <c r="T96" s="662"/>
      <c r="U96" s="677"/>
      <c r="V96" s="677"/>
      <c r="W96" s="677"/>
      <c r="X96" s="677"/>
      <c r="Y96" s="677"/>
      <c r="Z96" s="677"/>
      <c r="AA96" s="677"/>
      <c r="AB96" s="677"/>
      <c r="AC96" s="677"/>
      <c r="AD96" s="677"/>
    </row>
    <row r="97">
      <c r="A97" s="673"/>
      <c r="B97" s="674" t="s">
        <v>407</v>
      </c>
      <c r="C97" s="675">
        <v>3.0</v>
      </c>
      <c r="D97" s="704"/>
      <c r="E97" s="795"/>
      <c r="F97" s="795"/>
      <c r="G97" s="677"/>
      <c r="H97" s="677"/>
      <c r="I97" s="677"/>
      <c r="J97" s="677"/>
      <c r="K97" s="677"/>
      <c r="L97" s="677"/>
      <c r="M97" s="820"/>
      <c r="N97" s="821"/>
      <c r="O97" s="662"/>
      <c r="P97" s="677"/>
      <c r="Q97" s="662"/>
      <c r="R97" s="662"/>
      <c r="S97" s="677"/>
      <c r="T97" s="662"/>
      <c r="U97" s="677"/>
      <c r="V97" s="677"/>
      <c r="W97" s="677"/>
      <c r="X97" s="677"/>
      <c r="Y97" s="677"/>
      <c r="Z97" s="677"/>
      <c r="AA97" s="677"/>
      <c r="AB97" s="677"/>
      <c r="AC97" s="677"/>
      <c r="AD97" s="677"/>
    </row>
    <row r="98">
      <c r="A98" s="673"/>
      <c r="B98" s="708" t="s">
        <v>119</v>
      </c>
      <c r="C98" s="675">
        <v>3.0</v>
      </c>
      <c r="D98" s="795"/>
      <c r="E98" s="795"/>
      <c r="F98" s="795"/>
      <c r="G98" s="677"/>
      <c r="H98" s="677"/>
      <c r="I98" s="677"/>
      <c r="J98" s="677"/>
      <c r="K98" s="677"/>
      <c r="L98" s="677"/>
      <c r="M98" s="820"/>
      <c r="N98" s="821"/>
      <c r="O98" s="662"/>
      <c r="P98" s="677"/>
      <c r="Q98" s="662"/>
      <c r="R98" s="662"/>
      <c r="S98" s="677"/>
      <c r="T98" s="662"/>
      <c r="U98" s="677"/>
      <c r="V98" s="677"/>
      <c r="W98" s="677"/>
      <c r="X98" s="677"/>
      <c r="Y98" s="677"/>
      <c r="Z98" s="677"/>
      <c r="AA98" s="677"/>
      <c r="AB98" s="677"/>
      <c r="AC98" s="677"/>
      <c r="AD98" s="677"/>
    </row>
    <row r="99">
      <c r="A99" s="673"/>
      <c r="B99" s="674" t="s">
        <v>408</v>
      </c>
      <c r="C99" s="675">
        <v>3.0</v>
      </c>
      <c r="D99" s="704"/>
      <c r="E99" s="795"/>
      <c r="F99" s="795"/>
      <c r="G99" s="677"/>
      <c r="H99" s="677"/>
      <c r="I99" s="677"/>
      <c r="J99" s="677"/>
      <c r="K99" s="677"/>
      <c r="L99" s="677"/>
      <c r="M99" s="820"/>
      <c r="N99" s="821"/>
      <c r="O99" s="662"/>
      <c r="P99" s="677"/>
      <c r="Q99" s="662"/>
      <c r="R99" s="662"/>
      <c r="S99" s="677"/>
      <c r="T99" s="662"/>
      <c r="U99" s="677"/>
      <c r="V99" s="677"/>
      <c r="W99" s="677"/>
      <c r="X99" s="677"/>
      <c r="Y99" s="677"/>
      <c r="Z99" s="677"/>
      <c r="AA99" s="677"/>
      <c r="AB99" s="677"/>
      <c r="AC99" s="677"/>
      <c r="AD99" s="677"/>
    </row>
    <row r="100">
      <c r="A100" s="673"/>
      <c r="B100" s="674" t="s">
        <v>106</v>
      </c>
      <c r="C100" s="675">
        <v>3.0</v>
      </c>
      <c r="D100" s="704"/>
      <c r="E100" s="795"/>
      <c r="F100" s="795"/>
      <c r="G100" s="677"/>
      <c r="H100" s="677"/>
      <c r="I100" s="677"/>
      <c r="J100" s="677"/>
      <c r="K100" s="677"/>
      <c r="L100" s="677"/>
      <c r="M100" s="820"/>
      <c r="N100" s="821"/>
      <c r="O100" s="662"/>
      <c r="P100" s="677"/>
      <c r="Q100" s="662"/>
      <c r="R100" s="662"/>
      <c r="S100" s="677"/>
      <c r="T100" s="662"/>
      <c r="U100" s="677"/>
      <c r="V100" s="677"/>
      <c r="W100" s="677"/>
      <c r="X100" s="677"/>
      <c r="Y100" s="677"/>
      <c r="Z100" s="677"/>
      <c r="AA100" s="677"/>
      <c r="AB100" s="677"/>
      <c r="AC100" s="677"/>
      <c r="AD100" s="677"/>
    </row>
    <row r="101">
      <c r="A101" s="673"/>
      <c r="B101" s="674" t="s">
        <v>121</v>
      </c>
      <c r="C101" s="675">
        <v>3.0</v>
      </c>
      <c r="D101" s="704"/>
      <c r="E101" s="795"/>
      <c r="F101" s="795"/>
      <c r="G101" s="677"/>
      <c r="H101" s="677"/>
      <c r="I101" s="677"/>
      <c r="J101" s="677"/>
      <c r="K101" s="677"/>
      <c r="L101" s="677"/>
      <c r="M101" s="820"/>
      <c r="N101" s="821"/>
      <c r="O101" s="662"/>
      <c r="P101" s="677"/>
      <c r="Q101" s="662"/>
      <c r="R101" s="662"/>
      <c r="S101" s="677"/>
      <c r="T101" s="662"/>
      <c r="U101" s="677"/>
      <c r="V101" s="677"/>
      <c r="W101" s="677"/>
      <c r="X101" s="677"/>
      <c r="Y101" s="677"/>
      <c r="Z101" s="677"/>
      <c r="AA101" s="677"/>
      <c r="AB101" s="677"/>
      <c r="AC101" s="677"/>
      <c r="AD101" s="677"/>
    </row>
    <row r="102">
      <c r="A102" s="673"/>
      <c r="B102" s="674" t="s">
        <v>409</v>
      </c>
      <c r="C102" s="675">
        <v>3.0</v>
      </c>
      <c r="D102" s="704"/>
      <c r="E102" s="795"/>
      <c r="F102" s="795"/>
      <c r="G102" s="677"/>
      <c r="H102" s="677"/>
      <c r="I102" s="677"/>
      <c r="J102" s="677"/>
      <c r="K102" s="677"/>
      <c r="L102" s="677"/>
      <c r="M102" s="820"/>
      <c r="N102" s="821"/>
      <c r="O102" s="662"/>
      <c r="P102" s="677"/>
      <c r="Q102" s="662"/>
      <c r="R102" s="662"/>
      <c r="S102" s="677"/>
      <c r="T102" s="662"/>
      <c r="U102" s="677"/>
      <c r="V102" s="677"/>
      <c r="W102" s="677"/>
      <c r="X102" s="662"/>
      <c r="Y102" s="677"/>
      <c r="Z102" s="677"/>
      <c r="AA102" s="677"/>
      <c r="AB102" s="677"/>
      <c r="AC102" s="677"/>
      <c r="AD102" s="677"/>
    </row>
    <row r="103">
      <c r="A103" s="673"/>
      <c r="B103" s="674" t="s">
        <v>410</v>
      </c>
      <c r="C103" s="675">
        <v>3.0</v>
      </c>
      <c r="D103" s="704"/>
      <c r="E103" s="795"/>
      <c r="F103" s="795"/>
      <c r="G103" s="677"/>
      <c r="H103" s="677"/>
      <c r="I103" s="677"/>
      <c r="J103" s="677"/>
      <c r="K103" s="677"/>
      <c r="L103" s="677"/>
      <c r="M103" s="820"/>
      <c r="N103" s="821"/>
      <c r="O103" s="662"/>
      <c r="P103" s="677"/>
      <c r="Q103" s="662"/>
      <c r="R103" s="662"/>
      <c r="S103" s="677"/>
      <c r="T103" s="662"/>
      <c r="U103" s="677"/>
      <c r="V103" s="677"/>
      <c r="W103" s="677"/>
      <c r="X103" s="677"/>
      <c r="Y103" s="677"/>
      <c r="Z103" s="677"/>
      <c r="AA103" s="677"/>
      <c r="AB103" s="677"/>
      <c r="AC103" s="677"/>
      <c r="AD103" s="677"/>
    </row>
    <row r="104">
      <c r="A104" s="673"/>
      <c r="B104" s="708" t="s">
        <v>411</v>
      </c>
      <c r="C104" s="675">
        <v>3.0</v>
      </c>
      <c r="D104" s="704"/>
      <c r="E104" s="795"/>
      <c r="F104" s="795"/>
      <c r="G104" s="677"/>
      <c r="H104" s="677"/>
      <c r="I104" s="677"/>
      <c r="J104" s="677"/>
      <c r="K104" s="677"/>
      <c r="L104" s="677"/>
      <c r="M104" s="820"/>
      <c r="N104" s="821"/>
      <c r="O104" s="662"/>
      <c r="P104" s="677"/>
      <c r="Q104" s="662"/>
      <c r="R104" s="662"/>
      <c r="S104" s="677"/>
      <c r="T104" s="662"/>
      <c r="U104" s="677"/>
      <c r="V104" s="677"/>
      <c r="W104" s="677"/>
      <c r="X104" s="677"/>
      <c r="Y104" s="677"/>
      <c r="Z104" s="677"/>
      <c r="AA104" s="677"/>
      <c r="AB104" s="677"/>
      <c r="AC104" s="677"/>
      <c r="AD104" s="677"/>
    </row>
    <row r="105">
      <c r="A105" s="673"/>
      <c r="B105" s="708" t="s">
        <v>412</v>
      </c>
      <c r="C105" s="675">
        <v>3.0</v>
      </c>
      <c r="D105" s="704"/>
      <c r="E105" s="795"/>
      <c r="F105" s="795"/>
      <c r="G105" s="677"/>
      <c r="H105" s="677"/>
      <c r="I105" s="677"/>
      <c r="J105" s="677"/>
      <c r="K105" s="677"/>
      <c r="L105" s="677"/>
      <c r="M105" s="820"/>
      <c r="N105" s="821"/>
      <c r="O105" s="662"/>
      <c r="P105" s="677"/>
      <c r="Q105" s="662"/>
      <c r="R105" s="662"/>
      <c r="S105" s="677"/>
      <c r="T105" s="662"/>
      <c r="U105" s="677"/>
      <c r="V105" s="677"/>
      <c r="W105" s="677"/>
      <c r="X105" s="677"/>
      <c r="Y105" s="677"/>
      <c r="Z105" s="677"/>
      <c r="AA105" s="677"/>
      <c r="AB105" s="677"/>
      <c r="AC105" s="677"/>
      <c r="AD105" s="677"/>
    </row>
    <row r="106">
      <c r="A106" s="673"/>
      <c r="B106" s="674" t="s">
        <v>413</v>
      </c>
      <c r="C106" s="675">
        <v>3.0</v>
      </c>
      <c r="D106" s="704"/>
      <c r="E106" s="795"/>
      <c r="F106" s="795"/>
      <c r="G106" s="677"/>
      <c r="H106" s="677"/>
      <c r="I106" s="677"/>
      <c r="J106" s="677"/>
      <c r="K106" s="677"/>
      <c r="L106" s="677"/>
      <c r="M106" s="820"/>
      <c r="N106" s="821"/>
      <c r="O106" s="662"/>
      <c r="P106" s="677"/>
      <c r="Q106" s="662"/>
      <c r="R106" s="662"/>
      <c r="S106" s="677"/>
      <c r="T106" s="662"/>
      <c r="U106" s="677"/>
      <c r="V106" s="677"/>
      <c r="W106" s="677"/>
      <c r="X106" s="677"/>
      <c r="Y106" s="677"/>
      <c r="Z106" s="677"/>
      <c r="AA106" s="677"/>
      <c r="AB106" s="677"/>
      <c r="AC106" s="677"/>
      <c r="AD106" s="677"/>
    </row>
    <row r="107">
      <c r="A107" s="673"/>
      <c r="B107" s="708" t="s">
        <v>414</v>
      </c>
      <c r="C107" s="675">
        <v>1.0</v>
      </c>
      <c r="D107" s="704"/>
      <c r="E107" s="795"/>
      <c r="F107" s="795"/>
      <c r="G107" s="677"/>
      <c r="H107" s="677"/>
      <c r="I107" s="677"/>
      <c r="J107" s="677"/>
      <c r="K107" s="677"/>
      <c r="L107" s="677"/>
      <c r="M107" s="820"/>
      <c r="N107" s="821"/>
      <c r="O107" s="662"/>
      <c r="P107" s="677"/>
      <c r="Q107" s="662"/>
      <c r="R107" s="662"/>
      <c r="S107" s="677"/>
      <c r="T107" s="662"/>
      <c r="U107" s="677"/>
      <c r="V107" s="677"/>
      <c r="W107" s="677"/>
      <c r="X107" s="677"/>
      <c r="Y107" s="677"/>
      <c r="Z107" s="677"/>
      <c r="AA107" s="677"/>
      <c r="AB107" s="677"/>
      <c r="AC107" s="677"/>
      <c r="AD107" s="677"/>
    </row>
    <row r="108">
      <c r="A108" s="673"/>
      <c r="B108" s="674" t="s">
        <v>415</v>
      </c>
      <c r="C108" s="675">
        <v>1.0</v>
      </c>
      <c r="D108" s="704"/>
      <c r="E108" s="795"/>
      <c r="F108" s="795"/>
      <c r="G108" s="677"/>
      <c r="H108" s="677"/>
      <c r="I108" s="677"/>
      <c r="J108" s="677"/>
      <c r="K108" s="677"/>
      <c r="L108" s="677"/>
      <c r="M108" s="820"/>
      <c r="N108" s="821"/>
      <c r="O108" s="662"/>
      <c r="P108" s="677"/>
      <c r="Q108" s="662"/>
      <c r="R108" s="662"/>
      <c r="S108" s="677"/>
      <c r="T108" s="662"/>
      <c r="U108" s="677"/>
      <c r="V108" s="677"/>
      <c r="W108" s="677"/>
      <c r="X108" s="677"/>
      <c r="Y108" s="677"/>
      <c r="Z108" s="677"/>
      <c r="AA108" s="677"/>
      <c r="AB108" s="677"/>
      <c r="AC108" s="677"/>
      <c r="AD108" s="677"/>
    </row>
    <row r="109">
      <c r="A109" s="673"/>
      <c r="B109" s="674" t="s">
        <v>416</v>
      </c>
      <c r="C109" s="675">
        <v>1.0</v>
      </c>
      <c r="D109" s="704"/>
      <c r="E109" s="795"/>
      <c r="F109" s="795"/>
      <c r="G109" s="677"/>
      <c r="H109" s="677"/>
      <c r="I109" s="677"/>
      <c r="J109" s="677"/>
      <c r="K109" s="677"/>
      <c r="L109" s="677"/>
      <c r="M109" s="820"/>
      <c r="N109" s="821"/>
      <c r="O109" s="662"/>
      <c r="P109" s="677"/>
      <c r="Q109" s="662"/>
      <c r="R109" s="662"/>
      <c r="S109" s="677"/>
      <c r="T109" s="662"/>
      <c r="U109" s="677"/>
      <c r="V109" s="677"/>
      <c r="W109" s="677"/>
      <c r="X109" s="677"/>
      <c r="Y109" s="677"/>
      <c r="Z109" s="677"/>
      <c r="AA109" s="677"/>
      <c r="AB109" s="677"/>
      <c r="AC109" s="677"/>
      <c r="AD109" s="677"/>
    </row>
    <row r="110">
      <c r="A110" s="673"/>
      <c r="B110" s="708" t="s">
        <v>417</v>
      </c>
      <c r="C110" s="675">
        <v>1.0</v>
      </c>
      <c r="D110" s="704"/>
      <c r="E110" s="795"/>
      <c r="F110" s="795"/>
      <c r="G110" s="677"/>
      <c r="H110" s="677"/>
      <c r="I110" s="677"/>
      <c r="J110" s="677"/>
      <c r="K110" s="677"/>
      <c r="L110" s="677"/>
      <c r="M110" s="820"/>
      <c r="N110" s="821"/>
      <c r="O110" s="662"/>
      <c r="P110" s="677"/>
      <c r="Q110" s="662"/>
      <c r="R110" s="662"/>
      <c r="S110" s="677"/>
      <c r="T110" s="662"/>
      <c r="U110" s="677"/>
      <c r="V110" s="677"/>
      <c r="W110" s="677"/>
      <c r="X110" s="677"/>
      <c r="Y110" s="677"/>
      <c r="Z110" s="677"/>
      <c r="AA110" s="677"/>
      <c r="AB110" s="677"/>
      <c r="AC110" s="677"/>
      <c r="AD110" s="677"/>
    </row>
    <row r="111">
      <c r="A111" s="673"/>
      <c r="B111" s="674" t="s">
        <v>418</v>
      </c>
      <c r="C111" s="675">
        <v>1.0</v>
      </c>
      <c r="D111" s="704"/>
      <c r="E111" s="795"/>
      <c r="F111" s="795"/>
      <c r="G111" s="677"/>
      <c r="H111" s="677"/>
      <c r="I111" s="677"/>
      <c r="J111" s="677"/>
      <c r="K111" s="677"/>
      <c r="L111" s="677"/>
      <c r="M111" s="820"/>
      <c r="N111" s="821"/>
      <c r="O111" s="662"/>
      <c r="P111" s="677"/>
      <c r="Q111" s="662"/>
      <c r="R111" s="662"/>
      <c r="S111" s="677"/>
      <c r="T111" s="662"/>
      <c r="U111" s="677"/>
      <c r="V111" s="677"/>
      <c r="W111" s="677"/>
      <c r="X111" s="677"/>
      <c r="Y111" s="677"/>
      <c r="Z111" s="677"/>
      <c r="AA111" s="677"/>
      <c r="AB111" s="677"/>
      <c r="AC111" s="677"/>
      <c r="AD111" s="677"/>
    </row>
    <row r="112">
      <c r="A112" s="673"/>
      <c r="B112" s="674" t="s">
        <v>419</v>
      </c>
      <c r="C112" s="675">
        <v>1.0</v>
      </c>
      <c r="D112" s="704"/>
      <c r="E112" s="795"/>
      <c r="F112" s="795"/>
      <c r="G112" s="677"/>
      <c r="H112" s="677"/>
      <c r="I112" s="677"/>
      <c r="J112" s="677"/>
      <c r="K112" s="677"/>
      <c r="L112" s="677"/>
      <c r="M112" s="820"/>
      <c r="N112" s="821"/>
      <c r="O112" s="662"/>
      <c r="P112" s="677"/>
      <c r="Q112" s="662"/>
      <c r="R112" s="662"/>
      <c r="S112" s="677"/>
      <c r="T112" s="662"/>
      <c r="U112" s="677"/>
      <c r="V112" s="677"/>
      <c r="W112" s="677"/>
      <c r="X112" s="677"/>
      <c r="Y112" s="677"/>
      <c r="Z112" s="677"/>
      <c r="AA112" s="677"/>
      <c r="AB112" s="677"/>
      <c r="AC112" s="677"/>
      <c r="AD112" s="677"/>
    </row>
    <row r="113">
      <c r="A113" s="673"/>
      <c r="B113" s="708" t="s">
        <v>420</v>
      </c>
      <c r="C113" s="675">
        <v>1.0</v>
      </c>
      <c r="D113" s="704"/>
      <c r="E113" s="795"/>
      <c r="F113" s="795"/>
      <c r="G113" s="677"/>
      <c r="H113" s="677"/>
      <c r="I113" s="677"/>
      <c r="J113" s="677"/>
      <c r="K113" s="677"/>
      <c r="L113" s="677"/>
      <c r="M113" s="820"/>
      <c r="N113" s="821"/>
      <c r="O113" s="662"/>
      <c r="P113" s="677"/>
      <c r="Q113" s="662"/>
      <c r="R113" s="662"/>
      <c r="S113" s="677"/>
      <c r="T113" s="662"/>
      <c r="U113" s="677"/>
      <c r="V113" s="677"/>
      <c r="W113" s="677"/>
      <c r="X113" s="662"/>
      <c r="Y113" s="677"/>
      <c r="Z113" s="677"/>
      <c r="AA113" s="677"/>
      <c r="AB113" s="677"/>
      <c r="AC113" s="677"/>
      <c r="AD113" s="677"/>
    </row>
    <row r="114">
      <c r="A114" s="673"/>
      <c r="B114" s="708" t="s">
        <v>129</v>
      </c>
      <c r="C114" s="675">
        <v>1.0</v>
      </c>
      <c r="D114" s="704"/>
      <c r="E114" s="795"/>
      <c r="F114" s="795"/>
      <c r="G114" s="677"/>
      <c r="H114" s="677"/>
      <c r="I114" s="677"/>
      <c r="J114" s="677"/>
      <c r="K114" s="677"/>
      <c r="L114" s="677"/>
      <c r="M114" s="820"/>
      <c r="N114" s="821"/>
      <c r="O114" s="662"/>
      <c r="P114" s="677"/>
      <c r="Q114" s="662"/>
      <c r="R114" s="662"/>
      <c r="S114" s="677"/>
      <c r="T114" s="662"/>
      <c r="U114" s="677"/>
      <c r="V114" s="677"/>
      <c r="W114" s="677"/>
      <c r="X114" s="677"/>
      <c r="Y114" s="677"/>
      <c r="Z114" s="677"/>
      <c r="AA114" s="677"/>
      <c r="AB114" s="677"/>
      <c r="AC114" s="677"/>
      <c r="AD114" s="677"/>
    </row>
    <row r="115">
      <c r="A115" s="673"/>
      <c r="B115" s="674" t="s">
        <v>421</v>
      </c>
      <c r="C115" s="675">
        <v>1.0</v>
      </c>
      <c r="D115" s="704"/>
      <c r="E115" s="795"/>
      <c r="F115" s="795"/>
      <c r="G115" s="677"/>
      <c r="H115" s="677"/>
      <c r="I115" s="677"/>
      <c r="J115" s="677"/>
      <c r="K115" s="677"/>
      <c r="L115" s="677"/>
      <c r="M115" s="820"/>
      <c r="N115" s="821"/>
      <c r="O115" s="662"/>
      <c r="P115" s="677"/>
      <c r="Q115" s="662"/>
      <c r="R115" s="662"/>
      <c r="S115" s="677"/>
      <c r="T115" s="662"/>
      <c r="U115" s="677"/>
      <c r="V115" s="677"/>
      <c r="W115" s="677"/>
      <c r="X115" s="677"/>
      <c r="Y115" s="677"/>
      <c r="Z115" s="677"/>
      <c r="AA115" s="677"/>
      <c r="AB115" s="677"/>
      <c r="AC115" s="677"/>
      <c r="AD115" s="677"/>
    </row>
    <row r="116">
      <c r="A116" s="673"/>
      <c r="B116" s="674" t="s">
        <v>422</v>
      </c>
      <c r="C116" s="675">
        <v>1.0</v>
      </c>
      <c r="D116" s="704"/>
      <c r="E116" s="795"/>
      <c r="F116" s="795"/>
      <c r="G116" s="677"/>
      <c r="H116" s="677"/>
      <c r="I116" s="677"/>
      <c r="J116" s="677"/>
      <c r="K116" s="677"/>
      <c r="L116" s="677"/>
      <c r="M116" s="820"/>
      <c r="N116" s="821"/>
      <c r="O116" s="662"/>
      <c r="P116" s="677"/>
      <c r="Q116" s="662"/>
      <c r="R116" s="662"/>
      <c r="S116" s="677"/>
      <c r="T116" s="662"/>
      <c r="U116" s="677"/>
      <c r="V116" s="677"/>
      <c r="W116" s="677"/>
      <c r="X116" s="677"/>
      <c r="Y116" s="677"/>
      <c r="Z116" s="677"/>
      <c r="AA116" s="677"/>
      <c r="AB116" s="677"/>
      <c r="AC116" s="677"/>
      <c r="AD116" s="677"/>
    </row>
    <row r="117">
      <c r="A117" s="673"/>
      <c r="B117" s="708" t="s">
        <v>423</v>
      </c>
      <c r="C117" s="675">
        <v>1.0</v>
      </c>
      <c r="D117" s="704"/>
      <c r="E117" s="795"/>
      <c r="F117" s="795"/>
      <c r="G117" s="677"/>
      <c r="H117" s="677"/>
      <c r="I117" s="677"/>
      <c r="J117" s="677"/>
      <c r="K117" s="677"/>
      <c r="L117" s="677"/>
      <c r="M117" s="820"/>
      <c r="N117" s="821"/>
      <c r="O117" s="662"/>
      <c r="P117" s="677"/>
      <c r="Q117" s="662"/>
      <c r="R117" s="662"/>
      <c r="S117" s="677"/>
      <c r="T117" s="662"/>
      <c r="U117" s="677"/>
      <c r="V117" s="677"/>
      <c r="W117" s="677"/>
      <c r="X117" s="677"/>
      <c r="Y117" s="677"/>
      <c r="Z117" s="677"/>
      <c r="AA117" s="677"/>
      <c r="AB117" s="677"/>
      <c r="AC117" s="677"/>
      <c r="AD117" s="677"/>
    </row>
    <row r="118">
      <c r="A118" s="673"/>
      <c r="B118" s="708" t="s">
        <v>424</v>
      </c>
      <c r="C118" s="675">
        <v>1.0</v>
      </c>
      <c r="D118" s="704"/>
      <c r="E118" s="795"/>
      <c r="F118" s="795"/>
      <c r="G118" s="677"/>
      <c r="H118" s="677"/>
      <c r="I118" s="677"/>
      <c r="J118" s="677"/>
      <c r="K118" s="677"/>
      <c r="L118" s="677"/>
      <c r="M118" s="820"/>
      <c r="N118" s="821"/>
      <c r="O118" s="662"/>
      <c r="P118" s="677"/>
      <c r="Q118" s="662"/>
      <c r="R118" s="662"/>
      <c r="S118" s="677"/>
      <c r="T118" s="662"/>
      <c r="U118" s="677"/>
      <c r="V118" s="677"/>
      <c r="W118" s="677"/>
      <c r="X118" s="677"/>
      <c r="Y118" s="677"/>
      <c r="Z118" s="677"/>
      <c r="AA118" s="677"/>
      <c r="AB118" s="677"/>
      <c r="AC118" s="677"/>
      <c r="AD118" s="677"/>
    </row>
    <row r="119">
      <c r="A119" s="673"/>
      <c r="B119" s="674" t="s">
        <v>425</v>
      </c>
      <c r="C119" s="675">
        <v>1.0</v>
      </c>
      <c r="D119" s="704"/>
      <c r="E119" s="795"/>
      <c r="F119" s="795"/>
      <c r="G119" s="677"/>
      <c r="H119" s="677"/>
      <c r="I119" s="677"/>
      <c r="J119" s="677"/>
      <c r="K119" s="677"/>
      <c r="L119" s="677"/>
      <c r="M119" s="820"/>
      <c r="N119" s="821"/>
      <c r="O119" s="662"/>
      <c r="P119" s="677"/>
      <c r="Q119" s="662"/>
      <c r="R119" s="662"/>
      <c r="S119" s="677"/>
      <c r="T119" s="662"/>
      <c r="U119" s="677"/>
      <c r="V119" s="677"/>
      <c r="W119" s="677"/>
      <c r="X119" s="677"/>
      <c r="Y119" s="677"/>
      <c r="Z119" s="677"/>
      <c r="AA119" s="677"/>
      <c r="AB119" s="677"/>
      <c r="AC119" s="677"/>
      <c r="AD119" s="677"/>
    </row>
    <row r="120">
      <c r="A120" s="673"/>
      <c r="B120" s="674" t="s">
        <v>426</v>
      </c>
      <c r="C120" s="675">
        <v>1.0</v>
      </c>
      <c r="D120" s="704"/>
      <c r="E120" s="795"/>
      <c r="F120" s="795"/>
      <c r="G120" s="677"/>
      <c r="H120" s="677"/>
      <c r="I120" s="677"/>
      <c r="J120" s="677"/>
      <c r="K120" s="677"/>
      <c r="L120" s="677"/>
      <c r="M120" s="820"/>
      <c r="N120" s="821"/>
      <c r="O120" s="662"/>
      <c r="P120" s="677"/>
      <c r="Q120" s="662"/>
      <c r="R120" s="662"/>
      <c r="S120" s="677"/>
      <c r="T120" s="662"/>
      <c r="U120" s="677"/>
      <c r="V120" s="677"/>
      <c r="W120" s="677"/>
      <c r="X120" s="677"/>
      <c r="Y120" s="677"/>
      <c r="Z120" s="677"/>
      <c r="AA120" s="677"/>
      <c r="AB120" s="677"/>
      <c r="AC120" s="677"/>
      <c r="AD120" s="677"/>
    </row>
    <row r="121">
      <c r="A121" s="673"/>
      <c r="B121" s="708" t="s">
        <v>427</v>
      </c>
      <c r="C121" s="675">
        <v>1.0</v>
      </c>
      <c r="D121" s="704"/>
      <c r="E121" s="795"/>
      <c r="F121" s="795"/>
      <c r="G121" s="677"/>
      <c r="H121" s="677"/>
      <c r="I121" s="677"/>
      <c r="J121" s="677"/>
      <c r="K121" s="677"/>
      <c r="L121" s="677"/>
      <c r="M121" s="820"/>
      <c r="N121" s="821"/>
      <c r="O121" s="662"/>
      <c r="P121" s="677"/>
      <c r="Q121" s="662"/>
      <c r="R121" s="662"/>
      <c r="S121" s="677"/>
      <c r="T121" s="662"/>
      <c r="U121" s="677"/>
      <c r="V121" s="677"/>
      <c r="W121" s="677"/>
      <c r="X121" s="677"/>
      <c r="Y121" s="677"/>
      <c r="Z121" s="677"/>
      <c r="AA121" s="677"/>
      <c r="AB121" s="677"/>
      <c r="AC121" s="677"/>
      <c r="AD121" s="677"/>
    </row>
    <row r="122">
      <c r="A122" s="673"/>
      <c r="B122" s="708" t="s">
        <v>118</v>
      </c>
      <c r="C122" s="675">
        <v>1.0</v>
      </c>
      <c r="D122" s="704"/>
      <c r="E122" s="795"/>
      <c r="F122" s="795"/>
      <c r="G122" s="677"/>
      <c r="H122" s="677"/>
      <c r="I122" s="677"/>
      <c r="J122" s="677"/>
      <c r="K122" s="677"/>
      <c r="L122" s="677"/>
      <c r="M122" s="820"/>
      <c r="N122" s="821"/>
      <c r="O122" s="662"/>
      <c r="P122" s="677"/>
      <c r="Q122" s="662"/>
      <c r="R122" s="662"/>
      <c r="S122" s="677"/>
      <c r="T122" s="662"/>
      <c r="U122" s="677"/>
      <c r="V122" s="677"/>
      <c r="W122" s="677"/>
      <c r="X122" s="677"/>
      <c r="Y122" s="677"/>
      <c r="Z122" s="677"/>
      <c r="AA122" s="677"/>
      <c r="AB122" s="677"/>
      <c r="AC122" s="677"/>
      <c r="AD122" s="677"/>
    </row>
    <row r="123">
      <c r="A123" s="673"/>
      <c r="B123" s="708" t="s">
        <v>111</v>
      </c>
      <c r="C123" s="675">
        <v>1.0</v>
      </c>
      <c r="D123" s="704"/>
      <c r="E123" s="795"/>
      <c r="F123" s="795"/>
      <c r="G123" s="677"/>
      <c r="H123" s="677"/>
      <c r="I123" s="677"/>
      <c r="J123" s="677"/>
      <c r="K123" s="677"/>
      <c r="L123" s="677"/>
      <c r="M123" s="820"/>
      <c r="N123" s="821"/>
      <c r="O123" s="662"/>
      <c r="P123" s="677"/>
      <c r="Q123" s="662"/>
      <c r="R123" s="662"/>
      <c r="S123" s="677"/>
      <c r="T123" s="662"/>
      <c r="U123" s="677"/>
      <c r="V123" s="677"/>
      <c r="W123" s="677"/>
      <c r="X123" s="677"/>
      <c r="Y123" s="677"/>
      <c r="Z123" s="677"/>
      <c r="AA123" s="677"/>
      <c r="AB123" s="677"/>
      <c r="AC123" s="677"/>
      <c r="AD123" s="677"/>
    </row>
    <row r="124">
      <c r="A124" s="673"/>
      <c r="B124" s="708" t="s">
        <v>428</v>
      </c>
      <c r="C124" s="675">
        <v>1.0</v>
      </c>
      <c r="D124" s="704"/>
      <c r="E124" s="795"/>
      <c r="F124" s="795"/>
      <c r="G124" s="677"/>
      <c r="H124" s="677"/>
      <c r="I124" s="677"/>
      <c r="J124" s="677"/>
      <c r="K124" s="677"/>
      <c r="L124" s="677"/>
      <c r="M124" s="820"/>
      <c r="N124" s="821"/>
      <c r="O124" s="662"/>
      <c r="P124" s="677"/>
      <c r="Q124" s="662"/>
      <c r="R124" s="662"/>
      <c r="S124" s="677"/>
      <c r="T124" s="662"/>
      <c r="U124" s="677"/>
      <c r="V124" s="677"/>
      <c r="W124" s="677"/>
      <c r="X124" s="662"/>
      <c r="Y124" s="677"/>
      <c r="Z124" s="677"/>
      <c r="AA124" s="677"/>
      <c r="AB124" s="677"/>
      <c r="AC124" s="677"/>
      <c r="AD124" s="677"/>
    </row>
    <row r="125">
      <c r="A125" s="673"/>
      <c r="B125" s="708" t="s">
        <v>429</v>
      </c>
      <c r="C125" s="675">
        <v>1.0</v>
      </c>
      <c r="D125" s="704"/>
      <c r="E125" s="795"/>
      <c r="F125" s="795"/>
      <c r="G125" s="677"/>
      <c r="H125" s="677"/>
      <c r="I125" s="677"/>
      <c r="J125" s="677"/>
      <c r="K125" s="677"/>
      <c r="L125" s="677"/>
      <c r="M125" s="820"/>
      <c r="N125" s="821"/>
      <c r="O125" s="662"/>
      <c r="P125" s="677"/>
      <c r="Q125" s="662"/>
      <c r="R125" s="662"/>
      <c r="S125" s="677"/>
      <c r="T125" s="662"/>
      <c r="U125" s="677"/>
      <c r="V125" s="677"/>
      <c r="W125" s="677"/>
      <c r="X125" s="677"/>
      <c r="Y125" s="677"/>
      <c r="Z125" s="677"/>
      <c r="AA125" s="677"/>
      <c r="AB125" s="677"/>
      <c r="AC125" s="677"/>
      <c r="AD125" s="677"/>
    </row>
    <row r="126">
      <c r="A126" s="673"/>
      <c r="B126" s="674" t="s">
        <v>430</v>
      </c>
      <c r="C126" s="675">
        <v>1.0</v>
      </c>
      <c r="D126" s="704"/>
      <c r="E126" s="795"/>
      <c r="F126" s="795"/>
      <c r="G126" s="677"/>
      <c r="H126" s="677"/>
      <c r="I126" s="677"/>
      <c r="J126" s="677"/>
      <c r="K126" s="677"/>
      <c r="L126" s="677"/>
      <c r="M126" s="820"/>
      <c r="N126" s="821"/>
      <c r="O126" s="662"/>
      <c r="P126" s="677"/>
      <c r="Q126" s="662"/>
      <c r="R126" s="662"/>
      <c r="S126" s="677"/>
      <c r="T126" s="662"/>
      <c r="U126" s="677"/>
      <c r="V126" s="677"/>
      <c r="W126" s="677"/>
      <c r="X126" s="677"/>
      <c r="Y126" s="677"/>
      <c r="Z126" s="677"/>
      <c r="AA126" s="677"/>
      <c r="AB126" s="677"/>
      <c r="AC126" s="677"/>
      <c r="AD126" s="677"/>
    </row>
    <row r="127">
      <c r="A127" s="673"/>
      <c r="B127" s="674" t="s">
        <v>431</v>
      </c>
      <c r="C127" s="675">
        <v>1.0</v>
      </c>
      <c r="D127" s="704"/>
      <c r="E127" s="795"/>
      <c r="F127" s="795"/>
      <c r="G127" s="677"/>
      <c r="H127" s="677"/>
      <c r="I127" s="677"/>
      <c r="J127" s="677"/>
      <c r="K127" s="677"/>
      <c r="L127" s="677"/>
      <c r="M127" s="820"/>
      <c r="N127" s="821"/>
      <c r="O127" s="662"/>
      <c r="P127" s="677"/>
      <c r="Q127" s="662"/>
      <c r="R127" s="662"/>
      <c r="S127" s="677"/>
      <c r="T127" s="662"/>
      <c r="U127" s="677"/>
      <c r="V127" s="677"/>
      <c r="W127" s="677"/>
      <c r="X127" s="677"/>
      <c r="Y127" s="677"/>
      <c r="Z127" s="677"/>
      <c r="AA127" s="677"/>
      <c r="AB127" s="677"/>
      <c r="AC127" s="677"/>
      <c r="AD127" s="677"/>
    </row>
    <row r="128">
      <c r="A128" s="673"/>
      <c r="B128" s="708" t="s">
        <v>432</v>
      </c>
      <c r="C128" s="675">
        <v>1.0</v>
      </c>
      <c r="D128" s="704"/>
      <c r="E128" s="795"/>
      <c r="F128" s="795"/>
      <c r="G128" s="677"/>
      <c r="H128" s="677"/>
      <c r="I128" s="677"/>
      <c r="J128" s="677"/>
      <c r="K128" s="677"/>
      <c r="L128" s="677"/>
      <c r="M128" s="820"/>
      <c r="N128" s="821"/>
      <c r="O128" s="662"/>
      <c r="P128" s="677"/>
      <c r="Q128" s="662"/>
      <c r="R128" s="662"/>
      <c r="S128" s="677"/>
      <c r="T128" s="662"/>
      <c r="U128" s="677"/>
      <c r="V128" s="677"/>
      <c r="W128" s="677"/>
      <c r="X128" s="677"/>
      <c r="Y128" s="677"/>
      <c r="Z128" s="677"/>
      <c r="AA128" s="677"/>
      <c r="AB128" s="677"/>
      <c r="AC128" s="677"/>
      <c r="AD128" s="677"/>
    </row>
    <row r="129">
      <c r="A129" s="673"/>
      <c r="B129" s="708" t="s">
        <v>433</v>
      </c>
      <c r="C129" s="675">
        <v>1.0</v>
      </c>
      <c r="D129" s="704"/>
      <c r="E129" s="795"/>
      <c r="F129" s="795"/>
      <c r="G129" s="677"/>
      <c r="H129" s="677"/>
      <c r="I129" s="677"/>
      <c r="J129" s="677"/>
      <c r="K129" s="677"/>
      <c r="L129" s="677"/>
      <c r="M129" s="820"/>
      <c r="N129" s="821"/>
      <c r="O129" s="662"/>
      <c r="P129" s="677"/>
      <c r="Q129" s="662"/>
      <c r="R129" s="662"/>
      <c r="S129" s="677"/>
      <c r="T129" s="662"/>
      <c r="U129" s="677"/>
      <c r="V129" s="677"/>
      <c r="W129" s="677"/>
      <c r="X129" s="677"/>
      <c r="Y129" s="677"/>
      <c r="Z129" s="677"/>
      <c r="AA129" s="677"/>
      <c r="AB129" s="677"/>
      <c r="AC129" s="677"/>
      <c r="AD129" s="677"/>
    </row>
    <row r="130">
      <c r="A130" s="673"/>
      <c r="B130" s="708" t="s">
        <v>434</v>
      </c>
      <c r="C130" s="675">
        <v>1.0</v>
      </c>
      <c r="D130" s="704"/>
      <c r="E130" s="795"/>
      <c r="F130" s="795"/>
      <c r="G130" s="677"/>
      <c r="H130" s="677"/>
      <c r="I130" s="677"/>
      <c r="J130" s="677"/>
      <c r="K130" s="677"/>
      <c r="L130" s="677"/>
      <c r="M130" s="662"/>
      <c r="N130" s="821"/>
      <c r="O130" s="662"/>
      <c r="P130" s="677"/>
      <c r="Q130" s="662"/>
      <c r="R130" s="662"/>
      <c r="S130" s="677"/>
      <c r="T130" s="662"/>
      <c r="U130" s="677"/>
      <c r="V130" s="677"/>
      <c r="W130" s="677"/>
      <c r="X130" s="677"/>
      <c r="Y130" s="677"/>
      <c r="Z130" s="677"/>
      <c r="AA130" s="677"/>
      <c r="AB130" s="677"/>
      <c r="AC130" s="677"/>
      <c r="AD130" s="677"/>
    </row>
    <row r="131">
      <c r="A131" s="673"/>
      <c r="B131" s="708" t="s">
        <v>435</v>
      </c>
      <c r="C131" s="675">
        <v>1.0</v>
      </c>
      <c r="D131" s="704"/>
      <c r="E131" s="795"/>
      <c r="F131" s="795"/>
      <c r="G131" s="677"/>
      <c r="H131" s="677"/>
      <c r="I131" s="677"/>
      <c r="J131" s="677"/>
      <c r="K131" s="677"/>
      <c r="L131" s="677"/>
      <c r="M131" s="820"/>
      <c r="N131" s="821"/>
      <c r="O131" s="821"/>
      <c r="P131" s="677"/>
      <c r="Q131" s="662"/>
      <c r="R131" s="662"/>
      <c r="S131" s="677"/>
      <c r="T131" s="662"/>
      <c r="U131" s="677"/>
      <c r="V131" s="677"/>
      <c r="W131" s="677"/>
      <c r="X131" s="677"/>
      <c r="Y131" s="677"/>
      <c r="Z131" s="677"/>
      <c r="AA131" s="677"/>
      <c r="AB131" s="677"/>
      <c r="AC131" s="677"/>
      <c r="AD131" s="677"/>
    </row>
    <row r="132">
      <c r="A132" s="673"/>
      <c r="B132" s="708" t="s">
        <v>436</v>
      </c>
      <c r="C132" s="675">
        <v>1.0</v>
      </c>
      <c r="D132" s="704"/>
      <c r="E132" s="795"/>
      <c r="F132" s="795"/>
      <c r="G132" s="677"/>
      <c r="H132" s="677"/>
      <c r="I132" s="677"/>
      <c r="J132" s="677"/>
      <c r="K132" s="677"/>
      <c r="L132" s="677"/>
      <c r="M132" s="820"/>
      <c r="N132" s="821"/>
      <c r="O132" s="821"/>
      <c r="P132" s="677"/>
      <c r="Q132" s="662"/>
      <c r="R132" s="662"/>
      <c r="S132" s="677"/>
      <c r="T132" s="662"/>
      <c r="U132" s="677"/>
      <c r="V132" s="677"/>
      <c r="W132" s="677"/>
      <c r="X132" s="677"/>
      <c r="Y132" s="677"/>
      <c r="Z132" s="677"/>
      <c r="AA132" s="677"/>
      <c r="AB132" s="677"/>
      <c r="AC132" s="677"/>
      <c r="AD132" s="677"/>
    </row>
    <row r="133">
      <c r="A133" s="673"/>
      <c r="B133" s="708" t="s">
        <v>437</v>
      </c>
      <c r="C133" s="675">
        <v>1.0</v>
      </c>
      <c r="D133" s="704"/>
      <c r="E133" s="795"/>
      <c r="F133" s="795"/>
      <c r="G133" s="677"/>
      <c r="H133" s="677"/>
      <c r="I133" s="677"/>
      <c r="J133" s="677"/>
      <c r="K133" s="677"/>
      <c r="L133" s="677"/>
      <c r="M133" s="820"/>
      <c r="N133" s="821"/>
      <c r="O133" s="821"/>
      <c r="P133" s="677"/>
      <c r="Q133" s="662"/>
      <c r="R133" s="662"/>
      <c r="S133" s="677"/>
      <c r="T133" s="662"/>
      <c r="U133" s="677"/>
      <c r="V133" s="677"/>
      <c r="W133" s="677"/>
      <c r="X133" s="677"/>
      <c r="Y133" s="677"/>
      <c r="Z133" s="677"/>
      <c r="AA133" s="677"/>
      <c r="AB133" s="677"/>
      <c r="AC133" s="677"/>
      <c r="AD133" s="677"/>
    </row>
    <row r="134">
      <c r="A134" s="673"/>
      <c r="B134" s="674" t="s">
        <v>438</v>
      </c>
      <c r="C134" s="675">
        <v>1.0</v>
      </c>
      <c r="D134" s="704"/>
      <c r="E134" s="795"/>
      <c r="F134" s="795"/>
      <c r="G134" s="677"/>
      <c r="H134" s="677"/>
      <c r="I134" s="677"/>
      <c r="J134" s="677"/>
      <c r="K134" s="677"/>
      <c r="L134" s="677"/>
      <c r="M134" s="820"/>
      <c r="N134" s="821"/>
      <c r="O134" s="821"/>
      <c r="P134" s="677"/>
      <c r="Q134" s="662"/>
      <c r="R134" s="662"/>
      <c r="S134" s="677"/>
      <c r="T134" s="662"/>
      <c r="U134" s="677"/>
      <c r="V134" s="677"/>
      <c r="W134" s="677"/>
      <c r="X134" s="677"/>
      <c r="Y134" s="677"/>
      <c r="Z134" s="677"/>
      <c r="AA134" s="677"/>
      <c r="AB134" s="677"/>
      <c r="AC134" s="677"/>
      <c r="AD134" s="677"/>
    </row>
    <row r="135">
      <c r="A135" s="673"/>
      <c r="B135" s="674" t="s">
        <v>123</v>
      </c>
      <c r="C135" s="675">
        <v>1.0</v>
      </c>
      <c r="D135" s="704"/>
      <c r="E135" s="795"/>
      <c r="F135" s="795"/>
      <c r="G135" s="677"/>
      <c r="H135" s="677"/>
      <c r="I135" s="677"/>
      <c r="J135" s="677"/>
      <c r="K135" s="677"/>
      <c r="L135" s="677"/>
      <c r="M135" s="820"/>
      <c r="N135" s="821"/>
      <c r="O135" s="821"/>
      <c r="P135" s="677"/>
      <c r="Q135" s="662"/>
      <c r="R135" s="662"/>
      <c r="S135" s="677"/>
      <c r="T135" s="662"/>
      <c r="U135" s="677"/>
      <c r="V135" s="677"/>
      <c r="W135" s="677"/>
      <c r="X135" s="662"/>
      <c r="Y135" s="677"/>
      <c r="Z135" s="677"/>
      <c r="AA135" s="677"/>
      <c r="AB135" s="677"/>
      <c r="AC135" s="677"/>
      <c r="AD135" s="677"/>
    </row>
    <row r="136">
      <c r="A136" s="673"/>
      <c r="B136" s="674" t="s">
        <v>439</v>
      </c>
      <c r="C136" s="675">
        <v>1.0</v>
      </c>
      <c r="D136" s="704"/>
      <c r="E136" s="795"/>
      <c r="F136" s="795"/>
      <c r="G136" s="677"/>
      <c r="H136" s="677"/>
      <c r="I136" s="677"/>
      <c r="J136" s="677"/>
      <c r="K136" s="677"/>
      <c r="L136" s="677"/>
      <c r="M136" s="820"/>
      <c r="N136" s="821"/>
      <c r="O136" s="821"/>
      <c r="P136" s="677"/>
      <c r="Q136" s="662"/>
      <c r="R136" s="662"/>
      <c r="S136" s="677"/>
      <c r="T136" s="662"/>
      <c r="U136" s="677"/>
      <c r="V136" s="677"/>
      <c r="W136" s="677"/>
      <c r="X136" s="677"/>
      <c r="Y136" s="677"/>
      <c r="Z136" s="677"/>
      <c r="AA136" s="677"/>
      <c r="AB136" s="677"/>
      <c r="AC136" s="677"/>
      <c r="AD136" s="677"/>
    </row>
    <row r="137">
      <c r="A137" s="673"/>
      <c r="B137" s="708" t="s">
        <v>440</v>
      </c>
      <c r="C137" s="675">
        <v>1.0</v>
      </c>
      <c r="D137" s="704"/>
      <c r="E137" s="795"/>
      <c r="F137" s="795"/>
      <c r="G137" s="677"/>
      <c r="H137" s="677"/>
      <c r="I137" s="677"/>
      <c r="J137" s="677"/>
      <c r="K137" s="677"/>
      <c r="L137" s="677"/>
      <c r="M137" s="820"/>
      <c r="N137" s="821"/>
      <c r="O137" s="821"/>
      <c r="P137" s="677"/>
      <c r="Q137" s="662"/>
      <c r="R137" s="662"/>
      <c r="S137" s="677"/>
      <c r="T137" s="662"/>
      <c r="U137" s="677"/>
      <c r="V137" s="677"/>
      <c r="W137" s="677"/>
      <c r="X137" s="677"/>
      <c r="Y137" s="677"/>
      <c r="Z137" s="677"/>
      <c r="AA137" s="677"/>
      <c r="AB137" s="677"/>
      <c r="AC137" s="677"/>
      <c r="AD137" s="677"/>
    </row>
    <row r="138">
      <c r="A138" s="673"/>
      <c r="B138" s="674" t="s">
        <v>113</v>
      </c>
      <c r="C138" s="675">
        <v>1.0</v>
      </c>
      <c r="D138" s="704"/>
      <c r="E138" s="795"/>
      <c r="F138" s="795"/>
      <c r="G138" s="677"/>
      <c r="H138" s="677"/>
      <c r="I138" s="677"/>
      <c r="J138" s="677"/>
      <c r="K138" s="677"/>
      <c r="L138" s="677"/>
      <c r="M138" s="820"/>
      <c r="N138" s="821"/>
      <c r="O138" s="821"/>
      <c r="P138" s="677"/>
      <c r="Q138" s="662"/>
      <c r="R138" s="662"/>
      <c r="S138" s="677"/>
      <c r="T138" s="662"/>
      <c r="U138" s="677"/>
      <c r="V138" s="677"/>
      <c r="W138" s="677"/>
      <c r="X138" s="677"/>
      <c r="Y138" s="677"/>
      <c r="Z138" s="677"/>
      <c r="AA138" s="677"/>
      <c r="AB138" s="677"/>
      <c r="AC138" s="677"/>
      <c r="AD138" s="677"/>
    </row>
    <row r="139">
      <c r="A139" s="673"/>
      <c r="B139" s="708" t="s">
        <v>441</v>
      </c>
      <c r="C139" s="675">
        <v>1.0</v>
      </c>
      <c r="D139" s="704"/>
      <c r="E139" s="795"/>
      <c r="F139" s="795"/>
      <c r="G139" s="677"/>
      <c r="H139" s="677"/>
      <c r="I139" s="677"/>
      <c r="J139" s="677"/>
      <c r="K139" s="677"/>
      <c r="L139" s="677"/>
      <c r="M139" s="820"/>
      <c r="N139" s="821"/>
      <c r="O139" s="821"/>
      <c r="P139" s="677"/>
      <c r="Q139" s="662"/>
      <c r="R139" s="662"/>
      <c r="S139" s="677"/>
      <c r="T139" s="662"/>
      <c r="U139" s="677"/>
      <c r="V139" s="677"/>
      <c r="W139" s="677"/>
      <c r="X139" s="677"/>
      <c r="Y139" s="677"/>
      <c r="Z139" s="677"/>
      <c r="AA139" s="677"/>
      <c r="AB139" s="677"/>
      <c r="AC139" s="677"/>
      <c r="AD139" s="677"/>
    </row>
    <row r="140">
      <c r="A140" s="673"/>
      <c r="B140" s="674" t="s">
        <v>442</v>
      </c>
      <c r="C140" s="675">
        <v>1.0</v>
      </c>
      <c r="D140" s="704"/>
      <c r="E140" s="795"/>
      <c r="F140" s="795"/>
      <c r="G140" s="677"/>
      <c r="H140" s="677"/>
      <c r="I140" s="677"/>
      <c r="J140" s="677"/>
      <c r="K140" s="677"/>
      <c r="L140" s="677"/>
      <c r="M140" s="820"/>
      <c r="N140" s="821"/>
      <c r="O140" s="821"/>
      <c r="P140" s="677"/>
      <c r="Q140" s="662"/>
      <c r="R140" s="662"/>
      <c r="S140" s="677"/>
      <c r="T140" s="662"/>
      <c r="U140" s="677"/>
      <c r="V140" s="677"/>
      <c r="W140" s="677"/>
      <c r="X140" s="677"/>
      <c r="Y140" s="677"/>
      <c r="Z140" s="677"/>
      <c r="AA140" s="677"/>
      <c r="AB140" s="677"/>
      <c r="AC140" s="677"/>
      <c r="AD140" s="677"/>
    </row>
    <row r="141">
      <c r="A141" s="673"/>
      <c r="B141" s="674" t="s">
        <v>443</v>
      </c>
      <c r="C141" s="675">
        <v>1.0</v>
      </c>
      <c r="D141" s="704"/>
      <c r="E141" s="795"/>
      <c r="F141" s="795"/>
      <c r="G141" s="677"/>
      <c r="H141" s="677"/>
      <c r="I141" s="677"/>
      <c r="J141" s="677"/>
      <c r="K141" s="677"/>
      <c r="L141" s="677"/>
      <c r="M141" s="820"/>
      <c r="N141" s="821"/>
      <c r="O141" s="821"/>
      <c r="P141" s="677"/>
      <c r="Q141" s="662"/>
      <c r="R141" s="662"/>
      <c r="S141" s="677"/>
      <c r="T141" s="662"/>
      <c r="U141" s="677"/>
      <c r="V141" s="677"/>
      <c r="W141" s="677"/>
      <c r="X141" s="677"/>
      <c r="Y141" s="677"/>
      <c r="Z141" s="677"/>
      <c r="AA141" s="677"/>
      <c r="AB141" s="677"/>
      <c r="AC141" s="677"/>
      <c r="AD141" s="677"/>
    </row>
    <row r="142">
      <c r="A142" s="673"/>
      <c r="B142" s="674" t="s">
        <v>444</v>
      </c>
      <c r="C142" s="675">
        <v>1.0</v>
      </c>
      <c r="D142" s="704"/>
      <c r="E142" s="795"/>
      <c r="F142" s="795"/>
      <c r="G142" s="677"/>
      <c r="H142" s="677"/>
      <c r="I142" s="677"/>
      <c r="J142" s="677"/>
      <c r="K142" s="677"/>
      <c r="L142" s="677"/>
      <c r="M142" s="820"/>
      <c r="N142" s="821"/>
      <c r="O142" s="821"/>
      <c r="P142" s="677"/>
      <c r="Q142" s="662"/>
      <c r="R142" s="662"/>
      <c r="S142" s="677"/>
      <c r="T142" s="662"/>
      <c r="U142" s="677"/>
      <c r="V142" s="677"/>
      <c r="W142" s="677"/>
      <c r="X142" s="677"/>
      <c r="Y142" s="677"/>
      <c r="Z142" s="677"/>
      <c r="AA142" s="677"/>
      <c r="AB142" s="677"/>
      <c r="AC142" s="677"/>
      <c r="AD142" s="677"/>
    </row>
    <row r="143">
      <c r="A143" s="673"/>
      <c r="B143" s="708" t="s">
        <v>445</v>
      </c>
      <c r="C143" s="675">
        <v>1.0</v>
      </c>
      <c r="D143" s="704"/>
      <c r="E143" s="795"/>
      <c r="F143" s="795"/>
      <c r="G143" s="677"/>
      <c r="H143" s="677"/>
      <c r="I143" s="677"/>
      <c r="J143" s="677"/>
      <c r="K143" s="677"/>
      <c r="L143" s="677"/>
      <c r="M143" s="820"/>
      <c r="N143" s="821"/>
      <c r="O143" s="821"/>
      <c r="P143" s="677"/>
      <c r="Q143" s="662"/>
      <c r="R143" s="662"/>
      <c r="S143" s="677"/>
      <c r="T143" s="662"/>
      <c r="U143" s="677"/>
      <c r="V143" s="677"/>
      <c r="W143" s="677"/>
      <c r="X143" s="677"/>
      <c r="Y143" s="677"/>
      <c r="Z143" s="677"/>
      <c r="AA143" s="677"/>
      <c r="AB143" s="677"/>
      <c r="AC143" s="677"/>
      <c r="AD143" s="677"/>
    </row>
    <row r="144">
      <c r="A144" s="673"/>
      <c r="B144" s="674" t="s">
        <v>446</v>
      </c>
      <c r="C144" s="675">
        <v>1.0</v>
      </c>
      <c r="D144" s="704"/>
      <c r="E144" s="795"/>
      <c r="F144" s="795"/>
      <c r="G144" s="677"/>
      <c r="H144" s="677"/>
      <c r="I144" s="677"/>
      <c r="J144" s="677"/>
      <c r="K144" s="677"/>
      <c r="L144" s="677"/>
      <c r="M144" s="820"/>
      <c r="N144" s="821"/>
      <c r="O144" s="821"/>
      <c r="P144" s="677"/>
      <c r="Q144" s="662"/>
      <c r="R144" s="662"/>
      <c r="S144" s="677"/>
      <c r="T144" s="662"/>
      <c r="U144" s="677"/>
      <c r="V144" s="677"/>
      <c r="W144" s="677"/>
      <c r="X144" s="677"/>
      <c r="Y144" s="677"/>
      <c r="Z144" s="677"/>
      <c r="AA144" s="677"/>
      <c r="AB144" s="677"/>
      <c r="AC144" s="677"/>
      <c r="AD144" s="677"/>
    </row>
    <row r="145">
      <c r="A145" s="673"/>
      <c r="B145" s="674" t="s">
        <v>447</v>
      </c>
      <c r="C145" s="675">
        <v>1.0</v>
      </c>
      <c r="D145" s="704"/>
      <c r="E145" s="795"/>
      <c r="F145" s="795"/>
      <c r="G145" s="677"/>
      <c r="H145" s="677"/>
      <c r="I145" s="677"/>
      <c r="J145" s="677"/>
      <c r="K145" s="677"/>
      <c r="L145" s="677"/>
      <c r="M145" s="820"/>
      <c r="N145" s="821"/>
      <c r="O145" s="821"/>
      <c r="P145" s="677"/>
      <c r="Q145" s="662"/>
      <c r="R145" s="662"/>
      <c r="S145" s="677"/>
      <c r="T145" s="662"/>
      <c r="U145" s="677"/>
      <c r="V145" s="677"/>
      <c r="W145" s="677"/>
      <c r="X145" s="677"/>
      <c r="Y145" s="677"/>
      <c r="Z145" s="677"/>
      <c r="AA145" s="677"/>
      <c r="AB145" s="677"/>
      <c r="AC145" s="677"/>
      <c r="AD145" s="677"/>
    </row>
    <row r="146">
      <c r="A146" s="673"/>
      <c r="B146" s="674" t="s">
        <v>448</v>
      </c>
      <c r="C146" s="675">
        <v>1.0</v>
      </c>
      <c r="D146" s="704"/>
      <c r="E146" s="795"/>
      <c r="F146" s="795"/>
      <c r="G146" s="677"/>
      <c r="H146" s="677"/>
      <c r="I146" s="677"/>
      <c r="J146" s="677"/>
      <c r="K146" s="677"/>
      <c r="L146" s="677"/>
      <c r="M146" s="820"/>
      <c r="N146" s="821"/>
      <c r="O146" s="821"/>
      <c r="P146" s="677"/>
      <c r="Q146" s="662"/>
      <c r="R146" s="662"/>
      <c r="S146" s="677"/>
      <c r="T146" s="662"/>
      <c r="U146" s="677"/>
      <c r="V146" s="677"/>
      <c r="W146" s="677"/>
      <c r="X146" s="662"/>
      <c r="Y146" s="677"/>
      <c r="Z146" s="677"/>
      <c r="AA146" s="677"/>
      <c r="AB146" s="677"/>
      <c r="AC146" s="677"/>
      <c r="AD146" s="677"/>
    </row>
    <row r="147">
      <c r="A147" s="736"/>
      <c r="B147" s="674" t="s">
        <v>449</v>
      </c>
      <c r="C147" s="675">
        <v>1.0</v>
      </c>
      <c r="D147" s="704"/>
      <c r="E147" s="795"/>
      <c r="F147" s="795"/>
      <c r="G147" s="677"/>
      <c r="H147" s="677"/>
      <c r="I147" s="677"/>
      <c r="J147" s="677"/>
      <c r="K147" s="677"/>
      <c r="L147" s="677"/>
      <c r="M147" s="820"/>
      <c r="N147" s="821"/>
      <c r="O147" s="821"/>
      <c r="P147" s="677"/>
      <c r="Q147" s="662"/>
      <c r="R147" s="662"/>
      <c r="S147" s="677"/>
      <c r="T147" s="662"/>
      <c r="U147" s="677"/>
      <c r="V147" s="677"/>
      <c r="W147" s="677"/>
      <c r="X147" s="677"/>
      <c r="Y147" s="677"/>
      <c r="Z147" s="677"/>
      <c r="AA147" s="677"/>
      <c r="AB147" s="677"/>
      <c r="AC147" s="677"/>
      <c r="AD147" s="677"/>
    </row>
    <row r="148">
      <c r="A148" s="673"/>
      <c r="B148" s="674" t="s">
        <v>450</v>
      </c>
      <c r="C148" s="675">
        <v>1.0</v>
      </c>
      <c r="D148" s="704"/>
      <c r="E148" s="795"/>
      <c r="F148" s="795"/>
      <c r="G148" s="677"/>
      <c r="H148" s="677"/>
      <c r="I148" s="677"/>
      <c r="J148" s="677"/>
      <c r="K148" s="677"/>
      <c r="L148" s="677"/>
      <c r="M148" s="820"/>
      <c r="N148" s="821"/>
      <c r="O148" s="821"/>
      <c r="P148" s="677"/>
      <c r="Q148" s="662"/>
      <c r="R148" s="662"/>
      <c r="S148" s="677"/>
      <c r="T148" s="662"/>
      <c r="U148" s="677"/>
      <c r="V148" s="677"/>
      <c r="W148" s="677"/>
      <c r="X148" s="677"/>
      <c r="Y148" s="677"/>
      <c r="Z148" s="677"/>
      <c r="AA148" s="677"/>
      <c r="AB148" s="677"/>
      <c r="AC148" s="677"/>
      <c r="AD148" s="677"/>
    </row>
    <row r="149">
      <c r="A149" s="673"/>
      <c r="B149" s="674" t="s">
        <v>451</v>
      </c>
      <c r="C149" s="675">
        <v>1.0</v>
      </c>
      <c r="D149" s="704"/>
      <c r="E149" s="795"/>
      <c r="F149" s="795"/>
      <c r="G149" s="677"/>
      <c r="H149" s="677"/>
      <c r="I149" s="677"/>
      <c r="J149" s="677"/>
      <c r="K149" s="677"/>
      <c r="L149" s="677"/>
      <c r="M149" s="820"/>
      <c r="N149" s="821"/>
      <c r="O149" s="821"/>
      <c r="P149" s="677"/>
      <c r="Q149" s="662"/>
      <c r="R149" s="662"/>
      <c r="S149" s="677"/>
      <c r="T149" s="662"/>
      <c r="U149" s="677"/>
      <c r="V149" s="677"/>
      <c r="W149" s="677"/>
      <c r="X149" s="677"/>
      <c r="Y149" s="677"/>
      <c r="Z149" s="677"/>
      <c r="AA149" s="677"/>
      <c r="AB149" s="677"/>
      <c r="AC149" s="677"/>
      <c r="AD149" s="677"/>
    </row>
    <row r="150">
      <c r="A150" s="673"/>
      <c r="B150" s="674" t="s">
        <v>452</v>
      </c>
      <c r="C150" s="675">
        <v>1.0</v>
      </c>
      <c r="D150" s="704"/>
      <c r="E150" s="795"/>
      <c r="F150" s="795"/>
      <c r="G150" s="677"/>
      <c r="H150" s="677"/>
      <c r="I150" s="677"/>
      <c r="J150" s="677"/>
      <c r="K150" s="677"/>
      <c r="L150" s="677"/>
      <c r="M150" s="820"/>
      <c r="N150" s="821"/>
      <c r="O150" s="821"/>
      <c r="P150" s="677"/>
      <c r="Q150" s="662"/>
      <c r="R150" s="662"/>
      <c r="S150" s="677"/>
      <c r="T150" s="662"/>
      <c r="U150" s="677"/>
      <c r="V150" s="677"/>
      <c r="W150" s="677"/>
      <c r="X150" s="677"/>
      <c r="Y150" s="677"/>
      <c r="Z150" s="677"/>
      <c r="AA150" s="677"/>
      <c r="AB150" s="677"/>
      <c r="AC150" s="677"/>
      <c r="AD150" s="677"/>
    </row>
    <row r="151">
      <c r="A151" s="673"/>
      <c r="B151" s="674" t="s">
        <v>453</v>
      </c>
      <c r="C151" s="675">
        <v>1.0</v>
      </c>
      <c r="D151" s="704"/>
      <c r="E151" s="795"/>
      <c r="F151" s="795"/>
      <c r="G151" s="677"/>
      <c r="H151" s="677"/>
      <c r="I151" s="677"/>
      <c r="J151" s="677"/>
      <c r="K151" s="677"/>
      <c r="L151" s="677"/>
      <c r="M151" s="820"/>
      <c r="N151" s="821"/>
      <c r="O151" s="821"/>
      <c r="P151" s="677"/>
      <c r="Q151" s="662"/>
      <c r="R151" s="662"/>
      <c r="S151" s="677"/>
      <c r="T151" s="662"/>
      <c r="U151" s="677"/>
      <c r="V151" s="677"/>
      <c r="W151" s="677"/>
      <c r="X151" s="677"/>
      <c r="Y151" s="677"/>
      <c r="Z151" s="677"/>
      <c r="AA151" s="677"/>
      <c r="AB151" s="677"/>
      <c r="AC151" s="677"/>
      <c r="AD151" s="677"/>
    </row>
    <row r="152">
      <c r="A152" s="673"/>
      <c r="B152" s="674" t="s">
        <v>454</v>
      </c>
      <c r="C152" s="675">
        <v>1.0</v>
      </c>
      <c r="D152" s="704"/>
      <c r="E152" s="795"/>
      <c r="F152" s="795"/>
      <c r="G152" s="677"/>
      <c r="H152" s="677"/>
      <c r="I152" s="677"/>
      <c r="J152" s="677"/>
      <c r="K152" s="677"/>
      <c r="L152" s="677"/>
      <c r="M152" s="820"/>
      <c r="N152" s="821"/>
      <c r="O152" s="821"/>
      <c r="P152" s="677"/>
      <c r="Q152" s="662"/>
      <c r="R152" s="662"/>
      <c r="S152" s="677"/>
      <c r="T152" s="662"/>
      <c r="U152" s="677"/>
      <c r="V152" s="677"/>
      <c r="W152" s="677"/>
      <c r="X152" s="677"/>
      <c r="Y152" s="677"/>
      <c r="Z152" s="677"/>
      <c r="AA152" s="677"/>
      <c r="AB152" s="677"/>
      <c r="AC152" s="677"/>
      <c r="AD152" s="677"/>
    </row>
    <row r="153">
      <c r="A153" s="673"/>
      <c r="B153" s="674" t="s">
        <v>455</v>
      </c>
      <c r="C153" s="675">
        <v>1.0</v>
      </c>
      <c r="D153" s="704"/>
      <c r="E153" s="795"/>
      <c r="F153" s="795"/>
      <c r="G153" s="677"/>
      <c r="H153" s="677"/>
      <c r="I153" s="677"/>
      <c r="J153" s="677"/>
      <c r="K153" s="677"/>
      <c r="L153" s="677"/>
      <c r="M153" s="820"/>
      <c r="N153" s="821"/>
      <c r="O153" s="821"/>
      <c r="P153" s="677"/>
      <c r="Q153" s="662"/>
      <c r="R153" s="662"/>
      <c r="S153" s="677"/>
      <c r="T153" s="662"/>
      <c r="U153" s="677"/>
      <c r="V153" s="677"/>
      <c r="W153" s="677"/>
      <c r="X153" s="677"/>
      <c r="Y153" s="677"/>
      <c r="Z153" s="677"/>
      <c r="AA153" s="677"/>
      <c r="AB153" s="677"/>
      <c r="AC153" s="677"/>
      <c r="AD153" s="677"/>
    </row>
    <row r="154">
      <c r="A154" s="673"/>
      <c r="B154" s="708" t="s">
        <v>456</v>
      </c>
      <c r="C154" s="675">
        <v>1.0</v>
      </c>
      <c r="D154" s="704"/>
      <c r="E154" s="795"/>
      <c r="F154" s="795"/>
      <c r="G154" s="677"/>
      <c r="H154" s="677"/>
      <c r="I154" s="677"/>
      <c r="J154" s="677"/>
      <c r="K154" s="677"/>
      <c r="L154" s="677"/>
      <c r="M154" s="820"/>
      <c r="N154" s="821"/>
      <c r="O154" s="821"/>
      <c r="P154" s="677"/>
      <c r="Q154" s="662"/>
      <c r="R154" s="662"/>
      <c r="S154" s="677"/>
      <c r="T154" s="662"/>
      <c r="U154" s="677"/>
      <c r="V154" s="677"/>
      <c r="W154" s="677"/>
      <c r="X154" s="677"/>
      <c r="Y154" s="677"/>
      <c r="Z154" s="677"/>
      <c r="AA154" s="677"/>
      <c r="AB154" s="677"/>
      <c r="AC154" s="677"/>
      <c r="AD154" s="677"/>
    </row>
    <row r="155">
      <c r="A155" s="673"/>
      <c r="B155" s="708" t="s">
        <v>457</v>
      </c>
      <c r="C155" s="675">
        <v>1.0</v>
      </c>
      <c r="D155" s="704"/>
      <c r="E155" s="795"/>
      <c r="F155" s="795"/>
      <c r="G155" s="677"/>
      <c r="H155" s="677"/>
      <c r="I155" s="677"/>
      <c r="J155" s="677"/>
      <c r="K155" s="677"/>
      <c r="L155" s="677"/>
      <c r="M155" s="820"/>
      <c r="N155" s="821"/>
      <c r="O155" s="821"/>
      <c r="P155" s="677"/>
      <c r="Q155" s="662"/>
      <c r="R155" s="662"/>
      <c r="S155" s="677"/>
      <c r="T155" s="662"/>
      <c r="U155" s="677"/>
      <c r="V155" s="677"/>
      <c r="W155" s="677"/>
      <c r="X155" s="677"/>
      <c r="Y155" s="677"/>
      <c r="Z155" s="677"/>
      <c r="AA155" s="677"/>
      <c r="AB155" s="677"/>
      <c r="AC155" s="677"/>
      <c r="AD155" s="677"/>
    </row>
    <row r="156">
      <c r="A156" s="673"/>
      <c r="B156" s="708" t="s">
        <v>458</v>
      </c>
      <c r="C156" s="675">
        <v>1.0</v>
      </c>
      <c r="D156" s="704"/>
      <c r="E156" s="795"/>
      <c r="F156" s="795"/>
      <c r="G156" s="677"/>
      <c r="H156" s="677"/>
      <c r="I156" s="677"/>
      <c r="J156" s="677"/>
      <c r="K156" s="677"/>
      <c r="L156" s="677"/>
      <c r="M156" s="820"/>
      <c r="N156" s="821"/>
      <c r="O156" s="821"/>
      <c r="P156" s="677"/>
      <c r="Q156" s="662"/>
      <c r="R156" s="662"/>
      <c r="S156" s="677"/>
      <c r="T156" s="662"/>
      <c r="U156" s="677"/>
      <c r="V156" s="677"/>
      <c r="W156" s="677"/>
      <c r="X156" s="677"/>
      <c r="Y156" s="677"/>
      <c r="Z156" s="677"/>
      <c r="AA156" s="677"/>
      <c r="AB156" s="677"/>
      <c r="AC156" s="677"/>
      <c r="AD156" s="677"/>
    </row>
    <row r="157">
      <c r="A157" s="673"/>
      <c r="B157" s="708" t="s">
        <v>459</v>
      </c>
      <c r="C157" s="675">
        <v>1.0</v>
      </c>
      <c r="D157" s="704"/>
      <c r="E157" s="795"/>
      <c r="F157" s="795"/>
      <c r="G157" s="677"/>
      <c r="H157" s="677"/>
      <c r="I157" s="677"/>
      <c r="J157" s="677"/>
      <c r="K157" s="677"/>
      <c r="L157" s="677"/>
      <c r="M157" s="820"/>
      <c r="N157" s="821"/>
      <c r="O157" s="821"/>
      <c r="P157" s="677"/>
      <c r="Q157" s="677"/>
      <c r="R157" s="677"/>
      <c r="S157" s="677"/>
      <c r="T157" s="662"/>
      <c r="U157" s="677"/>
      <c r="V157" s="677"/>
      <c r="W157" s="677"/>
      <c r="X157" s="662"/>
      <c r="Y157" s="677"/>
      <c r="Z157" s="677"/>
      <c r="AA157" s="677"/>
      <c r="AB157" s="677"/>
      <c r="AC157" s="677"/>
      <c r="AD157" s="677"/>
    </row>
    <row r="158">
      <c r="A158" s="673"/>
      <c r="B158" s="708" t="s">
        <v>460</v>
      </c>
      <c r="C158" s="675">
        <v>1.0</v>
      </c>
      <c r="D158" s="704"/>
      <c r="E158" s="795"/>
      <c r="F158" s="795"/>
      <c r="G158" s="677"/>
      <c r="H158" s="677"/>
      <c r="I158" s="677"/>
      <c r="J158" s="677"/>
      <c r="K158" s="677"/>
      <c r="L158" s="677"/>
      <c r="M158" s="820"/>
      <c r="N158" s="821"/>
      <c r="O158" s="821"/>
      <c r="P158" s="677"/>
      <c r="Q158" s="677"/>
      <c r="R158" s="677"/>
      <c r="S158" s="677"/>
      <c r="T158" s="662"/>
      <c r="U158" s="677"/>
      <c r="V158" s="677"/>
      <c r="W158" s="677"/>
      <c r="X158" s="677"/>
      <c r="Y158" s="677"/>
      <c r="Z158" s="677"/>
      <c r="AA158" s="677"/>
      <c r="AB158" s="677"/>
      <c r="AC158" s="677"/>
      <c r="AD158" s="677"/>
    </row>
    <row r="159">
      <c r="A159" s="673"/>
      <c r="B159" s="708" t="s">
        <v>461</v>
      </c>
      <c r="C159" s="675">
        <v>1.0</v>
      </c>
      <c r="D159" s="704"/>
      <c r="E159" s="795"/>
      <c r="F159" s="795"/>
      <c r="G159" s="677"/>
      <c r="H159" s="677"/>
      <c r="I159" s="677"/>
      <c r="J159" s="677"/>
      <c r="K159" s="677"/>
      <c r="L159" s="677"/>
      <c r="M159" s="820"/>
      <c r="N159" s="821"/>
      <c r="O159" s="821"/>
      <c r="P159" s="677"/>
      <c r="Q159" s="677"/>
      <c r="R159" s="677"/>
      <c r="S159" s="677"/>
      <c r="T159" s="662"/>
      <c r="U159" s="677"/>
      <c r="V159" s="677"/>
      <c r="W159" s="677"/>
      <c r="X159" s="677"/>
      <c r="Y159" s="677"/>
      <c r="Z159" s="677"/>
      <c r="AA159" s="677"/>
      <c r="AB159" s="677"/>
      <c r="AC159" s="677"/>
      <c r="AD159" s="677"/>
    </row>
    <row r="160">
      <c r="A160" s="673"/>
      <c r="B160" s="708" t="s">
        <v>462</v>
      </c>
      <c r="C160" s="675">
        <v>1.0</v>
      </c>
      <c r="D160" s="704"/>
      <c r="E160" s="795"/>
      <c r="F160" s="795"/>
      <c r="G160" s="677"/>
      <c r="H160" s="677"/>
      <c r="I160" s="677"/>
      <c r="J160" s="677"/>
      <c r="K160" s="677"/>
      <c r="L160" s="677"/>
      <c r="M160" s="820"/>
      <c r="N160" s="821"/>
      <c r="O160" s="821"/>
      <c r="P160" s="677"/>
      <c r="Q160" s="677"/>
      <c r="R160" s="677"/>
      <c r="S160" s="677"/>
      <c r="T160" s="662"/>
      <c r="U160" s="677"/>
      <c r="V160" s="677"/>
      <c r="W160" s="677"/>
      <c r="X160" s="677"/>
      <c r="Y160" s="677"/>
      <c r="Z160" s="677"/>
      <c r="AA160" s="677"/>
      <c r="AB160" s="677"/>
      <c r="AC160" s="677"/>
      <c r="AD160" s="677"/>
    </row>
    <row r="161">
      <c r="A161" s="673"/>
      <c r="B161" s="708" t="s">
        <v>463</v>
      </c>
      <c r="C161" s="675">
        <v>1.0</v>
      </c>
      <c r="D161" s="704"/>
      <c r="E161" s="795"/>
      <c r="F161" s="795"/>
      <c r="G161" s="677"/>
      <c r="H161" s="677"/>
      <c r="I161" s="677"/>
      <c r="J161" s="677"/>
      <c r="K161" s="677"/>
      <c r="L161" s="677"/>
      <c r="M161" s="820"/>
      <c r="N161" s="821"/>
      <c r="O161" s="821"/>
      <c r="P161" s="677"/>
      <c r="Q161" s="677"/>
      <c r="R161" s="677"/>
      <c r="S161" s="677"/>
      <c r="T161" s="662"/>
      <c r="U161" s="677"/>
      <c r="V161" s="677"/>
      <c r="W161" s="677"/>
      <c r="X161" s="677"/>
      <c r="Y161" s="677"/>
      <c r="Z161" s="677"/>
      <c r="AA161" s="677"/>
      <c r="AB161" s="677"/>
      <c r="AC161" s="677"/>
      <c r="AD161" s="677"/>
    </row>
    <row r="162">
      <c r="A162" s="673"/>
      <c r="B162" s="674" t="s">
        <v>464</v>
      </c>
      <c r="C162" s="675">
        <v>1.0</v>
      </c>
      <c r="D162" s="704"/>
      <c r="E162" s="795"/>
      <c r="F162" s="795"/>
      <c r="G162" s="677"/>
      <c r="H162" s="677"/>
      <c r="I162" s="677"/>
      <c r="J162" s="677"/>
      <c r="K162" s="677"/>
      <c r="L162" s="677"/>
      <c r="M162" s="820"/>
      <c r="N162" s="821"/>
      <c r="O162" s="821"/>
      <c r="P162" s="677"/>
      <c r="Q162" s="677"/>
      <c r="R162" s="677"/>
      <c r="S162" s="677"/>
      <c r="T162" s="662"/>
      <c r="U162" s="677"/>
      <c r="V162" s="677"/>
      <c r="W162" s="677"/>
      <c r="X162" s="677"/>
      <c r="Y162" s="677"/>
      <c r="Z162" s="677"/>
      <c r="AA162" s="677"/>
      <c r="AB162" s="677"/>
      <c r="AC162" s="677"/>
      <c r="AD162" s="677"/>
    </row>
    <row r="163">
      <c r="A163" s="673"/>
      <c r="B163" s="674" t="s">
        <v>465</v>
      </c>
      <c r="C163" s="675">
        <v>1.0</v>
      </c>
      <c r="D163" s="704"/>
      <c r="E163" s="795"/>
      <c r="F163" s="795"/>
      <c r="G163" s="677"/>
      <c r="H163" s="677"/>
      <c r="I163" s="677"/>
      <c r="J163" s="677"/>
      <c r="K163" s="677"/>
      <c r="L163" s="677"/>
      <c r="M163" s="820"/>
      <c r="N163" s="821"/>
      <c r="O163" s="821"/>
      <c r="P163" s="677"/>
      <c r="Q163" s="677"/>
      <c r="R163" s="677"/>
      <c r="S163" s="677"/>
      <c r="T163" s="662"/>
      <c r="U163" s="677"/>
      <c r="V163" s="677"/>
      <c r="W163" s="677"/>
      <c r="X163" s="677"/>
      <c r="Y163" s="677"/>
      <c r="Z163" s="677"/>
      <c r="AA163" s="677"/>
      <c r="AB163" s="677"/>
      <c r="AC163" s="677"/>
      <c r="AD163" s="677"/>
    </row>
    <row r="164">
      <c r="A164" s="673"/>
      <c r="B164" s="674" t="s">
        <v>466</v>
      </c>
      <c r="C164" s="675">
        <v>1.0</v>
      </c>
      <c r="D164" s="704"/>
      <c r="E164" s="795"/>
      <c r="F164" s="795"/>
      <c r="G164" s="677"/>
      <c r="H164" s="677"/>
      <c r="I164" s="677"/>
      <c r="J164" s="677"/>
      <c r="K164" s="677"/>
      <c r="L164" s="677"/>
      <c r="M164" s="820"/>
      <c r="N164" s="821"/>
      <c r="O164" s="821"/>
      <c r="P164" s="677"/>
      <c r="Q164" s="677"/>
      <c r="R164" s="677"/>
      <c r="S164" s="677"/>
      <c r="T164" s="662"/>
      <c r="U164" s="677"/>
      <c r="V164" s="677"/>
      <c r="W164" s="677"/>
      <c r="X164" s="677"/>
      <c r="Y164" s="677"/>
      <c r="Z164" s="677"/>
      <c r="AA164" s="677"/>
      <c r="AB164" s="677"/>
      <c r="AC164" s="677"/>
      <c r="AD164" s="677"/>
    </row>
    <row r="165">
      <c r="A165" s="673"/>
      <c r="B165" s="674" t="s">
        <v>467</v>
      </c>
      <c r="C165" s="675">
        <v>1.0</v>
      </c>
      <c r="D165" s="704"/>
      <c r="E165" s="795"/>
      <c r="F165" s="795"/>
      <c r="G165" s="677"/>
      <c r="H165" s="677"/>
      <c r="I165" s="677"/>
      <c r="J165" s="677"/>
      <c r="K165" s="677"/>
      <c r="L165" s="677"/>
      <c r="M165" s="820"/>
      <c r="N165" s="821"/>
      <c r="O165" s="821"/>
      <c r="P165" s="677"/>
      <c r="Q165" s="677"/>
      <c r="R165" s="677"/>
      <c r="S165" s="677"/>
      <c r="T165" s="662"/>
      <c r="U165" s="677"/>
      <c r="V165" s="677"/>
      <c r="W165" s="677"/>
      <c r="X165" s="677"/>
      <c r="Y165" s="677"/>
      <c r="Z165" s="677"/>
      <c r="AA165" s="677"/>
      <c r="AB165" s="677"/>
      <c r="AC165" s="677"/>
      <c r="AD165" s="677"/>
    </row>
    <row r="166">
      <c r="A166" s="673"/>
      <c r="B166" s="674" t="s">
        <v>468</v>
      </c>
      <c r="C166" s="675">
        <v>1.0</v>
      </c>
      <c r="D166" s="704"/>
      <c r="E166" s="795"/>
      <c r="F166" s="795"/>
      <c r="G166" s="677"/>
      <c r="H166" s="677"/>
      <c r="I166" s="677"/>
      <c r="J166" s="677"/>
      <c r="K166" s="677"/>
      <c r="L166" s="677"/>
      <c r="M166" s="820"/>
      <c r="N166" s="821"/>
      <c r="O166" s="821"/>
      <c r="P166" s="677"/>
      <c r="Q166" s="677"/>
      <c r="R166" s="677"/>
      <c r="S166" s="677"/>
      <c r="T166" s="662"/>
      <c r="U166" s="677"/>
      <c r="V166" s="677"/>
      <c r="W166" s="677"/>
      <c r="X166" s="677"/>
      <c r="Y166" s="677"/>
      <c r="Z166" s="677"/>
      <c r="AA166" s="677"/>
      <c r="AB166" s="677"/>
      <c r="AC166" s="677"/>
      <c r="AD166" s="677"/>
    </row>
    <row r="167">
      <c r="A167" s="673"/>
      <c r="B167" s="708" t="s">
        <v>469</v>
      </c>
      <c r="C167" s="675">
        <v>1.0</v>
      </c>
      <c r="D167" s="704"/>
      <c r="E167" s="795"/>
      <c r="F167" s="795"/>
      <c r="G167" s="677"/>
      <c r="H167" s="677"/>
      <c r="I167" s="677"/>
      <c r="J167" s="677"/>
      <c r="K167" s="677"/>
      <c r="L167" s="677"/>
      <c r="M167" s="820"/>
      <c r="N167" s="821"/>
      <c r="O167" s="821"/>
      <c r="P167" s="677"/>
      <c r="Q167" s="677"/>
      <c r="R167" s="677"/>
      <c r="S167" s="677"/>
      <c r="T167" s="662"/>
      <c r="U167" s="677"/>
      <c r="V167" s="677"/>
      <c r="W167" s="677"/>
      <c r="X167" s="677"/>
      <c r="Y167" s="677"/>
      <c r="Z167" s="677"/>
      <c r="AA167" s="677"/>
      <c r="AB167" s="677"/>
      <c r="AC167" s="677"/>
      <c r="AD167" s="677"/>
    </row>
    <row r="168">
      <c r="A168" s="673"/>
      <c r="B168" s="708" t="s">
        <v>470</v>
      </c>
      <c r="C168" s="675">
        <v>1.0</v>
      </c>
      <c r="D168" s="704"/>
      <c r="E168" s="795"/>
      <c r="F168" s="795"/>
      <c r="G168" s="677"/>
      <c r="H168" s="677"/>
      <c r="I168" s="677"/>
      <c r="J168" s="677"/>
      <c r="K168" s="677"/>
      <c r="L168" s="677"/>
      <c r="M168" s="820"/>
      <c r="N168" s="821"/>
      <c r="O168" s="821"/>
      <c r="P168" s="677"/>
      <c r="Q168" s="677"/>
      <c r="R168" s="677"/>
      <c r="S168" s="677"/>
      <c r="T168" s="662"/>
      <c r="U168" s="677"/>
      <c r="V168" s="677"/>
      <c r="W168" s="677"/>
      <c r="X168" s="662"/>
      <c r="Y168" s="677"/>
      <c r="Z168" s="677"/>
      <c r="AA168" s="677"/>
      <c r="AB168" s="677"/>
      <c r="AC168" s="677"/>
      <c r="AD168" s="677"/>
    </row>
    <row r="169">
      <c r="A169" s="673"/>
      <c r="B169" s="708" t="s">
        <v>471</v>
      </c>
      <c r="C169" s="675">
        <v>1.0</v>
      </c>
      <c r="D169" s="704"/>
      <c r="E169" s="795"/>
      <c r="F169" s="795"/>
      <c r="G169" s="677"/>
      <c r="H169" s="677"/>
      <c r="I169" s="677"/>
      <c r="J169" s="677"/>
      <c r="K169" s="677"/>
      <c r="L169" s="677"/>
      <c r="M169" s="820"/>
      <c r="N169" s="821"/>
      <c r="O169" s="821"/>
      <c r="P169" s="677"/>
      <c r="Q169" s="677"/>
      <c r="R169" s="677"/>
      <c r="S169" s="677"/>
      <c r="T169" s="662"/>
      <c r="U169" s="677"/>
      <c r="V169" s="677"/>
      <c r="W169" s="677"/>
      <c r="X169" s="677"/>
      <c r="Y169" s="677"/>
      <c r="Z169" s="677"/>
      <c r="AA169" s="677"/>
      <c r="AB169" s="677"/>
      <c r="AC169" s="677"/>
      <c r="AD169" s="677"/>
    </row>
    <row r="170">
      <c r="A170" s="673"/>
      <c r="B170" s="708" t="s">
        <v>472</v>
      </c>
      <c r="C170" s="675">
        <v>1.0</v>
      </c>
      <c r="D170" s="704"/>
      <c r="E170" s="795"/>
      <c r="F170" s="795"/>
      <c r="G170" s="677"/>
      <c r="H170" s="677"/>
      <c r="I170" s="677"/>
      <c r="J170" s="677"/>
      <c r="K170" s="677"/>
      <c r="L170" s="677"/>
      <c r="M170" s="820"/>
      <c r="N170" s="821"/>
      <c r="O170" s="821"/>
      <c r="P170" s="677"/>
      <c r="Q170" s="677"/>
      <c r="R170" s="677"/>
      <c r="S170" s="677"/>
      <c r="T170" s="662"/>
      <c r="U170" s="677"/>
      <c r="V170" s="677"/>
      <c r="W170" s="677"/>
      <c r="X170" s="677"/>
      <c r="Y170" s="677"/>
      <c r="Z170" s="677"/>
      <c r="AA170" s="677"/>
      <c r="AB170" s="677"/>
      <c r="AC170" s="677"/>
      <c r="AD170" s="677"/>
    </row>
    <row r="171">
      <c r="A171" s="673"/>
      <c r="B171" s="708" t="s">
        <v>473</v>
      </c>
      <c r="C171" s="675">
        <v>1.0</v>
      </c>
      <c r="D171" s="704"/>
      <c r="E171" s="795"/>
      <c r="F171" s="795"/>
      <c r="G171" s="677"/>
      <c r="H171" s="677"/>
      <c r="I171" s="677"/>
      <c r="J171" s="677"/>
      <c r="K171" s="677"/>
      <c r="L171" s="677"/>
      <c r="M171" s="820"/>
      <c r="N171" s="821"/>
      <c r="O171" s="821"/>
      <c r="P171" s="677"/>
      <c r="Q171" s="677"/>
      <c r="R171" s="677"/>
      <c r="S171" s="677"/>
      <c r="T171" s="662"/>
      <c r="U171" s="677"/>
      <c r="V171" s="677"/>
      <c r="W171" s="677"/>
      <c r="X171" s="677"/>
      <c r="Y171" s="677"/>
      <c r="Z171" s="677"/>
      <c r="AA171" s="677"/>
      <c r="AB171" s="677"/>
      <c r="AC171" s="677"/>
      <c r="AD171" s="677"/>
    </row>
    <row r="172">
      <c r="A172" s="673"/>
      <c r="B172" s="708" t="s">
        <v>474</v>
      </c>
      <c r="C172" s="675">
        <v>1.0</v>
      </c>
      <c r="D172" s="704"/>
      <c r="E172" s="795"/>
      <c r="F172" s="795"/>
      <c r="G172" s="677"/>
      <c r="H172" s="677"/>
      <c r="I172" s="677"/>
      <c r="J172" s="677"/>
      <c r="K172" s="677"/>
      <c r="L172" s="677"/>
      <c r="M172" s="820"/>
      <c r="N172" s="821"/>
      <c r="O172" s="821"/>
      <c r="P172" s="677"/>
      <c r="Q172" s="677"/>
      <c r="R172" s="677"/>
      <c r="S172" s="677"/>
      <c r="T172" s="662"/>
      <c r="U172" s="677"/>
      <c r="V172" s="677"/>
      <c r="W172" s="677"/>
      <c r="X172" s="677"/>
      <c r="Y172" s="677"/>
      <c r="Z172" s="677"/>
      <c r="AA172" s="677"/>
      <c r="AB172" s="677"/>
      <c r="AC172" s="677"/>
      <c r="AD172" s="677"/>
    </row>
    <row r="173">
      <c r="A173" s="673"/>
      <c r="B173" s="708" t="s">
        <v>475</v>
      </c>
      <c r="C173" s="675">
        <v>1.0</v>
      </c>
      <c r="D173" s="704"/>
      <c r="E173" s="795"/>
      <c r="F173" s="795"/>
      <c r="G173" s="677"/>
      <c r="H173" s="677"/>
      <c r="I173" s="677"/>
      <c r="J173" s="677"/>
      <c r="K173" s="677"/>
      <c r="L173" s="677"/>
      <c r="M173" s="820"/>
      <c r="N173" s="821"/>
      <c r="O173" s="821"/>
      <c r="P173" s="677"/>
      <c r="Q173" s="677"/>
      <c r="R173" s="677"/>
      <c r="S173" s="677"/>
      <c r="T173" s="662"/>
      <c r="U173" s="677"/>
      <c r="V173" s="677"/>
      <c r="W173" s="677"/>
      <c r="X173" s="677"/>
      <c r="Y173" s="677"/>
      <c r="Z173" s="677"/>
      <c r="AA173" s="677"/>
      <c r="AB173" s="677"/>
      <c r="AC173" s="677"/>
      <c r="AD173" s="677"/>
    </row>
    <row r="174">
      <c r="A174" s="673"/>
      <c r="B174" s="708" t="s">
        <v>476</v>
      </c>
      <c r="C174" s="675">
        <v>1.0</v>
      </c>
      <c r="D174" s="704"/>
      <c r="E174" s="795"/>
      <c r="F174" s="795"/>
      <c r="G174" s="677"/>
      <c r="H174" s="677"/>
      <c r="I174" s="677"/>
      <c r="J174" s="677"/>
      <c r="K174" s="677"/>
      <c r="L174" s="677"/>
      <c r="M174" s="820"/>
      <c r="N174" s="821"/>
      <c r="O174" s="821"/>
      <c r="P174" s="677"/>
      <c r="Q174" s="677"/>
      <c r="R174" s="677"/>
      <c r="S174" s="677"/>
      <c r="T174" s="662"/>
      <c r="U174" s="677"/>
      <c r="V174" s="677"/>
      <c r="W174" s="677"/>
      <c r="X174" s="677"/>
      <c r="Y174" s="677"/>
      <c r="Z174" s="677"/>
      <c r="AA174" s="677"/>
      <c r="AB174" s="677"/>
      <c r="AC174" s="677"/>
      <c r="AD174" s="677"/>
    </row>
    <row r="175">
      <c r="A175" s="673"/>
      <c r="B175" s="674" t="s">
        <v>477</v>
      </c>
      <c r="C175" s="675">
        <v>1.0</v>
      </c>
      <c r="D175" s="704"/>
      <c r="E175" s="795"/>
      <c r="F175" s="795"/>
      <c r="G175" s="677"/>
      <c r="H175" s="677"/>
      <c r="I175" s="677"/>
      <c r="J175" s="677"/>
      <c r="K175" s="677"/>
      <c r="L175" s="677"/>
      <c r="M175" s="820"/>
      <c r="N175" s="821"/>
      <c r="O175" s="821"/>
      <c r="P175" s="677"/>
      <c r="Q175" s="677"/>
      <c r="R175" s="677"/>
      <c r="S175" s="677"/>
      <c r="T175" s="662"/>
      <c r="U175" s="677"/>
      <c r="V175" s="677"/>
      <c r="W175" s="677"/>
      <c r="X175" s="677"/>
      <c r="Y175" s="677"/>
      <c r="Z175" s="677"/>
      <c r="AA175" s="677"/>
      <c r="AB175" s="677"/>
      <c r="AC175" s="677"/>
      <c r="AD175" s="677"/>
    </row>
    <row r="176">
      <c r="A176" s="673"/>
      <c r="B176" s="674" t="s">
        <v>478</v>
      </c>
      <c r="C176" s="675">
        <v>1.0</v>
      </c>
      <c r="D176" s="704"/>
      <c r="E176" s="795"/>
      <c r="F176" s="795"/>
      <c r="G176" s="677"/>
      <c r="H176" s="677"/>
      <c r="I176" s="677"/>
      <c r="J176" s="677"/>
      <c r="K176" s="677"/>
      <c r="L176" s="677"/>
      <c r="M176" s="820"/>
      <c r="N176" s="821"/>
      <c r="O176" s="821"/>
      <c r="P176" s="677"/>
      <c r="Q176" s="677"/>
      <c r="R176" s="677"/>
      <c r="S176" s="677"/>
      <c r="T176" s="662"/>
      <c r="U176" s="677"/>
      <c r="V176" s="677"/>
      <c r="W176" s="677"/>
      <c r="X176" s="677"/>
      <c r="Y176" s="677"/>
      <c r="Z176" s="677"/>
      <c r="AA176" s="677"/>
      <c r="AB176" s="677"/>
      <c r="AC176" s="677"/>
      <c r="AD176" s="677"/>
    </row>
    <row r="177">
      <c r="A177" s="673"/>
      <c r="B177" s="674" t="s">
        <v>479</v>
      </c>
      <c r="C177" s="675">
        <v>1.0</v>
      </c>
      <c r="D177" s="704"/>
      <c r="E177" s="795"/>
      <c r="F177" s="795"/>
      <c r="G177" s="677"/>
      <c r="H177" s="677"/>
      <c r="I177" s="677"/>
      <c r="J177" s="677"/>
      <c r="K177" s="677"/>
      <c r="L177" s="677"/>
      <c r="M177" s="820"/>
      <c r="N177" s="821"/>
      <c r="O177" s="821"/>
      <c r="P177" s="677"/>
      <c r="Q177" s="677"/>
      <c r="R177" s="677"/>
      <c r="S177" s="677"/>
      <c r="T177" s="662"/>
      <c r="U177" s="677"/>
      <c r="V177" s="677"/>
      <c r="W177" s="677"/>
      <c r="X177" s="677"/>
      <c r="Y177" s="677"/>
      <c r="Z177" s="677"/>
      <c r="AA177" s="677"/>
      <c r="AB177" s="677"/>
      <c r="AC177" s="677"/>
      <c r="AD177" s="677"/>
    </row>
    <row r="178">
      <c r="A178" s="673"/>
      <c r="B178" s="674" t="s">
        <v>480</v>
      </c>
      <c r="C178" s="675">
        <v>1.0</v>
      </c>
      <c r="D178" s="704"/>
      <c r="E178" s="795"/>
      <c r="F178" s="795"/>
      <c r="G178" s="677"/>
      <c r="H178" s="677"/>
      <c r="I178" s="677"/>
      <c r="J178" s="677"/>
      <c r="K178" s="677"/>
      <c r="L178" s="677"/>
      <c r="M178" s="820"/>
      <c r="N178" s="821"/>
      <c r="O178" s="821"/>
      <c r="P178" s="677"/>
      <c r="Q178" s="677"/>
      <c r="R178" s="677"/>
      <c r="S178" s="677"/>
      <c r="T178" s="662"/>
      <c r="U178" s="677"/>
      <c r="V178" s="677"/>
      <c r="W178" s="677"/>
      <c r="X178" s="677"/>
      <c r="Y178" s="677"/>
      <c r="Z178" s="677"/>
      <c r="AA178" s="677"/>
      <c r="AB178" s="677"/>
      <c r="AC178" s="677"/>
      <c r="AD178" s="677"/>
    </row>
    <row r="179">
      <c r="A179" s="673"/>
      <c r="B179" s="674" t="s">
        <v>481</v>
      </c>
      <c r="C179" s="675">
        <v>1.0</v>
      </c>
      <c r="D179" s="704"/>
      <c r="E179" s="795"/>
      <c r="F179" s="795"/>
      <c r="G179" s="677"/>
      <c r="H179" s="677"/>
      <c r="I179" s="677"/>
      <c r="J179" s="677"/>
      <c r="K179" s="677"/>
      <c r="L179" s="677"/>
      <c r="M179" s="820"/>
      <c r="N179" s="821"/>
      <c r="O179" s="821"/>
      <c r="P179" s="677"/>
      <c r="Q179" s="677"/>
      <c r="R179" s="677"/>
      <c r="S179" s="677"/>
      <c r="T179" s="662"/>
      <c r="U179" s="677"/>
      <c r="V179" s="677"/>
      <c r="W179" s="677"/>
      <c r="X179" s="662"/>
      <c r="Y179" s="677"/>
      <c r="Z179" s="677"/>
      <c r="AA179" s="677"/>
      <c r="AB179" s="677"/>
      <c r="AC179" s="677"/>
      <c r="AD179" s="677"/>
    </row>
    <row r="180">
      <c r="A180" s="673"/>
      <c r="B180" s="674" t="s">
        <v>482</v>
      </c>
      <c r="C180" s="675">
        <v>1.0</v>
      </c>
      <c r="D180" s="704"/>
      <c r="E180" s="795"/>
      <c r="F180" s="795"/>
      <c r="G180" s="677"/>
      <c r="H180" s="677"/>
      <c r="I180" s="677"/>
      <c r="J180" s="677"/>
      <c r="K180" s="677"/>
      <c r="L180" s="677"/>
      <c r="M180" s="820"/>
      <c r="N180" s="821"/>
      <c r="O180" s="821"/>
      <c r="P180" s="677"/>
      <c r="Q180" s="677"/>
      <c r="R180" s="677"/>
      <c r="S180" s="677"/>
      <c r="T180" s="662"/>
      <c r="U180" s="677"/>
      <c r="V180" s="677"/>
      <c r="W180" s="677"/>
      <c r="X180" s="677"/>
      <c r="Y180" s="677"/>
      <c r="Z180" s="677"/>
      <c r="AA180" s="677"/>
      <c r="AB180" s="677"/>
      <c r="AC180" s="677"/>
      <c r="AD180" s="677"/>
    </row>
    <row r="181">
      <c r="A181" s="673"/>
      <c r="B181" s="708" t="s">
        <v>483</v>
      </c>
      <c r="C181" s="675">
        <v>1.0</v>
      </c>
      <c r="D181" s="704"/>
      <c r="E181" s="795"/>
      <c r="F181" s="795"/>
      <c r="G181" s="677"/>
      <c r="H181" s="677"/>
      <c r="I181" s="677"/>
      <c r="J181" s="677"/>
      <c r="K181" s="677"/>
      <c r="L181" s="677"/>
      <c r="M181" s="820"/>
      <c r="N181" s="821"/>
      <c r="O181" s="821"/>
      <c r="P181" s="677"/>
      <c r="Q181" s="677"/>
      <c r="R181" s="677"/>
      <c r="S181" s="677"/>
      <c r="T181" s="662"/>
      <c r="U181" s="677"/>
      <c r="V181" s="677"/>
      <c r="W181" s="677"/>
      <c r="X181" s="677"/>
      <c r="Y181" s="677"/>
      <c r="Z181" s="677"/>
      <c r="AA181" s="677"/>
      <c r="AB181" s="677"/>
      <c r="AC181" s="677"/>
      <c r="AD181" s="677"/>
    </row>
    <row r="182">
      <c r="A182" s="673"/>
      <c r="B182" s="708" t="s">
        <v>484</v>
      </c>
      <c r="C182" s="675">
        <v>1.0</v>
      </c>
      <c r="D182" s="704"/>
      <c r="E182" s="795"/>
      <c r="F182" s="795"/>
      <c r="G182" s="677"/>
      <c r="H182" s="677"/>
      <c r="I182" s="677"/>
      <c r="J182" s="677"/>
      <c r="K182" s="677"/>
      <c r="L182" s="677"/>
      <c r="M182" s="820"/>
      <c r="N182" s="821"/>
      <c r="O182" s="821"/>
      <c r="P182" s="677"/>
      <c r="Q182" s="677"/>
      <c r="R182" s="677"/>
      <c r="S182" s="677"/>
      <c r="T182" s="662"/>
      <c r="U182" s="677"/>
      <c r="V182" s="677"/>
      <c r="W182" s="677"/>
      <c r="X182" s="677"/>
      <c r="Y182" s="677"/>
      <c r="Z182" s="677"/>
      <c r="AA182" s="677"/>
      <c r="AB182" s="677"/>
      <c r="AC182" s="677"/>
      <c r="AD182" s="677"/>
    </row>
    <row r="183">
      <c r="A183" s="673"/>
      <c r="B183" s="708" t="s">
        <v>485</v>
      </c>
      <c r="C183" s="675">
        <v>1.0</v>
      </c>
      <c r="D183" s="704"/>
      <c r="E183" s="795"/>
      <c r="F183" s="795"/>
      <c r="G183" s="677"/>
      <c r="H183" s="677"/>
      <c r="I183" s="677"/>
      <c r="J183" s="677"/>
      <c r="K183" s="677"/>
      <c r="L183" s="677"/>
      <c r="M183" s="820"/>
      <c r="N183" s="821"/>
      <c r="O183" s="821"/>
      <c r="P183" s="677"/>
      <c r="Q183" s="677"/>
      <c r="R183" s="677"/>
      <c r="S183" s="677"/>
      <c r="T183" s="662"/>
      <c r="U183" s="677"/>
      <c r="V183" s="677"/>
      <c r="W183" s="677"/>
      <c r="X183" s="677"/>
      <c r="Y183" s="677"/>
      <c r="Z183" s="677"/>
      <c r="AA183" s="677"/>
      <c r="AB183" s="677"/>
      <c r="AC183" s="677"/>
      <c r="AD183" s="677"/>
    </row>
    <row r="184">
      <c r="A184" s="673"/>
      <c r="B184" s="708" t="s">
        <v>486</v>
      </c>
      <c r="C184" s="675">
        <v>1.0</v>
      </c>
      <c r="D184" s="704"/>
      <c r="E184" s="795"/>
      <c r="F184" s="795"/>
      <c r="G184" s="677"/>
      <c r="H184" s="677"/>
      <c r="I184" s="677"/>
      <c r="J184" s="677"/>
      <c r="K184" s="677"/>
      <c r="L184" s="677"/>
      <c r="M184" s="820"/>
      <c r="N184" s="821"/>
      <c r="O184" s="821"/>
      <c r="P184" s="677"/>
      <c r="Q184" s="677"/>
      <c r="R184" s="677"/>
      <c r="S184" s="677"/>
      <c r="T184" s="662"/>
      <c r="U184" s="677"/>
      <c r="V184" s="677"/>
      <c r="W184" s="677"/>
      <c r="X184" s="677"/>
      <c r="Y184" s="677"/>
      <c r="Z184" s="677"/>
      <c r="AA184" s="677"/>
      <c r="AB184" s="677"/>
      <c r="AC184" s="677"/>
      <c r="AD184" s="677"/>
    </row>
    <row r="185">
      <c r="A185" s="673"/>
      <c r="B185" s="708" t="s">
        <v>487</v>
      </c>
      <c r="C185" s="675">
        <v>1.0</v>
      </c>
      <c r="D185" s="704"/>
      <c r="E185" s="795"/>
      <c r="F185" s="795"/>
      <c r="G185" s="677"/>
      <c r="H185" s="677"/>
      <c r="I185" s="677"/>
      <c r="J185" s="677"/>
      <c r="K185" s="677"/>
      <c r="L185" s="677"/>
      <c r="M185" s="820"/>
      <c r="N185" s="821"/>
      <c r="O185" s="821"/>
      <c r="P185" s="677"/>
      <c r="Q185" s="677"/>
      <c r="R185" s="677"/>
      <c r="S185" s="677"/>
      <c r="T185" s="662"/>
      <c r="U185" s="677"/>
      <c r="V185" s="677"/>
      <c r="W185" s="677"/>
      <c r="X185" s="677"/>
      <c r="Y185" s="677"/>
      <c r="Z185" s="677"/>
      <c r="AA185" s="677"/>
      <c r="AB185" s="677"/>
      <c r="AC185" s="677"/>
      <c r="AD185" s="677"/>
    </row>
    <row r="186">
      <c r="A186" s="673"/>
      <c r="B186" s="674" t="s">
        <v>488</v>
      </c>
      <c r="C186" s="675">
        <v>1.0</v>
      </c>
      <c r="D186" s="704"/>
      <c r="E186" s="795"/>
      <c r="F186" s="795"/>
      <c r="G186" s="677"/>
      <c r="H186" s="677"/>
      <c r="I186" s="677"/>
      <c r="J186" s="677"/>
      <c r="K186" s="677"/>
      <c r="L186" s="677"/>
      <c r="M186" s="820"/>
      <c r="N186" s="821"/>
      <c r="O186" s="821"/>
      <c r="P186" s="677"/>
      <c r="Q186" s="677"/>
      <c r="R186" s="677"/>
      <c r="S186" s="677"/>
      <c r="T186" s="662"/>
      <c r="U186" s="677"/>
      <c r="V186" s="677"/>
      <c r="W186" s="677"/>
      <c r="X186" s="677"/>
      <c r="Y186" s="677"/>
      <c r="Z186" s="677"/>
      <c r="AA186" s="677"/>
      <c r="AB186" s="677"/>
      <c r="AC186" s="677"/>
      <c r="AD186" s="677"/>
    </row>
    <row r="187">
      <c r="A187" s="673"/>
      <c r="B187" s="674" t="s">
        <v>489</v>
      </c>
      <c r="C187" s="675">
        <v>1.0</v>
      </c>
      <c r="D187" s="704"/>
      <c r="E187" s="795"/>
      <c r="F187" s="795"/>
      <c r="G187" s="677"/>
      <c r="H187" s="677"/>
      <c r="I187" s="677"/>
      <c r="J187" s="677"/>
      <c r="K187" s="677"/>
      <c r="L187" s="677"/>
      <c r="M187" s="820"/>
      <c r="N187" s="821"/>
      <c r="O187" s="821"/>
      <c r="P187" s="677"/>
      <c r="Q187" s="677"/>
      <c r="R187" s="677"/>
      <c r="S187" s="677"/>
      <c r="T187" s="662"/>
      <c r="U187" s="677"/>
      <c r="V187" s="677"/>
      <c r="W187" s="677"/>
      <c r="X187" s="677"/>
      <c r="Y187" s="677"/>
      <c r="Z187" s="677"/>
      <c r="AA187" s="677"/>
      <c r="AB187" s="677"/>
      <c r="AC187" s="677"/>
      <c r="AD187" s="677"/>
    </row>
    <row r="188">
      <c r="A188" s="673"/>
      <c r="B188" s="708" t="s">
        <v>490</v>
      </c>
      <c r="C188" s="675">
        <v>1.0</v>
      </c>
      <c r="D188" s="704"/>
      <c r="E188" s="795"/>
      <c r="F188" s="795"/>
      <c r="G188" s="677"/>
      <c r="H188" s="677"/>
      <c r="I188" s="677"/>
      <c r="J188" s="677"/>
      <c r="K188" s="677"/>
      <c r="L188" s="677"/>
      <c r="M188" s="820"/>
      <c r="N188" s="821"/>
      <c r="O188" s="821"/>
      <c r="P188" s="677"/>
      <c r="Q188" s="677"/>
      <c r="R188" s="677"/>
      <c r="S188" s="677"/>
      <c r="T188" s="662"/>
      <c r="U188" s="677"/>
      <c r="V188" s="677"/>
      <c r="W188" s="677"/>
      <c r="X188" s="677"/>
      <c r="Y188" s="677"/>
      <c r="Z188" s="677"/>
      <c r="AA188" s="677"/>
      <c r="AB188" s="677"/>
      <c r="AC188" s="677"/>
      <c r="AD188" s="677"/>
    </row>
    <row r="189">
      <c r="A189" s="673"/>
      <c r="B189" s="674" t="s">
        <v>491</v>
      </c>
      <c r="C189" s="675">
        <v>1.0</v>
      </c>
      <c r="D189" s="704"/>
      <c r="E189" s="795"/>
      <c r="F189" s="795"/>
      <c r="G189" s="677"/>
      <c r="H189" s="677"/>
      <c r="I189" s="677"/>
      <c r="J189" s="677"/>
      <c r="K189" s="677"/>
      <c r="L189" s="677"/>
      <c r="M189" s="820"/>
      <c r="N189" s="821"/>
      <c r="O189" s="821"/>
      <c r="P189" s="677"/>
      <c r="Q189" s="677"/>
      <c r="R189" s="677"/>
      <c r="S189" s="677"/>
      <c r="T189" s="662"/>
      <c r="U189" s="677"/>
      <c r="V189" s="677"/>
      <c r="W189" s="677"/>
      <c r="X189" s="677"/>
      <c r="Y189" s="677"/>
      <c r="Z189" s="677"/>
      <c r="AA189" s="677"/>
      <c r="AB189" s="677"/>
      <c r="AC189" s="677"/>
      <c r="AD189" s="677"/>
    </row>
    <row r="190">
      <c r="A190" s="673"/>
      <c r="B190" s="674" t="s">
        <v>492</v>
      </c>
      <c r="C190" s="675">
        <v>1.0</v>
      </c>
      <c r="D190" s="704"/>
      <c r="E190" s="795"/>
      <c r="F190" s="795"/>
      <c r="G190" s="677"/>
      <c r="H190" s="677"/>
      <c r="I190" s="677"/>
      <c r="J190" s="677"/>
      <c r="K190" s="677"/>
      <c r="L190" s="677"/>
      <c r="M190" s="820"/>
      <c r="N190" s="821"/>
      <c r="O190" s="821"/>
      <c r="P190" s="677"/>
      <c r="Q190" s="677"/>
      <c r="R190" s="677"/>
      <c r="S190" s="677"/>
      <c r="T190" s="662"/>
      <c r="U190" s="677"/>
      <c r="V190" s="677"/>
      <c r="W190" s="677"/>
      <c r="X190" s="662"/>
      <c r="Y190" s="677"/>
      <c r="Z190" s="677"/>
      <c r="AA190" s="677"/>
      <c r="AB190" s="677"/>
      <c r="AC190" s="677"/>
      <c r="AD190" s="677"/>
    </row>
    <row r="191">
      <c r="A191" s="673"/>
      <c r="B191" s="674" t="s">
        <v>493</v>
      </c>
      <c r="C191" s="675">
        <v>1.0</v>
      </c>
      <c r="D191" s="704"/>
      <c r="E191" s="795"/>
      <c r="F191" s="795"/>
      <c r="G191" s="677"/>
      <c r="H191" s="677"/>
      <c r="I191" s="677"/>
      <c r="J191" s="677"/>
      <c r="K191" s="677"/>
      <c r="L191" s="677"/>
      <c r="M191" s="820"/>
      <c r="N191" s="821"/>
      <c r="O191" s="821"/>
      <c r="P191" s="677"/>
      <c r="Q191" s="677"/>
      <c r="R191" s="677"/>
      <c r="S191" s="677"/>
      <c r="T191" s="662"/>
      <c r="U191" s="677"/>
      <c r="V191" s="677"/>
      <c r="W191" s="677"/>
      <c r="X191" s="677"/>
      <c r="Y191" s="677"/>
      <c r="Z191" s="677"/>
      <c r="AA191" s="677"/>
      <c r="AB191" s="677"/>
      <c r="AC191" s="677"/>
      <c r="AD191" s="677"/>
    </row>
    <row r="192">
      <c r="A192" s="673"/>
      <c r="B192" s="674" t="s">
        <v>494</v>
      </c>
      <c r="C192" s="675">
        <v>1.0</v>
      </c>
      <c r="D192" s="704"/>
      <c r="E192" s="795"/>
      <c r="F192" s="795"/>
      <c r="G192" s="677"/>
      <c r="H192" s="677"/>
      <c r="I192" s="677"/>
      <c r="J192" s="677"/>
      <c r="K192" s="677"/>
      <c r="L192" s="677"/>
      <c r="M192" s="820"/>
      <c r="N192" s="821"/>
      <c r="O192" s="821"/>
      <c r="P192" s="677"/>
      <c r="Q192" s="677"/>
      <c r="R192" s="677"/>
      <c r="S192" s="677"/>
      <c r="T192" s="662"/>
      <c r="U192" s="677"/>
      <c r="V192" s="677"/>
      <c r="W192" s="677"/>
      <c r="X192" s="677"/>
      <c r="Y192" s="677"/>
      <c r="Z192" s="677"/>
      <c r="AA192" s="677"/>
      <c r="AB192" s="677"/>
      <c r="AC192" s="677"/>
      <c r="AD192" s="677"/>
    </row>
    <row r="193">
      <c r="A193" s="673"/>
      <c r="B193" s="674" t="s">
        <v>495</v>
      </c>
      <c r="C193" s="675">
        <v>1.0</v>
      </c>
      <c r="D193" s="704"/>
      <c r="E193" s="795"/>
      <c r="F193" s="795"/>
      <c r="G193" s="677"/>
      <c r="H193" s="677"/>
      <c r="I193" s="677"/>
      <c r="J193" s="677"/>
      <c r="K193" s="677"/>
      <c r="L193" s="677"/>
      <c r="M193" s="820"/>
      <c r="N193" s="821"/>
      <c r="O193" s="821"/>
      <c r="P193" s="677"/>
      <c r="Q193" s="677"/>
      <c r="R193" s="677"/>
      <c r="S193" s="677"/>
      <c r="T193" s="662"/>
      <c r="U193" s="677"/>
      <c r="V193" s="677"/>
      <c r="W193" s="677"/>
      <c r="X193" s="677"/>
      <c r="Y193" s="677"/>
      <c r="Z193" s="677"/>
      <c r="AA193" s="677"/>
      <c r="AB193" s="677"/>
      <c r="AC193" s="677"/>
      <c r="AD193" s="677"/>
    </row>
    <row r="194">
      <c r="A194" s="673"/>
      <c r="B194" s="708" t="s">
        <v>496</v>
      </c>
      <c r="C194" s="675">
        <v>1.0</v>
      </c>
      <c r="D194" s="704"/>
      <c r="E194" s="795"/>
      <c r="F194" s="795"/>
      <c r="G194" s="677"/>
      <c r="H194" s="677"/>
      <c r="I194" s="677"/>
      <c r="J194" s="677"/>
      <c r="K194" s="677"/>
      <c r="L194" s="677"/>
      <c r="M194" s="820"/>
      <c r="N194" s="821"/>
      <c r="O194" s="821"/>
      <c r="P194" s="677"/>
      <c r="Q194" s="677"/>
      <c r="R194" s="677"/>
      <c r="S194" s="677"/>
      <c r="T194" s="662"/>
      <c r="U194" s="677"/>
      <c r="V194" s="677"/>
      <c r="W194" s="677"/>
      <c r="X194" s="677"/>
      <c r="Y194" s="677"/>
      <c r="Z194" s="677"/>
      <c r="AA194" s="677"/>
      <c r="AB194" s="677"/>
      <c r="AC194" s="677"/>
      <c r="AD194" s="677"/>
    </row>
    <row r="195">
      <c r="A195" s="673"/>
      <c r="B195" s="708" t="s">
        <v>497</v>
      </c>
      <c r="C195" s="675">
        <v>1.0</v>
      </c>
      <c r="D195" s="704"/>
      <c r="E195" s="795"/>
      <c r="F195" s="795"/>
      <c r="G195" s="677"/>
      <c r="H195" s="677"/>
      <c r="I195" s="677"/>
      <c r="J195" s="677"/>
      <c r="K195" s="677"/>
      <c r="L195" s="677"/>
      <c r="M195" s="820"/>
      <c r="N195" s="821"/>
      <c r="O195" s="821"/>
      <c r="P195" s="677"/>
      <c r="Q195" s="677"/>
      <c r="R195" s="677"/>
      <c r="S195" s="677"/>
      <c r="T195" s="662"/>
      <c r="U195" s="677"/>
      <c r="V195" s="677"/>
      <c r="W195" s="677"/>
      <c r="X195" s="677"/>
      <c r="Y195" s="677"/>
      <c r="Z195" s="677"/>
      <c r="AA195" s="677"/>
      <c r="AB195" s="677"/>
      <c r="AC195" s="677"/>
      <c r="AD195" s="677"/>
    </row>
    <row r="196">
      <c r="A196" s="673"/>
      <c r="B196" s="708" t="s">
        <v>498</v>
      </c>
      <c r="C196" s="675">
        <v>1.0</v>
      </c>
      <c r="D196" s="704"/>
      <c r="E196" s="795"/>
      <c r="F196" s="795"/>
      <c r="G196" s="677"/>
      <c r="H196" s="677"/>
      <c r="I196" s="677"/>
      <c r="J196" s="677"/>
      <c r="K196" s="677"/>
      <c r="L196" s="677"/>
      <c r="M196" s="820"/>
      <c r="N196" s="821"/>
      <c r="O196" s="821"/>
      <c r="P196" s="677"/>
      <c r="Q196" s="677"/>
      <c r="R196" s="677"/>
      <c r="S196" s="677"/>
      <c r="T196" s="662"/>
      <c r="U196" s="677"/>
      <c r="V196" s="677"/>
      <c r="W196" s="677"/>
      <c r="X196" s="677"/>
      <c r="Y196" s="677"/>
      <c r="Z196" s="677"/>
      <c r="AA196" s="677"/>
      <c r="AB196" s="677"/>
      <c r="AC196" s="677"/>
      <c r="AD196" s="677"/>
    </row>
    <row r="197">
      <c r="A197" s="673"/>
      <c r="B197" s="708" t="s">
        <v>499</v>
      </c>
      <c r="C197" s="675">
        <v>1.0</v>
      </c>
      <c r="D197" s="704"/>
      <c r="E197" s="795"/>
      <c r="F197" s="795"/>
      <c r="G197" s="677"/>
      <c r="H197" s="677"/>
      <c r="I197" s="677"/>
      <c r="J197" s="677"/>
      <c r="K197" s="677"/>
      <c r="L197" s="677"/>
      <c r="M197" s="820"/>
      <c r="N197" s="821"/>
      <c r="O197" s="821"/>
      <c r="P197" s="677"/>
      <c r="Q197" s="677"/>
      <c r="R197" s="677"/>
      <c r="S197" s="677"/>
      <c r="T197" s="662"/>
      <c r="U197" s="677"/>
      <c r="V197" s="677"/>
      <c r="W197" s="677"/>
      <c r="X197" s="677"/>
      <c r="Y197" s="677"/>
      <c r="Z197" s="677"/>
      <c r="AA197" s="677"/>
      <c r="AB197" s="677"/>
      <c r="AC197" s="677"/>
      <c r="AD197" s="677"/>
    </row>
    <row r="198">
      <c r="A198" s="673"/>
      <c r="B198" s="708" t="s">
        <v>500</v>
      </c>
      <c r="C198" s="675">
        <v>1.0</v>
      </c>
      <c r="D198" s="704"/>
      <c r="E198" s="795"/>
      <c r="F198" s="795"/>
      <c r="G198" s="677"/>
      <c r="H198" s="677"/>
      <c r="I198" s="677"/>
      <c r="J198" s="677"/>
      <c r="K198" s="677"/>
      <c r="L198" s="677"/>
      <c r="M198" s="820"/>
      <c r="N198" s="821"/>
      <c r="O198" s="821"/>
      <c r="P198" s="677"/>
      <c r="Q198" s="677"/>
      <c r="R198" s="677"/>
      <c r="S198" s="677"/>
      <c r="T198" s="662"/>
      <c r="U198" s="677"/>
      <c r="V198" s="677"/>
      <c r="W198" s="677"/>
      <c r="X198" s="677"/>
      <c r="Y198" s="677"/>
      <c r="Z198" s="677"/>
      <c r="AA198" s="677"/>
      <c r="AB198" s="677"/>
      <c r="AC198" s="677"/>
      <c r="AD198" s="677"/>
    </row>
    <row r="199">
      <c r="A199" s="673"/>
      <c r="B199" s="708" t="s">
        <v>501</v>
      </c>
      <c r="C199" s="675">
        <v>1.0</v>
      </c>
      <c r="D199" s="704"/>
      <c r="E199" s="795"/>
      <c r="F199" s="795"/>
      <c r="G199" s="677"/>
      <c r="H199" s="677"/>
      <c r="I199" s="677"/>
      <c r="J199" s="677"/>
      <c r="K199" s="677"/>
      <c r="L199" s="677"/>
      <c r="M199" s="820"/>
      <c r="N199" s="821"/>
      <c r="O199" s="821"/>
      <c r="P199" s="677"/>
      <c r="Q199" s="677"/>
      <c r="R199" s="677"/>
      <c r="S199" s="677"/>
      <c r="T199" s="662"/>
      <c r="U199" s="677"/>
      <c r="V199" s="677"/>
      <c r="W199" s="677"/>
      <c r="X199" s="677"/>
      <c r="Y199" s="677"/>
      <c r="Z199" s="677"/>
      <c r="AA199" s="677"/>
      <c r="AB199" s="677"/>
      <c r="AC199" s="677"/>
      <c r="AD199" s="677"/>
    </row>
    <row r="200">
      <c r="A200" s="673"/>
      <c r="B200" s="708" t="s">
        <v>502</v>
      </c>
      <c r="C200" s="675">
        <v>1.0</v>
      </c>
      <c r="D200" s="704"/>
      <c r="E200" s="795"/>
      <c r="F200" s="795"/>
      <c r="G200" s="677"/>
      <c r="H200" s="677"/>
      <c r="I200" s="677"/>
      <c r="J200" s="677"/>
      <c r="K200" s="677"/>
      <c r="L200" s="677"/>
      <c r="M200" s="820"/>
      <c r="N200" s="821"/>
      <c r="O200" s="821"/>
      <c r="P200" s="677"/>
      <c r="Q200" s="677"/>
      <c r="R200" s="677"/>
      <c r="S200" s="677"/>
      <c r="T200" s="662"/>
      <c r="U200" s="677"/>
      <c r="V200" s="677"/>
      <c r="W200" s="677"/>
      <c r="X200" s="677"/>
      <c r="Y200" s="677"/>
      <c r="Z200" s="677"/>
      <c r="AA200" s="677"/>
      <c r="AB200" s="677"/>
      <c r="AC200" s="677"/>
      <c r="AD200" s="677"/>
    </row>
    <row r="201">
      <c r="A201" s="673"/>
      <c r="B201" s="708" t="s">
        <v>503</v>
      </c>
      <c r="C201" s="675">
        <v>1.0</v>
      </c>
      <c r="D201" s="704"/>
      <c r="E201" s="795"/>
      <c r="F201" s="795"/>
      <c r="G201" s="677"/>
      <c r="H201" s="677"/>
      <c r="I201" s="677"/>
      <c r="J201" s="677"/>
      <c r="K201" s="677"/>
      <c r="L201" s="677"/>
      <c r="M201" s="820"/>
      <c r="N201" s="821"/>
      <c r="O201" s="821"/>
      <c r="P201" s="677"/>
      <c r="Q201" s="677"/>
      <c r="R201" s="677"/>
      <c r="S201" s="677"/>
      <c r="T201" s="662"/>
      <c r="U201" s="677"/>
      <c r="V201" s="677"/>
      <c r="W201" s="677"/>
      <c r="X201" s="662"/>
      <c r="Y201" s="677"/>
      <c r="Z201" s="677"/>
      <c r="AA201" s="677"/>
      <c r="AB201" s="677"/>
      <c r="AC201" s="677"/>
      <c r="AD201" s="677"/>
    </row>
    <row r="202">
      <c r="A202" s="673"/>
      <c r="B202" s="708" t="s">
        <v>128</v>
      </c>
      <c r="C202" s="675">
        <v>1.0</v>
      </c>
      <c r="D202" s="704"/>
      <c r="E202" s="795"/>
      <c r="F202" s="795"/>
      <c r="G202" s="677"/>
      <c r="H202" s="677"/>
      <c r="I202" s="677"/>
      <c r="J202" s="677"/>
      <c r="K202" s="677"/>
      <c r="L202" s="677"/>
      <c r="M202" s="820"/>
      <c r="N202" s="821"/>
      <c r="O202" s="821"/>
      <c r="P202" s="677"/>
      <c r="Q202" s="677"/>
      <c r="R202" s="677"/>
      <c r="S202" s="677"/>
      <c r="T202" s="662"/>
      <c r="U202" s="677"/>
      <c r="V202" s="677"/>
      <c r="W202" s="677"/>
      <c r="X202" s="677"/>
      <c r="Y202" s="677"/>
      <c r="Z202" s="677"/>
      <c r="AA202" s="677"/>
      <c r="AB202" s="677"/>
      <c r="AC202" s="677"/>
      <c r="AD202" s="677"/>
    </row>
    <row r="203">
      <c r="A203" s="673"/>
      <c r="B203" s="708" t="s">
        <v>504</v>
      </c>
      <c r="C203" s="675">
        <v>1.0</v>
      </c>
      <c r="D203" s="704"/>
      <c r="E203" s="795"/>
      <c r="F203" s="795"/>
      <c r="G203" s="677"/>
      <c r="H203" s="677"/>
      <c r="I203" s="677"/>
      <c r="J203" s="677"/>
      <c r="K203" s="677"/>
      <c r="L203" s="677"/>
      <c r="M203" s="820"/>
      <c r="N203" s="821"/>
      <c r="O203" s="821"/>
      <c r="P203" s="677"/>
      <c r="Q203" s="677"/>
      <c r="R203" s="677"/>
      <c r="S203" s="677"/>
      <c r="T203" s="662"/>
      <c r="U203" s="677"/>
      <c r="V203" s="677"/>
      <c r="W203" s="677"/>
      <c r="X203" s="677"/>
      <c r="Y203" s="677"/>
      <c r="Z203" s="677"/>
      <c r="AA203" s="677"/>
      <c r="AB203" s="677"/>
      <c r="AC203" s="677"/>
      <c r="AD203" s="677"/>
    </row>
    <row r="204">
      <c r="A204" s="673"/>
      <c r="B204" s="708" t="s">
        <v>505</v>
      </c>
      <c r="C204" s="675">
        <v>1.0</v>
      </c>
      <c r="D204" s="704"/>
      <c r="E204" s="795"/>
      <c r="F204" s="795"/>
      <c r="G204" s="677"/>
      <c r="H204" s="677"/>
      <c r="I204" s="677"/>
      <c r="J204" s="677"/>
      <c r="K204" s="677"/>
      <c r="L204" s="677"/>
      <c r="M204" s="820"/>
      <c r="N204" s="821"/>
      <c r="O204" s="821"/>
      <c r="P204" s="677"/>
      <c r="Q204" s="677"/>
      <c r="R204" s="677"/>
      <c r="S204" s="677"/>
      <c r="T204" s="662"/>
      <c r="U204" s="677"/>
      <c r="V204" s="677"/>
      <c r="W204" s="677"/>
      <c r="X204" s="677"/>
      <c r="Y204" s="677"/>
      <c r="Z204" s="677"/>
      <c r="AA204" s="677"/>
      <c r="AB204" s="677"/>
      <c r="AC204" s="677"/>
      <c r="AD204" s="677"/>
    </row>
    <row r="205">
      <c r="A205" s="673"/>
      <c r="B205" s="708" t="s">
        <v>506</v>
      </c>
      <c r="C205" s="675">
        <v>1.0</v>
      </c>
      <c r="D205" s="704"/>
      <c r="E205" s="795"/>
      <c r="F205" s="795"/>
      <c r="G205" s="677"/>
      <c r="H205" s="677"/>
      <c r="I205" s="677"/>
      <c r="J205" s="677"/>
      <c r="K205" s="677"/>
      <c r="L205" s="677"/>
      <c r="M205" s="820"/>
      <c r="N205" s="821"/>
      <c r="O205" s="821"/>
      <c r="P205" s="677"/>
      <c r="Q205" s="677"/>
      <c r="R205" s="677"/>
      <c r="S205" s="677"/>
      <c r="T205" s="662"/>
      <c r="U205" s="677"/>
      <c r="V205" s="677"/>
      <c r="W205" s="677"/>
      <c r="X205" s="677"/>
      <c r="Y205" s="677"/>
      <c r="Z205" s="677"/>
      <c r="AA205" s="677"/>
      <c r="AB205" s="677"/>
      <c r="AC205" s="677"/>
      <c r="AD205" s="677"/>
    </row>
    <row r="206">
      <c r="A206" s="673"/>
      <c r="B206" s="708" t="s">
        <v>507</v>
      </c>
      <c r="C206" s="675">
        <v>1.0</v>
      </c>
      <c r="D206" s="704"/>
      <c r="E206" s="795"/>
      <c r="F206" s="795"/>
      <c r="G206" s="677"/>
      <c r="H206" s="677"/>
      <c r="I206" s="677"/>
      <c r="J206" s="677"/>
      <c r="K206" s="677"/>
      <c r="L206" s="677"/>
      <c r="M206" s="820"/>
      <c r="N206" s="821"/>
      <c r="O206" s="821"/>
      <c r="P206" s="677"/>
      <c r="Q206" s="677"/>
      <c r="R206" s="677"/>
      <c r="S206" s="677"/>
      <c r="T206" s="662"/>
      <c r="U206" s="677"/>
      <c r="V206" s="677"/>
      <c r="W206" s="677"/>
      <c r="X206" s="677"/>
      <c r="Y206" s="677"/>
      <c r="Z206" s="677"/>
      <c r="AA206" s="677"/>
      <c r="AB206" s="677"/>
      <c r="AC206" s="677"/>
      <c r="AD206" s="677"/>
    </row>
    <row r="207">
      <c r="A207" s="673"/>
      <c r="B207" s="708" t="s">
        <v>508</v>
      </c>
      <c r="C207" s="675">
        <v>1.0</v>
      </c>
      <c r="D207" s="704"/>
      <c r="E207" s="795"/>
      <c r="F207" s="795"/>
      <c r="G207" s="677"/>
      <c r="H207" s="677"/>
      <c r="I207" s="677"/>
      <c r="J207" s="677"/>
      <c r="K207" s="677"/>
      <c r="L207" s="677"/>
      <c r="M207" s="820"/>
      <c r="N207" s="821"/>
      <c r="O207" s="821"/>
      <c r="P207" s="677"/>
      <c r="Q207" s="677"/>
      <c r="R207" s="677"/>
      <c r="S207" s="677"/>
      <c r="T207" s="662"/>
      <c r="U207" s="677"/>
      <c r="V207" s="677"/>
      <c r="W207" s="677"/>
      <c r="X207" s="677"/>
      <c r="Y207" s="677"/>
      <c r="Z207" s="677"/>
      <c r="AA207" s="677"/>
      <c r="AB207" s="677"/>
      <c r="AC207" s="677"/>
      <c r="AD207" s="677"/>
    </row>
    <row r="208">
      <c r="A208" s="673"/>
      <c r="B208" s="674" t="s">
        <v>509</v>
      </c>
      <c r="C208" s="675">
        <v>1.0</v>
      </c>
      <c r="D208" s="704"/>
      <c r="E208" s="795"/>
      <c r="F208" s="795"/>
      <c r="G208" s="677"/>
      <c r="H208" s="677"/>
      <c r="I208" s="677"/>
      <c r="J208" s="677"/>
      <c r="K208" s="677"/>
      <c r="L208" s="677"/>
      <c r="M208" s="820"/>
      <c r="N208" s="821"/>
      <c r="O208" s="821"/>
      <c r="P208" s="677"/>
      <c r="Q208" s="677"/>
      <c r="R208" s="677"/>
      <c r="S208" s="677"/>
      <c r="T208" s="662"/>
      <c r="U208" s="677"/>
      <c r="V208" s="677"/>
      <c r="W208" s="677"/>
      <c r="X208" s="677"/>
      <c r="Y208" s="677"/>
      <c r="Z208" s="677"/>
      <c r="AA208" s="677"/>
      <c r="AB208" s="677"/>
      <c r="AC208" s="677"/>
      <c r="AD208" s="677"/>
    </row>
    <row r="209">
      <c r="A209" s="673"/>
      <c r="B209" s="674" t="s">
        <v>510</v>
      </c>
      <c r="C209" s="675">
        <v>1.0</v>
      </c>
      <c r="D209" s="704"/>
      <c r="E209" s="795"/>
      <c r="F209" s="795"/>
      <c r="G209" s="677"/>
      <c r="H209" s="677"/>
      <c r="I209" s="677"/>
      <c r="J209" s="677"/>
      <c r="K209" s="677"/>
      <c r="L209" s="677"/>
      <c r="M209" s="820"/>
      <c r="N209" s="821"/>
      <c r="O209" s="821"/>
      <c r="P209" s="677"/>
      <c r="Q209" s="677"/>
      <c r="R209" s="677"/>
      <c r="S209" s="677"/>
      <c r="T209" s="662"/>
      <c r="U209" s="677"/>
      <c r="V209" s="677"/>
      <c r="W209" s="677"/>
      <c r="X209" s="677"/>
      <c r="Y209" s="677"/>
      <c r="Z209" s="677"/>
      <c r="AA209" s="677"/>
      <c r="AB209" s="677"/>
      <c r="AC209" s="677"/>
      <c r="AD209" s="677"/>
    </row>
    <row r="210">
      <c r="A210" s="673"/>
      <c r="B210" s="674" t="s">
        <v>511</v>
      </c>
      <c r="C210" s="675">
        <v>1.0</v>
      </c>
      <c r="D210" s="704"/>
      <c r="E210" s="795"/>
      <c r="F210" s="795"/>
      <c r="G210" s="677"/>
      <c r="H210" s="677"/>
      <c r="I210" s="677"/>
      <c r="J210" s="677"/>
      <c r="K210" s="677"/>
      <c r="L210" s="677"/>
      <c r="M210" s="820"/>
      <c r="N210" s="821"/>
      <c r="O210" s="821"/>
      <c r="P210" s="677"/>
      <c r="Q210" s="677"/>
      <c r="R210" s="677"/>
      <c r="S210" s="677"/>
      <c r="T210" s="662"/>
      <c r="U210" s="677"/>
      <c r="V210" s="677"/>
      <c r="W210" s="677"/>
      <c r="X210" s="677"/>
      <c r="Y210" s="677"/>
      <c r="Z210" s="677"/>
      <c r="AA210" s="677"/>
      <c r="AB210" s="677"/>
      <c r="AC210" s="677"/>
      <c r="AD210" s="677"/>
    </row>
    <row r="211">
      <c r="A211" s="673"/>
      <c r="B211" s="708" t="s">
        <v>512</v>
      </c>
      <c r="C211" s="675">
        <v>1.0</v>
      </c>
      <c r="D211" s="704"/>
      <c r="E211" s="795"/>
      <c r="F211" s="795"/>
      <c r="G211" s="677"/>
      <c r="H211" s="677"/>
      <c r="I211" s="677"/>
      <c r="J211" s="677"/>
      <c r="K211" s="677"/>
      <c r="L211" s="677"/>
      <c r="M211" s="820"/>
      <c r="N211" s="821"/>
      <c r="O211" s="821"/>
      <c r="P211" s="677"/>
      <c r="Q211" s="677"/>
      <c r="R211" s="677"/>
      <c r="S211" s="677"/>
      <c r="T211" s="662"/>
      <c r="U211" s="677"/>
      <c r="V211" s="677"/>
      <c r="W211" s="677"/>
      <c r="X211" s="677"/>
      <c r="Y211" s="677"/>
      <c r="Z211" s="677"/>
      <c r="AA211" s="677"/>
      <c r="AB211" s="677"/>
      <c r="AC211" s="677"/>
      <c r="AD211" s="677"/>
    </row>
    <row r="212">
      <c r="A212" s="673"/>
      <c r="B212" s="674" t="s">
        <v>513</v>
      </c>
      <c r="C212" s="675">
        <v>1.0</v>
      </c>
      <c r="D212" s="704"/>
      <c r="E212" s="795"/>
      <c r="F212" s="795"/>
      <c r="G212" s="677"/>
      <c r="H212" s="677"/>
      <c r="I212" s="677"/>
      <c r="J212" s="677"/>
      <c r="K212" s="677"/>
      <c r="L212" s="677"/>
      <c r="M212" s="820"/>
      <c r="N212" s="821"/>
      <c r="O212" s="821"/>
      <c r="P212" s="677"/>
      <c r="Q212" s="677"/>
      <c r="R212" s="677"/>
      <c r="S212" s="677"/>
      <c r="T212" s="662"/>
      <c r="U212" s="677"/>
      <c r="V212" s="677"/>
      <c r="W212" s="677"/>
      <c r="X212" s="662"/>
      <c r="Y212" s="677"/>
      <c r="Z212" s="677"/>
      <c r="AA212" s="677"/>
      <c r="AB212" s="677"/>
      <c r="AC212" s="677"/>
      <c r="AD212" s="677"/>
    </row>
    <row r="213">
      <c r="A213" s="673"/>
      <c r="B213" s="674" t="s">
        <v>514</v>
      </c>
      <c r="C213" s="675">
        <v>1.0</v>
      </c>
      <c r="D213" s="704"/>
      <c r="E213" s="795"/>
      <c r="F213" s="795"/>
      <c r="G213" s="677"/>
      <c r="H213" s="677"/>
      <c r="I213" s="677"/>
      <c r="J213" s="677"/>
      <c r="K213" s="677"/>
      <c r="L213" s="677"/>
      <c r="M213" s="820"/>
      <c r="N213" s="821"/>
      <c r="O213" s="821"/>
      <c r="P213" s="677"/>
      <c r="Q213" s="677"/>
      <c r="R213" s="677"/>
      <c r="S213" s="677"/>
      <c r="T213" s="662"/>
      <c r="U213" s="677"/>
      <c r="V213" s="677"/>
      <c r="W213" s="677"/>
      <c r="X213" s="677"/>
      <c r="Y213" s="677"/>
      <c r="Z213" s="677"/>
      <c r="AA213" s="677"/>
      <c r="AB213" s="677"/>
      <c r="AC213" s="677"/>
      <c r="AD213" s="677"/>
    </row>
    <row r="214">
      <c r="A214" s="673"/>
      <c r="B214" s="674" t="s">
        <v>515</v>
      </c>
      <c r="C214" s="675">
        <v>1.0</v>
      </c>
      <c r="D214" s="704"/>
      <c r="E214" s="795"/>
      <c r="F214" s="795"/>
      <c r="G214" s="677"/>
      <c r="H214" s="677"/>
      <c r="I214" s="677"/>
      <c r="J214" s="677"/>
      <c r="K214" s="677"/>
      <c r="L214" s="677"/>
      <c r="M214" s="820"/>
      <c r="N214" s="821"/>
      <c r="O214" s="821"/>
      <c r="P214" s="677"/>
      <c r="Q214" s="677"/>
      <c r="R214" s="677"/>
      <c r="S214" s="677"/>
      <c r="T214" s="662"/>
      <c r="U214" s="677"/>
      <c r="V214" s="677"/>
      <c r="W214" s="677"/>
      <c r="X214" s="677"/>
      <c r="Y214" s="677"/>
      <c r="Z214" s="677"/>
      <c r="AA214" s="677"/>
      <c r="AB214" s="677"/>
      <c r="AC214" s="677"/>
      <c r="AD214" s="677"/>
    </row>
    <row r="215">
      <c r="A215" s="673"/>
      <c r="B215" s="674" t="s">
        <v>516</v>
      </c>
      <c r="C215" s="675">
        <v>1.0</v>
      </c>
      <c r="D215" s="704"/>
      <c r="E215" s="795"/>
      <c r="F215" s="795"/>
      <c r="G215" s="677"/>
      <c r="H215" s="677"/>
      <c r="I215" s="677"/>
      <c r="J215" s="677"/>
      <c r="K215" s="677"/>
      <c r="L215" s="677"/>
      <c r="M215" s="820"/>
      <c r="N215" s="821"/>
      <c r="O215" s="821"/>
      <c r="P215" s="677"/>
      <c r="Q215" s="677"/>
      <c r="R215" s="677"/>
      <c r="S215" s="677"/>
      <c r="T215" s="662"/>
      <c r="U215" s="677"/>
      <c r="V215" s="677"/>
      <c r="W215" s="677"/>
      <c r="X215" s="677"/>
      <c r="Y215" s="677"/>
      <c r="Z215" s="677"/>
      <c r="AA215" s="677"/>
      <c r="AB215" s="677"/>
      <c r="AC215" s="677"/>
      <c r="AD215" s="677"/>
    </row>
    <row r="216">
      <c r="A216" s="673"/>
      <c r="B216" s="674" t="s">
        <v>517</v>
      </c>
      <c r="C216" s="675">
        <v>1.0</v>
      </c>
      <c r="D216" s="704"/>
      <c r="E216" s="795"/>
      <c r="F216" s="795"/>
      <c r="G216" s="677"/>
      <c r="H216" s="677"/>
      <c r="I216" s="677"/>
      <c r="J216" s="677"/>
      <c r="K216" s="677"/>
      <c r="L216" s="677"/>
      <c r="M216" s="820"/>
      <c r="N216" s="821"/>
      <c r="O216" s="821"/>
      <c r="P216" s="677"/>
      <c r="Q216" s="677"/>
      <c r="R216" s="677"/>
      <c r="S216" s="677"/>
      <c r="T216" s="662"/>
      <c r="U216" s="677"/>
      <c r="V216" s="677"/>
      <c r="W216" s="677"/>
      <c r="X216" s="677"/>
      <c r="Y216" s="677"/>
      <c r="Z216" s="677"/>
      <c r="AA216" s="677"/>
      <c r="AB216" s="677"/>
      <c r="AC216" s="677"/>
      <c r="AD216" s="677"/>
    </row>
    <row r="217">
      <c r="A217" s="673"/>
      <c r="B217" s="674" t="s">
        <v>518</v>
      </c>
      <c r="C217" s="675">
        <v>1.0</v>
      </c>
      <c r="D217" s="704"/>
      <c r="E217" s="795"/>
      <c r="F217" s="795"/>
      <c r="G217" s="677"/>
      <c r="H217" s="677"/>
      <c r="I217" s="677"/>
      <c r="J217" s="677"/>
      <c r="K217" s="677"/>
      <c r="L217" s="677"/>
      <c r="M217" s="820"/>
      <c r="N217" s="821"/>
      <c r="O217" s="821"/>
      <c r="P217" s="677"/>
      <c r="Q217" s="677"/>
      <c r="R217" s="677"/>
      <c r="S217" s="677"/>
      <c r="T217" s="662"/>
      <c r="U217" s="677"/>
      <c r="V217" s="677"/>
      <c r="W217" s="677"/>
      <c r="X217" s="677"/>
      <c r="Y217" s="677"/>
      <c r="Z217" s="677"/>
      <c r="AA217" s="677"/>
      <c r="AB217" s="677"/>
      <c r="AC217" s="677"/>
      <c r="AD217" s="677"/>
    </row>
    <row r="218">
      <c r="A218" s="673"/>
      <c r="B218" s="674" t="s">
        <v>519</v>
      </c>
      <c r="C218" s="675">
        <v>1.0</v>
      </c>
      <c r="D218" s="704"/>
      <c r="E218" s="795"/>
      <c r="F218" s="795"/>
      <c r="G218" s="677"/>
      <c r="H218" s="677"/>
      <c r="I218" s="677"/>
      <c r="J218" s="677"/>
      <c r="K218" s="677"/>
      <c r="L218" s="677"/>
      <c r="M218" s="820"/>
      <c r="N218" s="821"/>
      <c r="O218" s="821"/>
      <c r="P218" s="677"/>
      <c r="Q218" s="677"/>
      <c r="R218" s="677"/>
      <c r="S218" s="677"/>
      <c r="T218" s="662"/>
      <c r="U218" s="677"/>
      <c r="V218" s="677"/>
      <c r="W218" s="677"/>
      <c r="X218" s="677"/>
      <c r="Y218" s="677"/>
      <c r="Z218" s="677"/>
      <c r="AA218" s="677"/>
      <c r="AB218" s="677"/>
      <c r="AC218" s="677"/>
      <c r="AD218" s="677"/>
    </row>
    <row r="219">
      <c r="A219" s="673"/>
      <c r="B219" s="674" t="s">
        <v>520</v>
      </c>
      <c r="C219" s="675">
        <v>1.0</v>
      </c>
      <c r="D219" s="704"/>
      <c r="E219" s="795"/>
      <c r="F219" s="795"/>
      <c r="G219" s="677"/>
      <c r="H219" s="677"/>
      <c r="I219" s="677"/>
      <c r="J219" s="677"/>
      <c r="K219" s="677"/>
      <c r="L219" s="677"/>
      <c r="M219" s="820"/>
      <c r="N219" s="821"/>
      <c r="O219" s="821"/>
      <c r="P219" s="677"/>
      <c r="Q219" s="677"/>
      <c r="R219" s="677"/>
      <c r="S219" s="677"/>
      <c r="T219" s="662"/>
      <c r="U219" s="677"/>
      <c r="V219" s="677"/>
      <c r="W219" s="677"/>
      <c r="X219" s="677"/>
      <c r="Y219" s="677"/>
      <c r="Z219" s="677"/>
      <c r="AA219" s="677"/>
      <c r="AB219" s="677"/>
      <c r="AC219" s="677"/>
      <c r="AD219" s="677"/>
    </row>
    <row r="220">
      <c r="A220" s="673"/>
      <c r="B220" s="674" t="s">
        <v>521</v>
      </c>
      <c r="C220" s="675">
        <v>1.0</v>
      </c>
      <c r="D220" s="704"/>
      <c r="E220" s="821"/>
      <c r="F220" s="821"/>
      <c r="G220" s="821"/>
      <c r="H220" s="821"/>
      <c r="I220" s="821"/>
      <c r="J220" s="821"/>
      <c r="K220" s="821"/>
      <c r="L220" s="821"/>
      <c r="M220" s="677"/>
      <c r="N220" s="821"/>
      <c r="O220" s="821"/>
      <c r="P220" s="677"/>
      <c r="Q220" s="677"/>
      <c r="R220" s="677"/>
      <c r="S220" s="677"/>
      <c r="T220" s="662"/>
      <c r="U220" s="677"/>
      <c r="V220" s="677"/>
      <c r="W220" s="677"/>
      <c r="X220" s="677"/>
      <c r="Y220" s="677"/>
      <c r="Z220" s="677"/>
      <c r="AA220" s="677"/>
      <c r="AB220" s="677"/>
      <c r="AC220" s="677"/>
      <c r="AD220" s="677"/>
    </row>
    <row r="221">
      <c r="A221" s="673"/>
      <c r="B221" s="674" t="s">
        <v>522</v>
      </c>
      <c r="C221" s="675">
        <v>1.0</v>
      </c>
      <c r="D221" s="704"/>
      <c r="E221" s="821"/>
      <c r="F221" s="821"/>
      <c r="G221" s="821"/>
      <c r="H221" s="821"/>
      <c r="I221" s="821"/>
      <c r="J221" s="821"/>
      <c r="K221" s="821"/>
      <c r="L221" s="821"/>
      <c r="M221" s="677"/>
      <c r="N221" s="821"/>
      <c r="O221" s="821"/>
      <c r="P221" s="677"/>
      <c r="Q221" s="677"/>
      <c r="R221" s="677"/>
      <c r="S221" s="677"/>
      <c r="T221" s="662"/>
      <c r="U221" s="677"/>
      <c r="V221" s="677"/>
      <c r="W221" s="677"/>
      <c r="X221" s="677"/>
      <c r="Y221" s="677"/>
      <c r="Z221" s="677"/>
      <c r="AA221" s="677"/>
      <c r="AB221" s="677"/>
      <c r="AC221" s="677"/>
      <c r="AD221" s="677"/>
    </row>
    <row r="222">
      <c r="A222" s="673"/>
      <c r="B222" s="674" t="s">
        <v>523</v>
      </c>
      <c r="C222" s="675">
        <v>1.0</v>
      </c>
      <c r="D222" s="704"/>
      <c r="E222" s="821"/>
      <c r="F222" s="821"/>
      <c r="G222" s="821"/>
      <c r="H222" s="821"/>
      <c r="I222" s="821"/>
      <c r="J222" s="821"/>
      <c r="K222" s="821"/>
      <c r="L222" s="821"/>
      <c r="M222" s="677"/>
      <c r="N222" s="821"/>
      <c r="O222" s="821"/>
      <c r="P222" s="677"/>
      <c r="Q222" s="677"/>
      <c r="R222" s="677"/>
      <c r="S222" s="677"/>
      <c r="T222" s="662"/>
      <c r="U222" s="677"/>
      <c r="V222" s="677"/>
      <c r="W222" s="677"/>
      <c r="X222" s="677"/>
      <c r="Y222" s="677"/>
      <c r="Z222" s="677"/>
      <c r="AA222" s="677"/>
      <c r="AB222" s="677"/>
      <c r="AC222" s="677"/>
      <c r="AD222" s="677"/>
    </row>
    <row r="223">
      <c r="A223" s="673"/>
      <c r="B223" s="674" t="s">
        <v>524</v>
      </c>
      <c r="C223" s="675">
        <v>1.0</v>
      </c>
      <c r="D223" s="704"/>
      <c r="E223" s="821"/>
      <c r="F223" s="821"/>
      <c r="G223" s="821"/>
      <c r="H223" s="821"/>
      <c r="I223" s="821"/>
      <c r="J223" s="821"/>
      <c r="K223" s="821"/>
      <c r="L223" s="821"/>
      <c r="M223" s="677"/>
      <c r="N223" s="821"/>
      <c r="O223" s="821"/>
      <c r="P223" s="677"/>
      <c r="Q223" s="677"/>
      <c r="R223" s="677"/>
      <c r="S223" s="677"/>
      <c r="T223" s="662"/>
      <c r="U223" s="677"/>
      <c r="V223" s="677"/>
      <c r="W223" s="677"/>
      <c r="X223" s="662"/>
      <c r="Y223" s="677"/>
      <c r="Z223" s="677"/>
      <c r="AA223" s="677"/>
      <c r="AB223" s="677"/>
      <c r="AC223" s="677"/>
      <c r="AD223" s="677"/>
    </row>
    <row r="224">
      <c r="A224" s="673"/>
      <c r="B224" s="708" t="s">
        <v>525</v>
      </c>
      <c r="C224" s="675">
        <v>1.0</v>
      </c>
      <c r="D224" s="704"/>
      <c r="E224" s="821"/>
      <c r="F224" s="821"/>
      <c r="G224" s="821"/>
      <c r="H224" s="821"/>
      <c r="I224" s="821"/>
      <c r="J224" s="821"/>
      <c r="K224" s="821"/>
      <c r="L224" s="821"/>
      <c r="M224" s="677"/>
      <c r="N224" s="821"/>
      <c r="O224" s="821"/>
      <c r="P224" s="677"/>
      <c r="Q224" s="677"/>
      <c r="R224" s="677"/>
      <c r="S224" s="677"/>
      <c r="T224" s="662"/>
      <c r="U224" s="677"/>
      <c r="V224" s="677"/>
      <c r="W224" s="677"/>
      <c r="X224" s="677"/>
      <c r="Y224" s="677"/>
      <c r="Z224" s="677"/>
      <c r="AA224" s="677"/>
      <c r="AB224" s="677"/>
      <c r="AC224" s="677"/>
      <c r="AD224" s="677"/>
    </row>
    <row r="225">
      <c r="A225" s="673"/>
      <c r="B225" s="708" t="s">
        <v>526</v>
      </c>
      <c r="C225" s="675">
        <v>1.0</v>
      </c>
      <c r="D225" s="704"/>
      <c r="E225" s="821"/>
      <c r="F225" s="821"/>
      <c r="G225" s="821"/>
      <c r="H225" s="821"/>
      <c r="I225" s="821"/>
      <c r="J225" s="821"/>
      <c r="K225" s="821"/>
      <c r="L225" s="821"/>
      <c r="M225" s="677"/>
      <c r="N225" s="821"/>
      <c r="O225" s="821"/>
      <c r="P225" s="677"/>
      <c r="Q225" s="677"/>
      <c r="R225" s="677"/>
      <c r="S225" s="677"/>
      <c r="T225" s="662"/>
      <c r="U225" s="677"/>
      <c r="V225" s="677"/>
      <c r="W225" s="677"/>
      <c r="X225" s="677"/>
      <c r="Y225" s="677"/>
      <c r="Z225" s="677"/>
      <c r="AA225" s="677"/>
      <c r="AB225" s="677"/>
      <c r="AC225" s="677"/>
      <c r="AD225" s="677"/>
    </row>
    <row r="226">
      <c r="A226" s="673"/>
      <c r="B226" s="708" t="s">
        <v>527</v>
      </c>
      <c r="C226" s="675">
        <v>1.0</v>
      </c>
      <c r="D226" s="704"/>
      <c r="E226" s="821"/>
      <c r="F226" s="821"/>
      <c r="G226" s="821"/>
      <c r="H226" s="821"/>
      <c r="I226" s="821"/>
      <c r="J226" s="821"/>
      <c r="K226" s="821"/>
      <c r="L226" s="821"/>
      <c r="M226" s="677"/>
      <c r="N226" s="821"/>
      <c r="O226" s="821"/>
      <c r="P226" s="677"/>
      <c r="Q226" s="677"/>
      <c r="R226" s="677"/>
      <c r="S226" s="677"/>
      <c r="T226" s="662"/>
      <c r="U226" s="677"/>
      <c r="V226" s="677"/>
      <c r="W226" s="677"/>
      <c r="X226" s="677"/>
      <c r="Y226" s="677"/>
      <c r="Z226" s="677"/>
      <c r="AA226" s="677"/>
      <c r="AB226" s="677"/>
      <c r="AC226" s="677"/>
      <c r="AD226" s="677"/>
    </row>
    <row r="227">
      <c r="A227" s="673"/>
      <c r="B227" s="708" t="s">
        <v>528</v>
      </c>
      <c r="C227" s="675">
        <v>1.0</v>
      </c>
      <c r="D227" s="704"/>
      <c r="E227" s="821"/>
      <c r="F227" s="821"/>
      <c r="G227" s="821"/>
      <c r="H227" s="821"/>
      <c r="I227" s="821"/>
      <c r="J227" s="821"/>
      <c r="K227" s="821"/>
      <c r="L227" s="821"/>
      <c r="M227" s="677"/>
      <c r="N227" s="821"/>
      <c r="O227" s="821"/>
      <c r="P227" s="677"/>
      <c r="Q227" s="677"/>
      <c r="R227" s="677"/>
      <c r="S227" s="677"/>
      <c r="T227" s="662"/>
      <c r="U227" s="677"/>
      <c r="V227" s="677"/>
      <c r="W227" s="677"/>
      <c r="X227" s="677"/>
      <c r="Y227" s="677"/>
      <c r="Z227" s="677"/>
      <c r="AA227" s="677"/>
      <c r="AB227" s="677"/>
      <c r="AC227" s="677"/>
      <c r="AD227" s="677"/>
    </row>
    <row r="228">
      <c r="A228" s="673"/>
      <c r="B228" s="708" t="s">
        <v>529</v>
      </c>
      <c r="C228" s="675">
        <v>1.0</v>
      </c>
      <c r="D228" s="704"/>
      <c r="E228" s="821"/>
      <c r="F228" s="821"/>
      <c r="G228" s="821"/>
      <c r="H228" s="821"/>
      <c r="I228" s="821"/>
      <c r="J228" s="821"/>
      <c r="K228" s="821"/>
      <c r="L228" s="821"/>
      <c r="M228" s="677"/>
      <c r="N228" s="821"/>
      <c r="O228" s="821"/>
      <c r="P228" s="677"/>
      <c r="Q228" s="677"/>
      <c r="R228" s="677"/>
      <c r="S228" s="677"/>
      <c r="T228" s="662"/>
      <c r="U228" s="677"/>
      <c r="V228" s="677"/>
      <c r="W228" s="677"/>
      <c r="X228" s="677"/>
      <c r="Y228" s="677"/>
      <c r="Z228" s="677"/>
      <c r="AA228" s="677"/>
      <c r="AB228" s="677"/>
      <c r="AC228" s="677"/>
      <c r="AD228" s="677"/>
    </row>
    <row r="229">
      <c r="A229" s="673"/>
      <c r="B229" s="708" t="s">
        <v>530</v>
      </c>
      <c r="C229" s="675">
        <v>1.0</v>
      </c>
      <c r="D229" s="704"/>
      <c r="E229" s="821"/>
      <c r="F229" s="821"/>
      <c r="G229" s="821"/>
      <c r="H229" s="821"/>
      <c r="I229" s="821"/>
      <c r="J229" s="821"/>
      <c r="K229" s="821"/>
      <c r="L229" s="821"/>
      <c r="M229" s="677"/>
      <c r="N229" s="821"/>
      <c r="O229" s="821"/>
      <c r="P229" s="677"/>
      <c r="Q229" s="677"/>
      <c r="R229" s="677"/>
      <c r="S229" s="677"/>
      <c r="T229" s="662"/>
      <c r="U229" s="677"/>
      <c r="V229" s="677"/>
      <c r="W229" s="677"/>
      <c r="X229" s="677"/>
      <c r="Y229" s="677"/>
      <c r="Z229" s="677"/>
      <c r="AA229" s="677"/>
      <c r="AB229" s="677"/>
      <c r="AC229" s="677"/>
      <c r="AD229" s="677"/>
    </row>
    <row r="230">
      <c r="A230" s="736"/>
      <c r="B230" s="708" t="s">
        <v>531</v>
      </c>
      <c r="C230" s="675">
        <v>1.0</v>
      </c>
      <c r="D230" s="704"/>
      <c r="E230" s="821"/>
      <c r="F230" s="821"/>
      <c r="G230" s="821"/>
      <c r="H230" s="821"/>
      <c r="I230" s="821"/>
      <c r="J230" s="821"/>
      <c r="K230" s="821"/>
      <c r="L230" s="821"/>
      <c r="M230" s="677"/>
      <c r="N230" s="821"/>
      <c r="O230" s="821"/>
      <c r="P230" s="677"/>
      <c r="Q230" s="677"/>
      <c r="R230" s="677"/>
      <c r="S230" s="677"/>
      <c r="T230" s="662"/>
      <c r="U230" s="677"/>
      <c r="V230" s="677"/>
      <c r="W230" s="677"/>
      <c r="X230" s="677"/>
      <c r="Y230" s="677"/>
      <c r="Z230" s="677"/>
      <c r="AA230" s="677"/>
      <c r="AB230" s="677"/>
      <c r="AC230" s="677"/>
      <c r="AD230" s="677"/>
    </row>
    <row r="231">
      <c r="A231" s="673"/>
      <c r="B231" s="708" t="s">
        <v>532</v>
      </c>
      <c r="C231" s="675">
        <v>1.0</v>
      </c>
      <c r="D231" s="704"/>
      <c r="E231" s="821"/>
      <c r="F231" s="821"/>
      <c r="G231" s="821"/>
      <c r="H231" s="821"/>
      <c r="I231" s="821"/>
      <c r="J231" s="821"/>
      <c r="K231" s="821"/>
      <c r="L231" s="821"/>
      <c r="M231" s="677"/>
      <c r="N231" s="821"/>
      <c r="O231" s="821"/>
      <c r="P231" s="677"/>
      <c r="Q231" s="677"/>
      <c r="R231" s="677"/>
      <c r="S231" s="677"/>
      <c r="T231" s="662"/>
      <c r="U231" s="677"/>
      <c r="V231" s="677"/>
      <c r="W231" s="677"/>
      <c r="X231" s="677"/>
      <c r="Y231" s="677"/>
      <c r="Z231" s="677"/>
      <c r="AA231" s="677"/>
      <c r="AB231" s="677"/>
      <c r="AC231" s="677"/>
      <c r="AD231" s="677"/>
    </row>
    <row r="232">
      <c r="A232" s="673"/>
      <c r="B232" s="708" t="s">
        <v>533</v>
      </c>
      <c r="C232" s="675">
        <v>1.0</v>
      </c>
      <c r="D232" s="704"/>
      <c r="E232" s="821"/>
      <c r="F232" s="821"/>
      <c r="G232" s="821"/>
      <c r="H232" s="821"/>
      <c r="I232" s="821"/>
      <c r="J232" s="821"/>
      <c r="K232" s="821"/>
      <c r="L232" s="821"/>
      <c r="M232" s="677"/>
      <c r="N232" s="821"/>
      <c r="O232" s="821"/>
      <c r="P232" s="677"/>
      <c r="Q232" s="677"/>
      <c r="R232" s="677"/>
      <c r="S232" s="677"/>
      <c r="T232" s="662"/>
      <c r="U232" s="677"/>
      <c r="V232" s="677"/>
      <c r="W232" s="677"/>
      <c r="X232" s="677"/>
      <c r="Y232" s="677"/>
      <c r="Z232" s="677"/>
      <c r="AA232" s="677"/>
      <c r="AB232" s="677"/>
      <c r="AC232" s="677"/>
      <c r="AD232" s="677"/>
    </row>
    <row r="233">
      <c r="A233" s="673"/>
      <c r="B233" s="708" t="s">
        <v>534</v>
      </c>
      <c r="C233" s="675">
        <v>1.0</v>
      </c>
      <c r="D233" s="704"/>
      <c r="E233" s="821"/>
      <c r="F233" s="821"/>
      <c r="G233" s="821"/>
      <c r="H233" s="821"/>
      <c r="I233" s="821"/>
      <c r="J233" s="821"/>
      <c r="K233" s="821"/>
      <c r="L233" s="821"/>
      <c r="M233" s="677"/>
      <c r="N233" s="821"/>
      <c r="O233" s="821"/>
      <c r="P233" s="677"/>
      <c r="Q233" s="677"/>
      <c r="R233" s="677"/>
      <c r="S233" s="677"/>
      <c r="T233" s="662"/>
      <c r="U233" s="677"/>
      <c r="V233" s="677"/>
      <c r="W233" s="677"/>
      <c r="X233" s="677"/>
      <c r="Y233" s="677"/>
      <c r="Z233" s="677"/>
      <c r="AA233" s="677"/>
      <c r="AB233" s="677"/>
      <c r="AC233" s="677"/>
      <c r="AD233" s="677"/>
    </row>
    <row r="234">
      <c r="A234" s="673"/>
      <c r="B234" s="708" t="s">
        <v>535</v>
      </c>
      <c r="C234" s="675">
        <v>1.0</v>
      </c>
      <c r="D234" s="704"/>
      <c r="E234" s="821"/>
      <c r="F234" s="821"/>
      <c r="G234" s="821"/>
      <c r="H234" s="821"/>
      <c r="I234" s="821"/>
      <c r="J234" s="821"/>
      <c r="K234" s="821"/>
      <c r="L234" s="821"/>
      <c r="M234" s="677"/>
      <c r="N234" s="821"/>
      <c r="O234" s="821"/>
      <c r="P234" s="677"/>
      <c r="Q234" s="677"/>
      <c r="R234" s="677"/>
      <c r="S234" s="677"/>
      <c r="T234" s="662"/>
      <c r="U234" s="677"/>
      <c r="V234" s="677"/>
      <c r="W234" s="677"/>
      <c r="X234" s="662"/>
      <c r="Y234" s="677"/>
      <c r="Z234" s="677"/>
      <c r="AA234" s="677"/>
      <c r="AB234" s="677"/>
      <c r="AC234" s="677"/>
      <c r="AD234" s="677"/>
    </row>
    <row r="235">
      <c r="A235" s="673"/>
      <c r="B235" s="708" t="s">
        <v>536</v>
      </c>
      <c r="C235" s="675">
        <v>1.0</v>
      </c>
      <c r="D235" s="704"/>
      <c r="E235" s="821"/>
      <c r="F235" s="821"/>
      <c r="G235" s="821"/>
      <c r="H235" s="821"/>
      <c r="I235" s="821"/>
      <c r="J235" s="821"/>
      <c r="K235" s="821"/>
      <c r="L235" s="821"/>
      <c r="M235" s="677"/>
      <c r="N235" s="821"/>
      <c r="O235" s="821"/>
      <c r="P235" s="677"/>
      <c r="Q235" s="677"/>
      <c r="R235" s="677"/>
      <c r="S235" s="677"/>
      <c r="T235" s="662"/>
      <c r="U235" s="677"/>
      <c r="V235" s="677"/>
      <c r="W235" s="677"/>
      <c r="X235" s="677"/>
      <c r="Y235" s="677"/>
      <c r="Z235" s="677"/>
      <c r="AA235" s="677"/>
      <c r="AB235" s="677"/>
      <c r="AC235" s="677"/>
      <c r="AD235" s="677"/>
    </row>
    <row r="236">
      <c r="A236" s="673"/>
      <c r="B236" s="708" t="s">
        <v>537</v>
      </c>
      <c r="C236" s="675">
        <v>1.0</v>
      </c>
      <c r="D236" s="704"/>
      <c r="E236" s="821"/>
      <c r="F236" s="821"/>
      <c r="G236" s="821"/>
      <c r="H236" s="821"/>
      <c r="I236" s="821"/>
      <c r="J236" s="821"/>
      <c r="K236" s="821"/>
      <c r="L236" s="821"/>
      <c r="M236" s="677"/>
      <c r="N236" s="821"/>
      <c r="O236" s="821"/>
      <c r="P236" s="677"/>
      <c r="Q236" s="677"/>
      <c r="R236" s="677"/>
      <c r="S236" s="677"/>
      <c r="T236" s="662"/>
      <c r="U236" s="677"/>
      <c r="V236" s="677"/>
      <c r="W236" s="677"/>
      <c r="X236" s="677"/>
      <c r="Y236" s="677"/>
      <c r="Z236" s="677"/>
      <c r="AA236" s="677"/>
      <c r="AB236" s="677"/>
      <c r="AC236" s="677"/>
      <c r="AD236" s="677"/>
    </row>
    <row r="237">
      <c r="A237" s="673"/>
      <c r="B237" s="708" t="s">
        <v>538</v>
      </c>
      <c r="C237" s="675">
        <v>1.0</v>
      </c>
      <c r="D237" s="704"/>
      <c r="E237" s="821"/>
      <c r="F237" s="821"/>
      <c r="G237" s="821"/>
      <c r="H237" s="821"/>
      <c r="I237" s="821"/>
      <c r="J237" s="821"/>
      <c r="K237" s="821"/>
      <c r="L237" s="821"/>
      <c r="M237" s="677"/>
      <c r="N237" s="821"/>
      <c r="O237" s="821"/>
      <c r="P237" s="677"/>
      <c r="Q237" s="677"/>
      <c r="R237" s="677"/>
      <c r="S237" s="677"/>
      <c r="T237" s="662"/>
      <c r="U237" s="677"/>
      <c r="V237" s="677"/>
      <c r="W237" s="677"/>
      <c r="X237" s="677"/>
      <c r="Y237" s="677"/>
      <c r="Z237" s="677"/>
      <c r="AA237" s="677"/>
      <c r="AB237" s="677"/>
      <c r="AC237" s="677"/>
      <c r="AD237" s="677"/>
    </row>
    <row r="238">
      <c r="A238" s="673"/>
      <c r="B238" s="708" t="s">
        <v>539</v>
      </c>
      <c r="C238" s="675">
        <v>1.0</v>
      </c>
      <c r="D238" s="704"/>
      <c r="E238" s="821"/>
      <c r="F238" s="821"/>
      <c r="G238" s="821"/>
      <c r="H238" s="821"/>
      <c r="I238" s="821"/>
      <c r="J238" s="821"/>
      <c r="K238" s="821"/>
      <c r="L238" s="821"/>
      <c r="M238" s="677"/>
      <c r="N238" s="821"/>
      <c r="O238" s="821"/>
      <c r="P238" s="677"/>
      <c r="Q238" s="677"/>
      <c r="R238" s="677"/>
      <c r="S238" s="677"/>
      <c r="T238" s="662"/>
      <c r="U238" s="677"/>
      <c r="V238" s="677"/>
      <c r="W238" s="677"/>
      <c r="X238" s="677"/>
      <c r="Y238" s="677"/>
      <c r="Z238" s="677"/>
      <c r="AA238" s="677"/>
      <c r="AB238" s="677"/>
      <c r="AC238" s="677"/>
      <c r="AD238" s="677"/>
    </row>
    <row r="239">
      <c r="A239" s="673"/>
      <c r="B239" s="674" t="s">
        <v>540</v>
      </c>
      <c r="C239" s="675">
        <v>1.0</v>
      </c>
      <c r="D239" s="704"/>
      <c r="E239" s="821"/>
      <c r="F239" s="821"/>
      <c r="G239" s="821"/>
      <c r="H239" s="821"/>
      <c r="I239" s="821"/>
      <c r="J239" s="821"/>
      <c r="K239" s="821"/>
      <c r="L239" s="821"/>
      <c r="M239" s="677"/>
      <c r="N239" s="821"/>
      <c r="O239" s="821"/>
      <c r="P239" s="677"/>
      <c r="Q239" s="677"/>
      <c r="R239" s="677"/>
      <c r="S239" s="677"/>
      <c r="T239" s="662"/>
      <c r="U239" s="677"/>
      <c r="V239" s="677"/>
      <c r="W239" s="677"/>
      <c r="X239" s="677"/>
      <c r="Y239" s="677"/>
      <c r="Z239" s="677"/>
      <c r="AA239" s="677"/>
      <c r="AB239" s="677"/>
      <c r="AC239" s="677"/>
      <c r="AD239" s="677"/>
    </row>
    <row r="240">
      <c r="A240" s="673"/>
      <c r="B240" s="708" t="s">
        <v>541</v>
      </c>
      <c r="C240" s="675">
        <v>1.0</v>
      </c>
      <c r="D240" s="704"/>
      <c r="E240" s="821"/>
      <c r="F240" s="821"/>
      <c r="G240" s="821"/>
      <c r="H240" s="821"/>
      <c r="I240" s="821"/>
      <c r="J240" s="821"/>
      <c r="K240" s="821"/>
      <c r="L240" s="821"/>
      <c r="M240" s="677"/>
      <c r="N240" s="821"/>
      <c r="O240" s="821"/>
      <c r="P240" s="677"/>
      <c r="Q240" s="677"/>
      <c r="R240" s="677"/>
      <c r="S240" s="677"/>
      <c r="T240" s="662"/>
      <c r="U240" s="677"/>
      <c r="V240" s="677"/>
      <c r="W240" s="677"/>
      <c r="X240" s="677"/>
      <c r="Y240" s="677"/>
      <c r="Z240" s="677"/>
      <c r="AA240" s="677"/>
      <c r="AB240" s="677"/>
      <c r="AC240" s="677"/>
      <c r="AD240" s="677"/>
    </row>
    <row r="241">
      <c r="A241" s="673"/>
      <c r="B241" s="674" t="s">
        <v>542</v>
      </c>
      <c r="C241" s="675">
        <v>1.0</v>
      </c>
      <c r="D241" s="704"/>
      <c r="E241" s="821"/>
      <c r="F241" s="821"/>
      <c r="G241" s="821"/>
      <c r="H241" s="821"/>
      <c r="I241" s="821"/>
      <c r="J241" s="821"/>
      <c r="K241" s="821"/>
      <c r="L241" s="821"/>
      <c r="M241" s="677"/>
      <c r="N241" s="821"/>
      <c r="O241" s="821"/>
      <c r="P241" s="677"/>
      <c r="Q241" s="677"/>
      <c r="R241" s="677"/>
      <c r="S241" s="677"/>
      <c r="T241" s="662"/>
      <c r="U241" s="677"/>
      <c r="V241" s="677"/>
      <c r="W241" s="677"/>
      <c r="X241" s="677"/>
      <c r="Y241" s="677"/>
      <c r="Z241" s="677"/>
      <c r="AA241" s="677"/>
      <c r="AB241" s="677"/>
      <c r="AC241" s="677"/>
      <c r="AD241" s="677"/>
    </row>
    <row r="242">
      <c r="A242" s="673"/>
      <c r="B242" s="674" t="s">
        <v>543</v>
      </c>
      <c r="C242" s="675">
        <v>1.0</v>
      </c>
      <c r="D242" s="704"/>
      <c r="E242" s="821"/>
      <c r="F242" s="821"/>
      <c r="G242" s="821"/>
      <c r="H242" s="821"/>
      <c r="I242" s="821"/>
      <c r="J242" s="821"/>
      <c r="K242" s="821"/>
      <c r="L242" s="821"/>
      <c r="M242" s="677"/>
      <c r="N242" s="821"/>
      <c r="O242" s="821"/>
      <c r="P242" s="677"/>
      <c r="Q242" s="677"/>
      <c r="R242" s="677"/>
      <c r="S242" s="677"/>
      <c r="T242" s="662"/>
      <c r="U242" s="677"/>
      <c r="V242" s="677"/>
      <c r="W242" s="677"/>
      <c r="X242" s="677"/>
      <c r="Y242" s="677"/>
      <c r="Z242" s="677"/>
      <c r="AA242" s="677"/>
      <c r="AB242" s="677"/>
      <c r="AC242" s="677"/>
      <c r="AD242" s="677"/>
    </row>
    <row r="243">
      <c r="A243" s="673"/>
      <c r="B243" s="708" t="s">
        <v>544</v>
      </c>
      <c r="C243" s="675">
        <v>1.0</v>
      </c>
      <c r="D243" s="704"/>
      <c r="E243" s="821"/>
      <c r="F243" s="821"/>
      <c r="G243" s="821"/>
      <c r="H243" s="821"/>
      <c r="I243" s="821"/>
      <c r="J243" s="821"/>
      <c r="K243" s="821"/>
      <c r="L243" s="821"/>
      <c r="M243" s="677"/>
      <c r="N243" s="821"/>
      <c r="O243" s="821"/>
      <c r="P243" s="677"/>
      <c r="Q243" s="677"/>
      <c r="R243" s="677"/>
      <c r="S243" s="677"/>
      <c r="T243" s="662"/>
      <c r="U243" s="677"/>
      <c r="V243" s="677"/>
      <c r="W243" s="677"/>
      <c r="X243" s="677"/>
      <c r="Y243" s="677"/>
      <c r="Z243" s="677"/>
      <c r="AA243" s="677"/>
      <c r="AB243" s="677"/>
      <c r="AC243" s="677"/>
      <c r="AD243" s="677"/>
    </row>
    <row r="244">
      <c r="A244" s="673"/>
      <c r="B244" s="708" t="s">
        <v>545</v>
      </c>
      <c r="C244" s="675">
        <v>1.0</v>
      </c>
      <c r="D244" s="704"/>
      <c r="E244" s="821"/>
      <c r="F244" s="821"/>
      <c r="G244" s="821"/>
      <c r="H244" s="821"/>
      <c r="I244" s="821"/>
      <c r="J244" s="821"/>
      <c r="K244" s="821"/>
      <c r="L244" s="821"/>
      <c r="M244" s="677"/>
      <c r="N244" s="821"/>
      <c r="O244" s="821"/>
      <c r="P244" s="677"/>
      <c r="Q244" s="677"/>
      <c r="R244" s="677"/>
      <c r="S244" s="677"/>
      <c r="T244" s="662"/>
      <c r="U244" s="677"/>
      <c r="V244" s="677"/>
      <c r="W244" s="677"/>
      <c r="X244" s="677"/>
      <c r="Y244" s="677"/>
      <c r="Z244" s="677"/>
      <c r="AA244" s="677"/>
      <c r="AB244" s="677"/>
      <c r="AC244" s="677"/>
      <c r="AD244" s="677"/>
    </row>
    <row r="245">
      <c r="A245" s="673"/>
      <c r="B245" s="674" t="s">
        <v>546</v>
      </c>
      <c r="C245" s="675">
        <v>1.0</v>
      </c>
      <c r="D245" s="704"/>
      <c r="E245" s="821"/>
      <c r="F245" s="821"/>
      <c r="G245" s="821"/>
      <c r="H245" s="821"/>
      <c r="I245" s="821"/>
      <c r="J245" s="821"/>
      <c r="K245" s="821"/>
      <c r="L245" s="821"/>
      <c r="M245" s="677"/>
      <c r="N245" s="821"/>
      <c r="O245" s="821"/>
      <c r="P245" s="677"/>
      <c r="Q245" s="677"/>
      <c r="R245" s="677"/>
      <c r="S245" s="677"/>
      <c r="T245" s="662"/>
      <c r="U245" s="677"/>
      <c r="V245" s="677"/>
      <c r="W245" s="677"/>
      <c r="X245" s="662"/>
      <c r="Y245" s="677"/>
      <c r="Z245" s="677"/>
      <c r="AA245" s="677"/>
      <c r="AB245" s="677"/>
      <c r="AC245" s="677"/>
      <c r="AD245" s="677"/>
    </row>
    <row r="246">
      <c r="A246" s="673"/>
      <c r="B246" s="674" t="s">
        <v>547</v>
      </c>
      <c r="C246" s="675">
        <v>1.0</v>
      </c>
      <c r="D246" s="704"/>
      <c r="E246" s="821"/>
      <c r="F246" s="821"/>
      <c r="G246" s="821"/>
      <c r="H246" s="821"/>
      <c r="I246" s="821"/>
      <c r="J246" s="821"/>
      <c r="K246" s="821"/>
      <c r="L246" s="821"/>
      <c r="M246" s="677"/>
      <c r="N246" s="821"/>
      <c r="O246" s="821"/>
      <c r="P246" s="677"/>
      <c r="Q246" s="677"/>
      <c r="R246" s="677"/>
      <c r="S246" s="677"/>
      <c r="T246" s="662"/>
      <c r="U246" s="677"/>
      <c r="V246" s="677"/>
      <c r="W246" s="677"/>
      <c r="X246" s="677"/>
      <c r="Y246" s="677"/>
      <c r="Z246" s="677"/>
      <c r="AA246" s="677"/>
      <c r="AB246" s="677"/>
      <c r="AC246" s="677"/>
      <c r="AD246" s="677"/>
    </row>
    <row r="247">
      <c r="A247" s="673"/>
      <c r="B247" s="674" t="s">
        <v>548</v>
      </c>
      <c r="C247" s="675">
        <v>1.0</v>
      </c>
      <c r="D247" s="704"/>
      <c r="E247" s="821"/>
      <c r="F247" s="821"/>
      <c r="G247" s="821"/>
      <c r="H247" s="821"/>
      <c r="I247" s="821"/>
      <c r="J247" s="821"/>
      <c r="K247" s="821"/>
      <c r="L247" s="821"/>
      <c r="M247" s="677"/>
      <c r="N247" s="821"/>
      <c r="O247" s="821"/>
      <c r="P247" s="677"/>
      <c r="Q247" s="677"/>
      <c r="R247" s="677"/>
      <c r="S247" s="677"/>
      <c r="T247" s="662"/>
      <c r="U247" s="677"/>
      <c r="V247" s="677"/>
      <c r="W247" s="677"/>
      <c r="X247" s="677"/>
      <c r="Y247" s="677"/>
      <c r="Z247" s="677"/>
      <c r="AA247" s="677"/>
      <c r="AB247" s="677"/>
      <c r="AC247" s="677"/>
      <c r="AD247" s="677"/>
    </row>
    <row r="248">
      <c r="A248" s="673"/>
      <c r="B248" s="674" t="s">
        <v>549</v>
      </c>
      <c r="C248" s="675">
        <v>1.0</v>
      </c>
      <c r="D248" s="704"/>
      <c r="E248" s="821"/>
      <c r="F248" s="821"/>
      <c r="G248" s="821"/>
      <c r="H248" s="821"/>
      <c r="I248" s="821"/>
      <c r="J248" s="821"/>
      <c r="K248" s="821"/>
      <c r="L248" s="821"/>
      <c r="M248" s="677"/>
      <c r="N248" s="821"/>
      <c r="O248" s="821"/>
      <c r="P248" s="677"/>
      <c r="Q248" s="677"/>
      <c r="R248" s="677"/>
      <c r="S248" s="677"/>
      <c r="T248" s="662"/>
      <c r="U248" s="677"/>
      <c r="V248" s="677"/>
      <c r="W248" s="677"/>
      <c r="X248" s="677"/>
      <c r="Y248" s="677"/>
      <c r="Z248" s="677"/>
      <c r="AA248" s="677"/>
      <c r="AB248" s="677"/>
      <c r="AC248" s="677"/>
      <c r="AD248" s="677"/>
    </row>
    <row r="249">
      <c r="A249" s="673"/>
      <c r="B249" s="674" t="s">
        <v>550</v>
      </c>
      <c r="C249" s="675">
        <v>1.0</v>
      </c>
      <c r="D249" s="704"/>
      <c r="E249" s="821"/>
      <c r="F249" s="821"/>
      <c r="G249" s="821"/>
      <c r="H249" s="821"/>
      <c r="I249" s="821"/>
      <c r="J249" s="821"/>
      <c r="K249" s="821"/>
      <c r="L249" s="821"/>
      <c r="M249" s="677"/>
      <c r="N249" s="821"/>
      <c r="O249" s="821"/>
      <c r="P249" s="677"/>
      <c r="Q249" s="677"/>
      <c r="R249" s="677"/>
      <c r="S249" s="677"/>
      <c r="T249" s="662"/>
      <c r="U249" s="677"/>
      <c r="V249" s="677"/>
      <c r="W249" s="677"/>
      <c r="X249" s="677"/>
      <c r="Y249" s="677"/>
      <c r="Z249" s="677"/>
      <c r="AA249" s="677"/>
      <c r="AB249" s="677"/>
      <c r="AC249" s="677"/>
      <c r="AD249" s="677"/>
    </row>
    <row r="250">
      <c r="A250" s="673"/>
      <c r="B250" s="674" t="s">
        <v>551</v>
      </c>
      <c r="C250" s="675">
        <v>1.0</v>
      </c>
      <c r="D250" s="704"/>
      <c r="E250" s="821"/>
      <c r="F250" s="821"/>
      <c r="G250" s="821"/>
      <c r="H250" s="821"/>
      <c r="I250" s="821"/>
      <c r="J250" s="821"/>
      <c r="K250" s="821"/>
      <c r="L250" s="821"/>
      <c r="M250" s="677"/>
      <c r="N250" s="821"/>
      <c r="O250" s="821"/>
      <c r="P250" s="677"/>
      <c r="Q250" s="677"/>
      <c r="R250" s="677"/>
      <c r="S250" s="677"/>
      <c r="T250" s="662"/>
      <c r="U250" s="677"/>
      <c r="V250" s="677"/>
      <c r="W250" s="677"/>
      <c r="X250" s="677"/>
      <c r="Y250" s="677"/>
      <c r="Z250" s="677"/>
      <c r="AA250" s="677"/>
      <c r="AB250" s="677"/>
      <c r="AC250" s="677"/>
      <c r="AD250" s="677"/>
    </row>
    <row r="251">
      <c r="A251" s="673"/>
      <c r="B251" s="674" t="s">
        <v>552</v>
      </c>
      <c r="C251" s="675">
        <v>1.0</v>
      </c>
      <c r="D251" s="704"/>
      <c r="E251" s="821"/>
      <c r="F251" s="821"/>
      <c r="G251" s="821"/>
      <c r="H251" s="821"/>
      <c r="I251" s="821"/>
      <c r="J251" s="821"/>
      <c r="K251" s="821"/>
      <c r="L251" s="821"/>
      <c r="M251" s="677"/>
      <c r="N251" s="821"/>
      <c r="O251" s="821"/>
      <c r="P251" s="677"/>
      <c r="Q251" s="677"/>
      <c r="R251" s="677"/>
      <c r="S251" s="677"/>
      <c r="T251" s="662"/>
      <c r="U251" s="677"/>
      <c r="V251" s="677"/>
      <c r="W251" s="677"/>
      <c r="X251" s="677"/>
      <c r="Y251" s="677"/>
      <c r="Z251" s="677"/>
      <c r="AA251" s="677"/>
      <c r="AB251" s="677"/>
      <c r="AC251" s="677"/>
      <c r="AD251" s="677"/>
    </row>
    <row r="252">
      <c r="A252" s="673"/>
      <c r="B252" s="674" t="s">
        <v>553</v>
      </c>
      <c r="C252" s="675">
        <v>1.0</v>
      </c>
      <c r="D252" s="704"/>
      <c r="E252" s="821"/>
      <c r="F252" s="821"/>
      <c r="G252" s="821"/>
      <c r="H252" s="821"/>
      <c r="I252" s="821"/>
      <c r="J252" s="821"/>
      <c r="K252" s="821"/>
      <c r="L252" s="821"/>
      <c r="M252" s="677"/>
      <c r="N252" s="821"/>
      <c r="O252" s="821"/>
      <c r="P252" s="677"/>
      <c r="Q252" s="677"/>
      <c r="R252" s="677"/>
      <c r="S252" s="677"/>
      <c r="T252" s="662"/>
      <c r="U252" s="677"/>
      <c r="V252" s="677"/>
      <c r="W252" s="677"/>
      <c r="X252" s="677"/>
      <c r="Y252" s="677"/>
      <c r="Z252" s="677"/>
      <c r="AA252" s="677"/>
      <c r="AB252" s="677"/>
      <c r="AC252" s="677"/>
      <c r="AD252" s="677"/>
    </row>
    <row r="253">
      <c r="A253" s="673"/>
      <c r="B253" s="674" t="s">
        <v>554</v>
      </c>
      <c r="C253" s="675">
        <v>1.0</v>
      </c>
      <c r="D253" s="704"/>
      <c r="E253" s="821"/>
      <c r="F253" s="821"/>
      <c r="G253" s="821"/>
      <c r="H253" s="821"/>
      <c r="I253" s="821"/>
      <c r="J253" s="821"/>
      <c r="K253" s="821"/>
      <c r="L253" s="821"/>
      <c r="M253" s="677"/>
      <c r="N253" s="821"/>
      <c r="O253" s="821"/>
      <c r="P253" s="677"/>
      <c r="Q253" s="677"/>
      <c r="R253" s="677"/>
      <c r="S253" s="677"/>
      <c r="T253" s="662"/>
      <c r="U253" s="677"/>
      <c r="V253" s="677"/>
      <c r="W253" s="677"/>
      <c r="X253" s="677"/>
      <c r="Y253" s="677"/>
      <c r="Z253" s="677"/>
      <c r="AA253" s="677"/>
      <c r="AB253" s="677"/>
      <c r="AC253" s="677"/>
      <c r="AD253" s="677"/>
    </row>
    <row r="254">
      <c r="A254" s="673"/>
      <c r="B254" s="674" t="s">
        <v>555</v>
      </c>
      <c r="C254" s="675">
        <v>1.0</v>
      </c>
      <c r="D254" s="704"/>
      <c r="E254" s="821"/>
      <c r="F254" s="821"/>
      <c r="G254" s="821"/>
      <c r="H254" s="821"/>
      <c r="I254" s="821"/>
      <c r="J254" s="821"/>
      <c r="K254" s="821"/>
      <c r="L254" s="821"/>
      <c r="M254" s="677"/>
      <c r="N254" s="821"/>
      <c r="O254" s="821"/>
      <c r="P254" s="677"/>
      <c r="Q254" s="677"/>
      <c r="R254" s="677"/>
      <c r="S254" s="677"/>
      <c r="T254" s="662"/>
      <c r="U254" s="677"/>
      <c r="V254" s="677"/>
      <c r="W254" s="677"/>
      <c r="X254" s="677"/>
      <c r="Y254" s="677"/>
      <c r="Z254" s="677"/>
      <c r="AA254" s="677"/>
      <c r="AB254" s="677"/>
      <c r="AC254" s="677"/>
      <c r="AD254" s="677"/>
    </row>
    <row r="255">
      <c r="A255" s="673"/>
      <c r="B255" s="674" t="s">
        <v>556</v>
      </c>
      <c r="C255" s="675">
        <v>1.0</v>
      </c>
      <c r="D255" s="704"/>
      <c r="E255" s="821"/>
      <c r="F255" s="821"/>
      <c r="G255" s="821"/>
      <c r="H255" s="821"/>
      <c r="I255" s="821"/>
      <c r="J255" s="821"/>
      <c r="K255" s="821"/>
      <c r="L255" s="821"/>
      <c r="M255" s="677"/>
      <c r="N255" s="821"/>
      <c r="O255" s="821"/>
      <c r="P255" s="677"/>
      <c r="Q255" s="677"/>
      <c r="R255" s="677"/>
      <c r="S255" s="677"/>
      <c r="T255" s="662"/>
      <c r="U255" s="677"/>
      <c r="V255" s="677"/>
      <c r="W255" s="677"/>
      <c r="X255" s="677"/>
      <c r="Y255" s="677"/>
      <c r="Z255" s="677"/>
      <c r="AA255" s="677"/>
      <c r="AB255" s="677"/>
      <c r="AC255" s="677"/>
      <c r="AD255" s="677"/>
    </row>
    <row r="256">
      <c r="A256" s="673"/>
      <c r="B256" s="674" t="s">
        <v>557</v>
      </c>
      <c r="C256" s="675">
        <v>1.0</v>
      </c>
      <c r="D256" s="704"/>
      <c r="E256" s="821"/>
      <c r="F256" s="821"/>
      <c r="G256" s="821"/>
      <c r="H256" s="821"/>
      <c r="I256" s="821"/>
      <c r="J256" s="821"/>
      <c r="K256" s="821"/>
      <c r="L256" s="821"/>
      <c r="M256" s="677"/>
      <c r="N256" s="821"/>
      <c r="O256" s="821"/>
      <c r="P256" s="677"/>
      <c r="Q256" s="677"/>
      <c r="R256" s="677"/>
      <c r="S256" s="677"/>
      <c r="T256" s="662"/>
      <c r="U256" s="677"/>
      <c r="V256" s="677"/>
      <c r="W256" s="677"/>
      <c r="X256" s="662"/>
      <c r="Y256" s="677"/>
      <c r="Z256" s="677"/>
      <c r="AA256" s="677"/>
      <c r="AB256" s="677"/>
      <c r="AC256" s="677"/>
      <c r="AD256" s="677"/>
    </row>
    <row r="257">
      <c r="A257" s="673"/>
      <c r="B257" s="674" t="s">
        <v>558</v>
      </c>
      <c r="C257" s="675">
        <v>1.0</v>
      </c>
      <c r="D257" s="704"/>
      <c r="E257" s="821"/>
      <c r="F257" s="821"/>
      <c r="G257" s="821"/>
      <c r="H257" s="821"/>
      <c r="I257" s="821"/>
      <c r="J257" s="821"/>
      <c r="K257" s="821"/>
      <c r="L257" s="821"/>
      <c r="M257" s="677"/>
      <c r="N257" s="821"/>
      <c r="O257" s="821"/>
      <c r="P257" s="677"/>
      <c r="Q257" s="677"/>
      <c r="R257" s="677"/>
      <c r="S257" s="677"/>
      <c r="T257" s="662"/>
      <c r="U257" s="677"/>
      <c r="V257" s="677"/>
      <c r="W257" s="677"/>
      <c r="X257" s="677"/>
      <c r="Y257" s="677"/>
      <c r="Z257" s="677"/>
      <c r="AA257" s="677"/>
      <c r="AB257" s="677"/>
      <c r="AC257" s="677"/>
      <c r="AD257" s="677"/>
    </row>
    <row r="258">
      <c r="A258" s="673"/>
      <c r="B258" s="674" t="s">
        <v>559</v>
      </c>
      <c r="C258" s="675">
        <v>1.0</v>
      </c>
      <c r="D258" s="704"/>
      <c r="E258" s="821"/>
      <c r="F258" s="821"/>
      <c r="G258" s="821"/>
      <c r="H258" s="821"/>
      <c r="I258" s="821"/>
      <c r="J258" s="821"/>
      <c r="K258" s="821"/>
      <c r="L258" s="821"/>
      <c r="M258" s="677"/>
      <c r="N258" s="821"/>
      <c r="O258" s="821"/>
      <c r="P258" s="677"/>
      <c r="Q258" s="677"/>
      <c r="R258" s="677"/>
      <c r="S258" s="677"/>
      <c r="T258" s="662"/>
      <c r="U258" s="677"/>
      <c r="V258" s="677"/>
      <c r="W258" s="677"/>
      <c r="X258" s="677"/>
      <c r="Y258" s="677"/>
      <c r="Z258" s="677"/>
      <c r="AA258" s="677"/>
      <c r="AB258" s="677"/>
      <c r="AC258" s="677"/>
      <c r="AD258" s="677"/>
    </row>
    <row r="259">
      <c r="A259" s="673"/>
      <c r="B259" s="674" t="s">
        <v>560</v>
      </c>
      <c r="C259" s="675">
        <v>1.0</v>
      </c>
      <c r="D259" s="704"/>
      <c r="E259" s="821"/>
      <c r="F259" s="821"/>
      <c r="G259" s="821"/>
      <c r="H259" s="821"/>
      <c r="I259" s="821"/>
      <c r="J259" s="821"/>
      <c r="K259" s="821"/>
      <c r="L259" s="821"/>
      <c r="M259" s="677"/>
      <c r="N259" s="821"/>
      <c r="O259" s="821"/>
      <c r="P259" s="677"/>
      <c r="Q259" s="677"/>
      <c r="R259" s="677"/>
      <c r="S259" s="677"/>
      <c r="T259" s="662"/>
      <c r="U259" s="677"/>
      <c r="V259" s="677"/>
      <c r="W259" s="677"/>
      <c r="X259" s="677"/>
      <c r="Y259" s="677"/>
      <c r="Z259" s="677"/>
      <c r="AA259" s="677"/>
      <c r="AB259" s="677"/>
      <c r="AC259" s="677"/>
      <c r="AD259" s="677"/>
    </row>
    <row r="260">
      <c r="A260" s="673"/>
      <c r="B260" s="674" t="s">
        <v>561</v>
      </c>
      <c r="C260" s="675">
        <v>1.0</v>
      </c>
      <c r="D260" s="704"/>
      <c r="E260" s="821"/>
      <c r="F260" s="821"/>
      <c r="G260" s="821"/>
      <c r="H260" s="821"/>
      <c r="I260" s="821"/>
      <c r="J260" s="821"/>
      <c r="K260" s="821"/>
      <c r="L260" s="821"/>
      <c r="M260" s="677"/>
      <c r="N260" s="821"/>
      <c r="O260" s="821"/>
      <c r="P260" s="677"/>
      <c r="Q260" s="677"/>
      <c r="R260" s="677"/>
      <c r="S260" s="677"/>
      <c r="T260" s="662"/>
      <c r="U260" s="677"/>
      <c r="V260" s="677"/>
      <c r="W260" s="677"/>
      <c r="X260" s="677"/>
      <c r="Y260" s="677"/>
      <c r="Z260" s="677"/>
      <c r="AA260" s="677"/>
      <c r="AB260" s="677"/>
      <c r="AC260" s="677"/>
      <c r="AD260" s="677"/>
    </row>
    <row r="261">
      <c r="A261" s="673"/>
      <c r="B261" s="674" t="s">
        <v>562</v>
      </c>
      <c r="C261" s="675">
        <v>1.0</v>
      </c>
      <c r="D261" s="704"/>
      <c r="E261" s="821"/>
      <c r="F261" s="821"/>
      <c r="G261" s="821"/>
      <c r="H261" s="821"/>
      <c r="I261" s="821"/>
      <c r="J261" s="821"/>
      <c r="K261" s="821"/>
      <c r="L261" s="821"/>
      <c r="M261" s="677"/>
      <c r="N261" s="821"/>
      <c r="O261" s="821"/>
      <c r="P261" s="677"/>
      <c r="Q261" s="677"/>
      <c r="R261" s="677"/>
      <c r="S261" s="677"/>
      <c r="T261" s="662"/>
      <c r="U261" s="677"/>
      <c r="V261" s="677"/>
      <c r="W261" s="677"/>
      <c r="X261" s="677"/>
      <c r="Y261" s="677"/>
      <c r="Z261" s="677"/>
      <c r="AA261" s="677"/>
      <c r="AB261" s="677"/>
      <c r="AC261" s="677"/>
      <c r="AD261" s="677"/>
    </row>
    <row r="262">
      <c r="A262" s="673"/>
      <c r="B262" s="708" t="s">
        <v>563</v>
      </c>
      <c r="C262" s="675">
        <v>1.0</v>
      </c>
      <c r="D262" s="704"/>
      <c r="E262" s="821"/>
      <c r="F262" s="821"/>
      <c r="G262" s="821"/>
      <c r="H262" s="821"/>
      <c r="I262" s="821"/>
      <c r="J262" s="821"/>
      <c r="K262" s="821"/>
      <c r="L262" s="821"/>
      <c r="M262" s="677"/>
      <c r="N262" s="821"/>
      <c r="O262" s="821"/>
      <c r="P262" s="677"/>
      <c r="Q262" s="677"/>
      <c r="R262" s="677"/>
      <c r="S262" s="677"/>
      <c r="T262" s="662"/>
      <c r="U262" s="677"/>
      <c r="V262" s="677"/>
      <c r="W262" s="677"/>
      <c r="X262" s="677"/>
      <c r="Y262" s="677"/>
      <c r="Z262" s="677"/>
      <c r="AA262" s="677"/>
      <c r="AB262" s="677"/>
      <c r="AC262" s="677"/>
      <c r="AD262" s="677"/>
    </row>
    <row r="263">
      <c r="A263" s="673"/>
      <c r="B263" s="708" t="s">
        <v>564</v>
      </c>
      <c r="C263" s="675">
        <v>1.0</v>
      </c>
      <c r="D263" s="704"/>
      <c r="E263" s="821"/>
      <c r="F263" s="821"/>
      <c r="G263" s="821"/>
      <c r="H263" s="821"/>
      <c r="I263" s="821"/>
      <c r="J263" s="821"/>
      <c r="K263" s="821"/>
      <c r="L263" s="821"/>
      <c r="M263" s="677"/>
      <c r="N263" s="821"/>
      <c r="O263" s="821"/>
      <c r="P263" s="677"/>
      <c r="Q263" s="677"/>
      <c r="R263" s="677"/>
      <c r="S263" s="677"/>
      <c r="T263" s="662"/>
      <c r="U263" s="677"/>
      <c r="V263" s="677"/>
      <c r="W263" s="677"/>
      <c r="X263" s="677"/>
      <c r="Y263" s="677"/>
      <c r="Z263" s="677"/>
      <c r="AA263" s="677"/>
      <c r="AB263" s="677"/>
      <c r="AC263" s="677"/>
      <c r="AD263" s="677"/>
    </row>
    <row r="264">
      <c r="A264" s="673"/>
      <c r="B264" s="708" t="s">
        <v>565</v>
      </c>
      <c r="C264" s="675">
        <v>1.0</v>
      </c>
      <c r="D264" s="704"/>
      <c r="E264" s="821"/>
      <c r="F264" s="821"/>
      <c r="G264" s="821"/>
      <c r="H264" s="821"/>
      <c r="I264" s="821"/>
      <c r="J264" s="821"/>
      <c r="K264" s="821"/>
      <c r="L264" s="821"/>
      <c r="M264" s="677"/>
      <c r="N264" s="821"/>
      <c r="O264" s="821"/>
      <c r="P264" s="677"/>
      <c r="Q264" s="677"/>
      <c r="R264" s="677"/>
      <c r="S264" s="677"/>
      <c r="T264" s="662"/>
      <c r="U264" s="677"/>
      <c r="V264" s="677"/>
      <c r="W264" s="677"/>
      <c r="X264" s="677"/>
      <c r="Y264" s="677"/>
      <c r="Z264" s="677"/>
      <c r="AA264" s="677"/>
      <c r="AB264" s="677"/>
      <c r="AC264" s="677"/>
      <c r="AD264" s="677"/>
    </row>
    <row r="265">
      <c r="A265" s="673"/>
      <c r="B265" s="708" t="s">
        <v>566</v>
      </c>
      <c r="C265" s="675">
        <v>1.0</v>
      </c>
      <c r="D265" s="704"/>
      <c r="E265" s="821"/>
      <c r="F265" s="821"/>
      <c r="G265" s="821"/>
      <c r="H265" s="821"/>
      <c r="I265" s="821"/>
      <c r="J265" s="821"/>
      <c r="K265" s="821"/>
      <c r="L265" s="821"/>
      <c r="M265" s="677"/>
      <c r="N265" s="821"/>
      <c r="O265" s="821"/>
      <c r="P265" s="677"/>
      <c r="Q265" s="677"/>
      <c r="R265" s="677"/>
      <c r="S265" s="677"/>
      <c r="T265" s="662"/>
      <c r="U265" s="677"/>
      <c r="V265" s="677"/>
      <c r="W265" s="677"/>
      <c r="X265" s="677"/>
      <c r="Y265" s="677"/>
      <c r="Z265" s="677"/>
      <c r="AA265" s="677"/>
      <c r="AB265" s="677"/>
      <c r="AC265" s="677"/>
      <c r="AD265" s="677"/>
    </row>
    <row r="266">
      <c r="A266" s="673"/>
      <c r="B266" s="708" t="s">
        <v>567</v>
      </c>
      <c r="C266" s="675">
        <v>1.0</v>
      </c>
      <c r="D266" s="704"/>
      <c r="E266" s="821"/>
      <c r="F266" s="821"/>
      <c r="G266" s="821"/>
      <c r="H266" s="821"/>
      <c r="I266" s="821"/>
      <c r="J266" s="821"/>
      <c r="K266" s="821"/>
      <c r="L266" s="821"/>
      <c r="M266" s="677"/>
      <c r="N266" s="821"/>
      <c r="O266" s="821"/>
      <c r="P266" s="677"/>
      <c r="Q266" s="677"/>
      <c r="R266" s="677"/>
      <c r="S266" s="677"/>
      <c r="T266" s="662"/>
      <c r="U266" s="677"/>
      <c r="V266" s="677"/>
      <c r="W266" s="677"/>
      <c r="X266" s="677"/>
      <c r="Y266" s="677"/>
      <c r="Z266" s="677"/>
      <c r="AA266" s="677"/>
      <c r="AB266" s="677"/>
      <c r="AC266" s="677"/>
      <c r="AD266" s="677"/>
    </row>
    <row r="267">
      <c r="A267" s="673"/>
      <c r="B267" s="708" t="s">
        <v>568</v>
      </c>
      <c r="C267" s="675">
        <v>1.0</v>
      </c>
      <c r="D267" s="704"/>
      <c r="E267" s="821"/>
      <c r="F267" s="821"/>
      <c r="G267" s="821"/>
      <c r="H267" s="821"/>
      <c r="I267" s="821"/>
      <c r="J267" s="821"/>
      <c r="K267" s="821"/>
      <c r="L267" s="821"/>
      <c r="M267" s="677"/>
      <c r="N267" s="821"/>
      <c r="O267" s="821"/>
      <c r="P267" s="677"/>
      <c r="Q267" s="677"/>
      <c r="R267" s="677"/>
      <c r="S267" s="677"/>
      <c r="T267" s="662"/>
      <c r="U267" s="677"/>
      <c r="V267" s="677"/>
      <c r="W267" s="677"/>
      <c r="X267" s="662"/>
      <c r="Y267" s="677"/>
      <c r="Z267" s="677"/>
      <c r="AA267" s="677"/>
      <c r="AB267" s="677"/>
      <c r="AC267" s="677"/>
      <c r="AD267" s="677"/>
    </row>
    <row r="268">
      <c r="A268" s="673"/>
      <c r="B268" s="708" t="s">
        <v>569</v>
      </c>
      <c r="C268" s="675">
        <v>1.0</v>
      </c>
      <c r="D268" s="704"/>
      <c r="E268" s="821"/>
      <c r="F268" s="821"/>
      <c r="G268" s="821"/>
      <c r="H268" s="821"/>
      <c r="I268" s="821"/>
      <c r="J268" s="821"/>
      <c r="K268" s="821"/>
      <c r="L268" s="821"/>
      <c r="M268" s="677"/>
      <c r="N268" s="821"/>
      <c r="O268" s="821"/>
      <c r="P268" s="677"/>
      <c r="Q268" s="677"/>
      <c r="R268" s="677"/>
      <c r="S268" s="677"/>
      <c r="T268" s="662"/>
      <c r="U268" s="677"/>
      <c r="V268" s="677"/>
      <c r="W268" s="677"/>
      <c r="X268" s="677"/>
      <c r="Y268" s="677"/>
      <c r="Z268" s="677"/>
      <c r="AA268" s="677"/>
      <c r="AB268" s="677"/>
      <c r="AC268" s="677"/>
      <c r="AD268" s="677"/>
    </row>
    <row r="269">
      <c r="A269" s="673"/>
      <c r="B269" s="708" t="s">
        <v>570</v>
      </c>
      <c r="C269" s="675">
        <v>1.0</v>
      </c>
      <c r="D269" s="704"/>
      <c r="E269" s="821"/>
      <c r="F269" s="821"/>
      <c r="G269" s="821"/>
      <c r="H269" s="821"/>
      <c r="I269" s="821"/>
      <c r="J269" s="821"/>
      <c r="K269" s="821"/>
      <c r="L269" s="821"/>
      <c r="M269" s="677"/>
      <c r="N269" s="821"/>
      <c r="O269" s="821"/>
      <c r="P269" s="677"/>
      <c r="Q269" s="677"/>
      <c r="R269" s="677"/>
      <c r="S269" s="677"/>
      <c r="T269" s="662"/>
      <c r="U269" s="677"/>
      <c r="V269" s="677"/>
      <c r="W269" s="677"/>
      <c r="X269" s="677"/>
      <c r="Y269" s="677"/>
      <c r="Z269" s="677"/>
      <c r="AA269" s="677"/>
      <c r="AB269" s="677"/>
      <c r="AC269" s="677"/>
      <c r="AD269" s="677"/>
    </row>
    <row r="270">
      <c r="A270" s="673"/>
      <c r="B270" s="708" t="s">
        <v>571</v>
      </c>
      <c r="C270" s="675">
        <v>1.0</v>
      </c>
      <c r="D270" s="704"/>
      <c r="E270" s="821"/>
      <c r="F270" s="821"/>
      <c r="G270" s="821"/>
      <c r="H270" s="821"/>
      <c r="I270" s="821"/>
      <c r="J270" s="821"/>
      <c r="K270" s="821"/>
      <c r="L270" s="821"/>
      <c r="M270" s="677"/>
      <c r="N270" s="821"/>
      <c r="O270" s="821"/>
      <c r="P270" s="677"/>
      <c r="Q270" s="677"/>
      <c r="R270" s="677"/>
      <c r="S270" s="677"/>
      <c r="T270" s="662"/>
      <c r="U270" s="677"/>
      <c r="V270" s="677"/>
      <c r="W270" s="677"/>
      <c r="X270" s="677"/>
      <c r="Y270" s="677"/>
      <c r="Z270" s="677"/>
      <c r="AA270" s="677"/>
      <c r="AB270" s="677"/>
      <c r="AC270" s="677"/>
      <c r="AD270" s="677"/>
    </row>
    <row r="271">
      <c r="A271" s="673"/>
      <c r="B271" s="708" t="s">
        <v>572</v>
      </c>
      <c r="C271" s="675">
        <v>1.0</v>
      </c>
      <c r="D271" s="704"/>
      <c r="E271" s="821"/>
      <c r="F271" s="821"/>
      <c r="G271" s="821"/>
      <c r="H271" s="821"/>
      <c r="I271" s="821"/>
      <c r="J271" s="821"/>
      <c r="K271" s="821"/>
      <c r="L271" s="821"/>
      <c r="M271" s="677"/>
      <c r="N271" s="821"/>
      <c r="O271" s="821"/>
      <c r="P271" s="677"/>
      <c r="Q271" s="677"/>
      <c r="R271" s="677"/>
      <c r="S271" s="677"/>
      <c r="T271" s="662"/>
      <c r="U271" s="677"/>
      <c r="V271" s="677"/>
      <c r="W271" s="677"/>
      <c r="X271" s="677"/>
      <c r="Y271" s="677"/>
      <c r="Z271" s="677"/>
      <c r="AA271" s="677"/>
      <c r="AB271" s="677"/>
      <c r="AC271" s="677"/>
      <c r="AD271" s="677"/>
    </row>
    <row r="272">
      <c r="A272" s="673"/>
      <c r="B272" s="708" t="s">
        <v>573</v>
      </c>
      <c r="C272" s="675">
        <v>1.0</v>
      </c>
      <c r="D272" s="704"/>
      <c r="E272" s="821"/>
      <c r="F272" s="821"/>
      <c r="G272" s="821"/>
      <c r="H272" s="821"/>
      <c r="I272" s="821"/>
      <c r="J272" s="821"/>
      <c r="K272" s="821"/>
      <c r="L272" s="821"/>
      <c r="M272" s="677"/>
      <c r="N272" s="821"/>
      <c r="O272" s="821"/>
      <c r="P272" s="677"/>
      <c r="Q272" s="677"/>
      <c r="R272" s="677"/>
      <c r="S272" s="677"/>
      <c r="T272" s="662"/>
      <c r="U272" s="677"/>
      <c r="V272" s="677"/>
      <c r="W272" s="677"/>
      <c r="X272" s="677"/>
      <c r="Y272" s="677"/>
      <c r="Z272" s="677"/>
      <c r="AA272" s="677"/>
      <c r="AB272" s="677"/>
      <c r="AC272" s="677"/>
      <c r="AD272" s="677"/>
    </row>
    <row r="273">
      <c r="A273" s="673"/>
      <c r="B273" s="708" t="s">
        <v>127</v>
      </c>
      <c r="C273" s="675">
        <v>0.0</v>
      </c>
      <c r="D273" s="704"/>
      <c r="E273" s="821"/>
      <c r="F273" s="821"/>
      <c r="G273" s="821"/>
      <c r="H273" s="821"/>
      <c r="I273" s="821"/>
      <c r="J273" s="821"/>
      <c r="K273" s="821"/>
      <c r="L273" s="821"/>
      <c r="M273" s="677"/>
      <c r="N273" s="821"/>
      <c r="O273" s="821"/>
      <c r="P273" s="677"/>
      <c r="Q273" s="677"/>
      <c r="R273" s="677"/>
      <c r="S273" s="677"/>
      <c r="T273" s="662"/>
      <c r="U273" s="677"/>
      <c r="V273" s="677"/>
      <c r="W273" s="677"/>
      <c r="X273" s="677"/>
      <c r="Y273" s="677"/>
      <c r="Z273" s="677"/>
      <c r="AA273" s="677"/>
      <c r="AB273" s="677"/>
      <c r="AC273" s="677"/>
      <c r="AD273" s="677"/>
    </row>
    <row r="274">
      <c r="A274" s="673"/>
      <c r="B274" s="708" t="s">
        <v>574</v>
      </c>
      <c r="C274" s="675">
        <v>1.0</v>
      </c>
      <c r="D274" s="704"/>
      <c r="E274" s="821"/>
      <c r="F274" s="821"/>
      <c r="G274" s="821"/>
      <c r="H274" s="821"/>
      <c r="I274" s="821"/>
      <c r="J274" s="821"/>
      <c r="K274" s="821"/>
      <c r="L274" s="821"/>
      <c r="M274" s="677"/>
      <c r="N274" s="821"/>
      <c r="O274" s="821"/>
      <c r="P274" s="677"/>
      <c r="Q274" s="677"/>
      <c r="R274" s="677"/>
      <c r="S274" s="677"/>
      <c r="T274" s="662"/>
      <c r="U274" s="677"/>
      <c r="V274" s="677"/>
      <c r="W274" s="677"/>
      <c r="X274" s="677"/>
      <c r="Y274" s="677"/>
      <c r="Z274" s="677"/>
      <c r="AA274" s="677"/>
      <c r="AB274" s="677"/>
      <c r="AC274" s="677"/>
      <c r="AD274" s="677"/>
    </row>
    <row r="275">
      <c r="A275" s="673"/>
      <c r="B275" s="708" t="s">
        <v>575</v>
      </c>
      <c r="C275" s="675">
        <v>1.0</v>
      </c>
      <c r="D275" s="704"/>
      <c r="E275" s="821"/>
      <c r="F275" s="821"/>
      <c r="G275" s="821"/>
      <c r="H275" s="821"/>
      <c r="I275" s="821"/>
      <c r="J275" s="821"/>
      <c r="K275" s="821"/>
      <c r="L275" s="821"/>
      <c r="M275" s="677"/>
      <c r="N275" s="821"/>
      <c r="O275" s="821"/>
      <c r="P275" s="677"/>
      <c r="Q275" s="677"/>
      <c r="R275" s="677"/>
      <c r="S275" s="677"/>
      <c r="T275" s="662"/>
      <c r="U275" s="677"/>
      <c r="V275" s="677"/>
      <c r="W275" s="677"/>
      <c r="X275" s="677"/>
      <c r="Y275" s="677"/>
      <c r="Z275" s="677"/>
      <c r="AA275" s="677"/>
      <c r="AB275" s="677"/>
      <c r="AC275" s="677"/>
      <c r="AD275" s="677"/>
    </row>
    <row r="276">
      <c r="A276" s="673"/>
      <c r="B276" s="708" t="s">
        <v>576</v>
      </c>
      <c r="C276" s="675">
        <v>1.0</v>
      </c>
      <c r="D276" s="704"/>
      <c r="E276" s="821"/>
      <c r="F276" s="821"/>
      <c r="G276" s="821"/>
      <c r="H276" s="821"/>
      <c r="I276" s="821"/>
      <c r="J276" s="821"/>
      <c r="K276" s="821"/>
      <c r="L276" s="821"/>
      <c r="M276" s="677"/>
      <c r="N276" s="821"/>
      <c r="O276" s="821"/>
      <c r="P276" s="677"/>
      <c r="Q276" s="677"/>
      <c r="R276" s="677"/>
      <c r="S276" s="677"/>
      <c r="T276" s="662"/>
      <c r="U276" s="677"/>
      <c r="V276" s="677"/>
      <c r="W276" s="677"/>
      <c r="X276" s="677"/>
      <c r="Y276" s="677"/>
      <c r="Z276" s="677"/>
      <c r="AA276" s="677"/>
      <c r="AB276" s="677"/>
      <c r="AC276" s="677"/>
      <c r="AD276" s="677"/>
    </row>
    <row r="277">
      <c r="A277" s="673"/>
      <c r="B277" s="708" t="s">
        <v>577</v>
      </c>
      <c r="C277" s="675">
        <v>1.0</v>
      </c>
      <c r="D277" s="704"/>
      <c r="E277" s="821"/>
      <c r="F277" s="821"/>
      <c r="G277" s="821"/>
      <c r="H277" s="821"/>
      <c r="I277" s="821"/>
      <c r="J277" s="821"/>
      <c r="K277" s="821"/>
      <c r="L277" s="821"/>
      <c r="M277" s="677"/>
      <c r="N277" s="821"/>
      <c r="O277" s="821"/>
      <c r="P277" s="677"/>
      <c r="Q277" s="677"/>
      <c r="R277" s="677"/>
      <c r="S277" s="677"/>
      <c r="T277" s="662"/>
      <c r="U277" s="677"/>
      <c r="V277" s="677"/>
      <c r="W277" s="677"/>
      <c r="X277" s="677"/>
      <c r="Y277" s="677"/>
      <c r="Z277" s="677"/>
      <c r="AA277" s="677"/>
      <c r="AB277" s="677"/>
      <c r="AC277" s="677"/>
      <c r="AD277" s="677"/>
    </row>
    <row r="278">
      <c r="A278" s="673"/>
      <c r="B278" s="708" t="s">
        <v>578</v>
      </c>
      <c r="C278" s="675">
        <v>1.0</v>
      </c>
      <c r="D278" s="704"/>
      <c r="E278" s="821"/>
      <c r="F278" s="821"/>
      <c r="G278" s="821"/>
      <c r="H278" s="821"/>
      <c r="I278" s="821"/>
      <c r="J278" s="821"/>
      <c r="K278" s="821"/>
      <c r="L278" s="821"/>
      <c r="M278" s="677"/>
      <c r="N278" s="821"/>
      <c r="O278" s="821"/>
      <c r="P278" s="677"/>
      <c r="Q278" s="677"/>
      <c r="R278" s="677"/>
      <c r="S278" s="677"/>
      <c r="T278" s="662"/>
      <c r="U278" s="677"/>
      <c r="V278" s="677"/>
      <c r="W278" s="677"/>
      <c r="X278" s="662"/>
      <c r="Y278" s="677"/>
      <c r="Z278" s="677"/>
      <c r="AA278" s="677"/>
      <c r="AB278" s="677"/>
      <c r="AC278" s="677"/>
      <c r="AD278" s="677"/>
    </row>
    <row r="279">
      <c r="A279" s="673"/>
      <c r="B279" s="708" t="s">
        <v>579</v>
      </c>
      <c r="C279" s="675">
        <v>1.0</v>
      </c>
      <c r="D279" s="704"/>
      <c r="E279" s="821"/>
      <c r="F279" s="821"/>
      <c r="G279" s="821"/>
      <c r="H279" s="821"/>
      <c r="I279" s="821"/>
      <c r="J279" s="821"/>
      <c r="K279" s="821"/>
      <c r="L279" s="821"/>
      <c r="M279" s="677"/>
      <c r="N279" s="821"/>
      <c r="O279" s="821"/>
      <c r="P279" s="677"/>
      <c r="Q279" s="677"/>
      <c r="R279" s="677"/>
      <c r="S279" s="677"/>
      <c r="T279" s="662"/>
      <c r="U279" s="677"/>
      <c r="V279" s="677"/>
      <c r="W279" s="677"/>
      <c r="X279" s="677"/>
      <c r="Y279" s="677"/>
      <c r="Z279" s="677"/>
      <c r="AA279" s="677"/>
      <c r="AB279" s="677"/>
      <c r="AC279" s="677"/>
      <c r="AD279" s="677"/>
    </row>
    <row r="280">
      <c r="A280" s="673"/>
      <c r="B280" s="708" t="s">
        <v>580</v>
      </c>
      <c r="C280" s="675">
        <v>1.0</v>
      </c>
      <c r="D280" s="704"/>
      <c r="E280" s="821"/>
      <c r="F280" s="821"/>
      <c r="G280" s="821"/>
      <c r="H280" s="821"/>
      <c r="I280" s="821"/>
      <c r="J280" s="821"/>
      <c r="K280" s="821"/>
      <c r="L280" s="821"/>
      <c r="M280" s="677"/>
      <c r="N280" s="821"/>
      <c r="O280" s="821"/>
      <c r="P280" s="677"/>
      <c r="Q280" s="677"/>
      <c r="R280" s="677"/>
      <c r="S280" s="677"/>
      <c r="T280" s="662"/>
      <c r="U280" s="677"/>
      <c r="V280" s="677"/>
      <c r="W280" s="677"/>
      <c r="X280" s="677"/>
      <c r="Y280" s="677"/>
      <c r="Z280" s="677"/>
      <c r="AA280" s="677"/>
      <c r="AB280" s="677"/>
      <c r="AC280" s="677"/>
      <c r="AD280" s="677"/>
    </row>
    <row r="281">
      <c r="A281" s="673"/>
      <c r="B281" s="708" t="s">
        <v>581</v>
      </c>
      <c r="C281" s="675">
        <v>1.0</v>
      </c>
      <c r="D281" s="704"/>
      <c r="E281" s="821"/>
      <c r="F281" s="821"/>
      <c r="G281" s="821"/>
      <c r="H281" s="821"/>
      <c r="I281" s="821"/>
      <c r="J281" s="821"/>
      <c r="K281" s="821"/>
      <c r="L281" s="821"/>
      <c r="M281" s="677"/>
      <c r="N281" s="821"/>
      <c r="O281" s="821"/>
      <c r="P281" s="677"/>
      <c r="Q281" s="677"/>
      <c r="R281" s="677"/>
      <c r="S281" s="677"/>
      <c r="T281" s="662"/>
      <c r="U281" s="677"/>
      <c r="V281" s="677"/>
      <c r="W281" s="677"/>
      <c r="X281" s="677"/>
      <c r="Y281" s="677"/>
      <c r="Z281" s="677"/>
      <c r="AA281" s="677"/>
      <c r="AB281" s="677"/>
      <c r="AC281" s="677"/>
      <c r="AD281" s="677"/>
    </row>
    <row r="282">
      <c r="A282" s="673"/>
      <c r="B282" s="708" t="s">
        <v>582</v>
      </c>
      <c r="C282" s="675">
        <v>1.0</v>
      </c>
      <c r="D282" s="704"/>
      <c r="E282" s="821"/>
      <c r="F282" s="821"/>
      <c r="G282" s="821"/>
      <c r="H282" s="821"/>
      <c r="I282" s="821"/>
      <c r="J282" s="821"/>
      <c r="K282" s="821"/>
      <c r="L282" s="821"/>
      <c r="M282" s="677"/>
      <c r="N282" s="821"/>
      <c r="O282" s="821"/>
      <c r="P282" s="677"/>
      <c r="Q282" s="677"/>
      <c r="R282" s="677"/>
      <c r="S282" s="677"/>
      <c r="T282" s="662"/>
      <c r="U282" s="677"/>
      <c r="V282" s="677"/>
      <c r="W282" s="677"/>
      <c r="X282" s="677"/>
      <c r="Y282" s="677"/>
      <c r="Z282" s="677"/>
      <c r="AA282" s="677"/>
      <c r="AB282" s="677"/>
      <c r="AC282" s="677"/>
      <c r="AD282" s="677"/>
    </row>
    <row r="283">
      <c r="A283" s="673"/>
      <c r="B283" s="708" t="s">
        <v>583</v>
      </c>
      <c r="C283" s="675">
        <v>1.0</v>
      </c>
      <c r="D283" s="704"/>
      <c r="E283" s="821"/>
      <c r="F283" s="821"/>
      <c r="G283" s="821"/>
      <c r="H283" s="821"/>
      <c r="I283" s="821"/>
      <c r="J283" s="821"/>
      <c r="K283" s="821"/>
      <c r="L283" s="821"/>
      <c r="M283" s="677"/>
      <c r="N283" s="821"/>
      <c r="O283" s="821"/>
      <c r="P283" s="677"/>
      <c r="Q283" s="677"/>
      <c r="R283" s="677"/>
      <c r="S283" s="677"/>
      <c r="T283" s="662"/>
      <c r="U283" s="677"/>
      <c r="V283" s="677"/>
      <c r="W283" s="677"/>
      <c r="X283" s="677"/>
      <c r="Y283" s="677"/>
      <c r="Z283" s="677"/>
      <c r="AA283" s="677"/>
      <c r="AB283" s="677"/>
      <c r="AC283" s="677"/>
      <c r="AD283" s="677"/>
    </row>
    <row r="284">
      <c r="A284" s="673"/>
      <c r="B284" s="708" t="s">
        <v>584</v>
      </c>
      <c r="C284" s="675">
        <v>1.0</v>
      </c>
      <c r="D284" s="704"/>
      <c r="E284" s="821"/>
      <c r="F284" s="821"/>
      <c r="G284" s="821"/>
      <c r="H284" s="821"/>
      <c r="I284" s="821"/>
      <c r="J284" s="821"/>
      <c r="K284" s="821"/>
      <c r="L284" s="821"/>
      <c r="M284" s="677"/>
      <c r="N284" s="821"/>
      <c r="O284" s="821"/>
      <c r="P284" s="677"/>
      <c r="Q284" s="677"/>
      <c r="R284" s="677"/>
      <c r="S284" s="677"/>
      <c r="T284" s="662"/>
      <c r="U284" s="677"/>
      <c r="V284" s="677"/>
      <c r="W284" s="677"/>
      <c r="X284" s="677"/>
      <c r="Y284" s="677"/>
      <c r="Z284" s="677"/>
      <c r="AA284" s="677"/>
      <c r="AB284" s="677"/>
      <c r="AC284" s="677"/>
      <c r="AD284" s="677"/>
    </row>
    <row r="285">
      <c r="A285" s="673"/>
      <c r="B285" s="708" t="s">
        <v>585</v>
      </c>
      <c r="C285" s="675">
        <v>1.0</v>
      </c>
      <c r="D285" s="704"/>
      <c r="E285" s="821"/>
      <c r="F285" s="821"/>
      <c r="G285" s="821"/>
      <c r="H285" s="821"/>
      <c r="I285" s="821"/>
      <c r="J285" s="821"/>
      <c r="K285" s="821"/>
      <c r="L285" s="821"/>
      <c r="M285" s="677"/>
      <c r="N285" s="821"/>
      <c r="O285" s="821"/>
      <c r="P285" s="677"/>
      <c r="Q285" s="677"/>
      <c r="R285" s="677"/>
      <c r="S285" s="677"/>
      <c r="T285" s="662"/>
      <c r="U285" s="677"/>
      <c r="V285" s="677"/>
      <c r="W285" s="677"/>
      <c r="X285" s="677"/>
      <c r="Y285" s="677"/>
      <c r="Z285" s="677"/>
      <c r="AA285" s="677"/>
      <c r="AB285" s="677"/>
      <c r="AC285" s="677"/>
      <c r="AD285" s="677"/>
    </row>
    <row r="286">
      <c r="A286" s="673"/>
      <c r="B286" s="708" t="s">
        <v>586</v>
      </c>
      <c r="C286" s="675">
        <v>1.0</v>
      </c>
      <c r="D286" s="704"/>
      <c r="E286" s="821"/>
      <c r="F286" s="821"/>
      <c r="G286" s="821"/>
      <c r="H286" s="821"/>
      <c r="I286" s="821"/>
      <c r="J286" s="821"/>
      <c r="K286" s="821"/>
      <c r="L286" s="821"/>
      <c r="M286" s="677"/>
      <c r="N286" s="821"/>
      <c r="O286" s="821"/>
      <c r="P286" s="677"/>
      <c r="Q286" s="677"/>
      <c r="R286" s="677"/>
      <c r="S286" s="677"/>
      <c r="T286" s="662"/>
      <c r="U286" s="677"/>
      <c r="V286" s="677"/>
      <c r="W286" s="677"/>
      <c r="X286" s="677"/>
      <c r="Y286" s="677"/>
      <c r="Z286" s="677"/>
      <c r="AA286" s="677"/>
      <c r="AB286" s="677"/>
      <c r="AC286" s="677"/>
      <c r="AD286" s="677"/>
    </row>
    <row r="287">
      <c r="A287" s="673"/>
      <c r="B287" s="708" t="s">
        <v>587</v>
      </c>
      <c r="C287" s="675">
        <v>1.0</v>
      </c>
      <c r="D287" s="704"/>
      <c r="E287" s="821"/>
      <c r="F287" s="821"/>
      <c r="G287" s="821"/>
      <c r="H287" s="821"/>
      <c r="I287" s="821"/>
      <c r="J287" s="821"/>
      <c r="K287" s="821"/>
      <c r="L287" s="821"/>
      <c r="M287" s="677"/>
      <c r="N287" s="821"/>
      <c r="O287" s="821"/>
      <c r="P287" s="677"/>
      <c r="Q287" s="677"/>
      <c r="R287" s="677"/>
      <c r="S287" s="677"/>
      <c r="T287" s="662"/>
      <c r="U287" s="677"/>
      <c r="V287" s="677"/>
      <c r="W287" s="677"/>
      <c r="X287" s="677"/>
      <c r="Y287" s="677"/>
      <c r="Z287" s="677"/>
      <c r="AA287" s="677"/>
      <c r="AB287" s="677"/>
      <c r="AC287" s="677"/>
      <c r="AD287" s="677"/>
    </row>
    <row r="288">
      <c r="A288" s="673"/>
      <c r="B288" s="708" t="s">
        <v>588</v>
      </c>
      <c r="C288" s="675">
        <v>1.0</v>
      </c>
      <c r="D288" s="704"/>
      <c r="E288" s="821"/>
      <c r="F288" s="821"/>
      <c r="G288" s="821"/>
      <c r="H288" s="821"/>
      <c r="I288" s="821"/>
      <c r="J288" s="821"/>
      <c r="K288" s="821"/>
      <c r="L288" s="821"/>
      <c r="M288" s="677"/>
      <c r="N288" s="821"/>
      <c r="O288" s="821"/>
      <c r="P288" s="677"/>
      <c r="Q288" s="677"/>
      <c r="R288" s="677"/>
      <c r="S288" s="677"/>
      <c r="T288" s="662"/>
      <c r="U288" s="677"/>
      <c r="V288" s="677"/>
      <c r="W288" s="677"/>
      <c r="X288" s="677"/>
      <c r="Y288" s="677"/>
      <c r="Z288" s="677"/>
      <c r="AA288" s="677"/>
      <c r="AB288" s="677"/>
      <c r="AC288" s="677"/>
      <c r="AD288" s="677"/>
    </row>
    <row r="289">
      <c r="A289" s="673"/>
      <c r="B289" s="708" t="s">
        <v>589</v>
      </c>
      <c r="C289" s="675">
        <v>1.0</v>
      </c>
      <c r="D289" s="704"/>
      <c r="E289" s="821"/>
      <c r="F289" s="821"/>
      <c r="G289" s="821"/>
      <c r="H289" s="821"/>
      <c r="I289" s="821"/>
      <c r="J289" s="821"/>
      <c r="K289" s="821"/>
      <c r="L289" s="821"/>
      <c r="M289" s="677"/>
      <c r="N289" s="821"/>
      <c r="O289" s="821"/>
      <c r="P289" s="677"/>
      <c r="Q289" s="677"/>
      <c r="R289" s="677"/>
      <c r="S289" s="677"/>
      <c r="T289" s="662"/>
      <c r="U289" s="677"/>
      <c r="V289" s="677"/>
      <c r="W289" s="677"/>
      <c r="X289" s="662"/>
      <c r="Y289" s="677"/>
      <c r="Z289" s="677"/>
      <c r="AA289" s="677"/>
      <c r="AB289" s="677"/>
      <c r="AC289" s="677"/>
      <c r="AD289" s="677"/>
    </row>
    <row r="290">
      <c r="A290" s="673"/>
      <c r="B290" s="708" t="s">
        <v>590</v>
      </c>
      <c r="C290" s="675">
        <v>1.0</v>
      </c>
      <c r="D290" s="704"/>
      <c r="E290" s="821"/>
      <c r="F290" s="821"/>
      <c r="G290" s="821"/>
      <c r="H290" s="821"/>
      <c r="I290" s="821"/>
      <c r="J290" s="821"/>
      <c r="K290" s="821"/>
      <c r="L290" s="821"/>
      <c r="M290" s="677"/>
      <c r="N290" s="821"/>
      <c r="O290" s="821"/>
      <c r="P290" s="677"/>
      <c r="Q290" s="677"/>
      <c r="R290" s="677"/>
      <c r="S290" s="677"/>
      <c r="T290" s="662"/>
      <c r="U290" s="677"/>
      <c r="V290" s="677"/>
      <c r="W290" s="677"/>
      <c r="X290" s="677"/>
      <c r="Y290" s="677"/>
      <c r="Z290" s="677"/>
      <c r="AA290" s="677"/>
      <c r="AB290" s="677"/>
      <c r="AC290" s="677"/>
      <c r="AD290" s="677"/>
    </row>
    <row r="291">
      <c r="A291" s="673"/>
      <c r="B291" s="708" t="s">
        <v>591</v>
      </c>
      <c r="C291" s="675">
        <v>1.0</v>
      </c>
      <c r="D291" s="704"/>
      <c r="E291" s="821"/>
      <c r="F291" s="821"/>
      <c r="G291" s="821"/>
      <c r="H291" s="821"/>
      <c r="I291" s="821"/>
      <c r="J291" s="821"/>
      <c r="K291" s="821"/>
      <c r="L291" s="821"/>
      <c r="M291" s="677"/>
      <c r="N291" s="821"/>
      <c r="O291" s="821"/>
      <c r="P291" s="677"/>
      <c r="Q291" s="677"/>
      <c r="R291" s="677"/>
      <c r="S291" s="677"/>
      <c r="T291" s="662"/>
      <c r="U291" s="677"/>
      <c r="V291" s="677"/>
      <c r="W291" s="677"/>
      <c r="X291" s="677"/>
      <c r="Y291" s="677"/>
      <c r="Z291" s="677"/>
      <c r="AA291" s="677"/>
      <c r="AB291" s="677"/>
      <c r="AC291" s="677"/>
      <c r="AD291" s="677"/>
    </row>
    <row r="292">
      <c r="A292" s="673"/>
      <c r="B292" s="708" t="s">
        <v>592</v>
      </c>
      <c r="C292" s="675">
        <v>1.0</v>
      </c>
      <c r="D292" s="704"/>
      <c r="E292" s="821"/>
      <c r="F292" s="821"/>
      <c r="G292" s="821"/>
      <c r="H292" s="821"/>
      <c r="I292" s="821"/>
      <c r="J292" s="821"/>
      <c r="K292" s="821"/>
      <c r="L292" s="821"/>
      <c r="M292" s="677"/>
      <c r="N292" s="821"/>
      <c r="O292" s="821"/>
      <c r="P292" s="677"/>
      <c r="Q292" s="677"/>
      <c r="R292" s="677"/>
      <c r="S292" s="677"/>
      <c r="T292" s="662"/>
      <c r="U292" s="677"/>
      <c r="V292" s="677"/>
      <c r="W292" s="677"/>
      <c r="X292" s="677"/>
      <c r="Y292" s="677"/>
      <c r="Z292" s="677"/>
      <c r="AA292" s="677"/>
      <c r="AB292" s="677"/>
      <c r="AC292" s="677"/>
      <c r="AD292" s="677"/>
    </row>
    <row r="293">
      <c r="A293" s="673"/>
      <c r="B293" s="708" t="s">
        <v>593</v>
      </c>
      <c r="C293" s="675">
        <v>1.0</v>
      </c>
      <c r="D293" s="704"/>
      <c r="E293" s="821"/>
      <c r="F293" s="821"/>
      <c r="G293" s="821"/>
      <c r="H293" s="821"/>
      <c r="I293" s="821"/>
      <c r="J293" s="821"/>
      <c r="K293" s="821"/>
      <c r="L293" s="821"/>
      <c r="M293" s="677"/>
      <c r="N293" s="821"/>
      <c r="O293" s="821"/>
      <c r="P293" s="677"/>
      <c r="Q293" s="677"/>
      <c r="R293" s="677"/>
      <c r="S293" s="677"/>
      <c r="T293" s="662"/>
      <c r="U293" s="677"/>
      <c r="V293" s="677"/>
      <c r="W293" s="677"/>
      <c r="X293" s="677"/>
      <c r="Y293" s="677"/>
      <c r="Z293" s="677"/>
      <c r="AA293" s="677"/>
      <c r="AB293" s="677"/>
      <c r="AC293" s="677"/>
      <c r="AD293" s="677"/>
    </row>
    <row r="294">
      <c r="A294" s="673"/>
      <c r="B294" s="708" t="s">
        <v>594</v>
      </c>
      <c r="C294" s="675">
        <v>1.0</v>
      </c>
      <c r="D294" s="704"/>
      <c r="E294" s="821"/>
      <c r="F294" s="821"/>
      <c r="G294" s="821"/>
      <c r="H294" s="821"/>
      <c r="I294" s="821"/>
      <c r="J294" s="821"/>
      <c r="K294" s="821"/>
      <c r="L294" s="821"/>
      <c r="M294" s="677"/>
      <c r="N294" s="821"/>
      <c r="O294" s="821"/>
      <c r="P294" s="677"/>
      <c r="Q294" s="677"/>
      <c r="R294" s="677"/>
      <c r="S294" s="677"/>
      <c r="T294" s="662"/>
      <c r="U294" s="677"/>
      <c r="V294" s="677"/>
      <c r="W294" s="677"/>
      <c r="X294" s="677"/>
      <c r="Y294" s="677"/>
      <c r="Z294" s="677"/>
      <c r="AA294" s="677"/>
      <c r="AB294" s="677"/>
      <c r="AC294" s="677"/>
      <c r="AD294" s="677"/>
    </row>
    <row r="295">
      <c r="A295" s="673"/>
      <c r="B295" s="708" t="s">
        <v>595</v>
      </c>
      <c r="C295" s="675">
        <v>1.0</v>
      </c>
      <c r="D295" s="704"/>
      <c r="E295" s="821"/>
      <c r="F295" s="821"/>
      <c r="G295" s="821"/>
      <c r="H295" s="821"/>
      <c r="I295" s="821"/>
      <c r="J295" s="821"/>
      <c r="K295" s="821"/>
      <c r="L295" s="821"/>
      <c r="M295" s="677"/>
      <c r="N295" s="821"/>
      <c r="O295" s="821"/>
      <c r="P295" s="677"/>
      <c r="Q295" s="677"/>
      <c r="R295" s="677"/>
      <c r="S295" s="677"/>
      <c r="T295" s="662"/>
      <c r="U295" s="677"/>
      <c r="V295" s="677"/>
      <c r="W295" s="677"/>
      <c r="X295" s="677"/>
      <c r="Y295" s="677"/>
      <c r="Z295" s="677"/>
      <c r="AA295" s="677"/>
      <c r="AB295" s="677"/>
      <c r="AC295" s="677"/>
      <c r="AD295" s="677"/>
    </row>
    <row r="296">
      <c r="A296" s="673"/>
      <c r="B296" s="708" t="s">
        <v>125</v>
      </c>
      <c r="C296" s="675">
        <v>0.0</v>
      </c>
      <c r="D296" s="704"/>
      <c r="E296" s="821"/>
      <c r="F296" s="821"/>
      <c r="G296" s="821"/>
      <c r="H296" s="821"/>
      <c r="I296" s="821"/>
      <c r="J296" s="821"/>
      <c r="K296" s="821"/>
      <c r="L296" s="821"/>
      <c r="M296" s="677"/>
      <c r="N296" s="821"/>
      <c r="O296" s="821"/>
      <c r="P296" s="677"/>
      <c r="Q296" s="677"/>
      <c r="R296" s="677"/>
      <c r="S296" s="677"/>
      <c r="T296" s="662"/>
      <c r="U296" s="677"/>
      <c r="V296" s="677"/>
      <c r="W296" s="677"/>
      <c r="X296" s="677"/>
      <c r="Y296" s="677"/>
      <c r="Z296" s="677"/>
      <c r="AA296" s="677"/>
      <c r="AB296" s="677"/>
      <c r="AC296" s="677"/>
      <c r="AD296" s="677"/>
    </row>
    <row r="297">
      <c r="A297" s="673"/>
      <c r="B297" s="708" t="s">
        <v>131</v>
      </c>
      <c r="C297" s="675">
        <v>0.0</v>
      </c>
      <c r="D297" s="704"/>
      <c r="E297" s="821"/>
      <c r="F297" s="821"/>
      <c r="G297" s="821"/>
      <c r="H297" s="821"/>
      <c r="I297" s="821"/>
      <c r="J297" s="821"/>
      <c r="K297" s="821"/>
      <c r="L297" s="821"/>
      <c r="M297" s="677"/>
      <c r="N297" s="821"/>
      <c r="O297" s="821"/>
      <c r="P297" s="677"/>
      <c r="Q297" s="677"/>
      <c r="R297" s="677"/>
      <c r="S297" s="677"/>
      <c r="T297" s="662"/>
      <c r="U297" s="677"/>
      <c r="V297" s="677"/>
      <c r="W297" s="677"/>
      <c r="X297" s="677"/>
      <c r="Y297" s="677"/>
      <c r="Z297" s="677"/>
      <c r="AA297" s="677"/>
      <c r="AB297" s="677"/>
      <c r="AC297" s="677"/>
      <c r="AD297" s="677"/>
    </row>
    <row r="298">
      <c r="A298" s="673"/>
      <c r="B298" s="708" t="s">
        <v>596</v>
      </c>
      <c r="C298" s="675">
        <v>1.0</v>
      </c>
      <c r="D298" s="704"/>
      <c r="E298" s="821"/>
      <c r="F298" s="821"/>
      <c r="G298" s="821"/>
      <c r="H298" s="821"/>
      <c r="I298" s="821"/>
      <c r="J298" s="821"/>
      <c r="K298" s="821"/>
      <c r="L298" s="821"/>
      <c r="M298" s="677"/>
      <c r="N298" s="821"/>
      <c r="O298" s="821"/>
      <c r="P298" s="677"/>
      <c r="Q298" s="677"/>
      <c r="R298" s="677"/>
      <c r="S298" s="677"/>
      <c r="T298" s="662"/>
      <c r="U298" s="677"/>
      <c r="V298" s="677"/>
      <c r="W298" s="677"/>
      <c r="X298" s="677"/>
      <c r="Y298" s="677"/>
      <c r="Z298" s="677"/>
      <c r="AA298" s="677"/>
      <c r="AB298" s="677"/>
      <c r="AC298" s="677"/>
      <c r="AD298" s="677"/>
    </row>
    <row r="299">
      <c r="A299" s="673"/>
      <c r="B299" s="708" t="s">
        <v>597</v>
      </c>
      <c r="C299" s="675">
        <v>1.0</v>
      </c>
      <c r="D299" s="704"/>
      <c r="E299" s="821"/>
      <c r="F299" s="821"/>
      <c r="G299" s="821"/>
      <c r="H299" s="821"/>
      <c r="I299" s="821"/>
      <c r="J299" s="821"/>
      <c r="K299" s="821"/>
      <c r="L299" s="821"/>
      <c r="M299" s="677"/>
      <c r="N299" s="821"/>
      <c r="O299" s="821"/>
      <c r="P299" s="677"/>
      <c r="Q299" s="677"/>
      <c r="R299" s="677"/>
      <c r="S299" s="677"/>
      <c r="T299" s="662"/>
      <c r="U299" s="677"/>
      <c r="V299" s="677"/>
      <c r="W299" s="677"/>
      <c r="X299" s="677"/>
      <c r="Y299" s="677"/>
      <c r="Z299" s="677"/>
      <c r="AA299" s="677"/>
      <c r="AB299" s="677"/>
      <c r="AC299" s="677"/>
      <c r="AD299" s="677"/>
    </row>
    <row r="300">
      <c r="A300" s="673"/>
      <c r="B300" s="708" t="s">
        <v>598</v>
      </c>
      <c r="C300" s="675">
        <v>1.0</v>
      </c>
      <c r="D300" s="704"/>
      <c r="E300" s="821"/>
      <c r="F300" s="821"/>
      <c r="G300" s="821"/>
      <c r="H300" s="821"/>
      <c r="I300" s="821"/>
      <c r="J300" s="821"/>
      <c r="K300" s="821"/>
      <c r="L300" s="821"/>
      <c r="M300" s="677"/>
      <c r="N300" s="821"/>
      <c r="O300" s="821"/>
      <c r="P300" s="677"/>
      <c r="Q300" s="677"/>
      <c r="R300" s="677"/>
      <c r="S300" s="677"/>
      <c r="T300" s="662"/>
      <c r="U300" s="677"/>
      <c r="V300" s="677"/>
      <c r="W300" s="677"/>
      <c r="X300" s="662"/>
      <c r="Y300" s="677"/>
      <c r="Z300" s="677"/>
      <c r="AA300" s="677"/>
      <c r="AB300" s="677"/>
      <c r="AC300" s="677"/>
      <c r="AD300" s="677"/>
    </row>
    <row r="301">
      <c r="A301" s="673"/>
      <c r="B301" s="708" t="s">
        <v>599</v>
      </c>
      <c r="C301" s="675">
        <v>1.0</v>
      </c>
      <c r="D301" s="704"/>
      <c r="E301" s="821"/>
      <c r="F301" s="821"/>
      <c r="G301" s="821"/>
      <c r="H301" s="821"/>
      <c r="I301" s="821"/>
      <c r="J301" s="821"/>
      <c r="K301" s="821"/>
      <c r="L301" s="821"/>
      <c r="M301" s="677"/>
      <c r="N301" s="821"/>
      <c r="O301" s="821"/>
      <c r="P301" s="677"/>
      <c r="Q301" s="677"/>
      <c r="R301" s="677"/>
      <c r="S301" s="677"/>
      <c r="T301" s="662"/>
      <c r="U301" s="677"/>
      <c r="V301" s="677"/>
      <c r="W301" s="677"/>
      <c r="X301" s="677"/>
      <c r="Y301" s="677"/>
      <c r="Z301" s="677"/>
      <c r="AA301" s="677"/>
      <c r="AB301" s="677"/>
      <c r="AC301" s="677"/>
      <c r="AD301" s="677"/>
    </row>
    <row r="302">
      <c r="A302" s="673"/>
      <c r="B302" s="708" t="s">
        <v>600</v>
      </c>
      <c r="C302" s="675">
        <v>1.0</v>
      </c>
      <c r="D302" s="704"/>
      <c r="E302" s="821"/>
      <c r="F302" s="821"/>
      <c r="G302" s="821"/>
      <c r="H302" s="821"/>
      <c r="I302" s="821"/>
      <c r="J302" s="821"/>
      <c r="K302" s="821"/>
      <c r="L302" s="821"/>
      <c r="M302" s="677"/>
      <c r="N302" s="821"/>
      <c r="O302" s="821"/>
      <c r="P302" s="677"/>
      <c r="Q302" s="677"/>
      <c r="R302" s="677"/>
      <c r="S302" s="677"/>
      <c r="T302" s="662"/>
      <c r="U302" s="677"/>
      <c r="V302" s="677"/>
      <c r="W302" s="677"/>
      <c r="X302" s="677"/>
      <c r="Y302" s="677"/>
      <c r="Z302" s="677"/>
      <c r="AA302" s="677"/>
      <c r="AB302" s="677"/>
      <c r="AC302" s="677"/>
      <c r="AD302" s="677"/>
    </row>
    <row r="303">
      <c r="A303" s="673"/>
      <c r="B303" s="708" t="s">
        <v>601</v>
      </c>
      <c r="C303" s="675">
        <v>1.0</v>
      </c>
      <c r="D303" s="704"/>
      <c r="E303" s="821"/>
      <c r="F303" s="821"/>
      <c r="G303" s="821"/>
      <c r="H303" s="821"/>
      <c r="I303" s="821"/>
      <c r="J303" s="821"/>
      <c r="K303" s="821"/>
      <c r="L303" s="821"/>
      <c r="M303" s="677"/>
      <c r="N303" s="821"/>
      <c r="O303" s="821"/>
      <c r="P303" s="677"/>
      <c r="Q303" s="677"/>
      <c r="R303" s="677"/>
      <c r="S303" s="677"/>
      <c r="T303" s="662"/>
      <c r="U303" s="677"/>
      <c r="V303" s="677"/>
      <c r="W303" s="677"/>
      <c r="X303" s="677"/>
      <c r="Y303" s="677"/>
      <c r="Z303" s="677"/>
      <c r="AA303" s="677"/>
      <c r="AB303" s="677"/>
      <c r="AC303" s="677"/>
      <c r="AD303" s="677"/>
    </row>
    <row r="304">
      <c r="A304" s="673"/>
      <c r="B304" s="708" t="s">
        <v>602</v>
      </c>
      <c r="C304" s="675">
        <v>1.0</v>
      </c>
      <c r="D304" s="704"/>
      <c r="E304" s="821"/>
      <c r="F304" s="821"/>
      <c r="G304" s="821"/>
      <c r="H304" s="821"/>
      <c r="I304" s="821"/>
      <c r="J304" s="821"/>
      <c r="K304" s="821"/>
      <c r="L304" s="821"/>
      <c r="M304" s="677"/>
      <c r="N304" s="821"/>
      <c r="O304" s="821"/>
      <c r="P304" s="677"/>
      <c r="Q304" s="677"/>
      <c r="R304" s="677"/>
      <c r="S304" s="677"/>
      <c r="T304" s="662"/>
      <c r="U304" s="677"/>
      <c r="V304" s="677"/>
      <c r="W304" s="677"/>
      <c r="X304" s="677"/>
      <c r="Y304" s="677"/>
      <c r="Z304" s="677"/>
      <c r="AA304" s="677"/>
      <c r="AB304" s="677"/>
      <c r="AC304" s="677"/>
      <c r="AD304" s="677"/>
    </row>
    <row r="305">
      <c r="A305" s="673"/>
      <c r="B305" s="708" t="s">
        <v>603</v>
      </c>
      <c r="C305" s="675">
        <v>1.0</v>
      </c>
      <c r="D305" s="704"/>
      <c r="E305" s="821"/>
      <c r="F305" s="821"/>
      <c r="G305" s="821"/>
      <c r="H305" s="821"/>
      <c r="I305" s="821"/>
      <c r="J305" s="821"/>
      <c r="K305" s="821"/>
      <c r="L305" s="821"/>
      <c r="M305" s="677"/>
      <c r="N305" s="821"/>
      <c r="O305" s="821"/>
      <c r="P305" s="677"/>
      <c r="Q305" s="677"/>
      <c r="R305" s="677"/>
      <c r="S305" s="677"/>
      <c r="T305" s="662"/>
      <c r="U305" s="677"/>
      <c r="V305" s="677"/>
      <c r="W305" s="677"/>
      <c r="X305" s="677"/>
      <c r="Y305" s="677"/>
      <c r="Z305" s="677"/>
      <c r="AA305" s="677"/>
      <c r="AB305" s="677"/>
      <c r="AC305" s="677"/>
      <c r="AD305" s="677"/>
    </row>
    <row r="306">
      <c r="A306" s="673"/>
      <c r="B306" s="708" t="s">
        <v>604</v>
      </c>
      <c r="C306" s="675">
        <v>1.0</v>
      </c>
      <c r="D306" s="704"/>
      <c r="E306" s="821"/>
      <c r="F306" s="821"/>
      <c r="G306" s="821"/>
      <c r="H306" s="821"/>
      <c r="I306" s="821"/>
      <c r="J306" s="821"/>
      <c r="K306" s="821"/>
      <c r="L306" s="821"/>
      <c r="M306" s="677"/>
      <c r="N306" s="821"/>
      <c r="O306" s="821"/>
      <c r="P306" s="677"/>
      <c r="Q306" s="677"/>
      <c r="R306" s="677"/>
      <c r="S306" s="677"/>
      <c r="T306" s="662"/>
      <c r="U306" s="677"/>
      <c r="V306" s="677"/>
      <c r="W306" s="677"/>
      <c r="X306" s="677"/>
      <c r="Y306" s="677"/>
      <c r="Z306" s="677"/>
      <c r="AA306" s="677"/>
      <c r="AB306" s="677"/>
      <c r="AC306" s="677"/>
      <c r="AD306" s="677"/>
    </row>
    <row r="307">
      <c r="A307" s="673"/>
      <c r="B307" s="708" t="s">
        <v>605</v>
      </c>
      <c r="C307" s="675">
        <v>1.0</v>
      </c>
      <c r="D307" s="704"/>
      <c r="E307" s="821"/>
      <c r="F307" s="821"/>
      <c r="G307" s="821"/>
      <c r="H307" s="821"/>
      <c r="I307" s="821"/>
      <c r="J307" s="821"/>
      <c r="K307" s="821"/>
      <c r="L307" s="821"/>
      <c r="M307" s="677"/>
      <c r="N307" s="821"/>
      <c r="O307" s="821"/>
      <c r="P307" s="677"/>
      <c r="Q307" s="677"/>
      <c r="R307" s="677"/>
      <c r="S307" s="677"/>
      <c r="T307" s="662"/>
      <c r="U307" s="677"/>
      <c r="V307" s="677"/>
      <c r="W307" s="677"/>
      <c r="X307" s="677"/>
      <c r="Y307" s="677"/>
      <c r="Z307" s="677"/>
      <c r="AA307" s="677"/>
      <c r="AB307" s="677"/>
      <c r="AC307" s="677"/>
      <c r="AD307" s="677"/>
    </row>
    <row r="308">
      <c r="A308" s="673"/>
      <c r="B308" s="674" t="s">
        <v>606</v>
      </c>
      <c r="C308" s="675">
        <v>1.0</v>
      </c>
      <c r="D308" s="704"/>
      <c r="E308" s="821"/>
      <c r="F308" s="821"/>
      <c r="G308" s="821"/>
      <c r="H308" s="821"/>
      <c r="I308" s="821"/>
      <c r="J308" s="821"/>
      <c r="K308" s="821"/>
      <c r="L308" s="821"/>
      <c r="M308" s="677"/>
      <c r="N308" s="821"/>
      <c r="O308" s="821"/>
      <c r="P308" s="677"/>
      <c r="Q308" s="677"/>
      <c r="R308" s="677"/>
      <c r="S308" s="677"/>
      <c r="T308" s="662"/>
      <c r="U308" s="677"/>
      <c r="V308" s="677"/>
      <c r="W308" s="677"/>
      <c r="X308" s="677"/>
      <c r="Y308" s="677"/>
      <c r="Z308" s="677"/>
      <c r="AA308" s="677"/>
      <c r="AB308" s="677"/>
      <c r="AC308" s="677"/>
      <c r="AD308" s="677"/>
    </row>
    <row r="309">
      <c r="A309" s="673"/>
      <c r="B309" s="708" t="s">
        <v>607</v>
      </c>
      <c r="C309" s="675">
        <v>1.0</v>
      </c>
      <c r="D309" s="704"/>
      <c r="E309" s="821"/>
      <c r="F309" s="821"/>
      <c r="G309" s="821"/>
      <c r="H309" s="821"/>
      <c r="I309" s="821"/>
      <c r="J309" s="821"/>
      <c r="K309" s="821"/>
      <c r="L309" s="821"/>
      <c r="M309" s="677"/>
      <c r="N309" s="821"/>
      <c r="O309" s="821"/>
      <c r="P309" s="677"/>
      <c r="Q309" s="677"/>
      <c r="R309" s="677"/>
      <c r="S309" s="677"/>
      <c r="T309" s="662"/>
      <c r="U309" s="677"/>
      <c r="V309" s="677"/>
      <c r="W309" s="677"/>
      <c r="X309" s="677"/>
      <c r="Y309" s="677"/>
      <c r="Z309" s="677"/>
      <c r="AA309" s="677"/>
      <c r="AB309" s="677"/>
      <c r="AC309" s="677"/>
      <c r="AD309" s="677"/>
    </row>
    <row r="310">
      <c r="A310" s="673"/>
      <c r="B310" s="674" t="s">
        <v>608</v>
      </c>
      <c r="C310" s="675">
        <v>1.0</v>
      </c>
      <c r="D310" s="704"/>
      <c r="E310" s="821"/>
      <c r="F310" s="821"/>
      <c r="G310" s="821"/>
      <c r="H310" s="821"/>
      <c r="I310" s="821"/>
      <c r="J310" s="821"/>
      <c r="K310" s="821"/>
      <c r="L310" s="821"/>
      <c r="M310" s="677"/>
      <c r="N310" s="821"/>
      <c r="O310" s="821"/>
      <c r="P310" s="677"/>
      <c r="Q310" s="677"/>
      <c r="R310" s="677"/>
      <c r="S310" s="677"/>
      <c r="T310" s="662"/>
      <c r="U310" s="677"/>
      <c r="V310" s="677"/>
      <c r="W310" s="677"/>
      <c r="X310" s="677"/>
      <c r="Y310" s="677"/>
      <c r="Z310" s="677"/>
      <c r="AA310" s="677"/>
      <c r="AB310" s="677"/>
      <c r="AC310" s="677"/>
      <c r="AD310" s="677"/>
    </row>
    <row r="311">
      <c r="A311" s="673"/>
      <c r="B311" s="674" t="s">
        <v>609</v>
      </c>
      <c r="C311" s="675">
        <v>1.0</v>
      </c>
      <c r="D311" s="704"/>
      <c r="E311" s="821"/>
      <c r="F311" s="821"/>
      <c r="G311" s="821"/>
      <c r="H311" s="821"/>
      <c r="I311" s="821"/>
      <c r="J311" s="821"/>
      <c r="K311" s="821"/>
      <c r="L311" s="821"/>
      <c r="M311" s="677"/>
      <c r="N311" s="821"/>
      <c r="O311" s="821"/>
      <c r="P311" s="677"/>
      <c r="Q311" s="677"/>
      <c r="R311" s="677"/>
      <c r="S311" s="677"/>
      <c r="T311" s="662"/>
      <c r="U311" s="677"/>
      <c r="V311" s="677"/>
      <c r="W311" s="677"/>
      <c r="X311" s="662"/>
      <c r="Y311" s="677"/>
      <c r="Z311" s="677"/>
      <c r="AA311" s="677"/>
      <c r="AB311" s="677"/>
      <c r="AC311" s="677"/>
      <c r="AD311" s="677"/>
    </row>
    <row r="312">
      <c r="A312" s="673"/>
      <c r="B312" s="708" t="s">
        <v>610</v>
      </c>
      <c r="C312" s="675">
        <v>1.0</v>
      </c>
      <c r="D312" s="704"/>
      <c r="E312" s="821"/>
      <c r="F312" s="821"/>
      <c r="G312" s="821"/>
      <c r="H312" s="821"/>
      <c r="I312" s="821"/>
      <c r="J312" s="821"/>
      <c r="K312" s="821"/>
      <c r="L312" s="821"/>
      <c r="M312" s="677"/>
      <c r="N312" s="821"/>
      <c r="O312" s="821"/>
      <c r="P312" s="677"/>
      <c r="Q312" s="677"/>
      <c r="R312" s="677"/>
      <c r="S312" s="677"/>
      <c r="T312" s="662"/>
      <c r="U312" s="677"/>
      <c r="V312" s="677"/>
      <c r="W312" s="677"/>
      <c r="X312" s="677"/>
      <c r="Y312" s="677"/>
      <c r="Z312" s="677"/>
      <c r="AA312" s="677"/>
      <c r="AB312" s="677"/>
      <c r="AC312" s="677"/>
      <c r="AD312" s="677"/>
    </row>
    <row r="313">
      <c r="A313" s="673"/>
      <c r="B313" s="674" t="s">
        <v>611</v>
      </c>
      <c r="C313" s="675">
        <v>1.0</v>
      </c>
      <c r="D313" s="704"/>
      <c r="E313" s="821"/>
      <c r="F313" s="821"/>
      <c r="G313" s="821"/>
      <c r="H313" s="821"/>
      <c r="I313" s="821"/>
      <c r="J313" s="821"/>
      <c r="K313" s="821"/>
      <c r="L313" s="821"/>
      <c r="M313" s="677"/>
      <c r="N313" s="821"/>
      <c r="O313" s="821"/>
      <c r="P313" s="677"/>
      <c r="Q313" s="677"/>
      <c r="R313" s="677"/>
      <c r="S313" s="677"/>
      <c r="T313" s="662"/>
      <c r="U313" s="677"/>
      <c r="V313" s="677"/>
      <c r="W313" s="677"/>
      <c r="X313" s="677"/>
      <c r="Y313" s="677"/>
      <c r="Z313" s="677"/>
      <c r="AA313" s="677"/>
      <c r="AB313" s="677"/>
      <c r="AC313" s="677"/>
      <c r="AD313" s="677"/>
    </row>
    <row r="314">
      <c r="A314" s="673"/>
      <c r="B314" s="674" t="s">
        <v>612</v>
      </c>
      <c r="C314" s="675">
        <v>1.0</v>
      </c>
      <c r="D314" s="704"/>
      <c r="E314" s="821"/>
      <c r="F314" s="821"/>
      <c r="G314" s="821"/>
      <c r="H314" s="821"/>
      <c r="I314" s="821"/>
      <c r="J314" s="821"/>
      <c r="K314" s="821"/>
      <c r="L314" s="821"/>
      <c r="M314" s="677"/>
      <c r="N314" s="821"/>
      <c r="O314" s="821"/>
      <c r="P314" s="677"/>
      <c r="Q314" s="677"/>
      <c r="R314" s="677"/>
      <c r="S314" s="677"/>
      <c r="T314" s="662"/>
      <c r="U314" s="677"/>
      <c r="V314" s="677"/>
      <c r="W314" s="677"/>
      <c r="X314" s="677"/>
      <c r="Y314" s="677"/>
      <c r="Z314" s="677"/>
      <c r="AA314" s="677"/>
      <c r="AB314" s="677"/>
      <c r="AC314" s="677"/>
      <c r="AD314" s="677"/>
    </row>
    <row r="315">
      <c r="A315" s="673"/>
      <c r="B315" s="708" t="s">
        <v>613</v>
      </c>
      <c r="C315" s="675">
        <v>1.0</v>
      </c>
      <c r="D315" s="704"/>
      <c r="E315" s="821"/>
      <c r="F315" s="821"/>
      <c r="G315" s="821"/>
      <c r="H315" s="821"/>
      <c r="I315" s="821"/>
      <c r="J315" s="821"/>
      <c r="K315" s="821"/>
      <c r="L315" s="821"/>
      <c r="M315" s="677"/>
      <c r="N315" s="821"/>
      <c r="O315" s="821"/>
      <c r="P315" s="677"/>
      <c r="Q315" s="677"/>
      <c r="R315" s="677"/>
      <c r="S315" s="677"/>
      <c r="T315" s="662"/>
      <c r="U315" s="677"/>
      <c r="V315" s="677"/>
      <c r="W315" s="677"/>
      <c r="X315" s="677"/>
      <c r="Y315" s="677"/>
      <c r="Z315" s="677"/>
      <c r="AA315" s="677"/>
      <c r="AB315" s="677"/>
      <c r="AC315" s="677"/>
      <c r="AD315" s="677"/>
    </row>
    <row r="316">
      <c r="A316" s="673"/>
      <c r="B316" s="708" t="s">
        <v>614</v>
      </c>
      <c r="C316" s="675">
        <v>1.0</v>
      </c>
      <c r="D316" s="704"/>
      <c r="E316" s="821"/>
      <c r="F316" s="821"/>
      <c r="G316" s="821"/>
      <c r="H316" s="821"/>
      <c r="I316" s="821"/>
      <c r="J316" s="821"/>
      <c r="K316" s="821"/>
      <c r="L316" s="821"/>
      <c r="M316" s="677"/>
      <c r="N316" s="821"/>
      <c r="O316" s="821"/>
      <c r="P316" s="677"/>
      <c r="Q316" s="677"/>
      <c r="R316" s="677"/>
      <c r="S316" s="677"/>
      <c r="T316" s="662"/>
      <c r="U316" s="677"/>
      <c r="V316" s="677"/>
      <c r="W316" s="677"/>
      <c r="X316" s="677"/>
      <c r="Y316" s="677"/>
      <c r="Z316" s="677"/>
      <c r="AA316" s="677"/>
      <c r="AB316" s="677"/>
      <c r="AC316" s="677"/>
      <c r="AD316" s="677"/>
    </row>
    <row r="317">
      <c r="A317" s="673"/>
      <c r="B317" s="708" t="s">
        <v>615</v>
      </c>
      <c r="C317" s="675">
        <v>1.0</v>
      </c>
      <c r="D317" s="704"/>
      <c r="E317" s="821"/>
      <c r="F317" s="821"/>
      <c r="G317" s="821"/>
      <c r="H317" s="821"/>
      <c r="I317" s="821"/>
      <c r="J317" s="821"/>
      <c r="K317" s="821"/>
      <c r="L317" s="821"/>
      <c r="M317" s="677"/>
      <c r="N317" s="821"/>
      <c r="O317" s="821"/>
      <c r="P317" s="677"/>
      <c r="Q317" s="677"/>
      <c r="R317" s="677"/>
      <c r="S317" s="677"/>
      <c r="T317" s="662"/>
      <c r="U317" s="677"/>
      <c r="V317" s="677"/>
      <c r="W317" s="677"/>
      <c r="X317" s="677"/>
      <c r="Y317" s="677"/>
      <c r="Z317" s="677"/>
      <c r="AA317" s="677"/>
      <c r="AB317" s="677"/>
      <c r="AC317" s="677"/>
      <c r="AD317" s="677"/>
    </row>
    <row r="318">
      <c r="A318" s="673"/>
      <c r="B318" s="674" t="s">
        <v>616</v>
      </c>
      <c r="C318" s="675">
        <v>1.0</v>
      </c>
      <c r="D318" s="704"/>
      <c r="E318" s="821"/>
      <c r="F318" s="821"/>
      <c r="G318" s="821"/>
      <c r="H318" s="821"/>
      <c r="I318" s="821"/>
      <c r="J318" s="821"/>
      <c r="K318" s="821"/>
      <c r="L318" s="821"/>
      <c r="M318" s="677"/>
      <c r="N318" s="821"/>
      <c r="O318" s="821"/>
      <c r="P318" s="677"/>
      <c r="Q318" s="677"/>
      <c r="R318" s="677"/>
      <c r="S318" s="677"/>
      <c r="T318" s="662"/>
      <c r="U318" s="677"/>
      <c r="V318" s="677"/>
      <c r="W318" s="677"/>
      <c r="X318" s="677"/>
      <c r="Y318" s="677"/>
      <c r="Z318" s="677"/>
      <c r="AA318" s="677"/>
      <c r="AB318" s="677"/>
      <c r="AC318" s="677"/>
      <c r="AD318" s="677"/>
    </row>
    <row r="319">
      <c r="A319" s="673"/>
      <c r="B319" s="674" t="s">
        <v>617</v>
      </c>
      <c r="C319" s="675">
        <v>1.0</v>
      </c>
      <c r="D319" s="704"/>
      <c r="E319" s="821"/>
      <c r="F319" s="821"/>
      <c r="G319" s="821"/>
      <c r="H319" s="821"/>
      <c r="I319" s="821"/>
      <c r="J319" s="821"/>
      <c r="K319" s="821"/>
      <c r="L319" s="821"/>
      <c r="M319" s="677"/>
      <c r="N319" s="821"/>
      <c r="O319" s="821"/>
      <c r="P319" s="677"/>
      <c r="Q319" s="677"/>
      <c r="R319" s="677"/>
      <c r="S319" s="677"/>
      <c r="T319" s="662"/>
      <c r="U319" s="677"/>
      <c r="V319" s="677"/>
      <c r="W319" s="677"/>
      <c r="X319" s="677"/>
      <c r="Y319" s="677"/>
      <c r="Z319" s="677"/>
      <c r="AA319" s="677"/>
      <c r="AB319" s="677"/>
      <c r="AC319" s="677"/>
      <c r="AD319" s="677"/>
    </row>
    <row r="320">
      <c r="A320" s="673"/>
      <c r="B320" s="674" t="s">
        <v>618</v>
      </c>
      <c r="C320" s="675">
        <v>1.0</v>
      </c>
      <c r="D320" s="704"/>
      <c r="E320" s="821"/>
      <c r="F320" s="821"/>
      <c r="G320" s="821"/>
      <c r="H320" s="821"/>
      <c r="I320" s="821"/>
      <c r="J320" s="821"/>
      <c r="K320" s="821"/>
      <c r="L320" s="821"/>
      <c r="M320" s="677"/>
      <c r="N320" s="821"/>
      <c r="O320" s="821"/>
      <c r="P320" s="677"/>
      <c r="Q320" s="677"/>
      <c r="R320" s="677"/>
      <c r="S320" s="677"/>
      <c r="T320" s="662"/>
      <c r="U320" s="677"/>
      <c r="V320" s="677"/>
      <c r="W320" s="677"/>
      <c r="X320" s="677"/>
      <c r="Y320" s="677"/>
      <c r="Z320" s="677"/>
      <c r="AA320" s="677"/>
      <c r="AB320" s="677"/>
      <c r="AC320" s="677"/>
      <c r="AD320" s="677"/>
    </row>
    <row r="321">
      <c r="A321" s="673"/>
      <c r="B321" s="708" t="s">
        <v>619</v>
      </c>
      <c r="C321" s="675">
        <v>1.0</v>
      </c>
      <c r="D321" s="704"/>
      <c r="E321" s="821"/>
      <c r="F321" s="821"/>
      <c r="G321" s="821"/>
      <c r="H321" s="821"/>
      <c r="I321" s="821"/>
      <c r="J321" s="821"/>
      <c r="K321" s="821"/>
      <c r="L321" s="821"/>
      <c r="M321" s="677"/>
      <c r="N321" s="821"/>
      <c r="O321" s="821"/>
      <c r="P321" s="677"/>
      <c r="Q321" s="677"/>
      <c r="R321" s="677"/>
      <c r="S321" s="677"/>
      <c r="T321" s="662"/>
      <c r="U321" s="677"/>
      <c r="V321" s="677"/>
      <c r="W321" s="677"/>
      <c r="X321" s="677"/>
      <c r="Y321" s="677"/>
      <c r="Z321" s="677"/>
      <c r="AA321" s="677"/>
      <c r="AB321" s="677"/>
      <c r="AC321" s="677"/>
      <c r="AD321" s="677"/>
    </row>
    <row r="322">
      <c r="A322" s="673"/>
      <c r="B322" s="674" t="s">
        <v>620</v>
      </c>
      <c r="C322" s="675">
        <v>1.0</v>
      </c>
      <c r="D322" s="704"/>
      <c r="E322" s="821"/>
      <c r="F322" s="821"/>
      <c r="G322" s="821"/>
      <c r="H322" s="821"/>
      <c r="I322" s="821"/>
      <c r="J322" s="821"/>
      <c r="K322" s="821"/>
      <c r="L322" s="821"/>
      <c r="M322" s="677"/>
      <c r="N322" s="821"/>
      <c r="O322" s="821"/>
      <c r="P322" s="677"/>
      <c r="Q322" s="677"/>
      <c r="R322" s="677"/>
      <c r="S322" s="677"/>
      <c r="T322" s="662"/>
      <c r="U322" s="677"/>
      <c r="V322" s="677"/>
      <c r="W322" s="677"/>
      <c r="X322" s="662"/>
      <c r="Y322" s="677"/>
      <c r="Z322" s="677"/>
      <c r="AA322" s="677"/>
      <c r="AB322" s="677"/>
      <c r="AC322" s="677"/>
      <c r="AD322" s="677"/>
    </row>
    <row r="323">
      <c r="A323" s="673"/>
      <c r="B323" s="674" t="s">
        <v>621</v>
      </c>
      <c r="C323" s="675">
        <v>1.0</v>
      </c>
      <c r="D323" s="704"/>
      <c r="E323" s="821"/>
      <c r="F323" s="821"/>
      <c r="G323" s="821"/>
      <c r="H323" s="821"/>
      <c r="I323" s="821"/>
      <c r="J323" s="821"/>
      <c r="K323" s="821"/>
      <c r="L323" s="821"/>
      <c r="M323" s="677"/>
      <c r="N323" s="821"/>
      <c r="O323" s="821"/>
      <c r="P323" s="677"/>
      <c r="Q323" s="677"/>
      <c r="R323" s="677"/>
      <c r="S323" s="677"/>
      <c r="T323" s="662"/>
      <c r="U323" s="677"/>
      <c r="V323" s="677"/>
      <c r="W323" s="677"/>
      <c r="X323" s="677"/>
      <c r="Y323" s="677"/>
      <c r="Z323" s="677"/>
      <c r="AA323" s="677"/>
      <c r="AB323" s="677"/>
      <c r="AC323" s="677"/>
      <c r="AD323" s="677"/>
    </row>
    <row r="324">
      <c r="A324" s="673"/>
      <c r="B324" s="674" t="s">
        <v>622</v>
      </c>
      <c r="C324" s="675">
        <v>1.0</v>
      </c>
      <c r="D324" s="704"/>
      <c r="E324" s="821"/>
      <c r="F324" s="821"/>
      <c r="G324" s="821"/>
      <c r="H324" s="821"/>
      <c r="I324" s="821"/>
      <c r="J324" s="821"/>
      <c r="K324" s="821"/>
      <c r="L324" s="821"/>
      <c r="M324" s="677"/>
      <c r="N324" s="821"/>
      <c r="O324" s="821"/>
      <c r="P324" s="677"/>
      <c r="Q324" s="677"/>
      <c r="R324" s="677"/>
      <c r="S324" s="677"/>
      <c r="T324" s="662"/>
      <c r="U324" s="677"/>
      <c r="V324" s="677"/>
      <c r="W324" s="677"/>
      <c r="X324" s="677"/>
      <c r="Y324" s="677"/>
      <c r="Z324" s="677"/>
      <c r="AA324" s="677"/>
      <c r="AB324" s="677"/>
      <c r="AC324" s="677"/>
      <c r="AD324" s="677"/>
    </row>
    <row r="325">
      <c r="A325" s="673"/>
      <c r="B325" s="708" t="s">
        <v>623</v>
      </c>
      <c r="C325" s="675">
        <v>1.0</v>
      </c>
      <c r="D325" s="704"/>
      <c r="E325" s="821"/>
      <c r="F325" s="821"/>
      <c r="G325" s="821"/>
      <c r="H325" s="821"/>
      <c r="I325" s="821"/>
      <c r="J325" s="821"/>
      <c r="K325" s="821"/>
      <c r="L325" s="821"/>
      <c r="M325" s="677"/>
      <c r="N325" s="821"/>
      <c r="O325" s="821"/>
      <c r="P325" s="677"/>
      <c r="Q325" s="677"/>
      <c r="R325" s="677"/>
      <c r="S325" s="677"/>
      <c r="T325" s="662"/>
      <c r="U325" s="677"/>
      <c r="V325" s="677"/>
      <c r="W325" s="677"/>
      <c r="X325" s="677"/>
      <c r="Y325" s="677"/>
      <c r="Z325" s="677"/>
      <c r="AA325" s="677"/>
      <c r="AB325" s="677"/>
      <c r="AC325" s="677"/>
      <c r="AD325" s="677"/>
    </row>
    <row r="326">
      <c r="A326" s="673"/>
      <c r="B326" s="708" t="s">
        <v>624</v>
      </c>
      <c r="C326" s="675">
        <v>1.0</v>
      </c>
      <c r="D326" s="704"/>
      <c r="E326" s="821"/>
      <c r="F326" s="821"/>
      <c r="G326" s="821"/>
      <c r="H326" s="821"/>
      <c r="I326" s="821"/>
      <c r="J326" s="821"/>
      <c r="K326" s="821"/>
      <c r="L326" s="821"/>
      <c r="M326" s="677"/>
      <c r="N326" s="821"/>
      <c r="O326" s="821"/>
      <c r="P326" s="677"/>
      <c r="Q326" s="677"/>
      <c r="R326" s="677"/>
      <c r="S326" s="677"/>
      <c r="T326" s="662"/>
      <c r="U326" s="677"/>
      <c r="V326" s="677"/>
      <c r="W326" s="677"/>
      <c r="X326" s="677"/>
      <c r="Y326" s="677"/>
      <c r="Z326" s="677"/>
      <c r="AA326" s="677"/>
      <c r="AB326" s="677"/>
      <c r="AC326" s="677"/>
      <c r="AD326" s="677"/>
    </row>
    <row r="327">
      <c r="A327" s="673"/>
      <c r="B327" s="708" t="s">
        <v>625</v>
      </c>
      <c r="C327" s="675">
        <v>1.0</v>
      </c>
      <c r="D327" s="704"/>
      <c r="E327" s="821"/>
      <c r="F327" s="821"/>
      <c r="G327" s="821"/>
      <c r="H327" s="821"/>
      <c r="I327" s="821"/>
      <c r="J327" s="821"/>
      <c r="K327" s="821"/>
      <c r="L327" s="821"/>
      <c r="M327" s="677"/>
      <c r="N327" s="821"/>
      <c r="O327" s="821"/>
      <c r="P327" s="677"/>
      <c r="Q327" s="677"/>
      <c r="R327" s="677"/>
      <c r="S327" s="677"/>
      <c r="T327" s="662"/>
      <c r="U327" s="677"/>
      <c r="V327" s="677"/>
      <c r="W327" s="677"/>
      <c r="X327" s="677"/>
      <c r="Y327" s="677"/>
      <c r="Z327" s="677"/>
      <c r="AA327" s="677"/>
      <c r="AB327" s="677"/>
      <c r="AC327" s="677"/>
      <c r="AD327" s="677"/>
    </row>
    <row r="328">
      <c r="A328" s="673"/>
      <c r="B328" s="708" t="s">
        <v>626</v>
      </c>
      <c r="C328" s="675">
        <v>1.0</v>
      </c>
      <c r="D328" s="704"/>
      <c r="E328" s="821"/>
      <c r="F328" s="821"/>
      <c r="G328" s="821"/>
      <c r="H328" s="821"/>
      <c r="I328" s="821"/>
      <c r="J328" s="821"/>
      <c r="K328" s="821"/>
      <c r="L328" s="821"/>
      <c r="M328" s="677"/>
      <c r="N328" s="821"/>
      <c r="O328" s="821"/>
      <c r="P328" s="677"/>
      <c r="Q328" s="677"/>
      <c r="R328" s="677"/>
      <c r="S328" s="677"/>
      <c r="T328" s="662"/>
      <c r="U328" s="677"/>
      <c r="V328" s="677"/>
      <c r="W328" s="677"/>
      <c r="X328" s="677"/>
      <c r="Y328" s="677"/>
      <c r="Z328" s="677"/>
      <c r="AA328" s="677"/>
      <c r="AB328" s="677"/>
      <c r="AC328" s="677"/>
      <c r="AD328" s="677"/>
    </row>
    <row r="329">
      <c r="A329" s="673"/>
      <c r="B329" s="674" t="s">
        <v>627</v>
      </c>
      <c r="C329" s="675">
        <v>1.0</v>
      </c>
      <c r="D329" s="704"/>
      <c r="E329" s="821"/>
      <c r="F329" s="821"/>
      <c r="G329" s="821"/>
      <c r="H329" s="821"/>
      <c r="I329" s="821"/>
      <c r="J329" s="821"/>
      <c r="K329" s="821"/>
      <c r="L329" s="821"/>
      <c r="M329" s="677"/>
      <c r="N329" s="821"/>
      <c r="O329" s="821"/>
      <c r="P329" s="677"/>
      <c r="Q329" s="677"/>
      <c r="R329" s="677"/>
      <c r="S329" s="677"/>
      <c r="T329" s="662"/>
      <c r="U329" s="677"/>
      <c r="V329" s="677"/>
      <c r="W329" s="677"/>
      <c r="X329" s="677"/>
      <c r="Y329" s="677"/>
      <c r="Z329" s="677"/>
      <c r="AA329" s="677"/>
      <c r="AB329" s="677"/>
      <c r="AC329" s="677"/>
      <c r="AD329" s="677"/>
    </row>
    <row r="330">
      <c r="A330" s="673"/>
      <c r="B330" s="708" t="s">
        <v>628</v>
      </c>
      <c r="C330" s="675">
        <v>1.0</v>
      </c>
      <c r="D330" s="704"/>
      <c r="E330" s="821"/>
      <c r="F330" s="821"/>
      <c r="G330" s="821"/>
      <c r="H330" s="821"/>
      <c r="I330" s="821"/>
      <c r="J330" s="821"/>
      <c r="K330" s="821"/>
      <c r="L330" s="821"/>
      <c r="M330" s="677"/>
      <c r="N330" s="821"/>
      <c r="O330" s="821"/>
      <c r="P330" s="677"/>
      <c r="Q330" s="677"/>
      <c r="R330" s="677"/>
      <c r="S330" s="677"/>
      <c r="T330" s="662"/>
      <c r="U330" s="677"/>
      <c r="V330" s="677"/>
      <c r="W330" s="677"/>
      <c r="X330" s="677"/>
      <c r="Y330" s="677"/>
      <c r="Z330" s="677"/>
      <c r="AA330" s="677"/>
      <c r="AB330" s="677"/>
      <c r="AC330" s="677"/>
      <c r="AD330" s="677"/>
    </row>
    <row r="331">
      <c r="A331" s="673"/>
      <c r="B331" s="674" t="s">
        <v>629</v>
      </c>
      <c r="C331" s="675">
        <v>1.0</v>
      </c>
      <c r="D331" s="704"/>
      <c r="E331" s="821"/>
      <c r="F331" s="821"/>
      <c r="G331" s="821"/>
      <c r="H331" s="821"/>
      <c r="I331" s="821"/>
      <c r="J331" s="821"/>
      <c r="K331" s="821"/>
      <c r="L331" s="821"/>
      <c r="M331" s="677"/>
      <c r="N331" s="821"/>
      <c r="O331" s="821"/>
      <c r="P331" s="677"/>
      <c r="Q331" s="677"/>
      <c r="R331" s="677"/>
      <c r="S331" s="677"/>
      <c r="T331" s="662"/>
      <c r="U331" s="677"/>
      <c r="V331" s="677"/>
      <c r="W331" s="677"/>
      <c r="X331" s="677"/>
      <c r="Y331" s="677"/>
      <c r="Z331" s="677"/>
      <c r="AA331" s="677"/>
      <c r="AB331" s="677"/>
      <c r="AC331" s="677"/>
      <c r="AD331" s="677"/>
    </row>
    <row r="332">
      <c r="A332" s="673"/>
      <c r="B332" s="674" t="s">
        <v>630</v>
      </c>
      <c r="C332" s="675">
        <v>1.0</v>
      </c>
      <c r="D332" s="704"/>
      <c r="E332" s="821"/>
      <c r="F332" s="821"/>
      <c r="G332" s="821"/>
      <c r="H332" s="821"/>
      <c r="I332" s="821"/>
      <c r="J332" s="821"/>
      <c r="K332" s="821"/>
      <c r="L332" s="821"/>
      <c r="M332" s="677"/>
      <c r="N332" s="821"/>
      <c r="O332" s="821"/>
      <c r="P332" s="677"/>
      <c r="Q332" s="677"/>
      <c r="R332" s="677"/>
      <c r="S332" s="677"/>
      <c r="T332" s="662"/>
      <c r="U332" s="677"/>
      <c r="V332" s="677"/>
      <c r="W332" s="677"/>
      <c r="X332" s="677"/>
      <c r="Y332" s="677"/>
      <c r="Z332" s="677"/>
      <c r="AA332" s="677"/>
      <c r="AB332" s="677"/>
      <c r="AC332" s="677"/>
      <c r="AD332" s="677"/>
    </row>
    <row r="333">
      <c r="A333" s="673"/>
      <c r="B333" s="674" t="s">
        <v>631</v>
      </c>
      <c r="C333" s="675">
        <v>1.0</v>
      </c>
      <c r="D333" s="704"/>
      <c r="E333" s="821"/>
      <c r="F333" s="821"/>
      <c r="G333" s="821"/>
      <c r="H333" s="821"/>
      <c r="I333" s="821"/>
      <c r="J333" s="821"/>
      <c r="K333" s="821"/>
      <c r="L333" s="821"/>
      <c r="M333" s="677"/>
      <c r="N333" s="821"/>
      <c r="O333" s="821"/>
      <c r="P333" s="677"/>
      <c r="Q333" s="677"/>
      <c r="R333" s="677"/>
      <c r="S333" s="677"/>
      <c r="T333" s="662"/>
      <c r="U333" s="677"/>
      <c r="V333" s="677"/>
      <c r="W333" s="677"/>
      <c r="X333" s="662"/>
      <c r="Y333" s="677"/>
      <c r="Z333" s="677"/>
      <c r="AA333" s="677"/>
      <c r="AB333" s="677"/>
      <c r="AC333" s="677"/>
      <c r="AD333" s="677"/>
    </row>
    <row r="334">
      <c r="A334" s="673"/>
      <c r="B334" s="734" t="s">
        <v>632</v>
      </c>
      <c r="C334" s="675">
        <v>1.0</v>
      </c>
      <c r="D334" s="704"/>
      <c r="E334" s="821"/>
      <c r="F334" s="821"/>
      <c r="G334" s="821"/>
      <c r="H334" s="821"/>
      <c r="I334" s="821"/>
      <c r="J334" s="821"/>
      <c r="K334" s="821"/>
      <c r="L334" s="821"/>
      <c r="M334" s="677"/>
      <c r="N334" s="821"/>
      <c r="O334" s="821"/>
      <c r="P334" s="677"/>
      <c r="Q334" s="677"/>
      <c r="R334" s="677"/>
      <c r="S334" s="677"/>
      <c r="T334" s="662"/>
      <c r="U334" s="677"/>
      <c r="V334" s="677"/>
      <c r="W334" s="677"/>
      <c r="X334" s="677"/>
      <c r="Y334" s="677"/>
      <c r="Z334" s="677"/>
      <c r="AA334" s="677"/>
      <c r="AB334" s="677"/>
      <c r="AC334" s="677"/>
      <c r="AD334" s="677"/>
    </row>
    <row r="335">
      <c r="A335" s="673"/>
      <c r="B335" s="674" t="s">
        <v>633</v>
      </c>
      <c r="C335" s="675">
        <v>1.0</v>
      </c>
      <c r="D335" s="704"/>
      <c r="E335" s="821"/>
      <c r="F335" s="821"/>
      <c r="G335" s="821"/>
      <c r="H335" s="821"/>
      <c r="I335" s="821"/>
      <c r="J335" s="821"/>
      <c r="K335" s="821"/>
      <c r="L335" s="821"/>
      <c r="M335" s="677"/>
      <c r="N335" s="821"/>
      <c r="O335" s="821"/>
      <c r="P335" s="677"/>
      <c r="Q335" s="677"/>
      <c r="R335" s="677"/>
      <c r="S335" s="677"/>
      <c r="T335" s="662"/>
      <c r="U335" s="677"/>
      <c r="V335" s="677"/>
      <c r="W335" s="677"/>
      <c r="X335" s="677"/>
      <c r="Y335" s="677"/>
      <c r="Z335" s="677"/>
      <c r="AA335" s="677"/>
      <c r="AB335" s="677"/>
      <c r="AC335" s="677"/>
      <c r="AD335" s="677"/>
    </row>
    <row r="336">
      <c r="A336" s="673"/>
      <c r="B336" s="708" t="s">
        <v>634</v>
      </c>
      <c r="C336" s="675">
        <v>1.0</v>
      </c>
      <c r="D336" s="704"/>
      <c r="E336" s="821"/>
      <c r="F336" s="821"/>
      <c r="G336" s="821"/>
      <c r="H336" s="821"/>
      <c r="I336" s="821"/>
      <c r="J336" s="821"/>
      <c r="K336" s="821"/>
      <c r="L336" s="821"/>
      <c r="M336" s="677"/>
      <c r="N336" s="821"/>
      <c r="O336" s="821"/>
      <c r="P336" s="677"/>
      <c r="Q336" s="677"/>
      <c r="R336" s="677"/>
      <c r="S336" s="677"/>
      <c r="T336" s="662"/>
      <c r="U336" s="677"/>
      <c r="V336" s="677"/>
      <c r="W336" s="677"/>
      <c r="X336" s="677"/>
      <c r="Y336" s="677"/>
      <c r="Z336" s="677"/>
      <c r="AA336" s="677"/>
      <c r="AB336" s="677"/>
      <c r="AC336" s="677"/>
      <c r="AD336" s="677"/>
    </row>
    <row r="337">
      <c r="A337" s="673"/>
      <c r="B337" s="674" t="s">
        <v>635</v>
      </c>
      <c r="C337" s="675">
        <v>1.0</v>
      </c>
      <c r="D337" s="704"/>
      <c r="E337" s="821"/>
      <c r="F337" s="821"/>
      <c r="G337" s="821"/>
      <c r="H337" s="821"/>
      <c r="I337" s="821"/>
      <c r="J337" s="821"/>
      <c r="K337" s="821"/>
      <c r="L337" s="821"/>
      <c r="M337" s="677"/>
      <c r="N337" s="821"/>
      <c r="O337" s="821"/>
      <c r="P337" s="677"/>
      <c r="Q337" s="677"/>
      <c r="R337" s="677"/>
      <c r="S337" s="677"/>
      <c r="T337" s="662"/>
      <c r="U337" s="677"/>
      <c r="V337" s="677"/>
      <c r="W337" s="677"/>
      <c r="X337" s="677"/>
      <c r="Y337" s="677"/>
      <c r="Z337" s="677"/>
      <c r="AA337" s="677"/>
      <c r="AB337" s="677"/>
      <c r="AC337" s="677"/>
      <c r="AD337" s="677"/>
    </row>
    <row r="338">
      <c r="A338" s="673"/>
      <c r="B338" s="674" t="s">
        <v>636</v>
      </c>
      <c r="C338" s="675">
        <v>1.0</v>
      </c>
      <c r="D338" s="704"/>
      <c r="E338" s="821"/>
      <c r="F338" s="821"/>
      <c r="G338" s="821"/>
      <c r="H338" s="821"/>
      <c r="I338" s="821"/>
      <c r="J338" s="821"/>
      <c r="K338" s="821"/>
      <c r="L338" s="821"/>
      <c r="M338" s="677"/>
      <c r="N338" s="821"/>
      <c r="O338" s="821"/>
      <c r="P338" s="677"/>
      <c r="Q338" s="677"/>
      <c r="R338" s="677"/>
      <c r="S338" s="677"/>
      <c r="T338" s="662"/>
      <c r="U338" s="677"/>
      <c r="V338" s="677"/>
      <c r="W338" s="677"/>
      <c r="X338" s="677"/>
      <c r="Y338" s="677"/>
      <c r="Z338" s="677"/>
      <c r="AA338" s="677"/>
      <c r="AB338" s="677"/>
      <c r="AC338" s="677"/>
      <c r="AD338" s="677"/>
    </row>
    <row r="339">
      <c r="A339" s="673"/>
      <c r="B339" s="674" t="s">
        <v>637</v>
      </c>
      <c r="C339" s="675">
        <v>1.0</v>
      </c>
      <c r="D339" s="704"/>
      <c r="E339" s="821"/>
      <c r="F339" s="821"/>
      <c r="G339" s="821"/>
      <c r="H339" s="821"/>
      <c r="I339" s="821"/>
      <c r="J339" s="821"/>
      <c r="K339" s="821"/>
      <c r="L339" s="821"/>
      <c r="M339" s="677"/>
      <c r="N339" s="821"/>
      <c r="O339" s="821"/>
      <c r="P339" s="677"/>
      <c r="Q339" s="677"/>
      <c r="R339" s="677"/>
      <c r="S339" s="677"/>
      <c r="T339" s="662"/>
      <c r="U339" s="677"/>
      <c r="V339" s="677"/>
      <c r="W339" s="677"/>
      <c r="X339" s="677"/>
      <c r="Y339" s="677"/>
      <c r="Z339" s="677"/>
      <c r="AA339" s="677"/>
      <c r="AB339" s="677"/>
      <c r="AC339" s="677"/>
      <c r="AD339" s="677"/>
    </row>
    <row r="340">
      <c r="A340" s="673"/>
      <c r="B340" s="674" t="s">
        <v>638</v>
      </c>
      <c r="C340" s="675">
        <v>1.0</v>
      </c>
      <c r="D340" s="704"/>
      <c r="E340" s="821"/>
      <c r="F340" s="821"/>
      <c r="G340" s="821"/>
      <c r="H340" s="821"/>
      <c r="I340" s="821"/>
      <c r="J340" s="821"/>
      <c r="K340" s="821"/>
      <c r="L340" s="821"/>
      <c r="M340" s="677"/>
      <c r="N340" s="821"/>
      <c r="O340" s="821"/>
      <c r="P340" s="677"/>
      <c r="Q340" s="677"/>
      <c r="R340" s="677"/>
      <c r="S340" s="677"/>
      <c r="T340" s="662"/>
      <c r="U340" s="677"/>
      <c r="V340" s="677"/>
      <c r="W340" s="677"/>
      <c r="X340" s="677"/>
      <c r="Y340" s="677"/>
      <c r="Z340" s="677"/>
      <c r="AA340" s="677"/>
      <c r="AB340" s="677"/>
      <c r="AC340" s="677"/>
      <c r="AD340" s="677"/>
    </row>
    <row r="341">
      <c r="A341" s="673"/>
      <c r="B341" s="674" t="s">
        <v>639</v>
      </c>
      <c r="C341" s="675">
        <v>1.0</v>
      </c>
      <c r="D341" s="704"/>
      <c r="E341" s="821"/>
      <c r="F341" s="821"/>
      <c r="G341" s="821"/>
      <c r="H341" s="821"/>
      <c r="I341" s="821"/>
      <c r="J341" s="821"/>
      <c r="K341" s="821"/>
      <c r="L341" s="821"/>
      <c r="M341" s="677"/>
      <c r="N341" s="821"/>
      <c r="O341" s="821"/>
      <c r="P341" s="677"/>
      <c r="Q341" s="677"/>
      <c r="R341" s="677"/>
      <c r="S341" s="677"/>
      <c r="T341" s="662"/>
      <c r="U341" s="677"/>
      <c r="V341" s="677"/>
      <c r="W341" s="677"/>
      <c r="X341" s="677"/>
      <c r="Y341" s="677"/>
      <c r="Z341" s="677"/>
      <c r="AA341" s="677"/>
      <c r="AB341" s="677"/>
      <c r="AC341" s="677"/>
      <c r="AD341" s="677"/>
    </row>
    <row r="342">
      <c r="A342" s="673"/>
      <c r="B342" s="674" t="s">
        <v>640</v>
      </c>
      <c r="C342" s="675">
        <v>1.0</v>
      </c>
      <c r="D342" s="704"/>
      <c r="E342" s="821"/>
      <c r="F342" s="821"/>
      <c r="G342" s="821"/>
      <c r="H342" s="821"/>
      <c r="I342" s="821"/>
      <c r="J342" s="821"/>
      <c r="K342" s="821"/>
      <c r="L342" s="821"/>
      <c r="M342" s="677"/>
      <c r="N342" s="821"/>
      <c r="O342" s="821"/>
      <c r="P342" s="677"/>
      <c r="Q342" s="677"/>
      <c r="R342" s="677"/>
      <c r="S342" s="677"/>
      <c r="T342" s="662"/>
      <c r="U342" s="677"/>
      <c r="V342" s="677"/>
      <c r="W342" s="677"/>
      <c r="X342" s="677"/>
      <c r="Y342" s="677"/>
      <c r="Z342" s="677"/>
      <c r="AA342" s="677"/>
      <c r="AB342" s="677"/>
      <c r="AC342" s="677"/>
      <c r="AD342" s="677"/>
    </row>
    <row r="343">
      <c r="A343" s="673"/>
      <c r="B343" s="674" t="s">
        <v>641</v>
      </c>
      <c r="C343" s="675">
        <v>1.0</v>
      </c>
      <c r="D343" s="704"/>
      <c r="E343" s="821"/>
      <c r="F343" s="821"/>
      <c r="G343" s="821"/>
      <c r="H343" s="821"/>
      <c r="I343" s="821"/>
      <c r="J343" s="821"/>
      <c r="K343" s="821"/>
      <c r="L343" s="821"/>
      <c r="M343" s="677"/>
      <c r="N343" s="821"/>
      <c r="O343" s="821"/>
      <c r="P343" s="677"/>
      <c r="Q343" s="677"/>
      <c r="R343" s="677"/>
      <c r="S343" s="677"/>
      <c r="T343" s="662"/>
      <c r="U343" s="677"/>
      <c r="V343" s="677"/>
      <c r="W343" s="677"/>
      <c r="X343" s="677"/>
      <c r="Y343" s="677"/>
      <c r="Z343" s="677"/>
      <c r="AA343" s="677"/>
      <c r="AB343" s="677"/>
      <c r="AC343" s="677"/>
      <c r="AD343" s="677"/>
    </row>
    <row r="344">
      <c r="A344" s="673"/>
      <c r="B344" s="674" t="s">
        <v>642</v>
      </c>
      <c r="C344" s="675">
        <v>1.0</v>
      </c>
      <c r="D344" s="704"/>
      <c r="E344" s="821"/>
      <c r="F344" s="821"/>
      <c r="G344" s="821"/>
      <c r="H344" s="821"/>
      <c r="I344" s="821"/>
      <c r="J344" s="821"/>
      <c r="K344" s="821"/>
      <c r="L344" s="821"/>
      <c r="M344" s="677"/>
      <c r="N344" s="821"/>
      <c r="O344" s="821"/>
      <c r="P344" s="677"/>
      <c r="Q344" s="677"/>
      <c r="R344" s="677"/>
      <c r="S344" s="677"/>
      <c r="T344" s="662"/>
      <c r="U344" s="677"/>
      <c r="V344" s="677"/>
      <c r="W344" s="677"/>
      <c r="X344" s="662"/>
      <c r="Y344" s="677"/>
      <c r="Z344" s="677"/>
      <c r="AA344" s="677"/>
      <c r="AB344" s="677"/>
      <c r="AC344" s="677"/>
      <c r="AD344" s="677"/>
    </row>
    <row r="345">
      <c r="A345" s="673"/>
      <c r="B345" s="674" t="s">
        <v>643</v>
      </c>
      <c r="C345" s="675">
        <v>1.0</v>
      </c>
      <c r="D345" s="704"/>
      <c r="E345" s="821"/>
      <c r="F345" s="821"/>
      <c r="G345" s="821"/>
      <c r="H345" s="821"/>
      <c r="I345" s="821"/>
      <c r="J345" s="821"/>
      <c r="K345" s="821"/>
      <c r="L345" s="821"/>
      <c r="M345" s="677"/>
      <c r="N345" s="821"/>
      <c r="O345" s="821"/>
      <c r="P345" s="677"/>
      <c r="Q345" s="677"/>
      <c r="R345" s="677"/>
      <c r="S345" s="677"/>
      <c r="T345" s="662"/>
      <c r="U345" s="677"/>
      <c r="V345" s="677"/>
      <c r="W345" s="677"/>
      <c r="X345" s="677"/>
      <c r="Y345" s="677"/>
      <c r="Z345" s="677"/>
      <c r="AA345" s="677"/>
      <c r="AB345" s="677"/>
      <c r="AC345" s="677"/>
      <c r="AD345" s="677"/>
    </row>
    <row r="346">
      <c r="A346" s="673"/>
      <c r="B346" s="674" t="s">
        <v>644</v>
      </c>
      <c r="C346" s="675">
        <v>1.0</v>
      </c>
      <c r="D346" s="704"/>
      <c r="E346" s="821"/>
      <c r="F346" s="821"/>
      <c r="G346" s="821"/>
      <c r="H346" s="821"/>
      <c r="I346" s="821"/>
      <c r="J346" s="821"/>
      <c r="K346" s="821"/>
      <c r="L346" s="821"/>
      <c r="M346" s="677"/>
      <c r="N346" s="821"/>
      <c r="O346" s="821"/>
      <c r="P346" s="677"/>
      <c r="Q346" s="677"/>
      <c r="R346" s="677"/>
      <c r="S346" s="677"/>
      <c r="T346" s="662"/>
      <c r="U346" s="677"/>
      <c r="V346" s="677"/>
      <c r="W346" s="677"/>
      <c r="X346" s="677"/>
      <c r="Y346" s="677"/>
      <c r="Z346" s="677"/>
      <c r="AA346" s="677"/>
      <c r="AB346" s="677"/>
      <c r="AC346" s="677"/>
      <c r="AD346" s="677"/>
    </row>
    <row r="347">
      <c r="A347" s="673"/>
      <c r="B347" s="674" t="s">
        <v>645</v>
      </c>
      <c r="C347" s="675">
        <v>1.0</v>
      </c>
      <c r="D347" s="704"/>
      <c r="E347" s="821"/>
      <c r="F347" s="821"/>
      <c r="G347" s="821"/>
      <c r="H347" s="821"/>
      <c r="I347" s="821"/>
      <c r="J347" s="821"/>
      <c r="K347" s="821"/>
      <c r="L347" s="821"/>
      <c r="M347" s="677"/>
      <c r="N347" s="821"/>
      <c r="O347" s="821"/>
      <c r="P347" s="677"/>
      <c r="Q347" s="677"/>
      <c r="R347" s="677"/>
      <c r="S347" s="677"/>
      <c r="T347" s="662"/>
      <c r="U347" s="677"/>
      <c r="V347" s="677"/>
      <c r="W347" s="677"/>
      <c r="X347" s="677"/>
      <c r="Y347" s="677"/>
      <c r="Z347" s="677"/>
      <c r="AA347" s="677"/>
      <c r="AB347" s="677"/>
      <c r="AC347" s="677"/>
      <c r="AD347" s="677"/>
    </row>
    <row r="348">
      <c r="A348" s="673"/>
      <c r="B348" s="674" t="s">
        <v>646</v>
      </c>
      <c r="C348" s="675">
        <v>1.0</v>
      </c>
      <c r="D348" s="704"/>
      <c r="E348" s="821"/>
      <c r="F348" s="821"/>
      <c r="G348" s="821"/>
      <c r="H348" s="821"/>
      <c r="I348" s="821"/>
      <c r="J348" s="821"/>
      <c r="K348" s="821"/>
      <c r="L348" s="821"/>
      <c r="M348" s="677"/>
      <c r="N348" s="821"/>
      <c r="O348" s="821"/>
      <c r="P348" s="677"/>
      <c r="Q348" s="677"/>
      <c r="R348" s="677"/>
      <c r="S348" s="677"/>
      <c r="T348" s="662"/>
      <c r="U348" s="677"/>
      <c r="V348" s="677"/>
      <c r="W348" s="677"/>
      <c r="X348" s="677"/>
      <c r="Y348" s="677"/>
      <c r="Z348" s="677"/>
      <c r="AA348" s="677"/>
      <c r="AB348" s="677"/>
      <c r="AC348" s="677"/>
      <c r="AD348" s="677"/>
    </row>
    <row r="349">
      <c r="A349" s="673"/>
      <c r="B349" s="674" t="s">
        <v>647</v>
      </c>
      <c r="C349" s="675">
        <v>1.0</v>
      </c>
      <c r="D349" s="704"/>
      <c r="E349" s="821"/>
      <c r="F349" s="821"/>
      <c r="G349" s="821"/>
      <c r="H349" s="821"/>
      <c r="I349" s="821"/>
      <c r="J349" s="821"/>
      <c r="K349" s="821"/>
      <c r="L349" s="821"/>
      <c r="M349" s="677"/>
      <c r="N349" s="821"/>
      <c r="O349" s="821"/>
      <c r="P349" s="677"/>
      <c r="Q349" s="677"/>
      <c r="R349" s="677"/>
      <c r="S349" s="677"/>
      <c r="T349" s="662"/>
      <c r="U349" s="677"/>
      <c r="V349" s="677"/>
      <c r="W349" s="677"/>
      <c r="X349" s="677"/>
      <c r="Y349" s="677"/>
      <c r="Z349" s="677"/>
      <c r="AA349" s="677"/>
      <c r="AB349" s="677"/>
      <c r="AC349" s="677"/>
      <c r="AD349" s="677"/>
    </row>
    <row r="350">
      <c r="A350" s="673"/>
      <c r="B350" s="674" t="s">
        <v>648</v>
      </c>
      <c r="C350" s="675">
        <v>1.0</v>
      </c>
      <c r="D350" s="704"/>
      <c r="E350" s="821"/>
      <c r="F350" s="821"/>
      <c r="G350" s="821"/>
      <c r="H350" s="821"/>
      <c r="I350" s="821"/>
      <c r="J350" s="821"/>
      <c r="K350" s="821"/>
      <c r="L350" s="821"/>
      <c r="M350" s="677"/>
      <c r="N350" s="821"/>
      <c r="O350" s="821"/>
      <c r="P350" s="677"/>
      <c r="Q350" s="677"/>
      <c r="R350" s="677"/>
      <c r="S350" s="677"/>
      <c r="T350" s="662"/>
      <c r="U350" s="677"/>
      <c r="V350" s="677"/>
      <c r="W350" s="677"/>
      <c r="X350" s="677"/>
      <c r="Y350" s="677"/>
      <c r="Z350" s="677"/>
      <c r="AA350" s="677"/>
      <c r="AB350" s="677"/>
      <c r="AC350" s="677"/>
      <c r="AD350" s="677"/>
    </row>
    <row r="351">
      <c r="A351" s="673"/>
      <c r="B351" s="674" t="s">
        <v>649</v>
      </c>
      <c r="C351" s="675">
        <v>1.0</v>
      </c>
      <c r="D351" s="704"/>
      <c r="E351" s="821"/>
      <c r="F351" s="821"/>
      <c r="G351" s="821"/>
      <c r="H351" s="821"/>
      <c r="I351" s="821"/>
      <c r="J351" s="821"/>
      <c r="K351" s="821"/>
      <c r="L351" s="821"/>
      <c r="M351" s="677"/>
      <c r="N351" s="821"/>
      <c r="O351" s="821"/>
      <c r="P351" s="677"/>
      <c r="Q351" s="677"/>
      <c r="R351" s="677"/>
      <c r="S351" s="677"/>
      <c r="T351" s="662"/>
      <c r="U351" s="677"/>
      <c r="V351" s="677"/>
      <c r="W351" s="677"/>
      <c r="X351" s="677"/>
      <c r="Y351" s="677"/>
      <c r="Z351" s="677"/>
      <c r="AA351" s="677"/>
      <c r="AB351" s="677"/>
      <c r="AC351" s="677"/>
      <c r="AD351" s="677"/>
    </row>
    <row r="352">
      <c r="A352" s="673"/>
      <c r="B352" s="674" t="s">
        <v>650</v>
      </c>
      <c r="C352" s="675">
        <v>1.0</v>
      </c>
      <c r="D352" s="704"/>
      <c r="E352" s="821"/>
      <c r="F352" s="821"/>
      <c r="G352" s="821"/>
      <c r="H352" s="821"/>
      <c r="I352" s="821"/>
      <c r="J352" s="821"/>
      <c r="K352" s="821"/>
      <c r="L352" s="821"/>
      <c r="M352" s="677"/>
      <c r="N352" s="821"/>
      <c r="O352" s="821"/>
      <c r="P352" s="677"/>
      <c r="Q352" s="677"/>
      <c r="R352" s="677"/>
      <c r="S352" s="677"/>
      <c r="T352" s="662"/>
      <c r="U352" s="677"/>
      <c r="V352" s="677"/>
      <c r="W352" s="677"/>
      <c r="X352" s="677"/>
      <c r="Y352" s="677"/>
      <c r="Z352" s="677"/>
      <c r="AA352" s="677"/>
      <c r="AB352" s="677"/>
      <c r="AC352" s="677"/>
      <c r="AD352" s="677"/>
    </row>
    <row r="353">
      <c r="A353" s="673"/>
      <c r="B353" s="674" t="s">
        <v>651</v>
      </c>
      <c r="C353" s="675">
        <v>1.0</v>
      </c>
      <c r="D353" s="704"/>
      <c r="E353" s="821"/>
      <c r="F353" s="821"/>
      <c r="G353" s="821"/>
      <c r="H353" s="821"/>
      <c r="I353" s="821"/>
      <c r="J353" s="821"/>
      <c r="K353" s="821"/>
      <c r="L353" s="821"/>
      <c r="M353" s="677"/>
      <c r="N353" s="821"/>
      <c r="O353" s="821"/>
      <c r="P353" s="677"/>
      <c r="Q353" s="677"/>
      <c r="R353" s="677"/>
      <c r="S353" s="677"/>
      <c r="T353" s="662"/>
      <c r="U353" s="677"/>
      <c r="V353" s="677"/>
      <c r="W353" s="677"/>
      <c r="X353" s="677"/>
      <c r="Y353" s="677"/>
      <c r="Z353" s="677"/>
      <c r="AA353" s="677"/>
      <c r="AB353" s="677"/>
      <c r="AC353" s="677"/>
      <c r="AD353" s="677"/>
    </row>
    <row r="354">
      <c r="A354" s="673"/>
      <c r="B354" s="674" t="s">
        <v>652</v>
      </c>
      <c r="C354" s="675">
        <v>1.0</v>
      </c>
      <c r="D354" s="704"/>
      <c r="E354" s="821"/>
      <c r="F354" s="821"/>
      <c r="G354" s="821"/>
      <c r="H354" s="821"/>
      <c r="I354" s="821"/>
      <c r="J354" s="821"/>
      <c r="K354" s="821"/>
      <c r="L354" s="821"/>
      <c r="M354" s="677"/>
      <c r="N354" s="821"/>
      <c r="O354" s="821"/>
      <c r="P354" s="677"/>
      <c r="Q354" s="677"/>
      <c r="R354" s="677"/>
      <c r="S354" s="677"/>
      <c r="T354" s="662"/>
      <c r="U354" s="677"/>
      <c r="V354" s="677"/>
      <c r="W354" s="677"/>
      <c r="X354" s="677"/>
      <c r="Y354" s="677"/>
      <c r="Z354" s="677"/>
      <c r="AA354" s="677"/>
      <c r="AB354" s="677"/>
      <c r="AC354" s="677"/>
      <c r="AD354" s="677"/>
    </row>
    <row r="355">
      <c r="A355" s="673"/>
      <c r="B355" s="674" t="s">
        <v>653</v>
      </c>
      <c r="C355" s="675">
        <v>1.0</v>
      </c>
      <c r="D355" s="704"/>
      <c r="E355" s="821"/>
      <c r="F355" s="821"/>
      <c r="G355" s="821"/>
      <c r="H355" s="821"/>
      <c r="I355" s="821"/>
      <c r="J355" s="821"/>
      <c r="K355" s="821"/>
      <c r="L355" s="821"/>
      <c r="M355" s="677"/>
      <c r="N355" s="821"/>
      <c r="O355" s="821"/>
      <c r="P355" s="677"/>
      <c r="Q355" s="677"/>
      <c r="R355" s="677"/>
      <c r="S355" s="677"/>
      <c r="T355" s="677"/>
      <c r="U355" s="677"/>
      <c r="V355" s="677"/>
      <c r="W355" s="677"/>
      <c r="X355" s="677"/>
      <c r="Y355" s="677"/>
      <c r="Z355" s="677"/>
      <c r="AA355" s="677"/>
      <c r="AB355" s="677"/>
      <c r="AC355" s="677"/>
      <c r="AD355" s="677"/>
    </row>
    <row r="356">
      <c r="A356" s="673"/>
      <c r="B356" s="674" t="s">
        <v>654</v>
      </c>
      <c r="C356" s="675">
        <v>1.0</v>
      </c>
      <c r="D356" s="704"/>
      <c r="E356" s="821"/>
      <c r="F356" s="821"/>
      <c r="G356" s="821"/>
      <c r="H356" s="821"/>
      <c r="I356" s="821"/>
      <c r="J356" s="821"/>
      <c r="K356" s="821"/>
      <c r="L356" s="821"/>
      <c r="M356" s="677"/>
      <c r="N356" s="821"/>
      <c r="O356" s="821"/>
      <c r="P356" s="677"/>
      <c r="Q356" s="677"/>
      <c r="R356" s="677"/>
      <c r="S356" s="677"/>
      <c r="T356" s="677"/>
      <c r="U356" s="677"/>
      <c r="V356" s="677"/>
      <c r="W356" s="677"/>
      <c r="X356" s="677"/>
      <c r="Y356" s="677"/>
      <c r="Z356" s="677"/>
      <c r="AA356" s="677"/>
      <c r="AB356" s="677"/>
      <c r="AC356" s="677"/>
      <c r="AD356" s="677"/>
    </row>
    <row r="357">
      <c r="A357" s="673"/>
      <c r="B357" s="674" t="s">
        <v>655</v>
      </c>
      <c r="C357" s="675">
        <v>1.0</v>
      </c>
      <c r="D357" s="704"/>
      <c r="E357" s="821"/>
      <c r="F357" s="821"/>
      <c r="G357" s="821"/>
      <c r="H357" s="821"/>
      <c r="I357" s="821"/>
      <c r="J357" s="821"/>
      <c r="K357" s="821"/>
      <c r="L357" s="821"/>
      <c r="M357" s="677"/>
      <c r="N357" s="821"/>
      <c r="O357" s="821"/>
      <c r="P357" s="677"/>
      <c r="Q357" s="677"/>
      <c r="R357" s="677"/>
      <c r="S357" s="677"/>
      <c r="T357" s="677"/>
      <c r="U357" s="677"/>
      <c r="V357" s="677"/>
      <c r="W357" s="677"/>
      <c r="X357" s="677"/>
      <c r="Y357" s="677"/>
      <c r="Z357" s="677"/>
      <c r="AA357" s="677"/>
      <c r="AB357" s="677"/>
      <c r="AC357" s="677"/>
      <c r="AD357" s="677"/>
    </row>
    <row r="358">
      <c r="A358" s="673"/>
      <c r="B358" s="674" t="s">
        <v>656</v>
      </c>
      <c r="C358" s="675">
        <v>1.0</v>
      </c>
      <c r="D358" s="704"/>
      <c r="E358" s="821"/>
      <c r="F358" s="821"/>
      <c r="G358" s="821"/>
      <c r="H358" s="821"/>
      <c r="I358" s="821"/>
      <c r="J358" s="821"/>
      <c r="K358" s="821"/>
      <c r="L358" s="821"/>
      <c r="M358" s="677"/>
      <c r="N358" s="821"/>
      <c r="O358" s="821"/>
      <c r="P358" s="677"/>
      <c r="Q358" s="677"/>
      <c r="R358" s="677"/>
      <c r="S358" s="677"/>
      <c r="T358" s="677"/>
      <c r="U358" s="677"/>
      <c r="V358" s="677"/>
      <c r="W358" s="677"/>
      <c r="X358" s="677"/>
      <c r="Y358" s="677"/>
      <c r="Z358" s="677"/>
      <c r="AA358" s="677"/>
      <c r="AB358" s="677"/>
      <c r="AC358" s="677"/>
      <c r="AD358" s="677"/>
    </row>
    <row r="359">
      <c r="A359" s="673"/>
      <c r="B359" s="674" t="s">
        <v>657</v>
      </c>
      <c r="C359" s="675">
        <v>1.0</v>
      </c>
      <c r="D359" s="704"/>
      <c r="E359" s="821"/>
      <c r="F359" s="821"/>
      <c r="G359" s="821"/>
      <c r="H359" s="821"/>
      <c r="I359" s="821"/>
      <c r="J359" s="821"/>
      <c r="K359" s="821"/>
      <c r="L359" s="821"/>
      <c r="M359" s="677"/>
      <c r="N359" s="821"/>
      <c r="O359" s="821"/>
      <c r="P359" s="677"/>
      <c r="Q359" s="677"/>
      <c r="R359" s="677"/>
      <c r="S359" s="677"/>
      <c r="T359" s="677"/>
      <c r="U359" s="677"/>
      <c r="V359" s="677"/>
      <c r="W359" s="677"/>
      <c r="X359" s="677"/>
      <c r="Y359" s="677"/>
      <c r="Z359" s="677"/>
      <c r="AA359" s="677"/>
      <c r="AB359" s="677"/>
      <c r="AC359" s="677"/>
      <c r="AD359" s="677"/>
    </row>
    <row r="360">
      <c r="A360" s="673"/>
      <c r="B360" s="674" t="s">
        <v>658</v>
      </c>
      <c r="C360" s="675">
        <v>1.0</v>
      </c>
      <c r="D360" s="704"/>
      <c r="E360" s="821"/>
      <c r="F360" s="821"/>
      <c r="G360" s="821"/>
      <c r="H360" s="821"/>
      <c r="I360" s="821"/>
      <c r="J360" s="821"/>
      <c r="K360" s="821"/>
      <c r="L360" s="821"/>
      <c r="M360" s="677"/>
      <c r="N360" s="821"/>
      <c r="O360" s="821"/>
      <c r="P360" s="677"/>
      <c r="Q360" s="677"/>
      <c r="R360" s="677"/>
      <c r="S360" s="677"/>
      <c r="T360" s="677"/>
      <c r="U360" s="677"/>
      <c r="V360" s="677"/>
      <c r="W360" s="677"/>
      <c r="X360" s="677"/>
      <c r="Y360" s="677"/>
      <c r="Z360" s="677"/>
      <c r="AA360" s="677"/>
      <c r="AB360" s="677"/>
      <c r="AC360" s="677"/>
      <c r="AD360" s="677"/>
    </row>
    <row r="361">
      <c r="A361" s="673"/>
      <c r="B361" s="674" t="s">
        <v>659</v>
      </c>
      <c r="C361" s="675">
        <v>1.0</v>
      </c>
      <c r="D361" s="704"/>
      <c r="E361" s="821"/>
      <c r="F361" s="821"/>
      <c r="G361" s="821"/>
      <c r="H361" s="821"/>
      <c r="I361" s="821"/>
      <c r="J361" s="821"/>
      <c r="K361" s="821"/>
      <c r="L361" s="821"/>
      <c r="M361" s="677"/>
      <c r="N361" s="821"/>
      <c r="O361" s="821"/>
      <c r="P361" s="677"/>
      <c r="Q361" s="677"/>
      <c r="R361" s="677"/>
      <c r="S361" s="677"/>
      <c r="T361" s="677"/>
      <c r="U361" s="677"/>
      <c r="V361" s="677"/>
      <c r="W361" s="677"/>
      <c r="X361" s="677"/>
      <c r="Y361" s="677"/>
      <c r="Z361" s="677"/>
      <c r="AA361" s="677"/>
      <c r="AB361" s="677"/>
      <c r="AC361" s="677"/>
      <c r="AD361" s="677"/>
    </row>
    <row r="362">
      <c r="A362" s="673"/>
      <c r="B362" s="674" t="s">
        <v>660</v>
      </c>
      <c r="C362" s="675">
        <v>1.0</v>
      </c>
      <c r="D362" s="704"/>
      <c r="E362" s="821"/>
      <c r="F362" s="821"/>
      <c r="G362" s="821"/>
      <c r="H362" s="821"/>
      <c r="I362" s="821"/>
      <c r="J362" s="821"/>
      <c r="K362" s="821"/>
      <c r="L362" s="821"/>
      <c r="M362" s="677"/>
      <c r="N362" s="821"/>
      <c r="O362" s="821"/>
      <c r="P362" s="677"/>
      <c r="Q362" s="677"/>
      <c r="R362" s="677"/>
      <c r="S362" s="677"/>
      <c r="T362" s="677"/>
      <c r="U362" s="677"/>
      <c r="V362" s="677"/>
      <c r="W362" s="677"/>
      <c r="X362" s="677"/>
      <c r="Y362" s="677"/>
      <c r="Z362" s="677"/>
      <c r="AA362" s="677"/>
      <c r="AB362" s="677"/>
      <c r="AC362" s="677"/>
      <c r="AD362" s="677"/>
    </row>
    <row r="363">
      <c r="A363" s="673"/>
      <c r="B363" s="674" t="s">
        <v>661</v>
      </c>
      <c r="C363" s="675">
        <v>1.0</v>
      </c>
      <c r="D363" s="704"/>
      <c r="E363" s="821"/>
      <c r="F363" s="821"/>
      <c r="G363" s="821"/>
      <c r="H363" s="821"/>
      <c r="I363" s="821"/>
      <c r="J363" s="821"/>
      <c r="K363" s="821"/>
      <c r="L363" s="821"/>
      <c r="M363" s="677"/>
      <c r="N363" s="821"/>
      <c r="O363" s="821"/>
      <c r="P363" s="677"/>
      <c r="Q363" s="677"/>
      <c r="R363" s="677"/>
      <c r="S363" s="677"/>
      <c r="T363" s="677"/>
      <c r="U363" s="677"/>
      <c r="V363" s="677"/>
      <c r="W363" s="677"/>
      <c r="X363" s="677"/>
      <c r="Y363" s="677"/>
      <c r="Z363" s="677"/>
      <c r="AA363" s="677"/>
      <c r="AB363" s="677"/>
      <c r="AC363" s="677"/>
      <c r="AD363" s="677"/>
    </row>
    <row r="364">
      <c r="A364" s="673"/>
      <c r="B364" s="674" t="s">
        <v>662</v>
      </c>
      <c r="C364" s="675">
        <v>1.0</v>
      </c>
      <c r="D364" s="704"/>
      <c r="E364" s="821"/>
      <c r="F364" s="821"/>
      <c r="G364" s="821"/>
      <c r="H364" s="821"/>
      <c r="I364" s="821"/>
      <c r="J364" s="821"/>
      <c r="K364" s="821"/>
      <c r="L364" s="821"/>
      <c r="M364" s="677"/>
      <c r="N364" s="821"/>
      <c r="O364" s="821"/>
      <c r="P364" s="677"/>
      <c r="Q364" s="677"/>
      <c r="R364" s="677"/>
      <c r="S364" s="677"/>
      <c r="T364" s="677"/>
      <c r="U364" s="677"/>
      <c r="V364" s="677"/>
      <c r="W364" s="677"/>
      <c r="X364" s="677"/>
      <c r="Y364" s="677"/>
      <c r="Z364" s="677"/>
      <c r="AA364" s="677"/>
      <c r="AB364" s="677"/>
      <c r="AC364" s="677"/>
      <c r="AD364" s="677"/>
    </row>
    <row r="365">
      <c r="A365" s="673"/>
      <c r="B365" s="674" t="s">
        <v>663</v>
      </c>
      <c r="C365" s="675">
        <v>1.0</v>
      </c>
      <c r="D365" s="704"/>
      <c r="E365" s="821"/>
      <c r="F365" s="821"/>
      <c r="G365" s="821"/>
      <c r="H365" s="821"/>
      <c r="I365" s="821"/>
      <c r="J365" s="821"/>
      <c r="K365" s="821"/>
      <c r="L365" s="821"/>
      <c r="M365" s="677"/>
      <c r="N365" s="821"/>
      <c r="O365" s="821"/>
      <c r="P365" s="677"/>
      <c r="Q365" s="677"/>
      <c r="R365" s="677"/>
      <c r="S365" s="677"/>
      <c r="T365" s="677"/>
      <c r="U365" s="677"/>
      <c r="V365" s="677"/>
      <c r="W365" s="677"/>
      <c r="X365" s="677"/>
      <c r="Y365" s="677"/>
      <c r="Z365" s="677"/>
      <c r="AA365" s="677"/>
      <c r="AB365" s="677"/>
      <c r="AC365" s="677"/>
      <c r="AD365" s="677"/>
    </row>
    <row r="366">
      <c r="A366" s="673"/>
      <c r="B366" s="674" t="s">
        <v>664</v>
      </c>
      <c r="C366" s="675">
        <v>1.0</v>
      </c>
      <c r="D366" s="704"/>
      <c r="E366" s="821"/>
      <c r="F366" s="821"/>
      <c r="G366" s="821"/>
      <c r="H366" s="821"/>
      <c r="I366" s="821"/>
      <c r="J366" s="821"/>
      <c r="K366" s="821"/>
      <c r="L366" s="821"/>
      <c r="M366" s="677"/>
      <c r="N366" s="821"/>
      <c r="O366" s="821"/>
      <c r="P366" s="677"/>
      <c r="Q366" s="677"/>
      <c r="R366" s="677"/>
      <c r="S366" s="677"/>
      <c r="T366" s="677"/>
      <c r="U366" s="677"/>
      <c r="V366" s="677"/>
      <c r="W366" s="677"/>
      <c r="X366" s="677"/>
      <c r="Y366" s="677"/>
      <c r="Z366" s="677"/>
      <c r="AA366" s="677"/>
      <c r="AB366" s="677"/>
      <c r="AC366" s="677"/>
      <c r="AD366" s="677"/>
    </row>
    <row r="367">
      <c r="A367" s="673"/>
      <c r="B367" s="674" t="s">
        <v>665</v>
      </c>
      <c r="C367" s="675">
        <v>1.0</v>
      </c>
      <c r="D367" s="704"/>
      <c r="E367" s="821"/>
      <c r="F367" s="821"/>
      <c r="G367" s="821"/>
      <c r="H367" s="821"/>
      <c r="I367" s="821"/>
      <c r="J367" s="821"/>
      <c r="K367" s="821"/>
      <c r="L367" s="821"/>
      <c r="M367" s="677"/>
      <c r="N367" s="821"/>
      <c r="O367" s="821"/>
      <c r="P367" s="677"/>
      <c r="Q367" s="677"/>
      <c r="R367" s="677"/>
      <c r="S367" s="677"/>
      <c r="T367" s="677"/>
      <c r="U367" s="677"/>
      <c r="V367" s="677"/>
      <c r="W367" s="677"/>
      <c r="X367" s="677"/>
      <c r="Y367" s="677"/>
      <c r="Z367" s="677"/>
      <c r="AA367" s="677"/>
      <c r="AB367" s="677"/>
      <c r="AC367" s="677"/>
      <c r="AD367" s="677"/>
    </row>
    <row r="368">
      <c r="A368" s="673"/>
      <c r="B368" s="674" t="s">
        <v>666</v>
      </c>
      <c r="C368" s="675">
        <v>1.0</v>
      </c>
      <c r="D368" s="704"/>
      <c r="E368" s="821"/>
      <c r="F368" s="821"/>
      <c r="G368" s="821"/>
      <c r="H368" s="821"/>
      <c r="I368" s="821"/>
      <c r="J368" s="821"/>
      <c r="K368" s="821"/>
      <c r="L368" s="821"/>
      <c r="M368" s="677"/>
      <c r="N368" s="821"/>
      <c r="O368" s="821"/>
      <c r="P368" s="677"/>
      <c r="Q368" s="677"/>
      <c r="R368" s="677"/>
      <c r="S368" s="677"/>
      <c r="T368" s="677"/>
      <c r="U368" s="677"/>
      <c r="V368" s="677"/>
      <c r="W368" s="677"/>
      <c r="X368" s="677"/>
      <c r="Y368" s="677"/>
      <c r="Z368" s="677"/>
      <c r="AA368" s="677"/>
      <c r="AB368" s="677"/>
      <c r="AC368" s="677"/>
      <c r="AD368" s="677"/>
    </row>
    <row r="369">
      <c r="A369" s="673"/>
      <c r="B369" s="674" t="s">
        <v>667</v>
      </c>
      <c r="C369" s="675">
        <v>1.0</v>
      </c>
      <c r="D369" s="704"/>
      <c r="E369" s="821"/>
      <c r="F369" s="821"/>
      <c r="G369" s="821"/>
      <c r="H369" s="821"/>
      <c r="I369" s="821"/>
      <c r="J369" s="821"/>
      <c r="K369" s="821"/>
      <c r="L369" s="821"/>
      <c r="M369" s="677"/>
      <c r="N369" s="821"/>
      <c r="O369" s="821"/>
      <c r="P369" s="677"/>
      <c r="Q369" s="677"/>
      <c r="R369" s="677"/>
      <c r="S369" s="677"/>
      <c r="T369" s="677"/>
      <c r="U369" s="677"/>
      <c r="V369" s="677"/>
      <c r="W369" s="677"/>
      <c r="X369" s="677"/>
      <c r="Y369" s="677"/>
      <c r="Z369" s="677"/>
      <c r="AA369" s="677"/>
      <c r="AB369" s="677"/>
      <c r="AC369" s="677"/>
      <c r="AD369" s="677"/>
    </row>
    <row r="370">
      <c r="A370" s="673"/>
      <c r="B370" s="674" t="s">
        <v>668</v>
      </c>
      <c r="C370" s="675">
        <v>1.0</v>
      </c>
      <c r="D370" s="704"/>
      <c r="E370" s="821"/>
      <c r="F370" s="821"/>
      <c r="G370" s="821"/>
      <c r="H370" s="821"/>
      <c r="I370" s="821"/>
      <c r="J370" s="821"/>
      <c r="K370" s="821"/>
      <c r="L370" s="821"/>
      <c r="M370" s="677"/>
      <c r="N370" s="821"/>
      <c r="O370" s="821"/>
      <c r="P370" s="677"/>
      <c r="Q370" s="677"/>
      <c r="R370" s="677"/>
      <c r="S370" s="677"/>
      <c r="T370" s="677"/>
      <c r="U370" s="677"/>
      <c r="V370" s="677"/>
      <c r="W370" s="677"/>
      <c r="X370" s="677"/>
      <c r="Y370" s="677"/>
      <c r="Z370" s="677"/>
      <c r="AA370" s="677"/>
      <c r="AB370" s="677"/>
      <c r="AC370" s="677"/>
      <c r="AD370" s="677"/>
    </row>
    <row r="371">
      <c r="A371" s="673"/>
      <c r="B371" s="674" t="s">
        <v>669</v>
      </c>
      <c r="C371" s="675">
        <v>1.0</v>
      </c>
      <c r="D371" s="704"/>
      <c r="E371" s="821"/>
      <c r="F371" s="821"/>
      <c r="G371" s="821"/>
      <c r="H371" s="821"/>
      <c r="I371" s="821"/>
      <c r="J371" s="821"/>
      <c r="K371" s="821"/>
      <c r="L371" s="821"/>
      <c r="M371" s="677"/>
      <c r="N371" s="821"/>
      <c r="O371" s="821"/>
      <c r="P371" s="677"/>
      <c r="Q371" s="677"/>
      <c r="R371" s="677"/>
      <c r="S371" s="677"/>
      <c r="T371" s="677"/>
      <c r="U371" s="677"/>
      <c r="V371" s="677"/>
      <c r="W371" s="677"/>
      <c r="X371" s="677"/>
      <c r="Y371" s="677"/>
      <c r="Z371" s="677"/>
      <c r="AA371" s="677"/>
      <c r="AB371" s="677"/>
      <c r="AC371" s="677"/>
      <c r="AD371" s="677"/>
    </row>
    <row r="372">
      <c r="A372" s="673"/>
      <c r="B372" s="674" t="s">
        <v>670</v>
      </c>
      <c r="C372" s="675">
        <v>1.0</v>
      </c>
      <c r="D372" s="704"/>
      <c r="E372" s="821"/>
      <c r="F372" s="821"/>
      <c r="G372" s="821"/>
      <c r="H372" s="821"/>
      <c r="I372" s="821"/>
      <c r="J372" s="821"/>
      <c r="K372" s="821"/>
      <c r="L372" s="821"/>
      <c r="M372" s="677"/>
      <c r="N372" s="821"/>
      <c r="O372" s="821"/>
      <c r="P372" s="677"/>
      <c r="Q372" s="677"/>
      <c r="R372" s="677"/>
      <c r="S372" s="677"/>
      <c r="T372" s="677"/>
      <c r="U372" s="677"/>
      <c r="V372" s="677"/>
      <c r="W372" s="677"/>
      <c r="X372" s="677"/>
      <c r="Y372" s="677"/>
      <c r="Z372" s="677"/>
      <c r="AA372" s="677"/>
      <c r="AB372" s="677"/>
      <c r="AC372" s="677"/>
      <c r="AD372" s="677"/>
    </row>
    <row r="373">
      <c r="A373" s="673"/>
      <c r="B373" s="674" t="s">
        <v>671</v>
      </c>
      <c r="C373" s="675">
        <v>1.0</v>
      </c>
      <c r="D373" s="704"/>
      <c r="E373" s="821"/>
      <c r="F373" s="821"/>
      <c r="G373" s="821"/>
      <c r="H373" s="821"/>
      <c r="I373" s="821"/>
      <c r="J373" s="821"/>
      <c r="K373" s="821"/>
      <c r="L373" s="821"/>
      <c r="M373" s="677"/>
      <c r="N373" s="821"/>
      <c r="O373" s="821"/>
      <c r="P373" s="677"/>
      <c r="Q373" s="677"/>
      <c r="R373" s="677"/>
      <c r="S373" s="677"/>
      <c r="T373" s="677"/>
      <c r="U373" s="677"/>
      <c r="V373" s="677"/>
      <c r="W373" s="677"/>
      <c r="X373" s="677"/>
      <c r="Y373" s="677"/>
      <c r="Z373" s="677"/>
      <c r="AA373" s="677"/>
      <c r="AB373" s="677"/>
      <c r="AC373" s="677"/>
      <c r="AD373" s="677"/>
    </row>
    <row r="374">
      <c r="A374" s="673"/>
      <c r="B374" s="674" t="s">
        <v>672</v>
      </c>
      <c r="C374" s="675">
        <v>1.0</v>
      </c>
      <c r="D374" s="704"/>
      <c r="E374" s="821"/>
      <c r="F374" s="821"/>
      <c r="G374" s="821"/>
      <c r="H374" s="821"/>
      <c r="I374" s="821"/>
      <c r="J374" s="821"/>
      <c r="K374" s="821"/>
      <c r="L374" s="821"/>
      <c r="M374" s="677"/>
      <c r="N374" s="821"/>
      <c r="O374" s="821"/>
      <c r="P374" s="677"/>
      <c r="Q374" s="677"/>
      <c r="R374" s="677"/>
      <c r="S374" s="677"/>
      <c r="T374" s="677"/>
      <c r="U374" s="677"/>
      <c r="V374" s="677"/>
      <c r="W374" s="677"/>
      <c r="X374" s="677"/>
      <c r="Y374" s="677"/>
      <c r="Z374" s="677"/>
      <c r="AA374" s="677"/>
      <c r="AB374" s="677"/>
      <c r="AC374" s="677"/>
      <c r="AD374" s="677"/>
    </row>
    <row r="375">
      <c r="A375" s="673"/>
      <c r="B375" s="674" t="s">
        <v>673</v>
      </c>
      <c r="C375" s="675">
        <v>1.0</v>
      </c>
      <c r="D375" s="704"/>
      <c r="E375" s="821"/>
      <c r="F375" s="821"/>
      <c r="G375" s="821"/>
      <c r="H375" s="821"/>
      <c r="I375" s="821"/>
      <c r="J375" s="821"/>
      <c r="K375" s="821"/>
      <c r="L375" s="821"/>
      <c r="M375" s="677"/>
      <c r="N375" s="821"/>
      <c r="O375" s="821"/>
      <c r="P375" s="677"/>
      <c r="Q375" s="677"/>
      <c r="R375" s="677"/>
      <c r="S375" s="677"/>
      <c r="T375" s="677"/>
      <c r="U375" s="677"/>
      <c r="V375" s="677"/>
      <c r="W375" s="677"/>
      <c r="X375" s="677"/>
      <c r="Y375" s="677"/>
      <c r="Z375" s="677"/>
      <c r="AA375" s="677"/>
      <c r="AB375" s="677"/>
      <c r="AC375" s="677"/>
      <c r="AD375" s="677"/>
    </row>
    <row r="376">
      <c r="A376" s="673"/>
      <c r="B376" s="674" t="s">
        <v>674</v>
      </c>
      <c r="C376" s="675">
        <v>1.0</v>
      </c>
      <c r="D376" s="704"/>
      <c r="E376" s="821"/>
      <c r="F376" s="821"/>
      <c r="G376" s="821"/>
      <c r="H376" s="821"/>
      <c r="I376" s="821"/>
      <c r="J376" s="821"/>
      <c r="K376" s="821"/>
      <c r="L376" s="821"/>
      <c r="M376" s="677"/>
      <c r="N376" s="821"/>
      <c r="O376" s="821"/>
      <c r="P376" s="677"/>
      <c r="Q376" s="677"/>
      <c r="R376" s="677"/>
      <c r="S376" s="677"/>
      <c r="T376" s="677"/>
      <c r="U376" s="677"/>
      <c r="V376" s="677"/>
      <c r="W376" s="677"/>
      <c r="X376" s="677"/>
      <c r="Y376" s="677"/>
      <c r="Z376" s="677"/>
      <c r="AA376" s="677"/>
      <c r="AB376" s="677"/>
      <c r="AC376" s="677"/>
      <c r="AD376" s="677"/>
    </row>
    <row r="377">
      <c r="A377" s="673"/>
      <c r="B377" s="674" t="s">
        <v>675</v>
      </c>
      <c r="C377" s="675">
        <v>1.0</v>
      </c>
      <c r="D377" s="704"/>
      <c r="E377" s="821"/>
      <c r="F377" s="821"/>
      <c r="G377" s="821"/>
      <c r="H377" s="821"/>
      <c r="I377" s="821"/>
      <c r="J377" s="821"/>
      <c r="K377" s="821"/>
      <c r="L377" s="821"/>
      <c r="M377" s="677"/>
      <c r="N377" s="821"/>
      <c r="O377" s="821"/>
      <c r="P377" s="677"/>
      <c r="Q377" s="677"/>
      <c r="R377" s="677"/>
      <c r="S377" s="677"/>
      <c r="T377" s="677"/>
      <c r="U377" s="677"/>
      <c r="V377" s="677"/>
      <c r="W377" s="677"/>
      <c r="X377" s="677"/>
      <c r="Y377" s="677"/>
      <c r="Z377" s="677"/>
      <c r="AA377" s="677"/>
      <c r="AB377" s="677"/>
      <c r="AC377" s="677"/>
      <c r="AD377" s="677"/>
    </row>
    <row r="378">
      <c r="A378" s="673"/>
      <c r="B378" s="674" t="s">
        <v>676</v>
      </c>
      <c r="C378" s="675">
        <v>1.0</v>
      </c>
      <c r="D378" s="704"/>
      <c r="E378" s="821"/>
      <c r="F378" s="821"/>
      <c r="G378" s="821"/>
      <c r="H378" s="821"/>
      <c r="I378" s="821"/>
      <c r="J378" s="821"/>
      <c r="K378" s="821"/>
      <c r="L378" s="821"/>
      <c r="M378" s="677"/>
      <c r="N378" s="821"/>
      <c r="O378" s="821"/>
      <c r="P378" s="677"/>
      <c r="Q378" s="677"/>
      <c r="R378" s="677"/>
      <c r="S378" s="677"/>
      <c r="T378" s="677"/>
      <c r="U378" s="677"/>
      <c r="V378" s="677"/>
      <c r="W378" s="677"/>
      <c r="X378" s="677"/>
      <c r="Y378" s="677"/>
      <c r="Z378" s="677"/>
      <c r="AA378" s="677"/>
      <c r="AB378" s="677"/>
      <c r="AC378" s="677"/>
      <c r="AD378" s="677"/>
    </row>
    <row r="379">
      <c r="A379" s="673"/>
      <c r="B379" s="674" t="s">
        <v>677</v>
      </c>
      <c r="C379" s="675">
        <v>1.0</v>
      </c>
      <c r="D379" s="704"/>
      <c r="E379" s="821"/>
      <c r="F379" s="821"/>
      <c r="G379" s="821"/>
      <c r="H379" s="821"/>
      <c r="I379" s="821"/>
      <c r="J379" s="821"/>
      <c r="K379" s="821"/>
      <c r="L379" s="821"/>
      <c r="M379" s="677"/>
      <c r="N379" s="821"/>
      <c r="O379" s="821"/>
      <c r="P379" s="677"/>
      <c r="Q379" s="677"/>
      <c r="R379" s="677"/>
      <c r="S379" s="677"/>
      <c r="T379" s="677"/>
      <c r="U379" s="677"/>
      <c r="V379" s="677"/>
      <c r="W379" s="677"/>
      <c r="X379" s="677"/>
      <c r="Y379" s="677"/>
      <c r="Z379" s="677"/>
      <c r="AA379" s="677"/>
      <c r="AB379" s="677"/>
      <c r="AC379" s="677"/>
      <c r="AD379" s="677"/>
    </row>
    <row r="380">
      <c r="A380" s="673"/>
      <c r="B380" s="674" t="s">
        <v>678</v>
      </c>
      <c r="C380" s="675">
        <v>1.0</v>
      </c>
      <c r="D380" s="704"/>
      <c r="E380" s="821"/>
      <c r="F380" s="821"/>
      <c r="G380" s="821"/>
      <c r="H380" s="821"/>
      <c r="I380" s="821"/>
      <c r="J380" s="821"/>
      <c r="K380" s="821"/>
      <c r="L380" s="821"/>
      <c r="M380" s="677"/>
      <c r="N380" s="821"/>
      <c r="O380" s="821"/>
      <c r="P380" s="677"/>
      <c r="Q380" s="677"/>
      <c r="R380" s="677"/>
      <c r="S380" s="677"/>
      <c r="T380" s="677"/>
      <c r="U380" s="677"/>
      <c r="V380" s="677"/>
      <c r="W380" s="677"/>
      <c r="X380" s="677"/>
      <c r="Y380" s="677"/>
      <c r="Z380" s="677"/>
      <c r="AA380" s="677"/>
      <c r="AB380" s="677"/>
      <c r="AC380" s="677"/>
      <c r="AD380" s="677"/>
    </row>
    <row r="381">
      <c r="A381" s="673"/>
      <c r="B381" s="674" t="s">
        <v>679</v>
      </c>
      <c r="C381" s="675">
        <v>1.0</v>
      </c>
      <c r="D381" s="704"/>
      <c r="E381" s="821"/>
      <c r="F381" s="821"/>
      <c r="G381" s="821"/>
      <c r="H381" s="821"/>
      <c r="I381" s="821"/>
      <c r="J381" s="821"/>
      <c r="K381" s="821"/>
      <c r="L381" s="821"/>
      <c r="M381" s="677"/>
      <c r="N381" s="821"/>
      <c r="O381" s="821"/>
      <c r="P381" s="677"/>
      <c r="Q381" s="677"/>
      <c r="R381" s="677"/>
      <c r="S381" s="677"/>
      <c r="T381" s="677"/>
      <c r="U381" s="677"/>
      <c r="V381" s="677"/>
      <c r="W381" s="677"/>
      <c r="X381" s="677"/>
      <c r="Y381" s="677"/>
      <c r="Z381" s="677"/>
      <c r="AA381" s="677"/>
      <c r="AB381" s="677"/>
      <c r="AC381" s="677"/>
      <c r="AD381" s="677"/>
    </row>
    <row r="382">
      <c r="A382" s="673"/>
      <c r="B382" s="674" t="s">
        <v>680</v>
      </c>
      <c r="C382" s="675">
        <v>1.0</v>
      </c>
      <c r="D382" s="704"/>
      <c r="E382" s="821"/>
      <c r="F382" s="821"/>
      <c r="G382" s="821"/>
      <c r="H382" s="821"/>
      <c r="I382" s="821"/>
      <c r="J382" s="821"/>
      <c r="K382" s="821"/>
      <c r="L382" s="821"/>
      <c r="M382" s="677"/>
      <c r="N382" s="821"/>
      <c r="O382" s="821"/>
      <c r="P382" s="677"/>
      <c r="Q382" s="677"/>
      <c r="R382" s="677"/>
      <c r="S382" s="677"/>
      <c r="T382" s="677"/>
      <c r="U382" s="677"/>
      <c r="V382" s="677"/>
      <c r="W382" s="677"/>
      <c r="X382" s="677"/>
      <c r="Y382" s="677"/>
      <c r="Z382" s="677"/>
      <c r="AA382" s="677"/>
      <c r="AB382" s="677"/>
      <c r="AC382" s="677"/>
      <c r="AD382" s="677"/>
    </row>
    <row r="383">
      <c r="A383" s="673"/>
      <c r="B383" s="674" t="s">
        <v>681</v>
      </c>
      <c r="C383" s="675">
        <v>1.0</v>
      </c>
      <c r="D383" s="704"/>
      <c r="E383" s="821"/>
      <c r="F383" s="821"/>
      <c r="G383" s="821"/>
      <c r="H383" s="821"/>
      <c r="I383" s="821"/>
      <c r="J383" s="821"/>
      <c r="K383" s="821"/>
      <c r="L383" s="821"/>
      <c r="M383" s="677"/>
      <c r="N383" s="821"/>
      <c r="O383" s="821"/>
      <c r="P383" s="677"/>
      <c r="Q383" s="677"/>
      <c r="R383" s="677"/>
      <c r="S383" s="677"/>
      <c r="T383" s="677"/>
      <c r="U383" s="677"/>
      <c r="V383" s="677"/>
      <c r="W383" s="677"/>
      <c r="X383" s="677"/>
      <c r="Y383" s="677"/>
      <c r="Z383" s="677"/>
      <c r="AA383" s="677"/>
      <c r="AB383" s="677"/>
      <c r="AC383" s="677"/>
      <c r="AD383" s="677"/>
    </row>
    <row r="384">
      <c r="A384" s="673"/>
      <c r="B384" s="674" t="s">
        <v>682</v>
      </c>
      <c r="C384" s="675">
        <v>1.0</v>
      </c>
      <c r="D384" s="704"/>
      <c r="E384" s="821"/>
      <c r="F384" s="821"/>
      <c r="G384" s="821"/>
      <c r="H384" s="821"/>
      <c r="I384" s="821"/>
      <c r="J384" s="821"/>
      <c r="K384" s="821"/>
      <c r="L384" s="821"/>
      <c r="M384" s="677"/>
      <c r="N384" s="821"/>
      <c r="O384" s="821"/>
      <c r="P384" s="677"/>
      <c r="Q384" s="677"/>
      <c r="R384" s="677"/>
      <c r="S384" s="677"/>
      <c r="T384" s="677"/>
      <c r="U384" s="677"/>
      <c r="V384" s="677"/>
      <c r="W384" s="677"/>
      <c r="X384" s="677"/>
      <c r="Y384" s="677"/>
      <c r="Z384" s="677"/>
      <c r="AA384" s="677"/>
      <c r="AB384" s="677"/>
      <c r="AC384" s="677"/>
      <c r="AD384" s="677"/>
    </row>
    <row r="385">
      <c r="A385" s="673"/>
      <c r="B385" s="674" t="s">
        <v>683</v>
      </c>
      <c r="C385" s="675">
        <v>1.0</v>
      </c>
      <c r="D385" s="704"/>
      <c r="E385" s="821"/>
      <c r="F385" s="821"/>
      <c r="G385" s="821"/>
      <c r="H385" s="821"/>
      <c r="I385" s="821"/>
      <c r="J385" s="821"/>
      <c r="K385" s="821"/>
      <c r="L385" s="821"/>
      <c r="M385" s="677"/>
      <c r="N385" s="821"/>
      <c r="O385" s="821"/>
      <c r="P385" s="677"/>
      <c r="Q385" s="677"/>
      <c r="R385" s="677"/>
      <c r="S385" s="677"/>
      <c r="T385" s="677"/>
      <c r="U385" s="677"/>
      <c r="V385" s="677"/>
      <c r="W385" s="677"/>
      <c r="X385" s="677"/>
      <c r="Y385" s="677"/>
      <c r="Z385" s="677"/>
      <c r="AA385" s="677"/>
      <c r="AB385" s="677"/>
      <c r="AC385" s="677"/>
      <c r="AD385" s="677"/>
    </row>
    <row r="386">
      <c r="A386" s="673"/>
      <c r="B386" s="674"/>
      <c r="C386" s="852"/>
      <c r="D386" s="704"/>
      <c r="E386" s="821"/>
      <c r="F386" s="821"/>
      <c r="G386" s="821"/>
      <c r="H386" s="821"/>
      <c r="I386" s="821"/>
      <c r="J386" s="821"/>
      <c r="K386" s="821"/>
      <c r="L386" s="821"/>
      <c r="M386" s="677"/>
      <c r="N386" s="821"/>
      <c r="O386" s="821"/>
      <c r="P386" s="677"/>
      <c r="Q386" s="677"/>
      <c r="R386" s="677"/>
      <c r="S386" s="677"/>
      <c r="T386" s="677"/>
      <c r="U386" s="677"/>
      <c r="V386" s="677"/>
      <c r="W386" s="677"/>
      <c r="X386" s="677"/>
      <c r="Y386" s="677"/>
      <c r="Z386" s="677"/>
      <c r="AA386" s="677"/>
      <c r="AB386" s="677"/>
      <c r="AC386" s="677"/>
      <c r="AD386" s="677"/>
    </row>
    <row r="387">
      <c r="A387" s="673"/>
      <c r="B387" s="708"/>
      <c r="C387" s="852"/>
      <c r="D387" s="704"/>
      <c r="E387" s="821"/>
      <c r="F387" s="821"/>
      <c r="G387" s="821"/>
      <c r="H387" s="821"/>
      <c r="I387" s="821"/>
      <c r="J387" s="821"/>
      <c r="K387" s="821"/>
      <c r="L387" s="821"/>
      <c r="M387" s="677"/>
      <c r="N387" s="821"/>
      <c r="O387" s="821"/>
      <c r="P387" s="677"/>
      <c r="Q387" s="677"/>
      <c r="R387" s="677"/>
      <c r="S387" s="677"/>
      <c r="T387" s="677"/>
      <c r="U387" s="677"/>
      <c r="V387" s="677"/>
      <c r="W387" s="677"/>
      <c r="X387" s="677"/>
      <c r="Y387" s="677"/>
      <c r="Z387" s="677"/>
      <c r="AA387" s="677"/>
      <c r="AB387" s="677"/>
      <c r="AC387" s="677"/>
      <c r="AD387" s="677"/>
    </row>
    <row r="388">
      <c r="A388" s="673"/>
      <c r="B388" s="708"/>
      <c r="C388" s="852"/>
      <c r="D388" s="704"/>
      <c r="E388" s="821"/>
      <c r="F388" s="821"/>
      <c r="G388" s="821"/>
      <c r="H388" s="821"/>
      <c r="I388" s="821"/>
      <c r="J388" s="821"/>
      <c r="K388" s="821"/>
      <c r="L388" s="821"/>
      <c r="M388" s="677"/>
      <c r="N388" s="821"/>
      <c r="O388" s="821"/>
      <c r="P388" s="677"/>
      <c r="Q388" s="677"/>
      <c r="R388" s="677"/>
      <c r="S388" s="677"/>
      <c r="T388" s="677"/>
      <c r="U388" s="677"/>
      <c r="V388" s="677"/>
      <c r="W388" s="677"/>
      <c r="X388" s="677"/>
      <c r="Y388" s="677"/>
      <c r="Z388" s="677"/>
      <c r="AA388" s="677"/>
      <c r="AB388" s="677"/>
      <c r="AC388" s="677"/>
      <c r="AD388" s="677"/>
    </row>
    <row r="389">
      <c r="A389" s="673"/>
      <c r="B389" s="708"/>
      <c r="C389" s="852"/>
      <c r="D389" s="704"/>
      <c r="E389" s="821"/>
      <c r="F389" s="821"/>
      <c r="G389" s="821"/>
      <c r="H389" s="821"/>
      <c r="I389" s="821"/>
      <c r="J389" s="821"/>
      <c r="K389" s="821"/>
      <c r="L389" s="821"/>
      <c r="M389" s="677"/>
      <c r="N389" s="821"/>
      <c r="O389" s="821"/>
      <c r="P389" s="677"/>
      <c r="Q389" s="677"/>
      <c r="R389" s="677"/>
      <c r="S389" s="677"/>
      <c r="T389" s="677"/>
      <c r="U389" s="677"/>
      <c r="V389" s="677"/>
      <c r="W389" s="677"/>
      <c r="X389" s="677"/>
      <c r="Y389" s="677"/>
      <c r="Z389" s="677"/>
      <c r="AA389" s="677"/>
      <c r="AB389" s="677"/>
      <c r="AC389" s="677"/>
      <c r="AD389" s="677"/>
    </row>
    <row r="390">
      <c r="A390" s="673"/>
      <c r="B390" s="708"/>
      <c r="C390" s="852"/>
      <c r="D390" s="704"/>
      <c r="E390" s="821"/>
      <c r="F390" s="821"/>
      <c r="G390" s="821"/>
      <c r="H390" s="821"/>
      <c r="I390" s="821"/>
      <c r="J390" s="821"/>
      <c r="K390" s="821"/>
      <c r="L390" s="821"/>
      <c r="M390" s="677"/>
      <c r="N390" s="821"/>
      <c r="O390" s="821"/>
      <c r="P390" s="677"/>
      <c r="Q390" s="677"/>
      <c r="R390" s="677"/>
      <c r="S390" s="677"/>
      <c r="T390" s="677"/>
      <c r="U390" s="677"/>
      <c r="V390" s="677"/>
      <c r="W390" s="677"/>
      <c r="X390" s="677"/>
      <c r="Y390" s="677"/>
      <c r="Z390" s="677"/>
      <c r="AA390" s="677"/>
      <c r="AB390" s="677"/>
      <c r="AC390" s="677"/>
      <c r="AD390" s="677"/>
    </row>
    <row r="391">
      <c r="A391" s="673"/>
      <c r="B391" s="708"/>
      <c r="C391" s="852"/>
      <c r="D391" s="704"/>
      <c r="E391" s="821"/>
      <c r="F391" s="821"/>
      <c r="G391" s="821"/>
      <c r="H391" s="821"/>
      <c r="I391" s="821"/>
      <c r="J391" s="821"/>
      <c r="K391" s="821"/>
      <c r="L391" s="821"/>
      <c r="M391" s="677"/>
      <c r="N391" s="821"/>
      <c r="O391" s="821"/>
      <c r="P391" s="677"/>
      <c r="Q391" s="677"/>
      <c r="R391" s="677"/>
      <c r="S391" s="677"/>
      <c r="T391" s="677"/>
      <c r="U391" s="677"/>
      <c r="V391" s="677"/>
      <c r="W391" s="677"/>
      <c r="X391" s="677"/>
      <c r="Y391" s="677"/>
      <c r="Z391" s="677"/>
      <c r="AA391" s="677"/>
      <c r="AB391" s="677"/>
      <c r="AC391" s="677"/>
      <c r="AD391" s="677"/>
    </row>
    <row r="392">
      <c r="A392" s="673"/>
      <c r="B392" s="708"/>
      <c r="C392" s="852"/>
      <c r="D392" s="704"/>
      <c r="E392" s="821"/>
      <c r="F392" s="821"/>
      <c r="G392" s="821"/>
      <c r="H392" s="821"/>
      <c r="I392" s="821"/>
      <c r="J392" s="821"/>
      <c r="K392" s="821"/>
      <c r="L392" s="821"/>
      <c r="M392" s="677"/>
      <c r="N392" s="821"/>
      <c r="O392" s="821"/>
      <c r="P392" s="677"/>
      <c r="Q392" s="677"/>
      <c r="R392" s="677"/>
      <c r="S392" s="677"/>
      <c r="T392" s="677"/>
      <c r="U392" s="677"/>
      <c r="V392" s="677"/>
      <c r="W392" s="677"/>
      <c r="X392" s="677"/>
      <c r="Y392" s="677"/>
      <c r="Z392" s="677"/>
      <c r="AA392" s="677"/>
      <c r="AB392" s="677"/>
      <c r="AC392" s="677"/>
      <c r="AD392" s="677"/>
    </row>
    <row r="393">
      <c r="A393" s="673"/>
      <c r="B393" s="708"/>
      <c r="C393" s="852"/>
      <c r="D393" s="704"/>
      <c r="E393" s="821"/>
      <c r="F393" s="821"/>
      <c r="G393" s="821"/>
      <c r="H393" s="821"/>
      <c r="I393" s="821"/>
      <c r="J393" s="821"/>
      <c r="K393" s="821"/>
      <c r="L393" s="821"/>
      <c r="M393" s="677"/>
      <c r="N393" s="821"/>
      <c r="O393" s="821"/>
      <c r="P393" s="677"/>
      <c r="Q393" s="677"/>
      <c r="R393" s="677"/>
      <c r="S393" s="677"/>
      <c r="T393" s="677"/>
      <c r="U393" s="677"/>
      <c r="V393" s="677"/>
      <c r="W393" s="677"/>
      <c r="X393" s="677"/>
      <c r="Y393" s="677"/>
      <c r="Z393" s="677"/>
      <c r="AA393" s="677"/>
      <c r="AB393" s="677"/>
      <c r="AC393" s="677"/>
      <c r="AD393" s="677"/>
    </row>
    <row r="394">
      <c r="A394" s="673"/>
      <c r="B394" s="708"/>
      <c r="C394" s="852"/>
      <c r="D394" s="704"/>
      <c r="E394" s="821"/>
      <c r="F394" s="821"/>
      <c r="G394" s="821"/>
      <c r="H394" s="821"/>
      <c r="I394" s="821"/>
      <c r="J394" s="821"/>
      <c r="K394" s="821"/>
      <c r="L394" s="821"/>
      <c r="M394" s="677"/>
      <c r="N394" s="821"/>
      <c r="O394" s="821"/>
      <c r="P394" s="677"/>
      <c r="Q394" s="677"/>
      <c r="R394" s="677"/>
      <c r="S394" s="677"/>
      <c r="T394" s="677"/>
      <c r="U394" s="677"/>
      <c r="V394" s="677"/>
      <c r="W394" s="677"/>
      <c r="X394" s="677"/>
      <c r="Y394" s="677"/>
      <c r="Z394" s="677"/>
      <c r="AA394" s="677"/>
      <c r="AB394" s="677"/>
      <c r="AC394" s="677"/>
      <c r="AD394" s="677"/>
    </row>
    <row r="395">
      <c r="A395" s="673"/>
      <c r="B395" s="708"/>
      <c r="C395" s="852"/>
      <c r="D395" s="704"/>
      <c r="E395" s="821"/>
      <c r="F395" s="821"/>
      <c r="G395" s="821"/>
      <c r="H395" s="821"/>
      <c r="I395" s="821"/>
      <c r="J395" s="821"/>
      <c r="K395" s="821"/>
      <c r="L395" s="821"/>
      <c r="M395" s="677"/>
      <c r="N395" s="821"/>
      <c r="O395" s="821"/>
      <c r="P395" s="677"/>
      <c r="Q395" s="677"/>
      <c r="R395" s="677"/>
      <c r="S395" s="677"/>
      <c r="T395" s="677"/>
      <c r="U395" s="677"/>
      <c r="V395" s="677"/>
      <c r="W395" s="677"/>
      <c r="X395" s="677"/>
      <c r="Y395" s="677"/>
      <c r="Z395" s="677"/>
      <c r="AA395" s="677"/>
      <c r="AB395" s="677"/>
      <c r="AC395" s="677"/>
      <c r="AD395" s="677"/>
    </row>
    <row r="396">
      <c r="A396" s="673"/>
      <c r="B396" s="708"/>
      <c r="C396" s="852"/>
      <c r="D396" s="704"/>
      <c r="E396" s="821"/>
      <c r="F396" s="821"/>
      <c r="G396" s="821"/>
      <c r="H396" s="821"/>
      <c r="I396" s="821"/>
      <c r="J396" s="821"/>
      <c r="K396" s="821"/>
      <c r="L396" s="821"/>
      <c r="M396" s="677"/>
      <c r="N396" s="821"/>
      <c r="O396" s="821"/>
      <c r="P396" s="677"/>
      <c r="Q396" s="677"/>
      <c r="R396" s="677"/>
      <c r="S396" s="677"/>
      <c r="T396" s="677"/>
      <c r="U396" s="677"/>
      <c r="V396" s="677"/>
      <c r="W396" s="677"/>
      <c r="X396" s="677"/>
      <c r="Y396" s="677"/>
      <c r="Z396" s="677"/>
      <c r="AA396" s="677"/>
      <c r="AB396" s="677"/>
      <c r="AC396" s="677"/>
      <c r="AD396" s="677"/>
    </row>
    <row r="397">
      <c r="A397" s="673"/>
      <c r="B397" s="708"/>
      <c r="C397" s="852"/>
      <c r="D397" s="704"/>
      <c r="E397" s="821"/>
      <c r="F397" s="821"/>
      <c r="G397" s="821"/>
      <c r="H397" s="821"/>
      <c r="I397" s="821"/>
      <c r="J397" s="821"/>
      <c r="K397" s="821"/>
      <c r="L397" s="821"/>
      <c r="M397" s="677"/>
      <c r="N397" s="821"/>
      <c r="O397" s="821"/>
      <c r="P397" s="677"/>
      <c r="Q397" s="677"/>
      <c r="R397" s="677"/>
      <c r="S397" s="677"/>
      <c r="T397" s="677"/>
      <c r="U397" s="677"/>
      <c r="V397" s="677"/>
      <c r="W397" s="677"/>
      <c r="X397" s="677"/>
      <c r="Y397" s="677"/>
      <c r="Z397" s="677"/>
      <c r="AA397" s="677"/>
      <c r="AB397" s="677"/>
      <c r="AC397" s="677"/>
      <c r="AD397" s="677"/>
    </row>
    <row r="398">
      <c r="A398" s="673"/>
      <c r="B398" s="708"/>
      <c r="C398" s="852"/>
      <c r="D398" s="704"/>
      <c r="E398" s="821"/>
      <c r="F398" s="821"/>
      <c r="G398" s="821"/>
      <c r="H398" s="821"/>
      <c r="I398" s="821"/>
      <c r="J398" s="821"/>
      <c r="K398" s="821"/>
      <c r="L398" s="821"/>
      <c r="M398" s="677"/>
      <c r="N398" s="821"/>
      <c r="O398" s="821"/>
      <c r="P398" s="677"/>
      <c r="Q398" s="677"/>
      <c r="R398" s="677"/>
      <c r="S398" s="677"/>
      <c r="T398" s="677"/>
      <c r="U398" s="677"/>
      <c r="V398" s="677"/>
      <c r="W398" s="677"/>
      <c r="X398" s="677"/>
      <c r="Y398" s="677"/>
      <c r="Z398" s="677"/>
      <c r="AA398" s="677"/>
      <c r="AB398" s="677"/>
      <c r="AC398" s="677"/>
      <c r="AD398" s="677"/>
    </row>
    <row r="399">
      <c r="A399" s="673"/>
      <c r="B399" s="708"/>
      <c r="C399" s="852"/>
      <c r="D399" s="704"/>
      <c r="E399" s="821"/>
      <c r="F399" s="821"/>
      <c r="G399" s="821"/>
      <c r="H399" s="821"/>
      <c r="I399" s="821"/>
      <c r="J399" s="821"/>
      <c r="K399" s="821"/>
      <c r="L399" s="821"/>
      <c r="M399" s="677"/>
      <c r="N399" s="821"/>
      <c r="O399" s="821"/>
      <c r="P399" s="677"/>
      <c r="Q399" s="677"/>
      <c r="R399" s="677"/>
      <c r="S399" s="677"/>
      <c r="T399" s="677"/>
      <c r="U399" s="677"/>
      <c r="V399" s="677"/>
      <c r="W399" s="677"/>
      <c r="X399" s="677"/>
      <c r="Y399" s="677"/>
      <c r="Z399" s="677"/>
      <c r="AA399" s="677"/>
      <c r="AB399" s="677"/>
      <c r="AC399" s="677"/>
      <c r="AD399" s="677"/>
    </row>
    <row r="400">
      <c r="A400" s="673"/>
      <c r="B400" s="708"/>
      <c r="C400" s="852"/>
      <c r="D400" s="704"/>
      <c r="E400" s="821"/>
      <c r="F400" s="821"/>
      <c r="G400" s="821"/>
      <c r="H400" s="821"/>
      <c r="I400" s="821"/>
      <c r="J400" s="821"/>
      <c r="K400" s="821"/>
      <c r="L400" s="821"/>
      <c r="M400" s="677"/>
      <c r="N400" s="821"/>
      <c r="O400" s="821"/>
      <c r="P400" s="677"/>
      <c r="Q400" s="677"/>
      <c r="R400" s="677"/>
      <c r="S400" s="677"/>
      <c r="T400" s="677"/>
      <c r="U400" s="677"/>
      <c r="V400" s="677"/>
      <c r="W400" s="677"/>
      <c r="X400" s="677"/>
      <c r="Y400" s="677"/>
      <c r="Z400" s="677"/>
      <c r="AA400" s="677"/>
      <c r="AB400" s="677"/>
      <c r="AC400" s="677"/>
      <c r="AD400" s="677"/>
    </row>
    <row r="401">
      <c r="A401" s="673"/>
      <c r="B401" s="708"/>
      <c r="C401" s="852"/>
      <c r="D401" s="704"/>
      <c r="E401" s="821"/>
      <c r="F401" s="821"/>
      <c r="G401" s="821"/>
      <c r="H401" s="821"/>
      <c r="I401" s="821"/>
      <c r="J401" s="821"/>
      <c r="K401" s="821"/>
      <c r="L401" s="821"/>
      <c r="M401" s="677"/>
      <c r="N401" s="821"/>
      <c r="O401" s="821"/>
      <c r="P401" s="677"/>
      <c r="Q401" s="677"/>
      <c r="R401" s="677"/>
      <c r="S401" s="677"/>
      <c r="T401" s="677"/>
      <c r="U401" s="677"/>
      <c r="V401" s="677"/>
      <c r="W401" s="677"/>
      <c r="X401" s="677"/>
      <c r="Y401" s="677"/>
      <c r="Z401" s="677"/>
      <c r="AA401" s="677"/>
      <c r="AB401" s="677"/>
      <c r="AC401" s="677"/>
      <c r="AD401" s="677"/>
    </row>
    <row r="402">
      <c r="A402" s="673"/>
      <c r="B402" s="708"/>
      <c r="C402" s="852"/>
      <c r="D402" s="704"/>
      <c r="E402" s="821"/>
      <c r="F402" s="821"/>
      <c r="G402" s="821"/>
      <c r="H402" s="821"/>
      <c r="I402" s="821"/>
      <c r="J402" s="821"/>
      <c r="K402" s="821"/>
      <c r="L402" s="821"/>
      <c r="M402" s="677"/>
      <c r="N402" s="821"/>
      <c r="O402" s="821"/>
      <c r="P402" s="677"/>
      <c r="Q402" s="677"/>
      <c r="R402" s="677"/>
      <c r="S402" s="677"/>
      <c r="T402" s="677"/>
      <c r="U402" s="677"/>
      <c r="V402" s="677"/>
      <c r="W402" s="677"/>
      <c r="X402" s="677"/>
      <c r="Y402" s="677"/>
      <c r="Z402" s="677"/>
      <c r="AA402" s="677"/>
      <c r="AB402" s="677"/>
      <c r="AC402" s="677"/>
      <c r="AD402" s="677"/>
    </row>
    <row r="403">
      <c r="A403" s="673"/>
      <c r="B403" s="708"/>
      <c r="C403" s="852"/>
      <c r="D403" s="704"/>
      <c r="E403" s="821"/>
      <c r="F403" s="821"/>
      <c r="G403" s="821"/>
      <c r="H403" s="821"/>
      <c r="I403" s="821"/>
      <c r="J403" s="821"/>
      <c r="K403" s="821"/>
      <c r="L403" s="821"/>
      <c r="M403" s="677"/>
      <c r="N403" s="821"/>
      <c r="O403" s="821"/>
      <c r="P403" s="677"/>
      <c r="Q403" s="677"/>
      <c r="R403" s="677"/>
      <c r="S403" s="677"/>
      <c r="T403" s="677"/>
      <c r="U403" s="677"/>
      <c r="V403" s="677"/>
      <c r="W403" s="677"/>
      <c r="X403" s="677"/>
      <c r="Y403" s="677"/>
      <c r="Z403" s="677"/>
      <c r="AA403" s="677"/>
      <c r="AB403" s="677"/>
      <c r="AC403" s="677"/>
      <c r="AD403" s="677"/>
    </row>
    <row r="404">
      <c r="A404" s="673"/>
      <c r="B404" s="708"/>
      <c r="C404" s="852"/>
      <c r="D404" s="704"/>
      <c r="E404" s="821"/>
      <c r="F404" s="821"/>
      <c r="G404" s="821"/>
      <c r="H404" s="821"/>
      <c r="I404" s="821"/>
      <c r="J404" s="821"/>
      <c r="K404" s="821"/>
      <c r="L404" s="821"/>
      <c r="M404" s="677"/>
      <c r="N404" s="821"/>
      <c r="O404" s="821"/>
      <c r="P404" s="677"/>
      <c r="Q404" s="677"/>
      <c r="R404" s="677"/>
      <c r="S404" s="677"/>
      <c r="T404" s="677"/>
      <c r="U404" s="677"/>
      <c r="V404" s="677"/>
      <c r="W404" s="677"/>
      <c r="X404" s="677"/>
      <c r="Y404" s="677"/>
      <c r="Z404" s="677"/>
      <c r="AA404" s="677"/>
      <c r="AB404" s="677"/>
      <c r="AC404" s="677"/>
      <c r="AD404" s="677"/>
    </row>
    <row r="405">
      <c r="A405" s="673"/>
      <c r="B405" s="708"/>
      <c r="C405" s="852"/>
      <c r="D405" s="704"/>
      <c r="E405" s="821"/>
      <c r="F405" s="821"/>
      <c r="G405" s="821"/>
      <c r="H405" s="821"/>
      <c r="I405" s="821"/>
      <c r="J405" s="821"/>
      <c r="K405" s="821"/>
      <c r="L405" s="821"/>
      <c r="M405" s="677"/>
      <c r="N405" s="821"/>
      <c r="O405" s="821"/>
      <c r="P405" s="677"/>
      <c r="Q405" s="677"/>
      <c r="R405" s="677"/>
      <c r="S405" s="677"/>
      <c r="T405" s="677"/>
      <c r="U405" s="677"/>
      <c r="V405" s="677"/>
      <c r="W405" s="677"/>
      <c r="X405" s="677"/>
      <c r="Y405" s="677"/>
      <c r="Z405" s="677"/>
      <c r="AA405" s="677"/>
      <c r="AB405" s="677"/>
      <c r="AC405" s="677"/>
      <c r="AD405" s="677"/>
    </row>
    <row r="406">
      <c r="A406" s="673"/>
      <c r="B406" s="708"/>
      <c r="C406" s="852"/>
      <c r="D406" s="704"/>
      <c r="E406" s="821"/>
      <c r="F406" s="821"/>
      <c r="G406" s="821"/>
      <c r="H406" s="821"/>
      <c r="I406" s="821"/>
      <c r="J406" s="821"/>
      <c r="K406" s="821"/>
      <c r="L406" s="821"/>
      <c r="M406" s="677"/>
      <c r="N406" s="821"/>
      <c r="O406" s="821"/>
      <c r="P406" s="677"/>
      <c r="Q406" s="677"/>
      <c r="R406" s="677"/>
      <c r="S406" s="677"/>
      <c r="T406" s="677"/>
      <c r="U406" s="677"/>
      <c r="V406" s="677"/>
      <c r="W406" s="677"/>
      <c r="X406" s="677"/>
      <c r="Y406" s="677"/>
      <c r="Z406" s="677"/>
      <c r="AA406" s="677"/>
      <c r="AB406" s="677"/>
      <c r="AC406" s="677"/>
      <c r="AD406" s="677"/>
    </row>
    <row r="407">
      <c r="A407" s="673"/>
      <c r="B407" s="708"/>
      <c r="C407" s="852"/>
      <c r="D407" s="704"/>
      <c r="E407" s="821"/>
      <c r="F407" s="821"/>
      <c r="G407" s="821"/>
      <c r="H407" s="821"/>
      <c r="I407" s="821"/>
      <c r="J407" s="821"/>
      <c r="K407" s="821"/>
      <c r="L407" s="821"/>
      <c r="M407" s="677"/>
      <c r="N407" s="821"/>
      <c r="O407" s="821"/>
      <c r="P407" s="677"/>
      <c r="Q407" s="677"/>
      <c r="R407" s="677"/>
      <c r="S407" s="677"/>
      <c r="T407" s="677"/>
      <c r="U407" s="677"/>
      <c r="V407" s="677"/>
      <c r="W407" s="677"/>
      <c r="X407" s="677"/>
      <c r="Y407" s="677"/>
      <c r="Z407" s="677"/>
      <c r="AA407" s="677"/>
      <c r="AB407" s="677"/>
      <c r="AC407" s="677"/>
      <c r="AD407" s="677"/>
    </row>
    <row r="408">
      <c r="A408" s="673"/>
      <c r="B408" s="708"/>
      <c r="C408" s="852"/>
      <c r="D408" s="704"/>
      <c r="E408" s="821"/>
      <c r="F408" s="821"/>
      <c r="G408" s="821"/>
      <c r="H408" s="821"/>
      <c r="I408" s="821"/>
      <c r="J408" s="821"/>
      <c r="K408" s="821"/>
      <c r="L408" s="821"/>
      <c r="M408" s="677"/>
      <c r="N408" s="821"/>
      <c r="O408" s="821"/>
      <c r="P408" s="677"/>
      <c r="Q408" s="677"/>
      <c r="R408" s="677"/>
      <c r="S408" s="677"/>
      <c r="T408" s="677"/>
      <c r="U408" s="677"/>
      <c r="V408" s="677"/>
      <c r="W408" s="677"/>
      <c r="X408" s="677"/>
      <c r="Y408" s="677"/>
      <c r="Z408" s="677"/>
      <c r="AA408" s="677"/>
      <c r="AB408" s="677"/>
      <c r="AC408" s="677"/>
      <c r="AD408" s="677"/>
    </row>
    <row r="409">
      <c r="A409" s="673"/>
      <c r="B409" s="708"/>
      <c r="C409" s="852"/>
      <c r="D409" s="704"/>
      <c r="E409" s="821"/>
      <c r="F409" s="821"/>
      <c r="G409" s="821"/>
      <c r="H409" s="821"/>
      <c r="I409" s="821"/>
      <c r="J409" s="821"/>
      <c r="K409" s="821"/>
      <c r="L409" s="821"/>
      <c r="M409" s="677"/>
      <c r="N409" s="821"/>
      <c r="O409" s="821"/>
      <c r="P409" s="677"/>
      <c r="Q409" s="677"/>
      <c r="R409" s="677"/>
      <c r="S409" s="677"/>
      <c r="T409" s="677"/>
      <c r="U409" s="677"/>
      <c r="V409" s="677"/>
      <c r="W409" s="677"/>
      <c r="X409" s="677"/>
      <c r="Y409" s="677"/>
      <c r="Z409" s="677"/>
      <c r="AA409" s="677"/>
      <c r="AB409" s="677"/>
      <c r="AC409" s="677"/>
      <c r="AD409" s="677"/>
    </row>
    <row r="410">
      <c r="A410" s="673"/>
      <c r="B410" s="708"/>
      <c r="C410" s="852"/>
      <c r="D410" s="704"/>
      <c r="E410" s="821"/>
      <c r="F410" s="821"/>
      <c r="G410" s="821"/>
      <c r="H410" s="821"/>
      <c r="I410" s="821"/>
      <c r="J410" s="821"/>
      <c r="K410" s="821"/>
      <c r="L410" s="821"/>
      <c r="M410" s="677"/>
      <c r="N410" s="821"/>
      <c r="O410" s="821"/>
      <c r="P410" s="677"/>
      <c r="Q410" s="677"/>
      <c r="R410" s="677"/>
      <c r="S410" s="677"/>
      <c r="T410" s="677"/>
      <c r="U410" s="677"/>
      <c r="V410" s="677"/>
      <c r="W410" s="677"/>
      <c r="X410" s="677"/>
      <c r="Y410" s="677"/>
      <c r="Z410" s="677"/>
      <c r="AA410" s="677"/>
      <c r="AB410" s="677"/>
      <c r="AC410" s="677"/>
      <c r="AD410" s="677"/>
    </row>
    <row r="411">
      <c r="A411" s="673"/>
      <c r="B411" s="708"/>
      <c r="C411" s="852"/>
      <c r="D411" s="704"/>
      <c r="E411" s="821"/>
      <c r="F411" s="821"/>
      <c r="G411" s="821"/>
      <c r="H411" s="821"/>
      <c r="I411" s="821"/>
      <c r="J411" s="821"/>
      <c r="K411" s="821"/>
      <c r="L411" s="821"/>
      <c r="M411" s="677"/>
      <c r="N411" s="821"/>
      <c r="O411" s="821"/>
      <c r="P411" s="677"/>
      <c r="Q411" s="677"/>
      <c r="R411" s="677"/>
      <c r="S411" s="677"/>
      <c r="T411" s="677"/>
      <c r="U411" s="677"/>
      <c r="V411" s="677"/>
      <c r="W411" s="677"/>
      <c r="X411" s="677"/>
      <c r="Y411" s="677"/>
      <c r="Z411" s="677"/>
      <c r="AA411" s="677"/>
      <c r="AB411" s="677"/>
      <c r="AC411" s="677"/>
      <c r="AD411" s="677"/>
    </row>
    <row r="412">
      <c r="A412" s="673"/>
      <c r="B412" s="708"/>
      <c r="C412" s="852"/>
      <c r="D412" s="704"/>
      <c r="E412" s="821"/>
      <c r="F412" s="821"/>
      <c r="G412" s="821"/>
      <c r="H412" s="821"/>
      <c r="I412" s="821"/>
      <c r="J412" s="821"/>
      <c r="K412" s="821"/>
      <c r="L412" s="821"/>
      <c r="M412" s="677"/>
      <c r="N412" s="821"/>
      <c r="O412" s="821"/>
      <c r="P412" s="677"/>
      <c r="Q412" s="677"/>
      <c r="R412" s="677"/>
      <c r="S412" s="677"/>
      <c r="T412" s="677"/>
      <c r="U412" s="677"/>
      <c r="V412" s="677"/>
      <c r="W412" s="677"/>
      <c r="X412" s="677"/>
      <c r="Y412" s="677"/>
      <c r="Z412" s="677"/>
      <c r="AA412" s="677"/>
      <c r="AB412" s="677"/>
      <c r="AC412" s="677"/>
      <c r="AD412" s="677"/>
    </row>
    <row r="413">
      <c r="A413" s="673"/>
      <c r="B413" s="708"/>
      <c r="C413" s="852"/>
      <c r="D413" s="704"/>
      <c r="E413" s="821"/>
      <c r="F413" s="821"/>
      <c r="G413" s="821"/>
      <c r="H413" s="821"/>
      <c r="I413" s="821"/>
      <c r="J413" s="821"/>
      <c r="K413" s="821"/>
      <c r="L413" s="821"/>
      <c r="M413" s="677"/>
      <c r="N413" s="821"/>
      <c r="O413" s="821"/>
      <c r="P413" s="677"/>
      <c r="Q413" s="677"/>
      <c r="R413" s="677"/>
      <c r="S413" s="677"/>
      <c r="T413" s="677"/>
      <c r="U413" s="677"/>
      <c r="V413" s="677"/>
      <c r="W413" s="677"/>
      <c r="X413" s="677"/>
      <c r="Y413" s="677"/>
      <c r="Z413" s="677"/>
      <c r="AA413" s="677"/>
      <c r="AB413" s="677"/>
      <c r="AC413" s="677"/>
      <c r="AD413" s="677"/>
    </row>
    <row r="414">
      <c r="A414" s="673"/>
      <c r="B414" s="708"/>
      <c r="C414" s="852"/>
      <c r="D414" s="704"/>
      <c r="E414" s="821"/>
      <c r="F414" s="821"/>
      <c r="G414" s="821"/>
      <c r="H414" s="821"/>
      <c r="I414" s="821"/>
      <c r="J414" s="821"/>
      <c r="K414" s="821"/>
      <c r="L414" s="821"/>
      <c r="M414" s="677"/>
      <c r="N414" s="821"/>
      <c r="O414" s="821"/>
      <c r="P414" s="677"/>
      <c r="Q414" s="677"/>
      <c r="R414" s="677"/>
      <c r="S414" s="677"/>
      <c r="T414" s="677"/>
      <c r="U414" s="677"/>
      <c r="V414" s="677"/>
      <c r="W414" s="677"/>
      <c r="X414" s="677"/>
      <c r="Y414" s="677"/>
      <c r="Z414" s="677"/>
      <c r="AA414" s="677"/>
      <c r="AB414" s="677"/>
      <c r="AC414" s="677"/>
      <c r="AD414" s="677"/>
    </row>
    <row r="415">
      <c r="A415" s="673"/>
      <c r="B415" s="708"/>
      <c r="C415" s="852"/>
      <c r="D415" s="704"/>
      <c r="E415" s="821"/>
      <c r="F415" s="821"/>
      <c r="G415" s="821"/>
      <c r="H415" s="821"/>
      <c r="I415" s="821"/>
      <c r="J415" s="821"/>
      <c r="K415" s="821"/>
      <c r="L415" s="821"/>
      <c r="M415" s="677"/>
      <c r="N415" s="821"/>
      <c r="O415" s="821"/>
      <c r="P415" s="677"/>
      <c r="Q415" s="677"/>
      <c r="R415" s="677"/>
      <c r="S415" s="677"/>
      <c r="T415" s="677"/>
      <c r="U415" s="677"/>
      <c r="V415" s="677"/>
      <c r="W415" s="677"/>
      <c r="X415" s="677"/>
      <c r="Y415" s="677"/>
      <c r="Z415" s="677"/>
      <c r="AA415" s="677"/>
      <c r="AB415" s="677"/>
      <c r="AC415" s="677"/>
      <c r="AD415" s="677"/>
    </row>
    <row r="416">
      <c r="A416" s="673"/>
      <c r="B416" s="708"/>
      <c r="C416" s="852"/>
      <c r="D416" s="704"/>
      <c r="E416" s="821"/>
      <c r="F416" s="821"/>
      <c r="G416" s="821"/>
      <c r="H416" s="821"/>
      <c r="I416" s="821"/>
      <c r="J416" s="821"/>
      <c r="K416" s="821"/>
      <c r="L416" s="821"/>
      <c r="M416" s="677"/>
      <c r="N416" s="821"/>
      <c r="O416" s="821"/>
      <c r="P416" s="677"/>
      <c r="Q416" s="677"/>
      <c r="R416" s="677"/>
      <c r="S416" s="677"/>
      <c r="T416" s="677"/>
      <c r="U416" s="677"/>
      <c r="V416" s="677"/>
      <c r="W416" s="677"/>
      <c r="X416" s="677"/>
      <c r="Y416" s="677"/>
      <c r="Z416" s="677"/>
      <c r="AA416" s="677"/>
      <c r="AB416" s="677"/>
      <c r="AC416" s="677"/>
      <c r="AD416" s="677"/>
    </row>
    <row r="417">
      <c r="A417" s="673"/>
      <c r="B417" s="708"/>
      <c r="C417" s="852"/>
      <c r="D417" s="704"/>
      <c r="E417" s="821"/>
      <c r="F417" s="821"/>
      <c r="G417" s="821"/>
      <c r="H417" s="821"/>
      <c r="I417" s="821"/>
      <c r="J417" s="821"/>
      <c r="K417" s="821"/>
      <c r="L417" s="821"/>
      <c r="M417" s="677"/>
      <c r="N417" s="821"/>
      <c r="O417" s="821"/>
      <c r="P417" s="677"/>
      <c r="Q417" s="677"/>
      <c r="R417" s="677"/>
      <c r="S417" s="677"/>
      <c r="T417" s="677"/>
      <c r="U417" s="677"/>
      <c r="V417" s="677"/>
      <c r="W417" s="677"/>
      <c r="X417" s="677"/>
      <c r="Y417" s="677"/>
      <c r="Z417" s="677"/>
      <c r="AA417" s="677"/>
      <c r="AB417" s="677"/>
      <c r="AC417" s="677"/>
      <c r="AD417" s="677"/>
    </row>
    <row r="418">
      <c r="A418" s="673"/>
      <c r="B418" s="708"/>
      <c r="C418" s="852"/>
      <c r="D418" s="704"/>
      <c r="E418" s="821"/>
      <c r="F418" s="821"/>
      <c r="G418" s="821"/>
      <c r="H418" s="821"/>
      <c r="I418" s="821"/>
      <c r="J418" s="821"/>
      <c r="K418" s="821"/>
      <c r="L418" s="821"/>
      <c r="M418" s="677"/>
      <c r="N418" s="821"/>
      <c r="O418" s="821"/>
      <c r="P418" s="677"/>
      <c r="Q418" s="677"/>
      <c r="R418" s="677"/>
      <c r="S418" s="677"/>
      <c r="T418" s="677"/>
      <c r="U418" s="677"/>
      <c r="V418" s="677"/>
      <c r="W418" s="677"/>
      <c r="X418" s="677"/>
      <c r="Y418" s="677"/>
      <c r="Z418" s="677"/>
      <c r="AA418" s="677"/>
      <c r="AB418" s="677"/>
      <c r="AC418" s="677"/>
      <c r="AD418" s="677"/>
    </row>
    <row r="419">
      <c r="A419" s="673"/>
      <c r="B419" s="708"/>
      <c r="C419" s="852"/>
      <c r="D419" s="704"/>
      <c r="E419" s="821"/>
      <c r="F419" s="821"/>
      <c r="G419" s="821"/>
      <c r="H419" s="821"/>
      <c r="I419" s="821"/>
      <c r="J419" s="821"/>
      <c r="K419" s="821"/>
      <c r="L419" s="821"/>
      <c r="M419" s="677"/>
      <c r="N419" s="821"/>
      <c r="O419" s="821"/>
      <c r="P419" s="677"/>
      <c r="Q419" s="677"/>
      <c r="R419" s="677"/>
      <c r="S419" s="677"/>
      <c r="T419" s="677"/>
      <c r="U419" s="677"/>
      <c r="V419" s="677"/>
      <c r="W419" s="677"/>
      <c r="X419" s="677"/>
      <c r="Y419" s="677"/>
      <c r="Z419" s="677"/>
      <c r="AA419" s="677"/>
      <c r="AB419" s="677"/>
      <c r="AC419" s="677"/>
      <c r="AD419" s="677"/>
    </row>
    <row r="420">
      <c r="A420" s="673"/>
      <c r="B420" s="708"/>
      <c r="C420" s="852"/>
      <c r="D420" s="704"/>
      <c r="E420" s="821"/>
      <c r="F420" s="821"/>
      <c r="G420" s="821"/>
      <c r="H420" s="821"/>
      <c r="I420" s="821"/>
      <c r="J420" s="821"/>
      <c r="K420" s="821"/>
      <c r="L420" s="821"/>
      <c r="M420" s="677"/>
      <c r="N420" s="821"/>
      <c r="O420" s="821"/>
      <c r="P420" s="677"/>
      <c r="Q420" s="677"/>
      <c r="R420" s="677"/>
      <c r="S420" s="677"/>
      <c r="T420" s="677"/>
      <c r="U420" s="677"/>
      <c r="V420" s="677"/>
      <c r="W420" s="677"/>
      <c r="X420" s="677"/>
      <c r="Y420" s="677"/>
      <c r="Z420" s="677"/>
      <c r="AA420" s="677"/>
      <c r="AB420" s="677"/>
      <c r="AC420" s="677"/>
      <c r="AD420" s="677"/>
    </row>
    <row r="421">
      <c r="A421" s="673"/>
      <c r="B421" s="708"/>
      <c r="C421" s="852"/>
      <c r="D421" s="704"/>
      <c r="E421" s="821"/>
      <c r="F421" s="821"/>
      <c r="G421" s="821"/>
      <c r="H421" s="821"/>
      <c r="I421" s="821"/>
      <c r="J421" s="821"/>
      <c r="K421" s="821"/>
      <c r="L421" s="821"/>
      <c r="M421" s="677"/>
      <c r="N421" s="821"/>
      <c r="O421" s="821"/>
      <c r="P421" s="677"/>
      <c r="Q421" s="677"/>
      <c r="R421" s="677"/>
      <c r="S421" s="677"/>
      <c r="T421" s="677"/>
      <c r="U421" s="677"/>
      <c r="V421" s="677"/>
      <c r="W421" s="677"/>
      <c r="X421" s="677"/>
      <c r="Y421" s="677"/>
      <c r="Z421" s="677"/>
      <c r="AA421" s="677"/>
      <c r="AB421" s="677"/>
      <c r="AC421" s="677"/>
      <c r="AD421" s="677"/>
    </row>
    <row r="422">
      <c r="A422" s="673"/>
      <c r="B422" s="708"/>
      <c r="C422" s="852"/>
      <c r="D422" s="704"/>
      <c r="E422" s="821"/>
      <c r="F422" s="821"/>
      <c r="G422" s="821"/>
      <c r="H422" s="821"/>
      <c r="I422" s="821"/>
      <c r="J422" s="821"/>
      <c r="K422" s="821"/>
      <c r="L422" s="821"/>
      <c r="M422" s="677"/>
      <c r="N422" s="821"/>
      <c r="O422" s="821"/>
      <c r="P422" s="677"/>
      <c r="Q422" s="677"/>
      <c r="R422" s="677"/>
      <c r="S422" s="677"/>
      <c r="T422" s="677"/>
      <c r="U422" s="677"/>
      <c r="V422" s="677"/>
      <c r="W422" s="677"/>
      <c r="X422" s="677"/>
      <c r="Y422" s="677"/>
      <c r="Z422" s="677"/>
      <c r="AA422" s="677"/>
      <c r="AB422" s="677"/>
      <c r="AC422" s="677"/>
      <c r="AD422" s="677"/>
    </row>
    <row r="423">
      <c r="A423" s="673"/>
      <c r="B423" s="708"/>
      <c r="C423" s="852"/>
      <c r="D423" s="704"/>
      <c r="E423" s="821"/>
      <c r="F423" s="821"/>
      <c r="G423" s="821"/>
      <c r="H423" s="821"/>
      <c r="I423" s="821"/>
      <c r="J423" s="821"/>
      <c r="K423" s="821"/>
      <c r="L423" s="821"/>
      <c r="M423" s="677"/>
      <c r="N423" s="821"/>
      <c r="O423" s="821"/>
      <c r="P423" s="677"/>
      <c r="Q423" s="677"/>
      <c r="R423" s="677"/>
      <c r="S423" s="677"/>
      <c r="T423" s="677"/>
      <c r="U423" s="677"/>
      <c r="V423" s="677"/>
      <c r="W423" s="677"/>
      <c r="X423" s="677"/>
      <c r="Y423" s="677"/>
      <c r="Z423" s="677"/>
      <c r="AA423" s="677"/>
      <c r="AB423" s="677"/>
      <c r="AC423" s="677"/>
      <c r="AD423" s="677"/>
    </row>
    <row r="424">
      <c r="A424" s="673"/>
      <c r="B424" s="708"/>
      <c r="C424" s="852"/>
      <c r="D424" s="704"/>
      <c r="E424" s="821"/>
      <c r="F424" s="821"/>
      <c r="G424" s="821"/>
      <c r="H424" s="821"/>
      <c r="I424" s="821"/>
      <c r="J424" s="821"/>
      <c r="K424" s="821"/>
      <c r="L424" s="821"/>
      <c r="M424" s="677"/>
      <c r="N424" s="821"/>
      <c r="O424" s="821"/>
      <c r="P424" s="677"/>
      <c r="Q424" s="677"/>
      <c r="R424" s="677"/>
      <c r="S424" s="677"/>
      <c r="T424" s="677"/>
      <c r="U424" s="677"/>
      <c r="V424" s="677"/>
      <c r="W424" s="677"/>
      <c r="X424" s="677"/>
      <c r="Y424" s="677"/>
      <c r="Z424" s="677"/>
      <c r="AA424" s="677"/>
      <c r="AB424" s="677"/>
      <c r="AC424" s="677"/>
      <c r="AD424" s="677"/>
    </row>
    <row r="425">
      <c r="A425" s="673"/>
      <c r="B425" s="708"/>
      <c r="C425" s="852"/>
      <c r="D425" s="704"/>
      <c r="E425" s="821"/>
      <c r="F425" s="821"/>
      <c r="G425" s="821"/>
      <c r="H425" s="821"/>
      <c r="I425" s="821"/>
      <c r="J425" s="821"/>
      <c r="K425" s="821"/>
      <c r="L425" s="821"/>
      <c r="M425" s="677"/>
      <c r="N425" s="821"/>
      <c r="O425" s="821"/>
      <c r="P425" s="677"/>
      <c r="Q425" s="677"/>
      <c r="R425" s="677"/>
      <c r="S425" s="677"/>
      <c r="T425" s="677"/>
      <c r="U425" s="677"/>
      <c r="V425" s="677"/>
      <c r="W425" s="677"/>
      <c r="X425" s="677"/>
      <c r="Y425" s="677"/>
      <c r="Z425" s="677"/>
      <c r="AA425" s="677"/>
      <c r="AB425" s="677"/>
      <c r="AC425" s="677"/>
      <c r="AD425" s="677"/>
    </row>
    <row r="426">
      <c r="A426" s="673"/>
      <c r="B426" s="708"/>
      <c r="C426" s="852"/>
      <c r="D426" s="704"/>
      <c r="E426" s="821"/>
      <c r="F426" s="821"/>
      <c r="G426" s="821"/>
      <c r="H426" s="821"/>
      <c r="I426" s="821"/>
      <c r="J426" s="821"/>
      <c r="K426" s="821"/>
      <c r="L426" s="821"/>
      <c r="M426" s="677"/>
      <c r="N426" s="821"/>
      <c r="O426" s="821"/>
      <c r="P426" s="677"/>
      <c r="Q426" s="677"/>
      <c r="R426" s="677"/>
      <c r="S426" s="677"/>
      <c r="T426" s="677"/>
      <c r="U426" s="677"/>
      <c r="V426" s="677"/>
      <c r="W426" s="677"/>
      <c r="X426" s="677"/>
      <c r="Y426" s="677"/>
      <c r="Z426" s="677"/>
      <c r="AA426" s="677"/>
      <c r="AB426" s="677"/>
      <c r="AC426" s="677"/>
      <c r="AD426" s="677"/>
    </row>
    <row r="427">
      <c r="A427" s="673"/>
      <c r="B427" s="708"/>
      <c r="C427" s="852"/>
      <c r="D427" s="704"/>
      <c r="E427" s="821"/>
      <c r="F427" s="821"/>
      <c r="G427" s="821"/>
      <c r="H427" s="821"/>
      <c r="I427" s="821"/>
      <c r="J427" s="821"/>
      <c r="K427" s="821"/>
      <c r="L427" s="821"/>
      <c r="M427" s="677"/>
      <c r="N427" s="821"/>
      <c r="O427" s="821"/>
      <c r="P427" s="677"/>
      <c r="Q427" s="677"/>
      <c r="R427" s="677"/>
      <c r="S427" s="677"/>
      <c r="T427" s="677"/>
      <c r="U427" s="677"/>
      <c r="V427" s="677"/>
      <c r="W427" s="677"/>
      <c r="X427" s="677"/>
      <c r="Y427" s="677"/>
      <c r="Z427" s="677"/>
      <c r="AA427" s="677"/>
      <c r="AB427" s="677"/>
      <c r="AC427" s="677"/>
      <c r="AD427" s="677"/>
    </row>
    <row r="428">
      <c r="A428" s="673"/>
      <c r="B428" s="708"/>
      <c r="C428" s="852"/>
      <c r="D428" s="704"/>
      <c r="E428" s="821"/>
      <c r="F428" s="821"/>
      <c r="G428" s="821"/>
      <c r="H428" s="821"/>
      <c r="I428" s="821"/>
      <c r="J428" s="821"/>
      <c r="K428" s="821"/>
      <c r="L428" s="821"/>
      <c r="M428" s="677"/>
      <c r="N428" s="821"/>
      <c r="O428" s="821"/>
      <c r="P428" s="677"/>
      <c r="Q428" s="677"/>
      <c r="R428" s="677"/>
      <c r="S428" s="677"/>
      <c r="T428" s="677"/>
      <c r="U428" s="677"/>
      <c r="V428" s="677"/>
      <c r="W428" s="677"/>
      <c r="X428" s="677"/>
      <c r="Y428" s="677"/>
      <c r="Z428" s="677"/>
      <c r="AA428" s="677"/>
      <c r="AB428" s="677"/>
      <c r="AC428" s="677"/>
      <c r="AD428" s="677"/>
    </row>
    <row r="429">
      <c r="A429" s="673"/>
      <c r="B429" s="708"/>
      <c r="C429" s="852"/>
      <c r="D429" s="704"/>
      <c r="E429" s="821"/>
      <c r="F429" s="821"/>
      <c r="G429" s="821"/>
      <c r="H429" s="821"/>
      <c r="I429" s="821"/>
      <c r="J429" s="821"/>
      <c r="K429" s="821"/>
      <c r="L429" s="821"/>
      <c r="M429" s="677"/>
      <c r="N429" s="821"/>
      <c r="O429" s="821"/>
      <c r="P429" s="677"/>
      <c r="Q429" s="677"/>
      <c r="R429" s="677"/>
      <c r="S429" s="677"/>
      <c r="T429" s="677"/>
      <c r="U429" s="677"/>
      <c r="V429" s="677"/>
      <c r="W429" s="677"/>
      <c r="X429" s="677"/>
      <c r="Y429" s="677"/>
      <c r="Z429" s="677"/>
      <c r="AA429" s="677"/>
      <c r="AB429" s="677"/>
      <c r="AC429" s="677"/>
      <c r="AD429" s="677"/>
    </row>
    <row r="430">
      <c r="A430" s="673"/>
      <c r="B430" s="708"/>
      <c r="C430" s="852"/>
      <c r="D430" s="704"/>
      <c r="E430" s="821"/>
      <c r="F430" s="821"/>
      <c r="G430" s="821"/>
      <c r="H430" s="821"/>
      <c r="I430" s="821"/>
      <c r="J430" s="821"/>
      <c r="K430" s="821"/>
      <c r="L430" s="821"/>
      <c r="M430" s="677"/>
      <c r="N430" s="821"/>
      <c r="O430" s="821"/>
      <c r="P430" s="677"/>
      <c r="Q430" s="677"/>
      <c r="R430" s="677"/>
      <c r="S430" s="677"/>
      <c r="T430" s="677"/>
      <c r="U430" s="677"/>
      <c r="V430" s="677"/>
      <c r="W430" s="677"/>
      <c r="X430" s="677"/>
      <c r="Y430" s="677"/>
      <c r="Z430" s="677"/>
      <c r="AA430" s="677"/>
      <c r="AB430" s="677"/>
      <c r="AC430" s="677"/>
      <c r="AD430" s="677"/>
    </row>
    <row r="431">
      <c r="A431" s="673"/>
      <c r="B431" s="708"/>
      <c r="C431" s="852"/>
      <c r="D431" s="704"/>
      <c r="E431" s="821"/>
      <c r="F431" s="821"/>
      <c r="G431" s="821"/>
      <c r="H431" s="821"/>
      <c r="I431" s="821"/>
      <c r="J431" s="821"/>
      <c r="K431" s="821"/>
      <c r="L431" s="821"/>
      <c r="M431" s="677"/>
      <c r="N431" s="821"/>
      <c r="O431" s="821"/>
      <c r="P431" s="677"/>
      <c r="Q431" s="677"/>
      <c r="R431" s="677"/>
      <c r="S431" s="677"/>
      <c r="T431" s="677"/>
      <c r="U431" s="677"/>
      <c r="V431" s="677"/>
      <c r="W431" s="677"/>
      <c r="X431" s="677"/>
      <c r="Y431" s="677"/>
      <c r="Z431" s="677"/>
      <c r="AA431" s="677"/>
      <c r="AB431" s="677"/>
      <c r="AC431" s="677"/>
      <c r="AD431" s="677"/>
    </row>
    <row r="432">
      <c r="A432" s="673"/>
      <c r="B432" s="708"/>
      <c r="C432" s="852"/>
      <c r="D432" s="704"/>
      <c r="E432" s="821"/>
      <c r="F432" s="821"/>
      <c r="G432" s="821"/>
      <c r="H432" s="821"/>
      <c r="I432" s="821"/>
      <c r="J432" s="821"/>
      <c r="K432" s="821"/>
      <c r="L432" s="821"/>
      <c r="M432" s="677"/>
      <c r="N432" s="821"/>
      <c r="O432" s="821"/>
      <c r="P432" s="677"/>
      <c r="Q432" s="677"/>
      <c r="R432" s="677"/>
      <c r="S432" s="677"/>
      <c r="T432" s="677"/>
      <c r="U432" s="677"/>
      <c r="V432" s="677"/>
      <c r="W432" s="677"/>
      <c r="X432" s="677"/>
      <c r="Y432" s="677"/>
      <c r="Z432" s="677"/>
      <c r="AA432" s="677"/>
      <c r="AB432" s="677"/>
      <c r="AC432" s="677"/>
      <c r="AD432" s="677"/>
    </row>
    <row r="433">
      <c r="A433" s="673"/>
      <c r="B433" s="708"/>
      <c r="C433" s="852"/>
      <c r="D433" s="704"/>
      <c r="E433" s="821"/>
      <c r="F433" s="821"/>
      <c r="G433" s="821"/>
      <c r="H433" s="821"/>
      <c r="I433" s="821"/>
      <c r="J433" s="821"/>
      <c r="K433" s="821"/>
      <c r="L433" s="821"/>
      <c r="M433" s="677"/>
      <c r="N433" s="821"/>
      <c r="O433" s="821"/>
      <c r="P433" s="677"/>
      <c r="Q433" s="677"/>
      <c r="R433" s="677"/>
      <c r="S433" s="677"/>
      <c r="T433" s="677"/>
      <c r="U433" s="677"/>
      <c r="V433" s="677"/>
      <c r="W433" s="677"/>
      <c r="X433" s="677"/>
      <c r="Y433" s="677"/>
      <c r="Z433" s="677"/>
      <c r="AA433" s="677"/>
      <c r="AB433" s="677"/>
      <c r="AC433" s="677"/>
      <c r="AD433" s="677"/>
    </row>
    <row r="434">
      <c r="A434" s="673"/>
      <c r="B434" s="708"/>
      <c r="C434" s="852"/>
      <c r="D434" s="704"/>
      <c r="E434" s="821"/>
      <c r="F434" s="821"/>
      <c r="G434" s="821"/>
      <c r="H434" s="821"/>
      <c r="I434" s="821"/>
      <c r="J434" s="821"/>
      <c r="K434" s="821"/>
      <c r="L434" s="821"/>
      <c r="M434" s="677"/>
      <c r="N434" s="821"/>
      <c r="O434" s="821"/>
      <c r="P434" s="677"/>
      <c r="Q434" s="677"/>
      <c r="R434" s="677"/>
      <c r="S434" s="677"/>
      <c r="T434" s="677"/>
      <c r="U434" s="677"/>
      <c r="V434" s="677"/>
      <c r="W434" s="677"/>
      <c r="X434" s="677"/>
      <c r="Y434" s="677"/>
      <c r="Z434" s="677"/>
      <c r="AA434" s="677"/>
      <c r="AB434" s="677"/>
      <c r="AC434" s="677"/>
      <c r="AD434" s="677"/>
    </row>
    <row r="435">
      <c r="A435" s="673"/>
      <c r="B435" s="708"/>
      <c r="C435" s="852"/>
      <c r="D435" s="704"/>
      <c r="E435" s="821"/>
      <c r="F435" s="821"/>
      <c r="G435" s="821"/>
      <c r="H435" s="821"/>
      <c r="I435" s="821"/>
      <c r="J435" s="821"/>
      <c r="K435" s="821"/>
      <c r="L435" s="821"/>
      <c r="M435" s="677"/>
      <c r="N435" s="821"/>
      <c r="O435" s="821"/>
      <c r="P435" s="677"/>
      <c r="Q435" s="677"/>
      <c r="R435" s="677"/>
      <c r="S435" s="677"/>
      <c r="T435" s="677"/>
      <c r="U435" s="677"/>
      <c r="V435" s="677"/>
      <c r="W435" s="677"/>
      <c r="X435" s="677"/>
      <c r="Y435" s="677"/>
      <c r="Z435" s="677"/>
      <c r="AA435" s="677"/>
      <c r="AB435" s="677"/>
      <c r="AC435" s="677"/>
      <c r="AD435" s="677"/>
    </row>
    <row r="436">
      <c r="A436" s="673"/>
      <c r="B436" s="708"/>
      <c r="C436" s="852"/>
      <c r="D436" s="704"/>
      <c r="E436" s="821"/>
      <c r="F436" s="821"/>
      <c r="G436" s="821"/>
      <c r="H436" s="821"/>
      <c r="I436" s="821"/>
      <c r="J436" s="821"/>
      <c r="K436" s="821"/>
      <c r="L436" s="821"/>
      <c r="M436" s="677"/>
      <c r="N436" s="821"/>
      <c r="O436" s="821"/>
      <c r="P436" s="677"/>
      <c r="Q436" s="677"/>
      <c r="R436" s="677"/>
      <c r="S436" s="677"/>
      <c r="T436" s="677"/>
      <c r="U436" s="677"/>
      <c r="V436" s="677"/>
      <c r="W436" s="677"/>
      <c r="X436" s="677"/>
      <c r="Y436" s="677"/>
      <c r="Z436" s="677"/>
      <c r="AA436" s="677"/>
      <c r="AB436" s="677"/>
      <c r="AC436" s="677"/>
      <c r="AD436" s="677"/>
    </row>
    <row r="437">
      <c r="A437" s="673"/>
      <c r="B437" s="708"/>
      <c r="C437" s="852"/>
      <c r="D437" s="704"/>
      <c r="E437" s="821"/>
      <c r="F437" s="821"/>
      <c r="G437" s="821"/>
      <c r="H437" s="821"/>
      <c r="I437" s="821"/>
      <c r="J437" s="821"/>
      <c r="K437" s="821"/>
      <c r="L437" s="821"/>
      <c r="M437" s="677"/>
      <c r="N437" s="821"/>
      <c r="O437" s="821"/>
      <c r="P437" s="677"/>
      <c r="Q437" s="677"/>
      <c r="R437" s="677"/>
      <c r="S437" s="677"/>
      <c r="T437" s="677"/>
      <c r="U437" s="677"/>
      <c r="V437" s="677"/>
      <c r="W437" s="677"/>
      <c r="X437" s="677"/>
      <c r="Y437" s="677"/>
      <c r="Z437" s="677"/>
      <c r="AA437" s="677"/>
      <c r="AB437" s="677"/>
      <c r="AC437" s="677"/>
      <c r="AD437" s="677"/>
    </row>
    <row r="438">
      <c r="A438" s="673"/>
      <c r="B438" s="708"/>
      <c r="C438" s="852"/>
      <c r="D438" s="704"/>
      <c r="E438" s="821"/>
      <c r="F438" s="821"/>
      <c r="G438" s="821"/>
      <c r="H438" s="821"/>
      <c r="I438" s="821"/>
      <c r="J438" s="821"/>
      <c r="K438" s="821"/>
      <c r="L438" s="821"/>
      <c r="M438" s="677"/>
      <c r="N438" s="821"/>
      <c r="O438" s="821"/>
      <c r="P438" s="677"/>
      <c r="Q438" s="677"/>
      <c r="R438" s="677"/>
      <c r="S438" s="677"/>
      <c r="T438" s="677"/>
      <c r="U438" s="677"/>
      <c r="V438" s="677"/>
      <c r="W438" s="677"/>
      <c r="X438" s="677"/>
      <c r="Y438" s="677"/>
      <c r="Z438" s="677"/>
      <c r="AA438" s="677"/>
      <c r="AB438" s="677"/>
      <c r="AC438" s="677"/>
      <c r="AD438" s="677"/>
    </row>
    <row r="439">
      <c r="A439" s="673"/>
      <c r="B439" s="708"/>
      <c r="C439" s="852"/>
      <c r="D439" s="704"/>
      <c r="E439" s="821"/>
      <c r="F439" s="821"/>
      <c r="G439" s="821"/>
      <c r="H439" s="821"/>
      <c r="I439" s="821"/>
      <c r="J439" s="821"/>
      <c r="K439" s="821"/>
      <c r="L439" s="821"/>
      <c r="M439" s="677"/>
      <c r="N439" s="821"/>
      <c r="O439" s="821"/>
      <c r="P439" s="677"/>
      <c r="Q439" s="677"/>
      <c r="R439" s="677"/>
      <c r="S439" s="677"/>
      <c r="T439" s="677"/>
      <c r="U439" s="677"/>
      <c r="V439" s="677"/>
      <c r="W439" s="677"/>
      <c r="X439" s="677"/>
      <c r="Y439" s="677"/>
      <c r="Z439" s="677"/>
      <c r="AA439" s="677"/>
      <c r="AB439" s="677"/>
      <c r="AC439" s="677"/>
      <c r="AD439" s="677"/>
    </row>
    <row r="440">
      <c r="A440" s="673"/>
      <c r="B440" s="708"/>
      <c r="C440" s="852"/>
      <c r="D440" s="704"/>
      <c r="E440" s="821"/>
      <c r="F440" s="821"/>
      <c r="G440" s="821"/>
      <c r="H440" s="821"/>
      <c r="I440" s="821"/>
      <c r="J440" s="821"/>
      <c r="K440" s="821"/>
      <c r="L440" s="821"/>
      <c r="M440" s="677"/>
      <c r="N440" s="821"/>
      <c r="O440" s="821"/>
      <c r="P440" s="677"/>
      <c r="Q440" s="677"/>
      <c r="R440" s="677"/>
      <c r="S440" s="677"/>
      <c r="T440" s="677"/>
      <c r="U440" s="677"/>
      <c r="V440" s="677"/>
      <c r="W440" s="677"/>
      <c r="X440" s="677"/>
      <c r="Y440" s="677"/>
      <c r="Z440" s="677"/>
      <c r="AA440" s="677"/>
      <c r="AB440" s="677"/>
      <c r="AC440" s="677"/>
      <c r="AD440" s="677"/>
    </row>
    <row r="441">
      <c r="A441" s="673"/>
      <c r="B441" s="708"/>
      <c r="C441" s="852"/>
      <c r="D441" s="704"/>
      <c r="E441" s="821"/>
      <c r="F441" s="821"/>
      <c r="G441" s="821"/>
      <c r="H441" s="821"/>
      <c r="I441" s="821"/>
      <c r="J441" s="821"/>
      <c r="K441" s="821"/>
      <c r="L441" s="821"/>
      <c r="M441" s="677"/>
      <c r="N441" s="821"/>
      <c r="O441" s="821"/>
      <c r="P441" s="677"/>
      <c r="Q441" s="677"/>
      <c r="R441" s="677"/>
      <c r="S441" s="677"/>
      <c r="T441" s="677"/>
      <c r="U441" s="677"/>
      <c r="V441" s="677"/>
      <c r="W441" s="677"/>
      <c r="X441" s="677"/>
      <c r="Y441" s="677"/>
      <c r="Z441" s="677"/>
      <c r="AA441" s="677"/>
      <c r="AB441" s="677"/>
      <c r="AC441" s="677"/>
      <c r="AD441" s="677"/>
    </row>
    <row r="442">
      <c r="A442" s="673"/>
      <c r="B442" s="708"/>
      <c r="C442" s="852"/>
      <c r="D442" s="704"/>
      <c r="E442" s="821"/>
      <c r="F442" s="821"/>
      <c r="G442" s="821"/>
      <c r="H442" s="821"/>
      <c r="I442" s="821"/>
      <c r="J442" s="821"/>
      <c r="K442" s="821"/>
      <c r="L442" s="821"/>
      <c r="M442" s="677"/>
      <c r="N442" s="821"/>
      <c r="O442" s="821"/>
      <c r="P442" s="677"/>
      <c r="Q442" s="677"/>
      <c r="R442" s="677"/>
      <c r="S442" s="677"/>
      <c r="T442" s="677"/>
      <c r="U442" s="677"/>
      <c r="V442" s="677"/>
      <c r="W442" s="677"/>
      <c r="X442" s="677"/>
      <c r="Y442" s="677"/>
      <c r="Z442" s="677"/>
      <c r="AA442" s="677"/>
      <c r="AB442" s="677"/>
      <c r="AC442" s="677"/>
      <c r="AD442" s="677"/>
    </row>
    <row r="443">
      <c r="A443" s="673"/>
      <c r="B443" s="708"/>
      <c r="C443" s="852"/>
      <c r="D443" s="704"/>
      <c r="E443" s="821"/>
      <c r="F443" s="821"/>
      <c r="G443" s="821"/>
      <c r="H443" s="821"/>
      <c r="I443" s="821"/>
      <c r="J443" s="821"/>
      <c r="K443" s="821"/>
      <c r="L443" s="821"/>
      <c r="M443" s="677"/>
      <c r="N443" s="821"/>
      <c r="O443" s="821"/>
      <c r="P443" s="677"/>
      <c r="Q443" s="677"/>
      <c r="R443" s="677"/>
      <c r="S443" s="677"/>
      <c r="T443" s="677"/>
      <c r="U443" s="677"/>
      <c r="V443" s="677"/>
      <c r="W443" s="677"/>
      <c r="X443" s="677"/>
      <c r="Y443" s="677"/>
      <c r="Z443" s="677"/>
      <c r="AA443" s="677"/>
      <c r="AB443" s="677"/>
      <c r="AC443" s="677"/>
      <c r="AD443" s="677"/>
    </row>
    <row r="444">
      <c r="A444" s="673"/>
      <c r="B444" s="708"/>
      <c r="C444" s="852"/>
      <c r="D444" s="704"/>
      <c r="E444" s="821"/>
      <c r="F444" s="821"/>
      <c r="G444" s="821"/>
      <c r="H444" s="821"/>
      <c r="I444" s="821"/>
      <c r="J444" s="821"/>
      <c r="K444" s="821"/>
      <c r="L444" s="821"/>
      <c r="M444" s="677"/>
      <c r="N444" s="821"/>
      <c r="O444" s="821"/>
      <c r="P444" s="677"/>
      <c r="Q444" s="677"/>
      <c r="R444" s="677"/>
      <c r="S444" s="677"/>
      <c r="T444" s="677"/>
      <c r="U444" s="677"/>
      <c r="V444" s="677"/>
      <c r="W444" s="677"/>
      <c r="X444" s="677"/>
      <c r="Y444" s="677"/>
      <c r="Z444" s="677"/>
      <c r="AA444" s="677"/>
      <c r="AB444" s="677"/>
      <c r="AC444" s="677"/>
      <c r="AD444" s="677"/>
    </row>
    <row r="445">
      <c r="A445" s="673"/>
      <c r="B445" s="708"/>
      <c r="C445" s="852"/>
      <c r="D445" s="704"/>
      <c r="E445" s="821"/>
      <c r="F445" s="821"/>
      <c r="G445" s="821"/>
      <c r="H445" s="821"/>
      <c r="I445" s="821"/>
      <c r="J445" s="821"/>
      <c r="K445" s="821"/>
      <c r="L445" s="821"/>
      <c r="M445" s="677"/>
      <c r="N445" s="821"/>
      <c r="O445" s="821"/>
      <c r="P445" s="677"/>
      <c r="Q445" s="677"/>
      <c r="R445" s="677"/>
      <c r="S445" s="677"/>
      <c r="T445" s="677"/>
      <c r="U445" s="677"/>
      <c r="V445" s="677"/>
      <c r="W445" s="677"/>
      <c r="X445" s="677"/>
      <c r="Y445" s="677"/>
      <c r="Z445" s="677"/>
      <c r="AA445" s="677"/>
      <c r="AB445" s="677"/>
      <c r="AC445" s="677"/>
      <c r="AD445" s="677"/>
    </row>
    <row r="446">
      <c r="A446" s="673"/>
      <c r="B446" s="708"/>
      <c r="C446" s="852"/>
      <c r="D446" s="704"/>
      <c r="E446" s="821"/>
      <c r="F446" s="821"/>
      <c r="G446" s="821"/>
      <c r="H446" s="821"/>
      <c r="I446" s="821"/>
      <c r="J446" s="821"/>
      <c r="K446" s="821"/>
      <c r="L446" s="821"/>
      <c r="M446" s="677"/>
      <c r="N446" s="821"/>
      <c r="O446" s="821"/>
      <c r="P446" s="677"/>
      <c r="Q446" s="677"/>
      <c r="R446" s="677"/>
      <c r="S446" s="677"/>
      <c r="T446" s="677"/>
      <c r="U446" s="677"/>
      <c r="V446" s="677"/>
      <c r="W446" s="677"/>
      <c r="X446" s="677"/>
      <c r="Y446" s="677"/>
      <c r="Z446" s="677"/>
      <c r="AA446" s="677"/>
      <c r="AB446" s="677"/>
      <c r="AC446" s="677"/>
      <c r="AD446" s="677"/>
    </row>
    <row r="447">
      <c r="A447" s="673"/>
      <c r="B447" s="708"/>
      <c r="C447" s="852"/>
      <c r="D447" s="704"/>
      <c r="E447" s="821"/>
      <c r="F447" s="821"/>
      <c r="G447" s="821"/>
      <c r="H447" s="821"/>
      <c r="I447" s="821"/>
      <c r="J447" s="821"/>
      <c r="K447" s="821"/>
      <c r="L447" s="821"/>
      <c r="M447" s="677"/>
      <c r="N447" s="821"/>
      <c r="O447" s="821"/>
      <c r="P447" s="677"/>
      <c r="Q447" s="677"/>
      <c r="R447" s="677"/>
      <c r="S447" s="677"/>
      <c r="T447" s="677"/>
      <c r="U447" s="677"/>
      <c r="V447" s="677"/>
      <c r="W447" s="677"/>
      <c r="X447" s="677"/>
      <c r="Y447" s="677"/>
      <c r="Z447" s="677"/>
      <c r="AA447" s="677"/>
      <c r="AB447" s="677"/>
      <c r="AC447" s="677"/>
      <c r="AD447" s="677"/>
    </row>
    <row r="448">
      <c r="A448" s="673"/>
      <c r="B448" s="708"/>
      <c r="C448" s="852"/>
      <c r="D448" s="704"/>
      <c r="E448" s="821"/>
      <c r="F448" s="821"/>
      <c r="G448" s="821"/>
      <c r="H448" s="821"/>
      <c r="I448" s="821"/>
      <c r="J448" s="821"/>
      <c r="K448" s="821"/>
      <c r="L448" s="821"/>
      <c r="M448" s="677"/>
      <c r="N448" s="821"/>
      <c r="O448" s="821"/>
      <c r="P448" s="677"/>
      <c r="Q448" s="677"/>
      <c r="R448" s="677"/>
      <c r="S448" s="677"/>
      <c r="T448" s="677"/>
      <c r="U448" s="677"/>
      <c r="V448" s="677"/>
      <c r="W448" s="677"/>
      <c r="X448" s="677"/>
      <c r="Y448" s="677"/>
      <c r="Z448" s="677"/>
      <c r="AA448" s="677"/>
      <c r="AB448" s="677"/>
      <c r="AC448" s="677"/>
      <c r="AD448" s="677"/>
    </row>
    <row r="449">
      <c r="A449" s="673"/>
      <c r="B449" s="708"/>
      <c r="C449" s="852"/>
      <c r="D449" s="704"/>
      <c r="E449" s="821"/>
      <c r="F449" s="821"/>
      <c r="G449" s="821"/>
      <c r="H449" s="821"/>
      <c r="I449" s="821"/>
      <c r="J449" s="821"/>
      <c r="K449" s="821"/>
      <c r="L449" s="821"/>
      <c r="M449" s="677"/>
      <c r="N449" s="821"/>
      <c r="O449" s="821"/>
      <c r="P449" s="677"/>
      <c r="Q449" s="677"/>
      <c r="R449" s="677"/>
      <c r="S449" s="677"/>
      <c r="T449" s="677"/>
      <c r="U449" s="677"/>
      <c r="V449" s="677"/>
      <c r="W449" s="677"/>
      <c r="X449" s="677"/>
      <c r="Y449" s="677"/>
      <c r="Z449" s="677"/>
      <c r="AA449" s="677"/>
      <c r="AB449" s="677"/>
      <c r="AC449" s="677"/>
      <c r="AD449" s="677"/>
    </row>
    <row r="450">
      <c r="A450" s="673"/>
      <c r="B450" s="708"/>
      <c r="C450" s="852"/>
      <c r="D450" s="704"/>
      <c r="E450" s="821"/>
      <c r="F450" s="821"/>
      <c r="G450" s="821"/>
      <c r="H450" s="821"/>
      <c r="I450" s="821"/>
      <c r="J450" s="821"/>
      <c r="K450" s="821"/>
      <c r="L450" s="821"/>
      <c r="M450" s="677"/>
      <c r="N450" s="821"/>
      <c r="O450" s="821"/>
      <c r="P450" s="677"/>
      <c r="Q450" s="677"/>
      <c r="R450" s="677"/>
      <c r="S450" s="677"/>
      <c r="T450" s="677"/>
      <c r="U450" s="677"/>
      <c r="V450" s="677"/>
      <c r="W450" s="677"/>
      <c r="X450" s="677"/>
      <c r="Y450" s="677"/>
      <c r="Z450" s="677"/>
      <c r="AA450" s="677"/>
      <c r="AB450" s="677"/>
      <c r="AC450" s="677"/>
      <c r="AD450" s="677"/>
    </row>
    <row r="451">
      <c r="A451" s="673"/>
      <c r="B451" s="708"/>
      <c r="C451" s="852"/>
      <c r="D451" s="704"/>
      <c r="E451" s="821"/>
      <c r="F451" s="821"/>
      <c r="G451" s="821"/>
      <c r="H451" s="821"/>
      <c r="I451" s="821"/>
      <c r="J451" s="821"/>
      <c r="K451" s="821"/>
      <c r="L451" s="821"/>
      <c r="M451" s="677"/>
      <c r="N451" s="821"/>
      <c r="O451" s="821"/>
      <c r="P451" s="677"/>
      <c r="Q451" s="677"/>
      <c r="R451" s="677"/>
      <c r="S451" s="677"/>
      <c r="T451" s="677"/>
      <c r="U451" s="677"/>
      <c r="V451" s="677"/>
      <c r="W451" s="677"/>
      <c r="X451" s="677"/>
      <c r="Y451" s="677"/>
      <c r="Z451" s="677"/>
      <c r="AA451" s="677"/>
      <c r="AB451" s="677"/>
      <c r="AC451" s="677"/>
      <c r="AD451" s="677"/>
    </row>
    <row r="452">
      <c r="A452" s="673"/>
      <c r="B452" s="708"/>
      <c r="C452" s="852"/>
      <c r="D452" s="704"/>
      <c r="E452" s="821"/>
      <c r="F452" s="821"/>
      <c r="G452" s="821"/>
      <c r="H452" s="821"/>
      <c r="I452" s="821"/>
      <c r="J452" s="821"/>
      <c r="K452" s="821"/>
      <c r="L452" s="821"/>
      <c r="M452" s="677"/>
      <c r="N452" s="821"/>
      <c r="O452" s="821"/>
      <c r="P452" s="677"/>
      <c r="Q452" s="677"/>
      <c r="R452" s="677"/>
      <c r="S452" s="677"/>
      <c r="T452" s="677"/>
      <c r="U452" s="677"/>
      <c r="V452" s="677"/>
      <c r="W452" s="677"/>
      <c r="X452" s="677"/>
      <c r="Y452" s="677"/>
      <c r="Z452" s="677"/>
      <c r="AA452" s="677"/>
      <c r="AB452" s="677"/>
      <c r="AC452" s="677"/>
      <c r="AD452" s="677"/>
    </row>
    <row r="453">
      <c r="A453" s="673"/>
      <c r="B453" s="708"/>
      <c r="C453" s="852"/>
      <c r="D453" s="704"/>
      <c r="E453" s="821"/>
      <c r="F453" s="821"/>
      <c r="G453" s="821"/>
      <c r="H453" s="821"/>
      <c r="I453" s="821"/>
      <c r="J453" s="821"/>
      <c r="K453" s="821"/>
      <c r="L453" s="821"/>
      <c r="M453" s="677"/>
      <c r="N453" s="821"/>
      <c r="O453" s="821"/>
      <c r="P453" s="677"/>
      <c r="Q453" s="677"/>
      <c r="R453" s="677"/>
      <c r="S453" s="677"/>
      <c r="T453" s="677"/>
      <c r="U453" s="677"/>
      <c r="V453" s="677"/>
      <c r="W453" s="677"/>
      <c r="X453" s="677"/>
      <c r="Y453" s="677"/>
      <c r="Z453" s="677"/>
      <c r="AA453" s="677"/>
      <c r="AB453" s="677"/>
      <c r="AC453" s="677"/>
      <c r="AD453" s="677"/>
    </row>
    <row r="454">
      <c r="A454" s="673"/>
      <c r="B454" s="708"/>
      <c r="C454" s="852"/>
      <c r="D454" s="704"/>
      <c r="E454" s="821"/>
      <c r="F454" s="821"/>
      <c r="G454" s="821"/>
      <c r="H454" s="821"/>
      <c r="I454" s="821"/>
      <c r="J454" s="821"/>
      <c r="K454" s="821"/>
      <c r="L454" s="821"/>
      <c r="M454" s="677"/>
      <c r="N454" s="821"/>
      <c r="O454" s="821"/>
      <c r="P454" s="677"/>
      <c r="Q454" s="677"/>
      <c r="R454" s="677"/>
      <c r="S454" s="677"/>
      <c r="T454" s="677"/>
      <c r="U454" s="677"/>
      <c r="V454" s="677"/>
      <c r="W454" s="677"/>
      <c r="X454" s="677"/>
      <c r="Y454" s="677"/>
      <c r="Z454" s="677"/>
      <c r="AA454" s="677"/>
      <c r="AB454" s="677"/>
      <c r="AC454" s="677"/>
      <c r="AD454" s="677"/>
    </row>
    <row r="455">
      <c r="A455" s="673"/>
      <c r="B455" s="708"/>
      <c r="C455" s="852"/>
      <c r="D455" s="704"/>
      <c r="E455" s="821"/>
      <c r="F455" s="821"/>
      <c r="G455" s="821"/>
      <c r="H455" s="821"/>
      <c r="I455" s="821"/>
      <c r="J455" s="821"/>
      <c r="K455" s="821"/>
      <c r="L455" s="821"/>
      <c r="M455" s="677"/>
      <c r="N455" s="821"/>
      <c r="O455" s="821"/>
      <c r="P455" s="677"/>
      <c r="Q455" s="677"/>
      <c r="R455" s="677"/>
      <c r="S455" s="677"/>
      <c r="T455" s="677"/>
      <c r="U455" s="677"/>
      <c r="V455" s="677"/>
      <c r="W455" s="677"/>
      <c r="X455" s="677"/>
      <c r="Y455" s="677"/>
      <c r="Z455" s="677"/>
      <c r="AA455" s="677"/>
      <c r="AB455" s="677"/>
      <c r="AC455" s="677"/>
      <c r="AD455" s="677"/>
    </row>
    <row r="456">
      <c r="A456" s="673"/>
      <c r="B456" s="708"/>
      <c r="C456" s="852"/>
      <c r="D456" s="704"/>
      <c r="E456" s="821"/>
      <c r="F456" s="821"/>
      <c r="G456" s="821"/>
      <c r="H456" s="821"/>
      <c r="I456" s="821"/>
      <c r="J456" s="821"/>
      <c r="K456" s="821"/>
      <c r="L456" s="821"/>
      <c r="M456" s="677"/>
      <c r="N456" s="821"/>
      <c r="O456" s="821"/>
      <c r="P456" s="677"/>
      <c r="Q456" s="677"/>
      <c r="R456" s="677"/>
      <c r="S456" s="677"/>
      <c r="T456" s="677"/>
      <c r="U456" s="677"/>
      <c r="V456" s="677"/>
      <c r="W456" s="677"/>
      <c r="X456" s="677"/>
      <c r="Y456" s="677"/>
      <c r="Z456" s="677"/>
      <c r="AA456" s="677"/>
      <c r="AB456" s="677"/>
      <c r="AC456" s="677"/>
      <c r="AD456" s="677"/>
    </row>
    <row r="457">
      <c r="A457" s="673"/>
      <c r="B457" s="708"/>
      <c r="C457" s="852"/>
      <c r="D457" s="704"/>
      <c r="E457" s="821"/>
      <c r="F457" s="821"/>
      <c r="G457" s="821"/>
      <c r="H457" s="821"/>
      <c r="I457" s="821"/>
      <c r="J457" s="821"/>
      <c r="K457" s="821"/>
      <c r="L457" s="821"/>
      <c r="M457" s="677"/>
      <c r="N457" s="821"/>
      <c r="O457" s="821"/>
      <c r="P457" s="677"/>
      <c r="Q457" s="677"/>
      <c r="R457" s="677"/>
      <c r="S457" s="677"/>
      <c r="T457" s="677"/>
      <c r="U457" s="677"/>
      <c r="V457" s="677"/>
      <c r="W457" s="677"/>
      <c r="X457" s="677"/>
      <c r="Y457" s="677"/>
      <c r="Z457" s="677"/>
      <c r="AA457" s="677"/>
      <c r="AB457" s="677"/>
      <c r="AC457" s="677"/>
      <c r="AD457" s="677"/>
    </row>
    <row r="458">
      <c r="A458" s="673"/>
      <c r="B458" s="708"/>
      <c r="C458" s="852"/>
      <c r="D458" s="704"/>
      <c r="E458" s="821"/>
      <c r="F458" s="821"/>
      <c r="G458" s="821"/>
      <c r="H458" s="821"/>
      <c r="I458" s="821"/>
      <c r="J458" s="821"/>
      <c r="K458" s="821"/>
      <c r="L458" s="821"/>
      <c r="M458" s="677"/>
      <c r="N458" s="821"/>
      <c r="O458" s="821"/>
      <c r="P458" s="677"/>
      <c r="Q458" s="677"/>
      <c r="R458" s="677"/>
      <c r="S458" s="677"/>
      <c r="T458" s="677"/>
      <c r="U458" s="677"/>
      <c r="V458" s="677"/>
      <c r="W458" s="677"/>
      <c r="X458" s="677"/>
      <c r="Y458" s="677"/>
      <c r="Z458" s="677"/>
      <c r="AA458" s="677"/>
      <c r="AB458" s="677"/>
      <c r="AC458" s="677"/>
      <c r="AD458" s="677"/>
    </row>
    <row r="459">
      <c r="A459" s="673"/>
      <c r="B459" s="708"/>
      <c r="C459" s="852"/>
      <c r="D459" s="704"/>
      <c r="E459" s="821"/>
      <c r="F459" s="821"/>
      <c r="G459" s="821"/>
      <c r="H459" s="821"/>
      <c r="I459" s="821"/>
      <c r="J459" s="821"/>
      <c r="K459" s="821"/>
      <c r="L459" s="821"/>
      <c r="M459" s="677"/>
      <c r="N459" s="821"/>
      <c r="O459" s="821"/>
      <c r="P459" s="677"/>
      <c r="Q459" s="677"/>
      <c r="R459" s="677"/>
      <c r="S459" s="677"/>
      <c r="T459" s="677"/>
      <c r="U459" s="677"/>
      <c r="V459" s="677"/>
      <c r="W459" s="677"/>
      <c r="X459" s="677"/>
      <c r="Y459" s="677"/>
      <c r="Z459" s="677"/>
      <c r="AA459" s="677"/>
      <c r="AB459" s="677"/>
      <c r="AC459" s="677"/>
      <c r="AD459" s="677"/>
    </row>
    <row r="460">
      <c r="A460" s="673"/>
      <c r="B460" s="708"/>
      <c r="C460" s="852"/>
      <c r="D460" s="704"/>
      <c r="E460" s="821"/>
      <c r="F460" s="821"/>
      <c r="G460" s="821"/>
      <c r="H460" s="821"/>
      <c r="I460" s="821"/>
      <c r="J460" s="821"/>
      <c r="K460" s="821"/>
      <c r="L460" s="821"/>
      <c r="M460" s="677"/>
      <c r="N460" s="821"/>
      <c r="O460" s="821"/>
      <c r="P460" s="677"/>
      <c r="Q460" s="677"/>
      <c r="R460" s="677"/>
      <c r="S460" s="677"/>
      <c r="T460" s="677"/>
      <c r="U460" s="677"/>
      <c r="V460" s="677"/>
      <c r="W460" s="677"/>
      <c r="X460" s="677"/>
      <c r="Y460" s="677"/>
      <c r="Z460" s="677"/>
      <c r="AA460" s="677"/>
      <c r="AB460" s="677"/>
      <c r="AC460" s="677"/>
      <c r="AD460" s="677"/>
    </row>
    <row r="461">
      <c r="A461" s="673"/>
      <c r="B461" s="708"/>
      <c r="C461" s="852"/>
      <c r="D461" s="704"/>
      <c r="E461" s="821"/>
      <c r="F461" s="821"/>
      <c r="G461" s="821"/>
      <c r="H461" s="821"/>
      <c r="I461" s="821"/>
      <c r="J461" s="821"/>
      <c r="K461" s="821"/>
      <c r="L461" s="821"/>
      <c r="M461" s="677"/>
      <c r="N461" s="821"/>
      <c r="O461" s="821"/>
      <c r="P461" s="677"/>
      <c r="Q461" s="677"/>
      <c r="R461" s="677"/>
      <c r="S461" s="677"/>
      <c r="T461" s="677"/>
      <c r="U461" s="677"/>
      <c r="V461" s="677"/>
      <c r="W461" s="677"/>
      <c r="X461" s="677"/>
      <c r="Y461" s="677"/>
      <c r="Z461" s="677"/>
      <c r="AA461" s="677"/>
      <c r="AB461" s="677"/>
      <c r="AC461" s="677"/>
      <c r="AD461" s="677"/>
    </row>
    <row r="462">
      <c r="A462" s="673"/>
      <c r="B462" s="708"/>
      <c r="C462" s="852"/>
      <c r="D462" s="704"/>
      <c r="E462" s="821"/>
      <c r="F462" s="821"/>
      <c r="G462" s="821"/>
      <c r="H462" s="821"/>
      <c r="I462" s="821"/>
      <c r="J462" s="821"/>
      <c r="K462" s="821"/>
      <c r="L462" s="821"/>
      <c r="M462" s="677"/>
      <c r="N462" s="821"/>
      <c r="O462" s="821"/>
      <c r="P462" s="677"/>
      <c r="Q462" s="677"/>
      <c r="R462" s="677"/>
      <c r="S462" s="677"/>
      <c r="T462" s="677"/>
      <c r="U462" s="677"/>
      <c r="V462" s="677"/>
      <c r="W462" s="677"/>
      <c r="X462" s="677"/>
      <c r="Y462" s="677"/>
      <c r="Z462" s="677"/>
      <c r="AA462" s="677"/>
      <c r="AB462" s="677"/>
      <c r="AC462" s="677"/>
      <c r="AD462" s="677"/>
    </row>
    <row r="463">
      <c r="A463" s="673"/>
      <c r="B463" s="708"/>
      <c r="C463" s="852"/>
      <c r="D463" s="704"/>
      <c r="E463" s="821"/>
      <c r="F463" s="821"/>
      <c r="G463" s="821"/>
      <c r="H463" s="821"/>
      <c r="I463" s="821"/>
      <c r="J463" s="821"/>
      <c r="K463" s="821"/>
      <c r="L463" s="821"/>
      <c r="M463" s="677"/>
      <c r="N463" s="821"/>
      <c r="O463" s="821"/>
      <c r="P463" s="677"/>
      <c r="Q463" s="677"/>
      <c r="R463" s="677"/>
      <c r="S463" s="677"/>
      <c r="T463" s="677"/>
      <c r="U463" s="677"/>
      <c r="V463" s="677"/>
      <c r="W463" s="677"/>
      <c r="X463" s="677"/>
      <c r="Y463" s="677"/>
      <c r="Z463" s="677"/>
      <c r="AA463" s="677"/>
      <c r="AB463" s="677"/>
      <c r="AC463" s="677"/>
      <c r="AD463" s="677"/>
    </row>
    <row r="464">
      <c r="A464" s="673"/>
      <c r="B464" s="708"/>
      <c r="C464" s="852"/>
      <c r="D464" s="704"/>
      <c r="E464" s="821"/>
      <c r="F464" s="821"/>
      <c r="G464" s="821"/>
      <c r="H464" s="821"/>
      <c r="I464" s="821"/>
      <c r="J464" s="821"/>
      <c r="K464" s="821"/>
      <c r="L464" s="821"/>
      <c r="M464" s="677"/>
      <c r="N464" s="821"/>
      <c r="O464" s="821"/>
      <c r="P464" s="677"/>
      <c r="Q464" s="677"/>
      <c r="R464" s="677"/>
      <c r="S464" s="677"/>
      <c r="T464" s="677"/>
      <c r="U464" s="677"/>
      <c r="V464" s="677"/>
      <c r="W464" s="677"/>
      <c r="X464" s="677"/>
      <c r="Y464" s="677"/>
      <c r="Z464" s="677"/>
      <c r="AA464" s="677"/>
      <c r="AB464" s="677"/>
      <c r="AC464" s="677"/>
      <c r="AD464" s="677"/>
    </row>
    <row r="465">
      <c r="A465" s="673"/>
      <c r="B465" s="708"/>
      <c r="C465" s="852"/>
      <c r="D465" s="704"/>
      <c r="E465" s="821"/>
      <c r="F465" s="821"/>
      <c r="G465" s="821"/>
      <c r="H465" s="821"/>
      <c r="I465" s="821"/>
      <c r="J465" s="821"/>
      <c r="K465" s="821"/>
      <c r="L465" s="821"/>
      <c r="M465" s="677"/>
      <c r="N465" s="821"/>
      <c r="O465" s="821"/>
      <c r="P465" s="677"/>
      <c r="Q465" s="677"/>
      <c r="R465" s="677"/>
      <c r="S465" s="677"/>
      <c r="T465" s="677"/>
      <c r="U465" s="677"/>
      <c r="V465" s="677"/>
      <c r="W465" s="677"/>
      <c r="X465" s="677"/>
      <c r="Y465" s="677"/>
      <c r="Z465" s="677"/>
      <c r="AA465" s="677"/>
      <c r="AB465" s="677"/>
      <c r="AC465" s="677"/>
      <c r="AD465" s="677"/>
    </row>
    <row r="466">
      <c r="A466" s="673"/>
      <c r="B466" s="708"/>
      <c r="C466" s="852"/>
      <c r="D466" s="704"/>
      <c r="E466" s="821"/>
      <c r="F466" s="821"/>
      <c r="G466" s="821"/>
      <c r="H466" s="821"/>
      <c r="I466" s="821"/>
      <c r="J466" s="821"/>
      <c r="K466" s="821"/>
      <c r="L466" s="821"/>
      <c r="M466" s="677"/>
      <c r="N466" s="821"/>
      <c r="O466" s="821"/>
      <c r="P466" s="677"/>
      <c r="Q466" s="677"/>
      <c r="R466" s="677"/>
      <c r="S466" s="677"/>
      <c r="T466" s="677"/>
      <c r="U466" s="677"/>
      <c r="V466" s="677"/>
      <c r="W466" s="677"/>
      <c r="X466" s="677"/>
      <c r="Y466" s="677"/>
      <c r="Z466" s="677"/>
      <c r="AA466" s="677"/>
      <c r="AB466" s="677"/>
      <c r="AC466" s="677"/>
      <c r="AD466" s="677"/>
    </row>
    <row r="467">
      <c r="A467" s="673"/>
      <c r="B467" s="708"/>
      <c r="C467" s="852"/>
      <c r="D467" s="704"/>
      <c r="E467" s="821"/>
      <c r="F467" s="821"/>
      <c r="G467" s="821"/>
      <c r="H467" s="821"/>
      <c r="I467" s="821"/>
      <c r="J467" s="821"/>
      <c r="K467" s="821"/>
      <c r="L467" s="821"/>
      <c r="M467" s="677"/>
      <c r="N467" s="821"/>
      <c r="O467" s="821"/>
      <c r="P467" s="677"/>
      <c r="Q467" s="677"/>
      <c r="R467" s="677"/>
      <c r="S467" s="677"/>
      <c r="T467" s="677"/>
      <c r="U467" s="677"/>
      <c r="V467" s="677"/>
      <c r="W467" s="677"/>
      <c r="X467" s="677"/>
      <c r="Y467" s="677"/>
      <c r="Z467" s="677"/>
      <c r="AA467" s="677"/>
      <c r="AB467" s="677"/>
      <c r="AC467" s="677"/>
      <c r="AD467" s="677"/>
    </row>
    <row r="468">
      <c r="A468" s="673"/>
      <c r="B468" s="708"/>
      <c r="C468" s="852"/>
      <c r="D468" s="704"/>
      <c r="E468" s="821"/>
      <c r="F468" s="821"/>
      <c r="G468" s="821"/>
      <c r="H468" s="821"/>
      <c r="I468" s="821"/>
      <c r="J468" s="821"/>
      <c r="K468" s="821"/>
      <c r="L468" s="821"/>
      <c r="M468" s="677"/>
      <c r="N468" s="821"/>
      <c r="O468" s="821"/>
      <c r="P468" s="677"/>
      <c r="Q468" s="677"/>
      <c r="R468" s="677"/>
      <c r="S468" s="677"/>
      <c r="T468" s="677"/>
      <c r="U468" s="677"/>
      <c r="V468" s="677"/>
      <c r="W468" s="677"/>
      <c r="X468" s="677"/>
      <c r="Y468" s="677"/>
      <c r="Z468" s="677"/>
      <c r="AA468" s="677"/>
      <c r="AB468" s="677"/>
      <c r="AC468" s="677"/>
      <c r="AD468" s="677"/>
    </row>
    <row r="469">
      <c r="A469" s="673"/>
      <c r="B469" s="708"/>
      <c r="C469" s="852"/>
      <c r="D469" s="704"/>
      <c r="E469" s="821"/>
      <c r="F469" s="821"/>
      <c r="G469" s="821"/>
      <c r="H469" s="821"/>
      <c r="I469" s="821"/>
      <c r="J469" s="821"/>
      <c r="K469" s="821"/>
      <c r="L469" s="821"/>
      <c r="M469" s="677"/>
      <c r="N469" s="821"/>
      <c r="O469" s="821"/>
      <c r="P469" s="677"/>
      <c r="Q469" s="677"/>
      <c r="R469" s="677"/>
      <c r="S469" s="677"/>
      <c r="T469" s="677"/>
      <c r="U469" s="677"/>
      <c r="V469" s="677"/>
      <c r="W469" s="677"/>
      <c r="X469" s="677"/>
      <c r="Y469" s="677"/>
      <c r="Z469" s="677"/>
      <c r="AA469" s="677"/>
      <c r="AB469" s="677"/>
      <c r="AC469" s="677"/>
      <c r="AD469" s="677"/>
    </row>
    <row r="470">
      <c r="A470" s="673"/>
      <c r="B470" s="708"/>
      <c r="C470" s="852"/>
      <c r="D470" s="704"/>
      <c r="E470" s="821"/>
      <c r="F470" s="821"/>
      <c r="G470" s="821"/>
      <c r="H470" s="821"/>
      <c r="I470" s="821"/>
      <c r="J470" s="821"/>
      <c r="K470" s="821"/>
      <c r="L470" s="821"/>
      <c r="M470" s="677"/>
      <c r="N470" s="821"/>
      <c r="O470" s="821"/>
      <c r="P470" s="677"/>
      <c r="Q470" s="677"/>
      <c r="R470" s="677"/>
      <c r="S470" s="677"/>
      <c r="T470" s="677"/>
      <c r="U470" s="677"/>
      <c r="V470" s="677"/>
      <c r="W470" s="677"/>
      <c r="X470" s="677"/>
      <c r="Y470" s="677"/>
      <c r="Z470" s="677"/>
      <c r="AA470" s="677"/>
      <c r="AB470" s="677"/>
      <c r="AC470" s="677"/>
      <c r="AD470" s="677"/>
    </row>
    <row r="471">
      <c r="A471" s="673"/>
      <c r="B471" s="708"/>
      <c r="C471" s="852"/>
      <c r="D471" s="704"/>
      <c r="E471" s="821"/>
      <c r="F471" s="821"/>
      <c r="G471" s="821"/>
      <c r="H471" s="821"/>
      <c r="I471" s="821"/>
      <c r="J471" s="821"/>
      <c r="K471" s="821"/>
      <c r="L471" s="821"/>
      <c r="M471" s="677"/>
      <c r="N471" s="821"/>
      <c r="O471" s="821"/>
      <c r="P471" s="677"/>
      <c r="Q471" s="677"/>
      <c r="R471" s="677"/>
      <c r="S471" s="677"/>
      <c r="T471" s="677"/>
      <c r="U471" s="677"/>
      <c r="V471" s="677"/>
      <c r="W471" s="677"/>
      <c r="X471" s="677"/>
      <c r="Y471" s="677"/>
      <c r="Z471" s="677"/>
      <c r="AA471" s="677"/>
      <c r="AB471" s="677"/>
      <c r="AC471" s="677"/>
      <c r="AD471" s="677"/>
    </row>
    <row r="472">
      <c r="A472" s="673"/>
      <c r="B472" s="708"/>
      <c r="C472" s="852"/>
      <c r="D472" s="704"/>
      <c r="E472" s="821"/>
      <c r="F472" s="821"/>
      <c r="G472" s="821"/>
      <c r="H472" s="821"/>
      <c r="I472" s="821"/>
      <c r="J472" s="821"/>
      <c r="K472" s="821"/>
      <c r="L472" s="821"/>
      <c r="M472" s="677"/>
      <c r="N472" s="821"/>
      <c r="O472" s="821"/>
      <c r="P472" s="677"/>
      <c r="Q472" s="677"/>
      <c r="R472" s="677"/>
      <c r="S472" s="677"/>
      <c r="T472" s="677"/>
      <c r="U472" s="677"/>
      <c r="V472" s="677"/>
      <c r="W472" s="677"/>
      <c r="X472" s="677"/>
      <c r="Y472" s="677"/>
      <c r="Z472" s="677"/>
      <c r="AA472" s="677"/>
      <c r="AB472" s="677"/>
      <c r="AC472" s="677"/>
      <c r="AD472" s="677"/>
    </row>
    <row r="473">
      <c r="A473" s="673"/>
      <c r="B473" s="708"/>
      <c r="C473" s="852"/>
      <c r="D473" s="704"/>
      <c r="E473" s="821"/>
      <c r="F473" s="821"/>
      <c r="G473" s="821"/>
      <c r="H473" s="821"/>
      <c r="I473" s="821"/>
      <c r="J473" s="821"/>
      <c r="K473" s="821"/>
      <c r="L473" s="821"/>
      <c r="M473" s="677"/>
      <c r="N473" s="821"/>
      <c r="O473" s="821"/>
      <c r="P473" s="677"/>
      <c r="Q473" s="677"/>
      <c r="R473" s="677"/>
      <c r="S473" s="677"/>
      <c r="T473" s="677"/>
      <c r="U473" s="677"/>
      <c r="V473" s="677"/>
      <c r="W473" s="677"/>
      <c r="X473" s="677"/>
      <c r="Y473" s="677"/>
      <c r="Z473" s="677"/>
      <c r="AA473" s="677"/>
      <c r="AB473" s="677"/>
      <c r="AC473" s="677"/>
      <c r="AD473" s="677"/>
    </row>
    <row r="474">
      <c r="A474" s="673"/>
      <c r="B474" s="708"/>
      <c r="C474" s="852"/>
      <c r="D474" s="704"/>
      <c r="E474" s="821"/>
      <c r="F474" s="821"/>
      <c r="G474" s="821"/>
      <c r="H474" s="821"/>
      <c r="I474" s="821"/>
      <c r="J474" s="821"/>
      <c r="K474" s="821"/>
      <c r="L474" s="821"/>
      <c r="M474" s="677"/>
      <c r="N474" s="821"/>
      <c r="O474" s="821"/>
      <c r="P474" s="677"/>
      <c r="Q474" s="677"/>
      <c r="R474" s="677"/>
      <c r="S474" s="677"/>
      <c r="T474" s="677"/>
      <c r="U474" s="677"/>
      <c r="V474" s="677"/>
      <c r="W474" s="677"/>
      <c r="X474" s="677"/>
      <c r="Y474" s="677"/>
      <c r="Z474" s="677"/>
      <c r="AA474" s="677"/>
      <c r="AB474" s="677"/>
      <c r="AC474" s="677"/>
      <c r="AD474" s="677"/>
    </row>
    <row r="475">
      <c r="A475" s="673"/>
      <c r="B475" s="708"/>
      <c r="C475" s="852"/>
      <c r="D475" s="704"/>
      <c r="E475" s="821"/>
      <c r="F475" s="821"/>
      <c r="G475" s="821"/>
      <c r="H475" s="821"/>
      <c r="I475" s="821"/>
      <c r="J475" s="821"/>
      <c r="K475" s="821"/>
      <c r="L475" s="821"/>
      <c r="M475" s="677"/>
      <c r="N475" s="821"/>
      <c r="O475" s="821"/>
      <c r="P475" s="677"/>
      <c r="Q475" s="677"/>
      <c r="R475" s="677"/>
      <c r="S475" s="677"/>
      <c r="T475" s="677"/>
      <c r="U475" s="677"/>
      <c r="V475" s="677"/>
      <c r="W475" s="677"/>
      <c r="X475" s="677"/>
      <c r="Y475" s="677"/>
      <c r="Z475" s="677"/>
      <c r="AA475" s="677"/>
      <c r="AB475" s="677"/>
      <c r="AC475" s="677"/>
      <c r="AD475" s="677"/>
    </row>
    <row r="476">
      <c r="A476" s="673"/>
      <c r="B476" s="708"/>
      <c r="C476" s="852"/>
      <c r="D476" s="704"/>
      <c r="E476" s="821"/>
      <c r="F476" s="821"/>
      <c r="G476" s="821"/>
      <c r="H476" s="821"/>
      <c r="I476" s="821"/>
      <c r="J476" s="821"/>
      <c r="K476" s="821"/>
      <c r="L476" s="821"/>
      <c r="M476" s="677"/>
      <c r="N476" s="821"/>
      <c r="O476" s="821"/>
      <c r="P476" s="677"/>
      <c r="Q476" s="677"/>
      <c r="R476" s="677"/>
      <c r="S476" s="677"/>
      <c r="T476" s="677"/>
      <c r="U476" s="677"/>
      <c r="V476" s="677"/>
      <c r="W476" s="677"/>
      <c r="X476" s="677"/>
      <c r="Y476" s="677"/>
      <c r="Z476" s="677"/>
      <c r="AA476" s="677"/>
      <c r="AB476" s="677"/>
      <c r="AC476" s="677"/>
      <c r="AD476" s="677"/>
    </row>
    <row r="477">
      <c r="A477" s="673"/>
      <c r="B477" s="708"/>
      <c r="C477" s="852"/>
      <c r="D477" s="704"/>
      <c r="E477" s="821"/>
      <c r="F477" s="821"/>
      <c r="G477" s="821"/>
      <c r="H477" s="821"/>
      <c r="I477" s="821"/>
      <c r="J477" s="821"/>
      <c r="K477" s="821"/>
      <c r="L477" s="821"/>
      <c r="M477" s="677"/>
      <c r="N477" s="821"/>
      <c r="O477" s="821"/>
      <c r="P477" s="677"/>
      <c r="Q477" s="677"/>
      <c r="R477" s="677"/>
      <c r="S477" s="677"/>
      <c r="T477" s="677"/>
      <c r="U477" s="677"/>
      <c r="V477" s="677"/>
      <c r="W477" s="677"/>
      <c r="X477" s="677"/>
      <c r="Y477" s="677"/>
      <c r="Z477" s="677"/>
      <c r="AA477" s="677"/>
      <c r="AB477" s="677"/>
      <c r="AC477" s="677"/>
      <c r="AD477" s="677"/>
    </row>
    <row r="478">
      <c r="A478" s="673"/>
      <c r="B478" s="708"/>
      <c r="C478" s="852"/>
      <c r="D478" s="704"/>
      <c r="E478" s="821"/>
      <c r="F478" s="821"/>
      <c r="G478" s="821"/>
      <c r="H478" s="821"/>
      <c r="I478" s="821"/>
      <c r="J478" s="821"/>
      <c r="K478" s="821"/>
      <c r="L478" s="821"/>
      <c r="M478" s="677"/>
      <c r="N478" s="821"/>
      <c r="O478" s="821"/>
      <c r="P478" s="677"/>
      <c r="Q478" s="677"/>
      <c r="R478" s="677"/>
      <c r="S478" s="677"/>
      <c r="T478" s="677"/>
      <c r="U478" s="677"/>
      <c r="V478" s="677"/>
      <c r="W478" s="677"/>
      <c r="X478" s="677"/>
      <c r="Y478" s="677"/>
      <c r="Z478" s="677"/>
      <c r="AA478" s="677"/>
      <c r="AB478" s="677"/>
      <c r="AC478" s="677"/>
      <c r="AD478" s="677"/>
    </row>
    <row r="479">
      <c r="A479" s="673"/>
      <c r="B479" s="708"/>
      <c r="C479" s="852"/>
      <c r="D479" s="704"/>
      <c r="E479" s="821"/>
      <c r="F479" s="821"/>
      <c r="G479" s="821"/>
      <c r="H479" s="821"/>
      <c r="I479" s="821"/>
      <c r="J479" s="821"/>
      <c r="K479" s="821"/>
      <c r="L479" s="821"/>
      <c r="M479" s="677"/>
      <c r="N479" s="821"/>
      <c r="O479" s="821"/>
      <c r="P479" s="677"/>
      <c r="Q479" s="677"/>
      <c r="R479" s="677"/>
      <c r="S479" s="677"/>
      <c r="T479" s="677"/>
      <c r="U479" s="677"/>
      <c r="V479" s="677"/>
      <c r="W479" s="677"/>
      <c r="X479" s="677"/>
      <c r="Y479" s="677"/>
      <c r="Z479" s="677"/>
      <c r="AA479" s="677"/>
      <c r="AB479" s="677"/>
      <c r="AC479" s="677"/>
      <c r="AD479" s="677"/>
    </row>
    <row r="480">
      <c r="A480" s="673"/>
      <c r="B480" s="708"/>
      <c r="C480" s="852"/>
      <c r="D480" s="704"/>
      <c r="E480" s="821"/>
      <c r="F480" s="821"/>
      <c r="G480" s="821"/>
      <c r="H480" s="821"/>
      <c r="I480" s="821"/>
      <c r="J480" s="821"/>
      <c r="K480" s="821"/>
      <c r="L480" s="821"/>
      <c r="M480" s="677"/>
      <c r="N480" s="821"/>
      <c r="O480" s="821"/>
      <c r="P480" s="677"/>
      <c r="Q480" s="677"/>
      <c r="R480" s="677"/>
      <c r="S480" s="677"/>
      <c r="T480" s="677"/>
      <c r="U480" s="677"/>
      <c r="V480" s="677"/>
      <c r="W480" s="677"/>
      <c r="X480" s="677"/>
      <c r="Y480" s="677"/>
      <c r="Z480" s="677"/>
      <c r="AA480" s="677"/>
      <c r="AB480" s="677"/>
      <c r="AC480" s="677"/>
      <c r="AD480" s="677"/>
    </row>
    <row r="481">
      <c r="A481" s="673"/>
      <c r="B481" s="708"/>
      <c r="C481" s="852"/>
      <c r="D481" s="704"/>
      <c r="E481" s="821"/>
      <c r="F481" s="821"/>
      <c r="G481" s="821"/>
      <c r="H481" s="821"/>
      <c r="I481" s="821"/>
      <c r="J481" s="821"/>
      <c r="K481" s="821"/>
      <c r="L481" s="821"/>
      <c r="M481" s="677"/>
      <c r="N481" s="821"/>
      <c r="O481" s="821"/>
      <c r="P481" s="677"/>
      <c r="Q481" s="677"/>
      <c r="R481" s="677"/>
      <c r="S481" s="677"/>
      <c r="T481" s="677"/>
      <c r="U481" s="677"/>
      <c r="V481" s="677"/>
      <c r="W481" s="677"/>
      <c r="X481" s="677"/>
      <c r="Y481" s="677"/>
      <c r="Z481" s="677"/>
      <c r="AA481" s="677"/>
      <c r="AB481" s="677"/>
      <c r="AC481" s="677"/>
      <c r="AD481" s="677"/>
    </row>
    <row r="482">
      <c r="A482" s="673"/>
      <c r="B482" s="708"/>
      <c r="C482" s="852"/>
      <c r="D482" s="704"/>
      <c r="E482" s="821"/>
      <c r="F482" s="821"/>
      <c r="G482" s="821"/>
      <c r="H482" s="821"/>
      <c r="I482" s="821"/>
      <c r="J482" s="821"/>
      <c r="K482" s="821"/>
      <c r="L482" s="821"/>
      <c r="M482" s="677"/>
      <c r="N482" s="821"/>
      <c r="O482" s="821"/>
      <c r="P482" s="677"/>
      <c r="Q482" s="677"/>
      <c r="R482" s="677"/>
      <c r="S482" s="677"/>
      <c r="T482" s="677"/>
      <c r="U482" s="677"/>
      <c r="V482" s="677"/>
      <c r="W482" s="677"/>
      <c r="X482" s="677"/>
      <c r="Y482" s="677"/>
      <c r="Z482" s="677"/>
      <c r="AA482" s="677"/>
      <c r="AB482" s="677"/>
      <c r="AC482" s="677"/>
      <c r="AD482" s="677"/>
    </row>
    <row r="483">
      <c r="A483" s="673"/>
      <c r="B483" s="708"/>
      <c r="C483" s="852"/>
      <c r="D483" s="704"/>
      <c r="E483" s="821"/>
      <c r="F483" s="821"/>
      <c r="G483" s="821"/>
      <c r="H483" s="821"/>
      <c r="I483" s="821"/>
      <c r="J483" s="821"/>
      <c r="K483" s="821"/>
      <c r="L483" s="821"/>
      <c r="M483" s="677"/>
      <c r="N483" s="821"/>
      <c r="O483" s="821"/>
      <c r="P483" s="677"/>
      <c r="Q483" s="677"/>
      <c r="R483" s="677"/>
      <c r="S483" s="677"/>
      <c r="T483" s="677"/>
      <c r="U483" s="677"/>
      <c r="V483" s="677"/>
      <c r="W483" s="677"/>
      <c r="X483" s="677"/>
      <c r="Y483" s="677"/>
      <c r="Z483" s="677"/>
      <c r="AA483" s="677"/>
      <c r="AB483" s="677"/>
      <c r="AC483" s="677"/>
      <c r="AD483" s="677"/>
    </row>
    <row r="484">
      <c r="A484" s="673"/>
      <c r="B484" s="708"/>
      <c r="C484" s="852"/>
      <c r="D484" s="704"/>
      <c r="E484" s="821"/>
      <c r="F484" s="821"/>
      <c r="G484" s="821"/>
      <c r="H484" s="821"/>
      <c r="I484" s="821"/>
      <c r="J484" s="821"/>
      <c r="K484" s="821"/>
      <c r="L484" s="821"/>
      <c r="M484" s="677"/>
      <c r="N484" s="821"/>
      <c r="O484" s="821"/>
      <c r="P484" s="677"/>
      <c r="Q484" s="677"/>
      <c r="R484" s="677"/>
      <c r="S484" s="677"/>
      <c r="T484" s="677"/>
      <c r="U484" s="677"/>
      <c r="V484" s="677"/>
      <c r="W484" s="677"/>
      <c r="X484" s="677"/>
      <c r="Y484" s="677"/>
      <c r="Z484" s="677"/>
      <c r="AA484" s="677"/>
      <c r="AB484" s="677"/>
      <c r="AC484" s="677"/>
      <c r="AD484" s="677"/>
    </row>
    <row r="485">
      <c r="A485" s="673"/>
      <c r="B485" s="708"/>
      <c r="C485" s="852"/>
      <c r="D485" s="704"/>
      <c r="E485" s="821"/>
      <c r="F485" s="821"/>
      <c r="G485" s="821"/>
      <c r="H485" s="821"/>
      <c r="I485" s="821"/>
      <c r="J485" s="821"/>
      <c r="K485" s="821"/>
      <c r="L485" s="821"/>
      <c r="M485" s="677"/>
      <c r="N485" s="821"/>
      <c r="O485" s="821"/>
      <c r="P485" s="677"/>
      <c r="Q485" s="677"/>
      <c r="R485" s="677"/>
      <c r="S485" s="677"/>
      <c r="T485" s="677"/>
      <c r="U485" s="677"/>
      <c r="V485" s="677"/>
      <c r="W485" s="677"/>
      <c r="X485" s="677"/>
      <c r="Y485" s="677"/>
      <c r="Z485" s="677"/>
      <c r="AA485" s="677"/>
      <c r="AB485" s="677"/>
      <c r="AC485" s="677"/>
      <c r="AD485" s="677"/>
    </row>
    <row r="486">
      <c r="A486" s="673"/>
      <c r="B486" s="708"/>
      <c r="C486" s="852"/>
      <c r="D486" s="704"/>
      <c r="E486" s="821"/>
      <c r="F486" s="821"/>
      <c r="G486" s="821"/>
      <c r="H486" s="821"/>
      <c r="I486" s="821"/>
      <c r="J486" s="821"/>
      <c r="K486" s="821"/>
      <c r="L486" s="821"/>
      <c r="M486" s="677"/>
      <c r="N486" s="821"/>
      <c r="O486" s="821"/>
      <c r="P486" s="677"/>
      <c r="Q486" s="677"/>
      <c r="R486" s="677"/>
      <c r="S486" s="677"/>
      <c r="T486" s="677"/>
      <c r="U486" s="677"/>
      <c r="V486" s="677"/>
      <c r="W486" s="677"/>
      <c r="X486" s="677"/>
      <c r="Y486" s="677"/>
      <c r="Z486" s="677"/>
      <c r="AA486" s="677"/>
      <c r="AB486" s="677"/>
      <c r="AC486" s="677"/>
      <c r="AD486" s="677"/>
    </row>
    <row r="487">
      <c r="A487" s="673"/>
      <c r="B487" s="708"/>
      <c r="C487" s="852"/>
      <c r="D487" s="704"/>
      <c r="E487" s="821"/>
      <c r="F487" s="821"/>
      <c r="G487" s="821"/>
      <c r="H487" s="821"/>
      <c r="I487" s="821"/>
      <c r="J487" s="821"/>
      <c r="K487" s="821"/>
      <c r="L487" s="821"/>
      <c r="M487" s="677"/>
      <c r="N487" s="821"/>
      <c r="O487" s="821"/>
      <c r="P487" s="677"/>
      <c r="Q487" s="677"/>
      <c r="R487" s="677"/>
      <c r="S487" s="677"/>
      <c r="T487" s="677"/>
      <c r="U487" s="677"/>
      <c r="V487" s="677"/>
      <c r="W487" s="677"/>
      <c r="X487" s="677"/>
      <c r="Y487" s="677"/>
      <c r="Z487" s="677"/>
      <c r="AA487" s="677"/>
      <c r="AB487" s="677"/>
      <c r="AC487" s="677"/>
      <c r="AD487" s="677"/>
    </row>
    <row r="488">
      <c r="A488" s="673"/>
      <c r="B488" s="708"/>
      <c r="C488" s="852"/>
      <c r="D488" s="704"/>
      <c r="E488" s="821"/>
      <c r="F488" s="821"/>
      <c r="G488" s="821"/>
      <c r="H488" s="821"/>
      <c r="I488" s="821"/>
      <c r="J488" s="821"/>
      <c r="K488" s="821"/>
      <c r="L488" s="821"/>
      <c r="M488" s="677"/>
      <c r="N488" s="821"/>
      <c r="O488" s="821"/>
      <c r="P488" s="677"/>
      <c r="Q488" s="677"/>
      <c r="R488" s="677"/>
      <c r="S488" s="677"/>
      <c r="T488" s="677"/>
      <c r="U488" s="677"/>
      <c r="V488" s="677"/>
      <c r="W488" s="677"/>
      <c r="X488" s="677"/>
      <c r="Y488" s="677"/>
      <c r="Z488" s="677"/>
      <c r="AA488" s="677"/>
      <c r="AB488" s="677"/>
      <c r="AC488" s="677"/>
      <c r="AD488" s="677"/>
    </row>
    <row r="489">
      <c r="A489" s="673"/>
      <c r="B489" s="708"/>
      <c r="C489" s="852"/>
      <c r="D489" s="704"/>
      <c r="E489" s="821"/>
      <c r="F489" s="821"/>
      <c r="G489" s="821"/>
      <c r="H489" s="821"/>
      <c r="I489" s="821"/>
      <c r="J489" s="821"/>
      <c r="K489" s="821"/>
      <c r="L489" s="821"/>
      <c r="M489" s="677"/>
      <c r="N489" s="821"/>
      <c r="O489" s="821"/>
      <c r="P489" s="677"/>
      <c r="Q489" s="677"/>
      <c r="R489" s="677"/>
      <c r="S489" s="677"/>
      <c r="T489" s="677"/>
      <c r="U489" s="677"/>
      <c r="V489" s="677"/>
      <c r="W489" s="677"/>
      <c r="X489" s="677"/>
      <c r="Y489" s="677"/>
      <c r="Z489" s="677"/>
      <c r="AA489" s="677"/>
      <c r="AB489" s="677"/>
      <c r="AC489" s="677"/>
      <c r="AD489" s="677"/>
    </row>
    <row r="490">
      <c r="A490" s="673"/>
      <c r="B490" s="708"/>
      <c r="C490" s="852"/>
      <c r="D490" s="704"/>
      <c r="E490" s="821"/>
      <c r="F490" s="821"/>
      <c r="G490" s="821"/>
      <c r="H490" s="821"/>
      <c r="I490" s="821"/>
      <c r="J490" s="821"/>
      <c r="K490" s="821"/>
      <c r="L490" s="821"/>
      <c r="M490" s="677"/>
      <c r="N490" s="821"/>
      <c r="O490" s="821"/>
      <c r="P490" s="677"/>
      <c r="Q490" s="677"/>
      <c r="R490" s="677"/>
      <c r="S490" s="677"/>
      <c r="T490" s="677"/>
      <c r="U490" s="677"/>
      <c r="V490" s="677"/>
      <c r="W490" s="677"/>
      <c r="X490" s="677"/>
      <c r="Y490" s="677"/>
      <c r="Z490" s="677"/>
      <c r="AA490" s="677"/>
      <c r="AB490" s="677"/>
      <c r="AC490" s="677"/>
      <c r="AD490" s="677"/>
    </row>
    <row r="491">
      <c r="A491" s="673"/>
      <c r="B491" s="708"/>
      <c r="C491" s="852"/>
      <c r="D491" s="704"/>
      <c r="E491" s="821"/>
      <c r="F491" s="821"/>
      <c r="G491" s="821"/>
      <c r="H491" s="821"/>
      <c r="I491" s="821"/>
      <c r="J491" s="821"/>
      <c r="K491" s="821"/>
      <c r="L491" s="821"/>
      <c r="M491" s="677"/>
      <c r="N491" s="821"/>
      <c r="O491" s="821"/>
      <c r="P491" s="677"/>
      <c r="Q491" s="677"/>
      <c r="R491" s="677"/>
      <c r="S491" s="677"/>
      <c r="T491" s="677"/>
      <c r="U491" s="677"/>
      <c r="V491" s="677"/>
      <c r="W491" s="677"/>
      <c r="X491" s="677"/>
      <c r="Y491" s="677"/>
      <c r="Z491" s="677"/>
      <c r="AA491" s="677"/>
      <c r="AB491" s="677"/>
      <c r="AC491" s="677"/>
      <c r="AD491" s="677"/>
    </row>
    <row r="492">
      <c r="A492" s="673"/>
      <c r="B492" s="708"/>
      <c r="C492" s="852"/>
      <c r="D492" s="704"/>
      <c r="E492" s="821"/>
      <c r="F492" s="821"/>
      <c r="G492" s="821"/>
      <c r="H492" s="821"/>
      <c r="I492" s="821"/>
      <c r="J492" s="821"/>
      <c r="K492" s="821"/>
      <c r="L492" s="821"/>
      <c r="M492" s="677"/>
      <c r="N492" s="821"/>
      <c r="O492" s="821"/>
      <c r="P492" s="677"/>
      <c r="Q492" s="677"/>
      <c r="R492" s="677"/>
      <c r="S492" s="677"/>
      <c r="T492" s="677"/>
      <c r="U492" s="677"/>
      <c r="V492" s="677"/>
      <c r="W492" s="677"/>
      <c r="X492" s="677"/>
      <c r="Y492" s="677"/>
      <c r="Z492" s="677"/>
      <c r="AA492" s="677"/>
      <c r="AB492" s="677"/>
      <c r="AC492" s="677"/>
      <c r="AD492" s="677"/>
    </row>
    <row r="493">
      <c r="A493" s="673"/>
      <c r="B493" s="708"/>
      <c r="C493" s="852"/>
      <c r="D493" s="704"/>
      <c r="E493" s="821"/>
      <c r="F493" s="821"/>
      <c r="G493" s="821"/>
      <c r="H493" s="821"/>
      <c r="I493" s="821"/>
      <c r="J493" s="821"/>
      <c r="K493" s="821"/>
      <c r="L493" s="821"/>
      <c r="M493" s="677"/>
      <c r="N493" s="821"/>
      <c r="O493" s="821"/>
      <c r="P493" s="677"/>
      <c r="Q493" s="677"/>
      <c r="R493" s="677"/>
      <c r="S493" s="677"/>
      <c r="T493" s="677"/>
      <c r="U493" s="677"/>
      <c r="V493" s="677"/>
      <c r="W493" s="677"/>
      <c r="X493" s="677"/>
      <c r="Y493" s="677"/>
      <c r="Z493" s="677"/>
      <c r="AA493" s="677"/>
      <c r="AB493" s="677"/>
      <c r="AC493" s="677"/>
      <c r="AD493" s="677"/>
    </row>
    <row r="494">
      <c r="A494" s="673"/>
      <c r="B494" s="708"/>
      <c r="C494" s="852"/>
      <c r="D494" s="704"/>
      <c r="E494" s="821"/>
      <c r="F494" s="821"/>
      <c r="G494" s="821"/>
      <c r="H494" s="821"/>
      <c r="I494" s="821"/>
      <c r="J494" s="821"/>
      <c r="K494" s="821"/>
      <c r="L494" s="821"/>
      <c r="M494" s="677"/>
      <c r="N494" s="821"/>
      <c r="O494" s="821"/>
      <c r="P494" s="677"/>
      <c r="Q494" s="677"/>
      <c r="R494" s="677"/>
      <c r="S494" s="677"/>
      <c r="T494" s="677"/>
      <c r="U494" s="677"/>
      <c r="V494" s="677"/>
      <c r="W494" s="677"/>
      <c r="X494" s="677"/>
      <c r="Y494" s="677"/>
      <c r="Z494" s="677"/>
      <c r="AA494" s="677"/>
      <c r="AB494" s="677"/>
      <c r="AC494" s="677"/>
      <c r="AD494" s="677"/>
    </row>
    <row r="495">
      <c r="A495" s="673"/>
      <c r="B495" s="708"/>
      <c r="C495" s="852"/>
      <c r="D495" s="704"/>
      <c r="E495" s="821"/>
      <c r="F495" s="821"/>
      <c r="G495" s="821"/>
      <c r="H495" s="821"/>
      <c r="I495" s="821"/>
      <c r="J495" s="821"/>
      <c r="K495" s="821"/>
      <c r="L495" s="821"/>
      <c r="M495" s="677"/>
      <c r="N495" s="821"/>
      <c r="O495" s="821"/>
      <c r="P495" s="677"/>
      <c r="Q495" s="677"/>
      <c r="R495" s="677"/>
      <c r="S495" s="677"/>
      <c r="T495" s="677"/>
      <c r="U495" s="677"/>
      <c r="V495" s="677"/>
      <c r="W495" s="677"/>
      <c r="X495" s="677"/>
      <c r="Y495" s="677"/>
      <c r="Z495" s="677"/>
      <c r="AA495" s="677"/>
      <c r="AB495" s="677"/>
      <c r="AC495" s="677"/>
      <c r="AD495" s="677"/>
    </row>
    <row r="496">
      <c r="A496" s="673"/>
      <c r="B496" s="708"/>
      <c r="C496" s="852"/>
      <c r="D496" s="704"/>
      <c r="E496" s="821"/>
      <c r="F496" s="821"/>
      <c r="G496" s="821"/>
      <c r="H496" s="821"/>
      <c r="I496" s="821"/>
      <c r="J496" s="821"/>
      <c r="K496" s="821"/>
      <c r="L496" s="821"/>
      <c r="M496" s="677"/>
      <c r="N496" s="821"/>
      <c r="O496" s="821"/>
      <c r="P496" s="677"/>
      <c r="Q496" s="677"/>
      <c r="R496" s="677"/>
      <c r="S496" s="677"/>
      <c r="T496" s="677"/>
      <c r="U496" s="677"/>
      <c r="V496" s="677"/>
      <c r="W496" s="677"/>
      <c r="X496" s="677"/>
      <c r="Y496" s="677"/>
      <c r="Z496" s="677"/>
      <c r="AA496" s="677"/>
      <c r="AB496" s="677"/>
      <c r="AC496" s="677"/>
      <c r="AD496" s="677"/>
    </row>
    <row r="497">
      <c r="A497" s="673"/>
      <c r="B497" s="708"/>
      <c r="C497" s="852"/>
      <c r="D497" s="704"/>
      <c r="E497" s="821"/>
      <c r="F497" s="821"/>
      <c r="G497" s="821"/>
      <c r="H497" s="821"/>
      <c r="I497" s="821"/>
      <c r="J497" s="821"/>
      <c r="K497" s="821"/>
      <c r="L497" s="821"/>
      <c r="M497" s="677"/>
      <c r="N497" s="821"/>
      <c r="O497" s="821"/>
      <c r="P497" s="677"/>
      <c r="Q497" s="677"/>
      <c r="R497" s="677"/>
      <c r="S497" s="677"/>
      <c r="T497" s="677"/>
      <c r="U497" s="677"/>
      <c r="V497" s="677"/>
      <c r="W497" s="677"/>
      <c r="X497" s="677"/>
      <c r="Y497" s="677"/>
      <c r="Z497" s="677"/>
      <c r="AA497" s="677"/>
      <c r="AB497" s="677"/>
      <c r="AC497" s="677"/>
      <c r="AD497" s="677"/>
    </row>
    <row r="498">
      <c r="A498" s="673"/>
      <c r="B498" s="708"/>
      <c r="C498" s="852"/>
      <c r="D498" s="704"/>
      <c r="E498" s="821"/>
      <c r="F498" s="821"/>
      <c r="G498" s="821"/>
      <c r="H498" s="821"/>
      <c r="I498" s="821"/>
      <c r="J498" s="821"/>
      <c r="K498" s="821"/>
      <c r="L498" s="821"/>
      <c r="M498" s="677"/>
      <c r="N498" s="821"/>
      <c r="O498" s="821"/>
      <c r="P498" s="677"/>
      <c r="Q498" s="677"/>
      <c r="R498" s="677"/>
      <c r="S498" s="677"/>
      <c r="T498" s="677"/>
      <c r="U498" s="677"/>
      <c r="V498" s="677"/>
      <c r="W498" s="677"/>
      <c r="X498" s="677"/>
      <c r="Y498" s="677"/>
      <c r="Z498" s="677"/>
      <c r="AA498" s="677"/>
      <c r="AB498" s="677"/>
      <c r="AC498" s="677"/>
      <c r="AD498" s="677"/>
    </row>
    <row r="499">
      <c r="A499" s="673"/>
      <c r="B499" s="708"/>
      <c r="C499" s="852"/>
      <c r="D499" s="704"/>
      <c r="E499" s="821"/>
      <c r="F499" s="821"/>
      <c r="G499" s="821"/>
      <c r="H499" s="821"/>
      <c r="I499" s="821"/>
      <c r="J499" s="821"/>
      <c r="K499" s="821"/>
      <c r="L499" s="821"/>
      <c r="M499" s="677"/>
      <c r="N499" s="821"/>
      <c r="O499" s="821"/>
      <c r="P499" s="677"/>
      <c r="Q499" s="677"/>
      <c r="R499" s="677"/>
      <c r="S499" s="677"/>
      <c r="T499" s="677"/>
      <c r="U499" s="677"/>
      <c r="V499" s="677"/>
      <c r="W499" s="677"/>
      <c r="X499" s="677"/>
      <c r="Y499" s="677"/>
      <c r="Z499" s="677"/>
      <c r="AA499" s="677"/>
      <c r="AB499" s="677"/>
      <c r="AC499" s="677"/>
      <c r="AD499" s="677"/>
    </row>
    <row r="500">
      <c r="A500" s="673"/>
      <c r="B500" s="708"/>
      <c r="C500" s="852"/>
      <c r="D500" s="704"/>
      <c r="E500" s="821"/>
      <c r="F500" s="821"/>
      <c r="G500" s="821"/>
      <c r="H500" s="821"/>
      <c r="I500" s="821"/>
      <c r="J500" s="821"/>
      <c r="K500" s="821"/>
      <c r="L500" s="821"/>
      <c r="M500" s="677"/>
      <c r="N500" s="821"/>
      <c r="O500" s="821"/>
      <c r="P500" s="677"/>
      <c r="Q500" s="677"/>
      <c r="R500" s="677"/>
      <c r="S500" s="677"/>
      <c r="T500" s="677"/>
      <c r="U500" s="677"/>
      <c r="V500" s="677"/>
      <c r="W500" s="677"/>
      <c r="X500" s="677"/>
      <c r="Y500" s="677"/>
      <c r="Z500" s="677"/>
      <c r="AA500" s="677"/>
      <c r="AB500" s="677"/>
      <c r="AC500" s="677"/>
      <c r="AD500" s="677"/>
    </row>
    <row r="501">
      <c r="A501" s="673"/>
      <c r="B501" s="708"/>
      <c r="C501" s="852"/>
      <c r="D501" s="704"/>
      <c r="E501" s="821"/>
      <c r="F501" s="821"/>
      <c r="G501" s="821"/>
      <c r="H501" s="821"/>
      <c r="I501" s="821"/>
      <c r="J501" s="821"/>
      <c r="K501" s="821"/>
      <c r="L501" s="821"/>
      <c r="M501" s="677"/>
      <c r="N501" s="821"/>
      <c r="O501" s="821"/>
      <c r="P501" s="677"/>
      <c r="Q501" s="677"/>
      <c r="R501" s="677"/>
      <c r="S501" s="677"/>
      <c r="T501" s="677"/>
      <c r="U501" s="677"/>
      <c r="V501" s="677"/>
      <c r="W501" s="677"/>
      <c r="X501" s="677"/>
      <c r="Y501" s="677"/>
      <c r="Z501" s="677"/>
      <c r="AA501" s="677"/>
      <c r="AB501" s="677"/>
      <c r="AC501" s="677"/>
      <c r="AD501" s="677"/>
    </row>
    <row r="502">
      <c r="A502" s="673"/>
      <c r="B502" s="708"/>
      <c r="C502" s="852"/>
      <c r="D502" s="704"/>
      <c r="E502" s="821"/>
      <c r="F502" s="821"/>
      <c r="G502" s="821"/>
      <c r="H502" s="821"/>
      <c r="I502" s="821"/>
      <c r="J502" s="821"/>
      <c r="K502" s="821"/>
      <c r="L502" s="821"/>
      <c r="M502" s="677"/>
      <c r="N502" s="821"/>
      <c r="O502" s="821"/>
      <c r="P502" s="677"/>
      <c r="Q502" s="677"/>
      <c r="R502" s="677"/>
      <c r="S502" s="677"/>
      <c r="T502" s="677"/>
      <c r="U502" s="677"/>
      <c r="V502" s="677"/>
      <c r="W502" s="677"/>
      <c r="X502" s="677"/>
      <c r="Y502" s="677"/>
      <c r="Z502" s="677"/>
      <c r="AA502" s="677"/>
      <c r="AB502" s="677"/>
      <c r="AC502" s="677"/>
      <c r="AD502" s="677"/>
    </row>
    <row r="503">
      <c r="A503" s="673"/>
      <c r="B503" s="708"/>
      <c r="C503" s="852"/>
      <c r="D503" s="656"/>
      <c r="E503" s="821"/>
      <c r="F503" s="821"/>
      <c r="G503" s="821"/>
      <c r="H503" s="821"/>
      <c r="I503" s="821"/>
      <c r="J503" s="821"/>
      <c r="K503" s="821"/>
      <c r="L503" s="821"/>
      <c r="M503" s="677"/>
      <c r="N503" s="821"/>
      <c r="O503" s="821"/>
      <c r="P503" s="677"/>
      <c r="Q503" s="677"/>
      <c r="R503" s="677"/>
      <c r="S503" s="677"/>
      <c r="T503" s="677"/>
      <c r="U503" s="677"/>
      <c r="V503" s="677"/>
      <c r="W503" s="677"/>
      <c r="X503" s="677"/>
      <c r="Y503" s="677"/>
      <c r="Z503" s="677"/>
      <c r="AA503" s="677"/>
      <c r="AB503" s="677"/>
      <c r="AC503" s="677"/>
      <c r="AD503" s="677"/>
    </row>
    <row r="504">
      <c r="A504" s="673"/>
      <c r="B504" s="708"/>
      <c r="C504" s="852"/>
      <c r="D504" s="656"/>
      <c r="E504" s="821"/>
      <c r="F504" s="821"/>
      <c r="G504" s="821"/>
      <c r="H504" s="821"/>
      <c r="I504" s="821"/>
      <c r="J504" s="821"/>
      <c r="K504" s="821"/>
      <c r="L504" s="821"/>
      <c r="M504" s="677"/>
      <c r="N504" s="821"/>
      <c r="O504" s="821"/>
      <c r="P504" s="677"/>
      <c r="Q504" s="677"/>
      <c r="R504" s="677"/>
      <c r="S504" s="677"/>
      <c r="T504" s="677"/>
      <c r="U504" s="677"/>
      <c r="V504" s="677"/>
      <c r="W504" s="677"/>
      <c r="X504" s="677"/>
      <c r="Y504" s="677"/>
      <c r="Z504" s="677"/>
      <c r="AA504" s="677"/>
      <c r="AB504" s="677"/>
      <c r="AC504" s="677"/>
      <c r="AD504" s="677"/>
    </row>
    <row r="505">
      <c r="A505" s="673"/>
      <c r="B505" s="708"/>
      <c r="C505" s="852"/>
      <c r="D505" s="656"/>
      <c r="E505" s="821"/>
      <c r="F505" s="821"/>
      <c r="G505" s="821"/>
      <c r="H505" s="821"/>
      <c r="I505" s="821"/>
      <c r="J505" s="821"/>
      <c r="K505" s="821"/>
      <c r="L505" s="821"/>
      <c r="M505" s="677"/>
      <c r="N505" s="821"/>
      <c r="O505" s="821"/>
      <c r="P505" s="677"/>
      <c r="Q505" s="677"/>
      <c r="R505" s="677"/>
      <c r="S505" s="677"/>
      <c r="T505" s="677"/>
      <c r="U505" s="677"/>
      <c r="V505" s="677"/>
      <c r="W505" s="677"/>
      <c r="X505" s="677"/>
      <c r="Y505" s="677"/>
      <c r="Z505" s="677"/>
      <c r="AA505" s="677"/>
      <c r="AB505" s="677"/>
      <c r="AC505" s="677"/>
      <c r="AD505" s="677"/>
    </row>
    <row r="506">
      <c r="A506" s="673"/>
      <c r="B506" s="708"/>
      <c r="C506" s="852"/>
      <c r="D506" s="656"/>
      <c r="E506" s="821"/>
      <c r="F506" s="821"/>
      <c r="G506" s="821"/>
      <c r="H506" s="821"/>
      <c r="I506" s="821"/>
      <c r="J506" s="821"/>
      <c r="K506" s="821"/>
      <c r="L506" s="821"/>
      <c r="M506" s="677"/>
      <c r="N506" s="821"/>
      <c r="O506" s="821"/>
      <c r="P506" s="677"/>
      <c r="Q506" s="677"/>
      <c r="R506" s="677"/>
      <c r="S506" s="677"/>
      <c r="T506" s="677"/>
      <c r="U506" s="677"/>
      <c r="V506" s="677"/>
      <c r="W506" s="677"/>
      <c r="X506" s="677"/>
      <c r="Y506" s="677"/>
      <c r="Z506" s="677"/>
      <c r="AA506" s="677"/>
      <c r="AB506" s="677"/>
      <c r="AC506" s="677"/>
      <c r="AD506" s="677"/>
    </row>
    <row r="507">
      <c r="A507" s="673"/>
      <c r="B507" s="708"/>
      <c r="C507" s="852"/>
      <c r="D507" s="656"/>
      <c r="E507" s="821"/>
      <c r="F507" s="821"/>
      <c r="G507" s="821"/>
      <c r="H507" s="821"/>
      <c r="I507" s="821"/>
      <c r="J507" s="821"/>
      <c r="K507" s="821"/>
      <c r="L507" s="821"/>
      <c r="M507" s="677"/>
      <c r="N507" s="821"/>
      <c r="O507" s="821"/>
      <c r="P507" s="677"/>
      <c r="Q507" s="677"/>
      <c r="R507" s="677"/>
      <c r="S507" s="677"/>
      <c r="T507" s="677"/>
      <c r="U507" s="677"/>
      <c r="V507" s="677"/>
      <c r="W507" s="677"/>
      <c r="X507" s="677"/>
      <c r="Y507" s="677"/>
      <c r="Z507" s="677"/>
      <c r="AA507" s="677"/>
      <c r="AB507" s="677"/>
      <c r="AC507" s="677"/>
      <c r="AD507" s="677"/>
    </row>
    <row r="508">
      <c r="A508" s="673"/>
      <c r="B508" s="708"/>
      <c r="C508" s="852"/>
      <c r="D508" s="656"/>
      <c r="E508" s="821"/>
      <c r="F508" s="821"/>
      <c r="G508" s="821"/>
      <c r="H508" s="821"/>
      <c r="I508" s="821"/>
      <c r="J508" s="821"/>
      <c r="K508" s="821"/>
      <c r="L508" s="821"/>
      <c r="M508" s="677"/>
      <c r="N508" s="821"/>
      <c r="O508" s="821"/>
      <c r="P508" s="677"/>
      <c r="Q508" s="677"/>
      <c r="R508" s="677"/>
      <c r="S508" s="677"/>
      <c r="T508" s="677"/>
      <c r="U508" s="677"/>
      <c r="V508" s="677"/>
      <c r="W508" s="677"/>
      <c r="X508" s="677"/>
      <c r="Y508" s="677"/>
      <c r="Z508" s="677"/>
      <c r="AA508" s="677"/>
      <c r="AB508" s="677"/>
      <c r="AC508" s="677"/>
      <c r="AD508" s="677"/>
    </row>
    <row r="509">
      <c r="A509" s="673"/>
      <c r="B509" s="708"/>
      <c r="C509" s="852"/>
      <c r="D509" s="656"/>
      <c r="E509" s="821"/>
      <c r="F509" s="821"/>
      <c r="G509" s="821"/>
      <c r="H509" s="821"/>
      <c r="I509" s="821"/>
      <c r="J509" s="821"/>
      <c r="K509" s="821"/>
      <c r="L509" s="821"/>
      <c r="M509" s="677"/>
      <c r="N509" s="821"/>
      <c r="O509" s="821"/>
      <c r="P509" s="677"/>
      <c r="Q509" s="677"/>
      <c r="R509" s="677"/>
      <c r="S509" s="677"/>
      <c r="T509" s="677"/>
      <c r="U509" s="677"/>
      <c r="V509" s="677"/>
      <c r="W509" s="677"/>
      <c r="X509" s="677"/>
      <c r="Y509" s="677"/>
      <c r="Z509" s="677"/>
      <c r="AA509" s="677"/>
      <c r="AB509" s="677"/>
      <c r="AC509" s="677"/>
      <c r="AD509" s="677"/>
    </row>
    <row r="510">
      <c r="A510" s="673"/>
      <c r="B510" s="708"/>
      <c r="C510" s="852"/>
      <c r="D510" s="656"/>
      <c r="E510" s="821"/>
      <c r="F510" s="821"/>
      <c r="G510" s="821"/>
      <c r="H510" s="821"/>
      <c r="I510" s="821"/>
      <c r="J510" s="821"/>
      <c r="K510" s="821"/>
      <c r="L510" s="821"/>
      <c r="M510" s="677"/>
      <c r="N510" s="821"/>
      <c r="O510" s="821"/>
      <c r="P510" s="677"/>
      <c r="Q510" s="677"/>
      <c r="R510" s="677"/>
      <c r="S510" s="677"/>
      <c r="T510" s="677"/>
      <c r="U510" s="677"/>
      <c r="V510" s="677"/>
      <c r="W510" s="677"/>
      <c r="X510" s="677"/>
      <c r="Y510" s="677"/>
      <c r="Z510" s="677"/>
      <c r="AA510" s="677"/>
      <c r="AB510" s="677"/>
      <c r="AC510" s="677"/>
      <c r="AD510" s="677"/>
    </row>
    <row r="511">
      <c r="A511" s="673"/>
      <c r="B511" s="708"/>
      <c r="C511" s="852"/>
      <c r="D511" s="656"/>
      <c r="E511" s="821"/>
      <c r="F511" s="821"/>
      <c r="G511" s="821"/>
      <c r="H511" s="821"/>
      <c r="I511" s="821"/>
      <c r="J511" s="821"/>
      <c r="K511" s="821"/>
      <c r="L511" s="821"/>
      <c r="M511" s="677"/>
      <c r="N511" s="821"/>
      <c r="O511" s="821"/>
      <c r="P511" s="677"/>
      <c r="Q511" s="677"/>
      <c r="R511" s="677"/>
      <c r="S511" s="677"/>
      <c r="T511" s="677"/>
      <c r="U511" s="677"/>
      <c r="V511" s="677"/>
      <c r="W511" s="677"/>
      <c r="X511" s="677"/>
      <c r="Y511" s="677"/>
      <c r="Z511" s="677"/>
      <c r="AA511" s="677"/>
      <c r="AB511" s="677"/>
      <c r="AC511" s="677"/>
      <c r="AD511" s="677"/>
    </row>
    <row r="512">
      <c r="A512" s="673"/>
      <c r="B512" s="708"/>
      <c r="C512" s="852"/>
      <c r="D512" s="656"/>
      <c r="E512" s="821"/>
      <c r="F512" s="821"/>
      <c r="G512" s="821"/>
      <c r="H512" s="821"/>
      <c r="I512" s="821"/>
      <c r="J512" s="821"/>
      <c r="K512" s="821"/>
      <c r="L512" s="821"/>
      <c r="M512" s="677"/>
      <c r="N512" s="821"/>
      <c r="O512" s="821"/>
      <c r="P512" s="677"/>
      <c r="Q512" s="677"/>
      <c r="R512" s="677"/>
      <c r="S512" s="677"/>
      <c r="T512" s="677"/>
      <c r="U512" s="677"/>
      <c r="V512" s="677"/>
      <c r="W512" s="677"/>
      <c r="X512" s="677"/>
      <c r="Y512" s="677"/>
      <c r="Z512" s="677"/>
      <c r="AA512" s="677"/>
      <c r="AB512" s="677"/>
      <c r="AC512" s="677"/>
      <c r="AD512" s="677"/>
    </row>
    <row r="513">
      <c r="A513" s="673"/>
      <c r="B513" s="708"/>
      <c r="C513" s="852"/>
      <c r="D513" s="656"/>
      <c r="E513" s="821"/>
      <c r="F513" s="821"/>
      <c r="G513" s="821"/>
      <c r="H513" s="821"/>
      <c r="I513" s="821"/>
      <c r="J513" s="821"/>
      <c r="K513" s="821"/>
      <c r="L513" s="821"/>
      <c r="M513" s="677"/>
      <c r="N513" s="821"/>
      <c r="O513" s="821"/>
      <c r="P513" s="677"/>
      <c r="Q513" s="677"/>
      <c r="R513" s="677"/>
      <c r="S513" s="677"/>
      <c r="T513" s="677"/>
      <c r="U513" s="677"/>
      <c r="V513" s="677"/>
      <c r="W513" s="677"/>
      <c r="X513" s="677"/>
      <c r="Y513" s="677"/>
      <c r="Z513" s="677"/>
      <c r="AA513" s="677"/>
      <c r="AB513" s="677"/>
      <c r="AC513" s="677"/>
      <c r="AD513" s="677"/>
    </row>
    <row r="514">
      <c r="A514" s="673"/>
      <c r="B514" s="708"/>
      <c r="C514" s="852"/>
      <c r="D514" s="656"/>
      <c r="E514" s="821"/>
      <c r="F514" s="821"/>
      <c r="G514" s="821"/>
      <c r="H514" s="821"/>
      <c r="I514" s="821"/>
      <c r="J514" s="821"/>
      <c r="K514" s="821"/>
      <c r="L514" s="821"/>
      <c r="M514" s="677"/>
      <c r="N514" s="821"/>
      <c r="O514" s="821"/>
      <c r="P514" s="677"/>
      <c r="Q514" s="677"/>
      <c r="R514" s="677"/>
      <c r="S514" s="677"/>
      <c r="T514" s="677"/>
      <c r="U514" s="677"/>
      <c r="V514" s="677"/>
      <c r="W514" s="677"/>
      <c r="X514" s="677"/>
      <c r="Y514" s="677"/>
      <c r="Z514" s="677"/>
      <c r="AA514" s="677"/>
      <c r="AB514" s="677"/>
      <c r="AC514" s="677"/>
      <c r="AD514" s="677"/>
    </row>
    <row r="515">
      <c r="A515" s="673"/>
      <c r="B515" s="708"/>
      <c r="C515" s="852"/>
      <c r="D515" s="656"/>
      <c r="E515" s="821"/>
      <c r="F515" s="821"/>
      <c r="G515" s="821"/>
      <c r="H515" s="821"/>
      <c r="I515" s="821"/>
      <c r="J515" s="821"/>
      <c r="K515" s="821"/>
      <c r="L515" s="821"/>
      <c r="M515" s="677"/>
      <c r="N515" s="821"/>
      <c r="O515" s="821"/>
      <c r="P515" s="677"/>
      <c r="Q515" s="677"/>
      <c r="R515" s="677"/>
      <c r="S515" s="677"/>
      <c r="T515" s="677"/>
      <c r="U515" s="677"/>
      <c r="V515" s="677"/>
      <c r="W515" s="677"/>
      <c r="X515" s="677"/>
      <c r="Y515" s="677"/>
      <c r="Z515" s="677"/>
      <c r="AA515" s="677"/>
      <c r="AB515" s="677"/>
      <c r="AC515" s="677"/>
      <c r="AD515" s="677"/>
    </row>
    <row r="516">
      <c r="A516" s="673"/>
      <c r="B516" s="708"/>
      <c r="C516" s="852"/>
      <c r="D516" s="656"/>
      <c r="E516" s="821"/>
      <c r="F516" s="821"/>
      <c r="G516" s="821"/>
      <c r="H516" s="821"/>
      <c r="I516" s="821"/>
      <c r="J516" s="821"/>
      <c r="K516" s="821"/>
      <c r="L516" s="821"/>
      <c r="M516" s="677"/>
      <c r="N516" s="821"/>
      <c r="O516" s="821"/>
      <c r="P516" s="677"/>
      <c r="Q516" s="677"/>
      <c r="R516" s="677"/>
      <c r="S516" s="677"/>
      <c r="T516" s="677"/>
      <c r="U516" s="677"/>
      <c r="V516" s="677"/>
      <c r="W516" s="677"/>
      <c r="X516" s="677"/>
      <c r="Y516" s="677"/>
      <c r="Z516" s="677"/>
      <c r="AA516" s="677"/>
      <c r="AB516" s="677"/>
      <c r="AC516" s="677"/>
      <c r="AD516" s="677"/>
    </row>
    <row r="517">
      <c r="A517" s="673"/>
      <c r="B517" s="708"/>
      <c r="C517" s="852"/>
      <c r="D517" s="656"/>
      <c r="E517" s="821"/>
      <c r="F517" s="821"/>
      <c r="G517" s="821"/>
      <c r="H517" s="821"/>
      <c r="I517" s="821"/>
      <c r="J517" s="821"/>
      <c r="K517" s="821"/>
      <c r="L517" s="821"/>
      <c r="M517" s="677"/>
      <c r="N517" s="821"/>
      <c r="O517" s="821"/>
      <c r="P517" s="677"/>
      <c r="Q517" s="677"/>
      <c r="R517" s="677"/>
      <c r="S517" s="677"/>
      <c r="T517" s="677"/>
      <c r="U517" s="677"/>
      <c r="V517" s="677"/>
      <c r="W517" s="677"/>
      <c r="X517" s="677"/>
      <c r="Y517" s="677"/>
      <c r="Z517" s="677"/>
      <c r="AA517" s="677"/>
      <c r="AB517" s="677"/>
      <c r="AC517" s="677"/>
      <c r="AD517" s="677"/>
    </row>
    <row r="518">
      <c r="A518" s="673"/>
      <c r="B518" s="708"/>
      <c r="C518" s="852"/>
      <c r="D518" s="656"/>
      <c r="E518" s="821"/>
      <c r="F518" s="821"/>
      <c r="G518" s="821"/>
      <c r="H518" s="821"/>
      <c r="I518" s="821"/>
      <c r="J518" s="821"/>
      <c r="K518" s="821"/>
      <c r="L518" s="821"/>
      <c r="M518" s="677"/>
      <c r="N518" s="821"/>
      <c r="O518" s="821"/>
      <c r="P518" s="677"/>
      <c r="Q518" s="677"/>
      <c r="R518" s="677"/>
      <c r="S518" s="677"/>
      <c r="T518" s="677"/>
      <c r="U518" s="677"/>
      <c r="V518" s="677"/>
      <c r="W518" s="677"/>
      <c r="X518" s="677"/>
      <c r="Y518" s="677"/>
      <c r="Z518" s="677"/>
      <c r="AA518" s="677"/>
      <c r="AB518" s="677"/>
      <c r="AC518" s="677"/>
      <c r="AD518" s="677"/>
    </row>
    <row r="519">
      <c r="A519" s="673"/>
      <c r="B519" s="708"/>
      <c r="C519" s="852"/>
      <c r="D519" s="656"/>
      <c r="E519" s="821"/>
      <c r="F519" s="821"/>
      <c r="G519" s="821"/>
      <c r="H519" s="821"/>
      <c r="I519" s="821"/>
      <c r="J519" s="821"/>
      <c r="K519" s="821"/>
      <c r="L519" s="821"/>
      <c r="M519" s="677"/>
      <c r="N519" s="821"/>
      <c r="O519" s="821"/>
      <c r="P519" s="677"/>
      <c r="Q519" s="677"/>
      <c r="R519" s="677"/>
      <c r="S519" s="677"/>
      <c r="T519" s="677"/>
      <c r="U519" s="677"/>
      <c r="V519" s="677"/>
      <c r="W519" s="677"/>
      <c r="X519" s="677"/>
      <c r="Y519" s="677"/>
      <c r="Z519" s="677"/>
      <c r="AA519" s="677"/>
      <c r="AB519" s="677"/>
      <c r="AC519" s="677"/>
      <c r="AD519" s="677"/>
    </row>
    <row r="520">
      <c r="A520" s="673"/>
      <c r="B520" s="708"/>
      <c r="C520" s="852"/>
      <c r="D520" s="656"/>
      <c r="E520" s="821"/>
      <c r="F520" s="821"/>
      <c r="G520" s="821"/>
      <c r="H520" s="821"/>
      <c r="I520" s="821"/>
      <c r="J520" s="821"/>
      <c r="K520" s="821"/>
      <c r="L520" s="821"/>
      <c r="M520" s="677"/>
      <c r="N520" s="821"/>
      <c r="O520" s="821"/>
      <c r="P520" s="677"/>
      <c r="Q520" s="677"/>
      <c r="R520" s="677"/>
      <c r="S520" s="677"/>
      <c r="T520" s="677"/>
      <c r="U520" s="677"/>
      <c r="V520" s="677"/>
      <c r="W520" s="677"/>
      <c r="X520" s="677"/>
      <c r="Y520" s="677"/>
      <c r="Z520" s="677"/>
      <c r="AA520" s="677"/>
      <c r="AB520" s="677"/>
      <c r="AC520" s="677"/>
      <c r="AD520" s="677"/>
    </row>
    <row r="521">
      <c r="A521" s="867"/>
      <c r="B521" s="708"/>
      <c r="C521" s="852"/>
      <c r="D521" s="656"/>
      <c r="E521" s="821"/>
      <c r="F521" s="821"/>
      <c r="G521" s="821"/>
      <c r="H521" s="821"/>
      <c r="I521" s="821"/>
      <c r="J521" s="821"/>
      <c r="K521" s="821"/>
      <c r="L521" s="821"/>
      <c r="M521" s="677"/>
      <c r="N521" s="821"/>
      <c r="O521" s="821"/>
      <c r="P521" s="677"/>
      <c r="Q521" s="677"/>
      <c r="R521" s="677"/>
      <c r="S521" s="677"/>
      <c r="T521" s="677"/>
      <c r="U521" s="677"/>
      <c r="V521" s="677"/>
      <c r="W521" s="677"/>
      <c r="X521" s="677"/>
      <c r="Y521" s="677"/>
      <c r="Z521" s="677"/>
      <c r="AA521" s="677"/>
      <c r="AB521" s="677"/>
      <c r="AC521" s="677"/>
      <c r="AD521" s="677"/>
    </row>
    <row r="522">
      <c r="A522" s="673"/>
      <c r="B522" s="708"/>
      <c r="C522" s="852"/>
      <c r="D522" s="656"/>
      <c r="E522" s="821"/>
      <c r="F522" s="821"/>
      <c r="G522" s="821"/>
      <c r="H522" s="821"/>
      <c r="I522" s="821"/>
      <c r="J522" s="821"/>
      <c r="K522" s="821"/>
      <c r="L522" s="821"/>
      <c r="M522" s="677"/>
      <c r="N522" s="821"/>
      <c r="O522" s="821"/>
      <c r="P522" s="677"/>
      <c r="Q522" s="677"/>
      <c r="R522" s="677"/>
      <c r="S522" s="677"/>
      <c r="T522" s="677"/>
      <c r="U522" s="677"/>
      <c r="V522" s="677"/>
      <c r="W522" s="677"/>
      <c r="X522" s="677"/>
      <c r="Y522" s="677"/>
      <c r="Z522" s="677"/>
      <c r="AA522" s="677"/>
      <c r="AB522" s="677"/>
      <c r="AC522" s="677"/>
      <c r="AD522" s="677"/>
    </row>
    <row r="523">
      <c r="A523" s="673"/>
      <c r="B523" s="708"/>
      <c r="C523" s="852"/>
      <c r="D523" s="656"/>
      <c r="E523" s="821"/>
      <c r="F523" s="821"/>
      <c r="G523" s="821"/>
      <c r="H523" s="821"/>
      <c r="I523" s="821"/>
      <c r="J523" s="821"/>
      <c r="K523" s="821"/>
      <c r="L523" s="821"/>
      <c r="M523" s="677"/>
      <c r="N523" s="821"/>
      <c r="O523" s="821"/>
      <c r="P523" s="677"/>
      <c r="Q523" s="677"/>
      <c r="R523" s="677"/>
      <c r="S523" s="677"/>
      <c r="T523" s="677"/>
      <c r="U523" s="677"/>
      <c r="V523" s="677"/>
      <c r="W523" s="677"/>
      <c r="X523" s="677"/>
      <c r="Y523" s="677"/>
      <c r="Z523" s="677"/>
      <c r="AA523" s="677"/>
      <c r="AB523" s="677"/>
      <c r="AC523" s="677"/>
      <c r="AD523" s="677"/>
    </row>
    <row r="524">
      <c r="A524" s="673"/>
      <c r="B524" s="708"/>
      <c r="C524" s="852"/>
      <c r="D524" s="656"/>
      <c r="E524" s="821"/>
      <c r="F524" s="821"/>
      <c r="G524" s="821"/>
      <c r="H524" s="821"/>
      <c r="I524" s="821"/>
      <c r="J524" s="821"/>
      <c r="K524" s="821"/>
      <c r="L524" s="821"/>
      <c r="M524" s="677"/>
      <c r="N524" s="821"/>
      <c r="O524" s="821"/>
      <c r="P524" s="677"/>
      <c r="Q524" s="677"/>
      <c r="R524" s="677"/>
      <c r="S524" s="677"/>
      <c r="T524" s="677"/>
      <c r="U524" s="677"/>
      <c r="V524" s="677"/>
      <c r="W524" s="677"/>
      <c r="X524" s="677"/>
      <c r="Y524" s="677"/>
      <c r="Z524" s="677"/>
      <c r="AA524" s="677"/>
      <c r="AB524" s="677"/>
      <c r="AC524" s="677"/>
      <c r="AD524" s="677"/>
    </row>
    <row r="525">
      <c r="A525" s="673"/>
      <c r="B525" s="708"/>
      <c r="C525" s="852"/>
      <c r="D525" s="656"/>
      <c r="E525" s="821"/>
      <c r="F525" s="821"/>
      <c r="G525" s="821"/>
      <c r="H525" s="821"/>
      <c r="I525" s="821"/>
      <c r="J525" s="821"/>
      <c r="K525" s="821"/>
      <c r="L525" s="821"/>
      <c r="M525" s="677"/>
      <c r="N525" s="821"/>
      <c r="O525" s="821"/>
      <c r="P525" s="677"/>
      <c r="Q525" s="677"/>
      <c r="R525" s="677"/>
      <c r="S525" s="677"/>
      <c r="T525" s="677"/>
      <c r="U525" s="677"/>
      <c r="V525" s="677"/>
      <c r="W525" s="677"/>
      <c r="X525" s="677"/>
      <c r="Y525" s="677"/>
      <c r="Z525" s="677"/>
      <c r="AA525" s="677"/>
      <c r="AB525" s="677"/>
      <c r="AC525" s="677"/>
      <c r="AD525" s="677"/>
    </row>
    <row r="526">
      <c r="A526" s="673"/>
      <c r="B526" s="708"/>
      <c r="C526" s="852"/>
      <c r="D526" s="656"/>
      <c r="E526" s="821"/>
      <c r="F526" s="821"/>
      <c r="G526" s="821"/>
      <c r="H526" s="821"/>
      <c r="I526" s="821"/>
      <c r="J526" s="821"/>
      <c r="K526" s="821"/>
      <c r="L526" s="821"/>
      <c r="M526" s="677"/>
      <c r="N526" s="821"/>
      <c r="O526" s="821"/>
      <c r="P526" s="677"/>
      <c r="Q526" s="677"/>
      <c r="R526" s="677"/>
      <c r="S526" s="677"/>
      <c r="T526" s="677"/>
      <c r="U526" s="677"/>
      <c r="V526" s="677"/>
      <c r="W526" s="677"/>
      <c r="X526" s="677"/>
      <c r="Y526" s="677"/>
      <c r="Z526" s="677"/>
      <c r="AA526" s="677"/>
      <c r="AB526" s="677"/>
      <c r="AC526" s="677"/>
      <c r="AD526" s="677"/>
    </row>
    <row r="527">
      <c r="A527" s="673"/>
      <c r="B527" s="708"/>
      <c r="C527" s="852"/>
      <c r="D527" s="656"/>
      <c r="E527" s="821"/>
      <c r="F527" s="821"/>
      <c r="G527" s="821"/>
      <c r="H527" s="821"/>
      <c r="I527" s="821"/>
      <c r="J527" s="821"/>
      <c r="K527" s="821"/>
      <c r="L527" s="821"/>
      <c r="M527" s="677"/>
      <c r="N527" s="821"/>
      <c r="O527" s="821"/>
      <c r="P527" s="677"/>
      <c r="Q527" s="677"/>
      <c r="R527" s="677"/>
      <c r="S527" s="677"/>
      <c r="T527" s="677"/>
      <c r="U527" s="677"/>
      <c r="V527" s="677"/>
      <c r="W527" s="677"/>
      <c r="X527" s="677"/>
      <c r="Y527" s="677"/>
      <c r="Z527" s="677"/>
      <c r="AA527" s="677"/>
      <c r="AB527" s="677"/>
      <c r="AC527" s="677"/>
      <c r="AD527" s="677"/>
    </row>
    <row r="528">
      <c r="A528" s="673"/>
      <c r="B528" s="708"/>
      <c r="C528" s="852"/>
      <c r="D528" s="656"/>
      <c r="E528" s="821"/>
      <c r="F528" s="821"/>
      <c r="G528" s="821"/>
      <c r="H528" s="821"/>
      <c r="I528" s="821"/>
      <c r="J528" s="821"/>
      <c r="K528" s="821"/>
      <c r="L528" s="821"/>
      <c r="M528" s="677"/>
      <c r="N528" s="821"/>
      <c r="O528" s="821"/>
      <c r="P528" s="677"/>
      <c r="Q528" s="677"/>
      <c r="R528" s="677"/>
      <c r="S528" s="677"/>
      <c r="T528" s="677"/>
      <c r="U528" s="677"/>
      <c r="V528" s="677"/>
      <c r="W528" s="677"/>
      <c r="X528" s="677"/>
      <c r="Y528" s="677"/>
      <c r="Z528" s="677"/>
      <c r="AA528" s="677"/>
      <c r="AB528" s="677"/>
      <c r="AC528" s="677"/>
      <c r="AD528" s="677"/>
    </row>
    <row r="529">
      <c r="A529" s="673"/>
      <c r="B529" s="708"/>
      <c r="C529" s="852"/>
      <c r="D529" s="656"/>
      <c r="E529" s="821"/>
      <c r="F529" s="821"/>
      <c r="G529" s="821"/>
      <c r="H529" s="821"/>
      <c r="I529" s="821"/>
      <c r="J529" s="821"/>
      <c r="K529" s="821"/>
      <c r="L529" s="821"/>
      <c r="M529" s="677"/>
      <c r="N529" s="821"/>
      <c r="O529" s="821"/>
      <c r="P529" s="677"/>
      <c r="Q529" s="677"/>
      <c r="R529" s="677"/>
      <c r="S529" s="677"/>
      <c r="T529" s="677"/>
      <c r="U529" s="677"/>
      <c r="V529" s="677"/>
      <c r="W529" s="677"/>
      <c r="X529" s="677"/>
      <c r="Y529" s="677"/>
      <c r="Z529" s="677"/>
      <c r="AA529" s="677"/>
      <c r="AB529" s="677"/>
      <c r="AC529" s="677"/>
      <c r="AD529" s="677"/>
    </row>
    <row r="530">
      <c r="A530" s="673"/>
      <c r="B530" s="708"/>
      <c r="C530" s="852"/>
      <c r="D530" s="656"/>
      <c r="E530" s="821"/>
      <c r="F530" s="821"/>
      <c r="G530" s="821"/>
      <c r="H530" s="821"/>
      <c r="I530" s="821"/>
      <c r="J530" s="821"/>
      <c r="K530" s="821"/>
      <c r="L530" s="821"/>
      <c r="M530" s="677"/>
      <c r="N530" s="821"/>
      <c r="O530" s="821"/>
      <c r="P530" s="677"/>
      <c r="Q530" s="677"/>
      <c r="R530" s="677"/>
      <c r="S530" s="677"/>
      <c r="T530" s="677"/>
      <c r="U530" s="677"/>
      <c r="V530" s="677"/>
      <c r="W530" s="677"/>
      <c r="X530" s="677"/>
      <c r="Y530" s="677"/>
      <c r="Z530" s="677"/>
      <c r="AA530" s="677"/>
      <c r="AB530" s="677"/>
      <c r="AC530" s="677"/>
      <c r="AD530" s="677"/>
    </row>
    <row r="531">
      <c r="A531" s="673"/>
      <c r="B531" s="708"/>
      <c r="C531" s="852"/>
      <c r="D531" s="656"/>
      <c r="E531" s="821"/>
      <c r="F531" s="821"/>
      <c r="G531" s="821"/>
      <c r="H531" s="821"/>
      <c r="I531" s="821"/>
      <c r="J531" s="821"/>
      <c r="K531" s="821"/>
      <c r="L531" s="821"/>
      <c r="M531" s="677"/>
      <c r="N531" s="821"/>
      <c r="O531" s="821"/>
      <c r="P531" s="677"/>
      <c r="Q531" s="677"/>
      <c r="R531" s="677"/>
      <c r="S531" s="677"/>
      <c r="T531" s="677"/>
      <c r="U531" s="677"/>
      <c r="V531" s="677"/>
      <c r="W531" s="677"/>
      <c r="X531" s="677"/>
      <c r="Y531" s="677"/>
      <c r="Z531" s="677"/>
      <c r="AA531" s="677"/>
      <c r="AB531" s="677"/>
      <c r="AC531" s="677"/>
      <c r="AD531" s="677"/>
    </row>
    <row r="532">
      <c r="A532" s="673"/>
      <c r="B532" s="708"/>
      <c r="C532" s="852"/>
      <c r="D532" s="656"/>
      <c r="E532" s="821"/>
      <c r="F532" s="821"/>
      <c r="G532" s="821"/>
      <c r="H532" s="821"/>
      <c r="I532" s="821"/>
      <c r="J532" s="821"/>
      <c r="K532" s="821"/>
      <c r="L532" s="821"/>
      <c r="M532" s="677"/>
      <c r="N532" s="821"/>
      <c r="O532" s="821"/>
      <c r="P532" s="677"/>
      <c r="Q532" s="677"/>
      <c r="R532" s="677"/>
      <c r="S532" s="677"/>
      <c r="T532" s="677"/>
      <c r="U532" s="677"/>
      <c r="V532" s="677"/>
      <c r="W532" s="677"/>
      <c r="X532" s="677"/>
      <c r="Y532" s="677"/>
      <c r="Z532" s="677"/>
      <c r="AA532" s="677"/>
      <c r="AB532" s="677"/>
      <c r="AC532" s="677"/>
      <c r="AD532" s="677"/>
    </row>
    <row r="533">
      <c r="A533" s="673"/>
      <c r="B533" s="708"/>
      <c r="C533" s="852"/>
      <c r="D533" s="656"/>
      <c r="E533" s="821"/>
      <c r="F533" s="821"/>
      <c r="G533" s="821"/>
      <c r="H533" s="821"/>
      <c r="I533" s="821"/>
      <c r="J533" s="821"/>
      <c r="K533" s="821"/>
      <c r="L533" s="821"/>
      <c r="M533" s="677"/>
      <c r="N533" s="821"/>
      <c r="O533" s="821"/>
      <c r="P533" s="677"/>
      <c r="Q533" s="677"/>
      <c r="R533" s="677"/>
      <c r="S533" s="677"/>
      <c r="T533" s="677"/>
      <c r="U533" s="677"/>
      <c r="V533" s="677"/>
      <c r="W533" s="677"/>
      <c r="X533" s="677"/>
      <c r="Y533" s="677"/>
      <c r="Z533" s="677"/>
      <c r="AA533" s="677"/>
      <c r="AB533" s="677"/>
      <c r="AC533" s="677"/>
      <c r="AD533" s="677"/>
    </row>
    <row r="534">
      <c r="A534" s="673"/>
      <c r="B534" s="708"/>
      <c r="C534" s="852"/>
      <c r="D534" s="656"/>
      <c r="E534" s="821"/>
      <c r="F534" s="821"/>
      <c r="G534" s="821"/>
      <c r="H534" s="821"/>
      <c r="I534" s="821"/>
      <c r="J534" s="821"/>
      <c r="K534" s="821"/>
      <c r="L534" s="821"/>
      <c r="M534" s="677"/>
      <c r="N534" s="821"/>
      <c r="O534" s="821"/>
      <c r="P534" s="677"/>
      <c r="Q534" s="677"/>
      <c r="R534" s="677"/>
      <c r="S534" s="677"/>
      <c r="T534" s="677"/>
      <c r="U534" s="677"/>
      <c r="V534" s="677"/>
      <c r="W534" s="677"/>
      <c r="X534" s="677"/>
      <c r="Y534" s="677"/>
      <c r="Z534" s="677"/>
      <c r="AA534" s="677"/>
      <c r="AB534" s="677"/>
      <c r="AC534" s="677"/>
      <c r="AD534" s="677"/>
    </row>
    <row r="535">
      <c r="A535" s="673"/>
      <c r="B535" s="708"/>
      <c r="C535" s="852"/>
      <c r="D535" s="656"/>
      <c r="E535" s="821"/>
      <c r="F535" s="821"/>
      <c r="G535" s="821"/>
      <c r="H535" s="821"/>
      <c r="I535" s="821"/>
      <c r="J535" s="821"/>
      <c r="K535" s="821"/>
      <c r="L535" s="821"/>
      <c r="M535" s="677"/>
      <c r="N535" s="821"/>
      <c r="O535" s="821"/>
      <c r="P535" s="677"/>
      <c r="Q535" s="677"/>
      <c r="R535" s="677"/>
      <c r="S535" s="677"/>
      <c r="T535" s="677"/>
      <c r="U535" s="677"/>
      <c r="V535" s="677"/>
      <c r="W535" s="677"/>
      <c r="X535" s="677"/>
      <c r="Y535" s="677"/>
      <c r="Z535" s="677"/>
      <c r="AA535" s="677"/>
      <c r="AB535" s="677"/>
      <c r="AC535" s="677"/>
      <c r="AD535" s="677"/>
    </row>
    <row r="536">
      <c r="A536" s="673"/>
      <c r="B536" s="708"/>
      <c r="C536" s="852"/>
      <c r="D536" s="656"/>
      <c r="E536" s="821"/>
      <c r="F536" s="821"/>
      <c r="G536" s="821"/>
      <c r="H536" s="821"/>
      <c r="I536" s="821"/>
      <c r="J536" s="821"/>
      <c r="K536" s="821"/>
      <c r="L536" s="821"/>
      <c r="M536" s="677"/>
      <c r="N536" s="821"/>
      <c r="O536" s="821"/>
      <c r="P536" s="677"/>
      <c r="Q536" s="677"/>
      <c r="R536" s="677"/>
      <c r="S536" s="677"/>
      <c r="T536" s="677"/>
      <c r="U536" s="677"/>
      <c r="V536" s="677"/>
      <c r="W536" s="677"/>
      <c r="X536" s="677"/>
      <c r="Y536" s="677"/>
      <c r="Z536" s="677"/>
      <c r="AA536" s="677"/>
      <c r="AB536" s="677"/>
      <c r="AC536" s="677"/>
      <c r="AD536" s="677"/>
    </row>
    <row r="537">
      <c r="A537" s="673"/>
      <c r="B537" s="708"/>
      <c r="C537" s="852"/>
      <c r="D537" s="656"/>
      <c r="E537" s="821"/>
      <c r="F537" s="821"/>
      <c r="G537" s="821"/>
      <c r="H537" s="821"/>
      <c r="I537" s="821"/>
      <c r="J537" s="821"/>
      <c r="K537" s="821"/>
      <c r="L537" s="821"/>
      <c r="M537" s="677"/>
      <c r="N537" s="821"/>
      <c r="O537" s="821"/>
      <c r="P537" s="677"/>
      <c r="Q537" s="677"/>
      <c r="R537" s="677"/>
      <c r="S537" s="677"/>
      <c r="T537" s="677"/>
      <c r="U537" s="677"/>
      <c r="V537" s="677"/>
      <c r="W537" s="677"/>
      <c r="X537" s="677"/>
      <c r="Y537" s="677"/>
      <c r="Z537" s="677"/>
      <c r="AA537" s="677"/>
      <c r="AB537" s="677"/>
      <c r="AC537" s="677"/>
      <c r="AD537" s="677"/>
    </row>
    <row r="538">
      <c r="A538" s="867"/>
      <c r="B538" s="708"/>
      <c r="C538" s="852"/>
      <c r="D538" s="656"/>
      <c r="E538" s="821"/>
      <c r="F538" s="821"/>
      <c r="G538" s="821"/>
      <c r="H538" s="821"/>
      <c r="I538" s="821"/>
      <c r="J538" s="821"/>
      <c r="K538" s="821"/>
      <c r="L538" s="821"/>
      <c r="M538" s="677"/>
      <c r="N538" s="821"/>
      <c r="O538" s="821"/>
      <c r="P538" s="677"/>
      <c r="Q538" s="677"/>
      <c r="R538" s="677"/>
      <c r="S538" s="677"/>
      <c r="T538" s="677"/>
      <c r="U538" s="677"/>
      <c r="V538" s="677"/>
      <c r="W538" s="677"/>
      <c r="X538" s="677"/>
      <c r="Y538" s="677"/>
      <c r="Z538" s="677"/>
      <c r="AA538" s="677"/>
      <c r="AB538" s="677"/>
      <c r="AC538" s="677"/>
      <c r="AD538" s="677"/>
    </row>
    <row r="539">
      <c r="A539" s="673"/>
      <c r="B539" s="708"/>
      <c r="C539" s="852"/>
      <c r="D539" s="656"/>
      <c r="E539" s="821"/>
      <c r="F539" s="821"/>
      <c r="G539" s="821"/>
      <c r="H539" s="821"/>
      <c r="I539" s="821"/>
      <c r="J539" s="821"/>
      <c r="K539" s="821"/>
      <c r="L539" s="821"/>
      <c r="M539" s="677"/>
      <c r="N539" s="821"/>
      <c r="O539" s="821"/>
      <c r="P539" s="677"/>
      <c r="Q539" s="677"/>
      <c r="R539" s="677"/>
      <c r="S539" s="677"/>
      <c r="T539" s="677"/>
      <c r="U539" s="677"/>
      <c r="V539" s="677"/>
      <c r="W539" s="677"/>
      <c r="X539" s="677"/>
      <c r="Y539" s="677"/>
      <c r="Z539" s="677"/>
      <c r="AA539" s="677"/>
      <c r="AB539" s="677"/>
      <c r="AC539" s="677"/>
      <c r="AD539" s="677"/>
    </row>
    <row r="540">
      <c r="A540" s="673"/>
      <c r="B540" s="708"/>
      <c r="C540" s="852"/>
      <c r="D540" s="656"/>
      <c r="E540" s="821"/>
      <c r="F540" s="821"/>
      <c r="G540" s="821"/>
      <c r="H540" s="821"/>
      <c r="I540" s="821"/>
      <c r="J540" s="821"/>
      <c r="K540" s="821"/>
      <c r="L540" s="821"/>
      <c r="M540" s="677"/>
      <c r="N540" s="821"/>
      <c r="O540" s="821"/>
      <c r="P540" s="677"/>
      <c r="Q540" s="677"/>
      <c r="R540" s="677"/>
      <c r="S540" s="677"/>
      <c r="T540" s="677"/>
      <c r="U540" s="677"/>
      <c r="V540" s="677"/>
      <c r="W540" s="677"/>
      <c r="X540" s="677"/>
      <c r="Y540" s="677"/>
      <c r="Z540" s="677"/>
      <c r="AA540" s="677"/>
      <c r="AB540" s="677"/>
      <c r="AC540" s="677"/>
      <c r="AD540" s="677"/>
    </row>
    <row r="541">
      <c r="A541" s="673"/>
      <c r="B541" s="708"/>
      <c r="C541" s="852"/>
      <c r="D541" s="656"/>
      <c r="E541" s="821"/>
      <c r="F541" s="821"/>
      <c r="G541" s="821"/>
      <c r="H541" s="821"/>
      <c r="I541" s="821"/>
      <c r="J541" s="821"/>
      <c r="K541" s="821"/>
      <c r="L541" s="821"/>
      <c r="M541" s="677"/>
      <c r="N541" s="821"/>
      <c r="O541" s="821"/>
      <c r="P541" s="677"/>
      <c r="Q541" s="677"/>
      <c r="R541" s="677"/>
      <c r="S541" s="677"/>
      <c r="T541" s="677"/>
      <c r="U541" s="677"/>
      <c r="V541" s="677"/>
      <c r="W541" s="677"/>
      <c r="X541" s="677"/>
      <c r="Y541" s="677"/>
      <c r="Z541" s="677"/>
      <c r="AA541" s="677"/>
      <c r="AB541" s="677"/>
      <c r="AC541" s="677"/>
      <c r="AD541" s="677"/>
    </row>
    <row r="542">
      <c r="A542" s="673"/>
      <c r="B542" s="708"/>
      <c r="C542" s="852"/>
      <c r="D542" s="656"/>
      <c r="E542" s="821"/>
      <c r="F542" s="821"/>
      <c r="G542" s="821"/>
      <c r="H542" s="821"/>
      <c r="I542" s="821"/>
      <c r="J542" s="821"/>
      <c r="K542" s="821"/>
      <c r="L542" s="821"/>
      <c r="M542" s="677"/>
      <c r="N542" s="821"/>
      <c r="O542" s="821"/>
      <c r="P542" s="677"/>
      <c r="Q542" s="677"/>
      <c r="R542" s="677"/>
      <c r="S542" s="677"/>
      <c r="T542" s="677"/>
      <c r="U542" s="677"/>
      <c r="V542" s="677"/>
      <c r="W542" s="677"/>
      <c r="X542" s="677"/>
      <c r="Y542" s="677"/>
      <c r="Z542" s="677"/>
      <c r="AA542" s="677"/>
      <c r="AB542" s="677"/>
      <c r="AC542" s="677"/>
      <c r="AD542" s="677"/>
    </row>
    <row r="543">
      <c r="A543" s="673"/>
      <c r="B543" s="708"/>
      <c r="C543" s="852"/>
      <c r="D543" s="656"/>
      <c r="E543" s="821"/>
      <c r="F543" s="821"/>
      <c r="G543" s="821"/>
      <c r="H543" s="821"/>
      <c r="I543" s="821"/>
      <c r="J543" s="821"/>
      <c r="K543" s="821"/>
      <c r="L543" s="821"/>
      <c r="M543" s="677"/>
      <c r="N543" s="821"/>
      <c r="O543" s="821"/>
      <c r="P543" s="677"/>
      <c r="Q543" s="677"/>
      <c r="R543" s="677"/>
      <c r="S543" s="677"/>
      <c r="T543" s="677"/>
      <c r="U543" s="677"/>
      <c r="V543" s="677"/>
      <c r="W543" s="677"/>
      <c r="X543" s="677"/>
      <c r="Y543" s="677"/>
      <c r="Z543" s="677"/>
      <c r="AA543" s="677"/>
      <c r="AB543" s="677"/>
      <c r="AC543" s="677"/>
      <c r="AD543" s="677"/>
    </row>
    <row r="544">
      <c r="A544" s="673"/>
      <c r="B544" s="708"/>
      <c r="C544" s="852"/>
      <c r="D544" s="656"/>
      <c r="E544" s="821"/>
      <c r="F544" s="821"/>
      <c r="G544" s="821"/>
      <c r="H544" s="821"/>
      <c r="I544" s="821"/>
      <c r="J544" s="821"/>
      <c r="K544" s="821"/>
      <c r="L544" s="821"/>
      <c r="M544" s="677"/>
      <c r="N544" s="821"/>
      <c r="O544" s="821"/>
      <c r="P544" s="677"/>
      <c r="Q544" s="677"/>
      <c r="R544" s="677"/>
      <c r="S544" s="677"/>
      <c r="T544" s="677"/>
      <c r="U544" s="677"/>
      <c r="V544" s="677"/>
      <c r="W544" s="677"/>
      <c r="X544" s="677"/>
      <c r="Y544" s="677"/>
      <c r="Z544" s="677"/>
      <c r="AA544" s="677"/>
      <c r="AB544" s="677"/>
      <c r="AC544" s="677"/>
      <c r="AD544" s="677"/>
    </row>
    <row r="545">
      <c r="A545" s="673"/>
      <c r="B545" s="708"/>
      <c r="C545" s="852"/>
      <c r="D545" s="656"/>
      <c r="E545" s="821"/>
      <c r="F545" s="821"/>
      <c r="G545" s="821"/>
      <c r="H545" s="821"/>
      <c r="I545" s="821"/>
      <c r="J545" s="821"/>
      <c r="K545" s="821"/>
      <c r="L545" s="821"/>
      <c r="M545" s="677"/>
      <c r="N545" s="821"/>
      <c r="O545" s="821"/>
      <c r="P545" s="677"/>
      <c r="Q545" s="677"/>
      <c r="R545" s="677"/>
      <c r="S545" s="677"/>
      <c r="T545" s="677"/>
      <c r="U545" s="677"/>
      <c r="V545" s="677"/>
      <c r="W545" s="677"/>
      <c r="X545" s="677"/>
      <c r="Y545" s="677"/>
      <c r="Z545" s="677"/>
      <c r="AA545" s="677"/>
      <c r="AB545" s="677"/>
      <c r="AC545" s="677"/>
      <c r="AD545" s="677"/>
    </row>
    <row r="546">
      <c r="A546" s="673"/>
      <c r="B546" s="708"/>
      <c r="C546" s="852"/>
      <c r="D546" s="656"/>
      <c r="E546" s="821"/>
      <c r="F546" s="821"/>
      <c r="G546" s="821"/>
      <c r="H546" s="821"/>
      <c r="I546" s="821"/>
      <c r="J546" s="821"/>
      <c r="K546" s="821"/>
      <c r="L546" s="821"/>
      <c r="M546" s="677"/>
      <c r="N546" s="821"/>
      <c r="O546" s="821"/>
      <c r="P546" s="677"/>
      <c r="Q546" s="677"/>
      <c r="R546" s="677"/>
      <c r="S546" s="677"/>
      <c r="T546" s="677"/>
      <c r="U546" s="677"/>
      <c r="V546" s="677"/>
      <c r="W546" s="677"/>
      <c r="X546" s="677"/>
      <c r="Y546" s="677"/>
      <c r="Z546" s="677"/>
      <c r="AA546" s="677"/>
      <c r="AB546" s="677"/>
      <c r="AC546" s="677"/>
      <c r="AD546" s="677"/>
    </row>
    <row r="547">
      <c r="A547" s="673"/>
      <c r="B547" s="708"/>
      <c r="C547" s="852"/>
      <c r="D547" s="656"/>
      <c r="E547" s="821"/>
      <c r="F547" s="821"/>
      <c r="G547" s="821"/>
      <c r="H547" s="821"/>
      <c r="I547" s="821"/>
      <c r="J547" s="821"/>
      <c r="K547" s="821"/>
      <c r="L547" s="821"/>
      <c r="M547" s="677"/>
      <c r="N547" s="821"/>
      <c r="O547" s="821"/>
      <c r="P547" s="677"/>
      <c r="Q547" s="677"/>
      <c r="R547" s="677"/>
      <c r="S547" s="677"/>
      <c r="T547" s="677"/>
      <c r="U547" s="677"/>
      <c r="V547" s="677"/>
      <c r="W547" s="677"/>
      <c r="X547" s="677"/>
      <c r="Y547" s="677"/>
      <c r="Z547" s="677"/>
      <c r="AA547" s="677"/>
      <c r="AB547" s="677"/>
      <c r="AC547" s="677"/>
      <c r="AD547" s="677"/>
    </row>
    <row r="548">
      <c r="A548" s="867"/>
      <c r="B548" s="708"/>
      <c r="C548" s="852"/>
      <c r="D548" s="656"/>
      <c r="E548" s="821"/>
      <c r="F548" s="821"/>
      <c r="G548" s="821"/>
      <c r="H548" s="821"/>
      <c r="I548" s="821"/>
      <c r="J548" s="821"/>
      <c r="K548" s="821"/>
      <c r="L548" s="821"/>
      <c r="M548" s="677"/>
      <c r="N548" s="821"/>
      <c r="O548" s="821"/>
      <c r="P548" s="677"/>
      <c r="Q548" s="677"/>
      <c r="R548" s="677"/>
      <c r="S548" s="677"/>
      <c r="T548" s="677"/>
      <c r="U548" s="677"/>
      <c r="V548" s="677"/>
      <c r="W548" s="677"/>
      <c r="X548" s="677"/>
      <c r="Y548" s="677"/>
      <c r="Z548" s="677"/>
      <c r="AA548" s="677"/>
      <c r="AB548" s="677"/>
      <c r="AC548" s="677"/>
      <c r="AD548" s="677"/>
    </row>
    <row r="549">
      <c r="A549" s="673"/>
      <c r="B549" s="708"/>
      <c r="C549" s="852"/>
      <c r="D549" s="656"/>
      <c r="E549" s="821"/>
      <c r="F549" s="821"/>
      <c r="G549" s="821"/>
      <c r="H549" s="821"/>
      <c r="I549" s="821"/>
      <c r="J549" s="821"/>
      <c r="K549" s="821"/>
      <c r="L549" s="821"/>
      <c r="M549" s="677"/>
      <c r="N549" s="821"/>
      <c r="O549" s="821"/>
      <c r="P549" s="677"/>
      <c r="Q549" s="677"/>
      <c r="R549" s="677"/>
      <c r="S549" s="677"/>
      <c r="T549" s="677"/>
      <c r="U549" s="677"/>
      <c r="V549" s="677"/>
      <c r="W549" s="677"/>
      <c r="X549" s="677"/>
      <c r="Y549" s="677"/>
      <c r="Z549" s="677"/>
      <c r="AA549" s="677"/>
      <c r="AB549" s="677"/>
      <c r="AC549" s="677"/>
      <c r="AD549" s="677"/>
    </row>
    <row r="550">
      <c r="A550" s="673"/>
      <c r="B550" s="708"/>
      <c r="C550" s="852"/>
      <c r="D550" s="656"/>
      <c r="E550" s="821"/>
      <c r="F550" s="821"/>
      <c r="G550" s="821"/>
      <c r="H550" s="821"/>
      <c r="I550" s="821"/>
      <c r="J550" s="821"/>
      <c r="K550" s="821"/>
      <c r="L550" s="821"/>
      <c r="M550" s="677"/>
      <c r="N550" s="821"/>
      <c r="O550" s="821"/>
      <c r="P550" s="677"/>
      <c r="Q550" s="677"/>
      <c r="R550" s="677"/>
      <c r="S550" s="677"/>
      <c r="T550" s="677"/>
      <c r="U550" s="677"/>
      <c r="V550" s="677"/>
      <c r="W550" s="677"/>
      <c r="X550" s="677"/>
      <c r="Y550" s="677"/>
      <c r="Z550" s="677"/>
      <c r="AA550" s="677"/>
      <c r="AB550" s="677"/>
      <c r="AC550" s="677"/>
      <c r="AD550" s="677"/>
    </row>
    <row r="551">
      <c r="A551" s="673"/>
      <c r="B551" s="708"/>
      <c r="C551" s="852"/>
      <c r="D551" s="656"/>
      <c r="E551" s="821"/>
      <c r="F551" s="821"/>
      <c r="G551" s="821"/>
      <c r="H551" s="821"/>
      <c r="I551" s="821"/>
      <c r="J551" s="821"/>
      <c r="K551" s="821"/>
      <c r="L551" s="821"/>
      <c r="M551" s="677"/>
      <c r="N551" s="821"/>
      <c r="O551" s="821"/>
      <c r="P551" s="677"/>
      <c r="Q551" s="677"/>
      <c r="R551" s="677"/>
      <c r="S551" s="677"/>
      <c r="T551" s="677"/>
      <c r="U551" s="677"/>
      <c r="V551" s="677"/>
      <c r="W551" s="677"/>
      <c r="X551" s="677"/>
      <c r="Y551" s="677"/>
      <c r="Z551" s="677"/>
      <c r="AA551" s="677"/>
      <c r="AB551" s="677"/>
      <c r="AC551" s="677"/>
      <c r="AD551" s="677"/>
    </row>
    <row r="552">
      <c r="A552" s="673"/>
      <c r="B552" s="708"/>
      <c r="C552" s="852"/>
      <c r="D552" s="656"/>
      <c r="E552" s="821"/>
      <c r="F552" s="821"/>
      <c r="G552" s="821"/>
      <c r="H552" s="821"/>
      <c r="I552" s="821"/>
      <c r="J552" s="821"/>
      <c r="K552" s="821"/>
      <c r="L552" s="821"/>
      <c r="M552" s="677"/>
      <c r="N552" s="821"/>
      <c r="O552" s="821"/>
      <c r="P552" s="677"/>
      <c r="Q552" s="677"/>
      <c r="R552" s="677"/>
      <c r="S552" s="677"/>
      <c r="T552" s="677"/>
      <c r="U552" s="677"/>
      <c r="V552" s="677"/>
      <c r="W552" s="677"/>
      <c r="X552" s="677"/>
      <c r="Y552" s="677"/>
      <c r="Z552" s="677"/>
      <c r="AA552" s="677"/>
      <c r="AB552" s="677"/>
      <c r="AC552" s="677"/>
      <c r="AD552" s="677"/>
    </row>
    <row r="553">
      <c r="A553" s="673"/>
      <c r="B553" s="708"/>
      <c r="C553" s="852"/>
      <c r="D553" s="656"/>
      <c r="E553" s="821"/>
      <c r="F553" s="821"/>
      <c r="G553" s="821"/>
      <c r="H553" s="821"/>
      <c r="I553" s="821"/>
      <c r="J553" s="821"/>
      <c r="K553" s="821"/>
      <c r="L553" s="821"/>
      <c r="M553" s="677"/>
      <c r="N553" s="821"/>
      <c r="O553" s="821"/>
      <c r="P553" s="677"/>
      <c r="Q553" s="677"/>
      <c r="R553" s="677"/>
      <c r="S553" s="677"/>
      <c r="T553" s="677"/>
      <c r="U553" s="677"/>
      <c r="V553" s="677"/>
      <c r="W553" s="677"/>
      <c r="X553" s="677"/>
      <c r="Y553" s="677"/>
      <c r="Z553" s="677"/>
      <c r="AA553" s="677"/>
      <c r="AB553" s="677"/>
      <c r="AC553" s="677"/>
      <c r="AD553" s="677"/>
    </row>
    <row r="554">
      <c r="A554" s="673"/>
      <c r="B554" s="708"/>
      <c r="C554" s="852"/>
      <c r="D554" s="656"/>
      <c r="E554" s="821"/>
      <c r="F554" s="821"/>
      <c r="G554" s="821"/>
      <c r="H554" s="821"/>
      <c r="I554" s="821"/>
      <c r="J554" s="821"/>
      <c r="K554" s="821"/>
      <c r="L554" s="821"/>
      <c r="M554" s="677"/>
      <c r="N554" s="821"/>
      <c r="O554" s="821"/>
      <c r="P554" s="677"/>
      <c r="Q554" s="677"/>
      <c r="R554" s="677"/>
      <c r="S554" s="677"/>
      <c r="T554" s="677"/>
      <c r="U554" s="677"/>
      <c r="V554" s="677"/>
      <c r="W554" s="677"/>
      <c r="X554" s="677"/>
      <c r="Y554" s="677"/>
      <c r="Z554" s="677"/>
      <c r="AA554" s="677"/>
      <c r="AB554" s="677"/>
      <c r="AC554" s="677"/>
      <c r="AD554" s="677"/>
    </row>
    <row r="555">
      <c r="A555" s="867"/>
      <c r="B555" s="708"/>
      <c r="C555" s="852"/>
      <c r="D555" s="656"/>
      <c r="E555" s="821"/>
      <c r="F555" s="821"/>
      <c r="G555" s="821"/>
      <c r="H555" s="821"/>
      <c r="I555" s="821"/>
      <c r="J555" s="821"/>
      <c r="K555" s="821"/>
      <c r="L555" s="821"/>
      <c r="M555" s="677"/>
      <c r="N555" s="821"/>
      <c r="O555" s="821"/>
      <c r="P555" s="677"/>
      <c r="Q555" s="677"/>
      <c r="R555" s="677"/>
      <c r="S555" s="677"/>
      <c r="T555" s="677"/>
      <c r="U555" s="677"/>
      <c r="V555" s="677"/>
      <c r="W555" s="677"/>
      <c r="X555" s="677"/>
      <c r="Y555" s="677"/>
      <c r="Z555" s="677"/>
      <c r="AA555" s="677"/>
      <c r="AB555" s="677"/>
      <c r="AC555" s="677"/>
      <c r="AD555" s="677"/>
    </row>
    <row r="556">
      <c r="A556" s="673"/>
      <c r="B556" s="708"/>
      <c r="C556" s="852"/>
      <c r="D556" s="656"/>
      <c r="E556" s="821"/>
      <c r="F556" s="821"/>
      <c r="G556" s="821"/>
      <c r="H556" s="821"/>
      <c r="I556" s="821"/>
      <c r="J556" s="821"/>
      <c r="K556" s="821"/>
      <c r="L556" s="821"/>
      <c r="M556" s="677"/>
      <c r="N556" s="821"/>
      <c r="O556" s="821"/>
      <c r="P556" s="677"/>
      <c r="Q556" s="677"/>
      <c r="R556" s="677"/>
      <c r="S556" s="677"/>
      <c r="T556" s="677"/>
      <c r="U556" s="677"/>
      <c r="V556" s="677"/>
      <c r="W556" s="677"/>
      <c r="X556" s="677"/>
      <c r="Y556" s="677"/>
      <c r="Z556" s="677"/>
      <c r="AA556" s="677"/>
      <c r="AB556" s="677"/>
      <c r="AC556" s="677"/>
      <c r="AD556" s="677"/>
    </row>
    <row r="557">
      <c r="A557" s="673"/>
      <c r="B557" s="708"/>
      <c r="C557" s="852"/>
      <c r="D557" s="656"/>
      <c r="E557" s="821"/>
      <c r="F557" s="821"/>
      <c r="G557" s="821"/>
      <c r="H557" s="821"/>
      <c r="I557" s="821"/>
      <c r="J557" s="821"/>
      <c r="K557" s="821"/>
      <c r="L557" s="821"/>
      <c r="M557" s="677"/>
      <c r="N557" s="821"/>
      <c r="O557" s="821"/>
      <c r="P557" s="677"/>
      <c r="Q557" s="677"/>
      <c r="R557" s="677"/>
      <c r="S557" s="677"/>
      <c r="T557" s="677"/>
      <c r="U557" s="677"/>
      <c r="V557" s="677"/>
      <c r="W557" s="677"/>
      <c r="X557" s="677"/>
      <c r="Y557" s="677"/>
      <c r="Z557" s="677"/>
      <c r="AA557" s="677"/>
      <c r="AB557" s="677"/>
      <c r="AC557" s="677"/>
      <c r="AD557" s="677"/>
    </row>
    <row r="558">
      <c r="A558" s="673"/>
      <c r="B558" s="708"/>
      <c r="C558" s="852"/>
      <c r="D558" s="656"/>
      <c r="E558" s="821"/>
      <c r="F558" s="821"/>
      <c r="G558" s="821"/>
      <c r="H558" s="821"/>
      <c r="I558" s="821"/>
      <c r="J558" s="821"/>
      <c r="K558" s="821"/>
      <c r="L558" s="821"/>
      <c r="M558" s="677"/>
      <c r="N558" s="821"/>
      <c r="O558" s="821"/>
      <c r="P558" s="677"/>
      <c r="Q558" s="677"/>
      <c r="R558" s="677"/>
      <c r="S558" s="677"/>
      <c r="T558" s="677"/>
      <c r="U558" s="677"/>
      <c r="V558" s="677"/>
      <c r="W558" s="677"/>
      <c r="X558" s="677"/>
      <c r="Y558" s="677"/>
      <c r="Z558" s="677"/>
      <c r="AA558" s="677"/>
      <c r="AB558" s="677"/>
      <c r="AC558" s="677"/>
      <c r="AD558" s="677"/>
    </row>
    <row r="559">
      <c r="A559" s="673"/>
      <c r="B559" s="708"/>
      <c r="C559" s="852"/>
      <c r="D559" s="656"/>
      <c r="E559" s="821"/>
      <c r="F559" s="821"/>
      <c r="G559" s="821"/>
      <c r="H559" s="821"/>
      <c r="I559" s="821"/>
      <c r="J559" s="821"/>
      <c r="K559" s="821"/>
      <c r="L559" s="821"/>
      <c r="M559" s="677"/>
      <c r="N559" s="821"/>
      <c r="O559" s="821"/>
      <c r="P559" s="677"/>
      <c r="Q559" s="677"/>
      <c r="R559" s="677"/>
      <c r="S559" s="677"/>
      <c r="T559" s="677"/>
      <c r="U559" s="677"/>
      <c r="V559" s="677"/>
      <c r="W559" s="677"/>
      <c r="X559" s="677"/>
      <c r="Y559" s="677"/>
      <c r="Z559" s="677"/>
      <c r="AA559" s="677"/>
      <c r="AB559" s="677"/>
      <c r="AC559" s="677"/>
      <c r="AD559" s="677"/>
    </row>
    <row r="560">
      <c r="A560" s="673"/>
      <c r="B560" s="708"/>
      <c r="C560" s="852"/>
      <c r="D560" s="656"/>
      <c r="E560" s="821"/>
      <c r="F560" s="821"/>
      <c r="G560" s="821"/>
      <c r="H560" s="821"/>
      <c r="I560" s="821"/>
      <c r="J560" s="821"/>
      <c r="K560" s="821"/>
      <c r="L560" s="821"/>
      <c r="M560" s="677"/>
      <c r="N560" s="821"/>
      <c r="O560" s="821"/>
      <c r="P560" s="677"/>
      <c r="Q560" s="677"/>
      <c r="R560" s="677"/>
      <c r="S560" s="677"/>
      <c r="T560" s="677"/>
      <c r="U560" s="677"/>
      <c r="V560" s="677"/>
      <c r="W560" s="677"/>
      <c r="X560" s="677"/>
      <c r="Y560" s="677"/>
      <c r="Z560" s="677"/>
      <c r="AA560" s="677"/>
      <c r="AB560" s="677"/>
      <c r="AC560" s="677"/>
      <c r="AD560" s="677"/>
    </row>
    <row r="561">
      <c r="A561" s="673"/>
      <c r="B561" s="708"/>
      <c r="C561" s="852"/>
      <c r="D561" s="656"/>
      <c r="E561" s="821"/>
      <c r="F561" s="821"/>
      <c r="G561" s="821"/>
      <c r="H561" s="821"/>
      <c r="I561" s="821"/>
      <c r="J561" s="821"/>
      <c r="K561" s="821"/>
      <c r="L561" s="821"/>
      <c r="M561" s="677"/>
      <c r="N561" s="821"/>
      <c r="O561" s="821"/>
      <c r="P561" s="677"/>
      <c r="Q561" s="677"/>
      <c r="R561" s="677"/>
      <c r="S561" s="677"/>
      <c r="T561" s="677"/>
      <c r="U561" s="677"/>
      <c r="V561" s="677"/>
      <c r="W561" s="677"/>
      <c r="X561" s="677"/>
      <c r="Y561" s="677"/>
      <c r="Z561" s="677"/>
      <c r="AA561" s="677"/>
      <c r="AB561" s="677"/>
      <c r="AC561" s="677"/>
      <c r="AD561" s="677"/>
    </row>
    <row r="562">
      <c r="A562" s="867"/>
      <c r="B562" s="708"/>
      <c r="C562" s="852"/>
      <c r="D562" s="656"/>
      <c r="E562" s="821"/>
      <c r="F562" s="821"/>
      <c r="G562" s="821"/>
      <c r="H562" s="821"/>
      <c r="I562" s="821"/>
      <c r="J562" s="821"/>
      <c r="K562" s="821"/>
      <c r="L562" s="821"/>
      <c r="M562" s="677"/>
      <c r="N562" s="821"/>
      <c r="O562" s="821"/>
      <c r="P562" s="677"/>
      <c r="Q562" s="677"/>
      <c r="R562" s="677"/>
      <c r="S562" s="677"/>
      <c r="T562" s="677"/>
      <c r="U562" s="677"/>
      <c r="V562" s="677"/>
      <c r="W562" s="677"/>
      <c r="X562" s="677"/>
      <c r="Y562" s="677"/>
      <c r="Z562" s="677"/>
      <c r="AA562" s="677"/>
      <c r="AB562" s="677"/>
      <c r="AC562" s="677"/>
      <c r="AD562" s="677"/>
    </row>
    <row r="563">
      <c r="A563" s="673"/>
      <c r="B563" s="708"/>
      <c r="C563" s="852"/>
      <c r="D563" s="656"/>
      <c r="E563" s="821"/>
      <c r="F563" s="821"/>
      <c r="G563" s="821"/>
      <c r="H563" s="821"/>
      <c r="I563" s="821"/>
      <c r="J563" s="821"/>
      <c r="K563" s="821"/>
      <c r="L563" s="821"/>
      <c r="M563" s="677"/>
      <c r="N563" s="821"/>
      <c r="O563" s="821"/>
      <c r="P563" s="677"/>
      <c r="Q563" s="677"/>
      <c r="R563" s="677"/>
      <c r="S563" s="677"/>
      <c r="T563" s="677"/>
      <c r="U563" s="677"/>
      <c r="V563" s="677"/>
      <c r="W563" s="677"/>
      <c r="X563" s="677"/>
      <c r="Y563" s="677"/>
      <c r="Z563" s="677"/>
      <c r="AA563" s="677"/>
      <c r="AB563" s="677"/>
      <c r="AC563" s="677"/>
      <c r="AD563" s="677"/>
    </row>
    <row r="564">
      <c r="A564" s="673"/>
      <c r="B564" s="708"/>
      <c r="C564" s="852"/>
      <c r="D564" s="656"/>
      <c r="E564" s="821"/>
      <c r="F564" s="821"/>
      <c r="G564" s="821"/>
      <c r="H564" s="821"/>
      <c r="I564" s="821"/>
      <c r="J564" s="821"/>
      <c r="K564" s="821"/>
      <c r="L564" s="821"/>
      <c r="M564" s="677"/>
      <c r="N564" s="821"/>
      <c r="O564" s="821"/>
      <c r="P564" s="677"/>
      <c r="Q564" s="677"/>
      <c r="R564" s="677"/>
      <c r="S564" s="677"/>
      <c r="T564" s="677"/>
      <c r="U564" s="677"/>
      <c r="V564" s="677"/>
      <c r="W564" s="677"/>
      <c r="X564" s="677"/>
      <c r="Y564" s="677"/>
      <c r="Z564" s="677"/>
      <c r="AA564" s="677"/>
      <c r="AB564" s="677"/>
      <c r="AC564" s="677"/>
      <c r="AD564" s="677"/>
    </row>
    <row r="565">
      <c r="A565" s="673"/>
      <c r="B565" s="708"/>
      <c r="C565" s="852"/>
      <c r="D565" s="656"/>
      <c r="E565" s="821"/>
      <c r="F565" s="821"/>
      <c r="G565" s="821"/>
      <c r="H565" s="821"/>
      <c r="I565" s="821"/>
      <c r="J565" s="821"/>
      <c r="K565" s="821"/>
      <c r="L565" s="821"/>
      <c r="M565" s="677"/>
      <c r="N565" s="821"/>
      <c r="O565" s="821"/>
      <c r="P565" s="677"/>
      <c r="Q565" s="677"/>
      <c r="R565" s="677"/>
      <c r="S565" s="677"/>
      <c r="T565" s="677"/>
      <c r="U565" s="677"/>
      <c r="V565" s="677"/>
      <c r="W565" s="677"/>
      <c r="X565" s="677"/>
      <c r="Y565" s="677"/>
      <c r="Z565" s="677"/>
      <c r="AA565" s="677"/>
      <c r="AB565" s="677"/>
      <c r="AC565" s="677"/>
      <c r="AD565" s="677"/>
    </row>
    <row r="566">
      <c r="A566" s="673"/>
      <c r="B566" s="708"/>
      <c r="C566" s="852"/>
      <c r="D566" s="656"/>
      <c r="E566" s="821"/>
      <c r="F566" s="821"/>
      <c r="G566" s="821"/>
      <c r="H566" s="821"/>
      <c r="I566" s="821"/>
      <c r="J566" s="821"/>
      <c r="K566" s="821"/>
      <c r="L566" s="821"/>
      <c r="M566" s="677"/>
      <c r="N566" s="821"/>
      <c r="O566" s="821"/>
      <c r="P566" s="677"/>
      <c r="Q566" s="677"/>
      <c r="R566" s="677"/>
      <c r="S566" s="677"/>
      <c r="T566" s="677"/>
      <c r="U566" s="677"/>
      <c r="V566" s="677"/>
      <c r="W566" s="677"/>
      <c r="X566" s="677"/>
      <c r="Y566" s="677"/>
      <c r="Z566" s="677"/>
      <c r="AA566" s="677"/>
      <c r="AB566" s="677"/>
      <c r="AC566" s="677"/>
      <c r="AD566" s="677"/>
    </row>
    <row r="567">
      <c r="A567" s="673"/>
      <c r="B567" s="708"/>
      <c r="C567" s="852"/>
      <c r="D567" s="656"/>
      <c r="E567" s="821"/>
      <c r="F567" s="821"/>
      <c r="G567" s="821"/>
      <c r="H567" s="821"/>
      <c r="I567" s="821"/>
      <c r="J567" s="821"/>
      <c r="K567" s="821"/>
      <c r="L567" s="821"/>
      <c r="M567" s="677"/>
      <c r="N567" s="821"/>
      <c r="O567" s="821"/>
      <c r="P567" s="677"/>
      <c r="Q567" s="677"/>
      <c r="R567" s="677"/>
      <c r="S567" s="677"/>
      <c r="T567" s="677"/>
      <c r="U567" s="677"/>
      <c r="V567" s="677"/>
      <c r="W567" s="677"/>
      <c r="X567" s="677"/>
      <c r="Y567" s="677"/>
      <c r="Z567" s="677"/>
      <c r="AA567" s="677"/>
      <c r="AB567" s="677"/>
      <c r="AC567" s="677"/>
      <c r="AD567" s="677"/>
    </row>
    <row r="568">
      <c r="A568" s="673"/>
      <c r="B568" s="708"/>
      <c r="C568" s="852"/>
      <c r="D568" s="656"/>
      <c r="E568" s="821"/>
      <c r="F568" s="821"/>
      <c r="G568" s="821"/>
      <c r="H568" s="821"/>
      <c r="I568" s="821"/>
      <c r="J568" s="821"/>
      <c r="K568" s="821"/>
      <c r="L568" s="821"/>
      <c r="M568" s="677"/>
      <c r="N568" s="821"/>
      <c r="O568" s="821"/>
      <c r="P568" s="677"/>
      <c r="Q568" s="677"/>
      <c r="R568" s="677"/>
      <c r="S568" s="677"/>
      <c r="T568" s="677"/>
      <c r="U568" s="677"/>
      <c r="V568" s="677"/>
      <c r="W568" s="677"/>
      <c r="X568" s="677"/>
      <c r="Y568" s="677"/>
      <c r="Z568" s="677"/>
      <c r="AA568" s="677"/>
      <c r="AB568" s="677"/>
      <c r="AC568" s="677"/>
      <c r="AD568" s="677"/>
    </row>
    <row r="569">
      <c r="A569" s="673"/>
      <c r="B569" s="708"/>
      <c r="C569" s="852"/>
      <c r="D569" s="656"/>
      <c r="E569" s="821"/>
      <c r="F569" s="821"/>
      <c r="G569" s="821"/>
      <c r="H569" s="821"/>
      <c r="I569" s="821"/>
      <c r="J569" s="821"/>
      <c r="K569" s="821"/>
      <c r="L569" s="821"/>
      <c r="M569" s="677"/>
      <c r="N569" s="821"/>
      <c r="O569" s="821"/>
      <c r="P569" s="677"/>
      <c r="Q569" s="677"/>
      <c r="R569" s="677"/>
      <c r="S569" s="677"/>
      <c r="T569" s="677"/>
      <c r="U569" s="677"/>
      <c r="V569" s="677"/>
      <c r="W569" s="677"/>
      <c r="X569" s="677"/>
      <c r="Y569" s="677"/>
      <c r="Z569" s="677"/>
      <c r="AA569" s="677"/>
      <c r="AB569" s="677"/>
      <c r="AC569" s="677"/>
      <c r="AD569" s="677"/>
    </row>
    <row r="570">
      <c r="A570" s="673"/>
      <c r="B570" s="708"/>
      <c r="C570" s="852"/>
      <c r="D570" s="656"/>
      <c r="E570" s="821"/>
      <c r="F570" s="821"/>
      <c r="G570" s="821"/>
      <c r="H570" s="821"/>
      <c r="I570" s="821"/>
      <c r="J570" s="821"/>
      <c r="K570" s="821"/>
      <c r="L570" s="821"/>
      <c r="M570" s="677"/>
      <c r="N570" s="821"/>
      <c r="O570" s="821"/>
      <c r="P570" s="677"/>
      <c r="Q570" s="677"/>
      <c r="R570" s="677"/>
      <c r="S570" s="677"/>
      <c r="T570" s="677"/>
      <c r="U570" s="677"/>
      <c r="V570" s="677"/>
      <c r="W570" s="677"/>
      <c r="X570" s="677"/>
      <c r="Y570" s="677"/>
      <c r="Z570" s="677"/>
      <c r="AA570" s="677"/>
      <c r="AB570" s="677"/>
      <c r="AC570" s="677"/>
      <c r="AD570" s="677"/>
    </row>
    <row r="571">
      <c r="A571" s="673"/>
      <c r="B571" s="708"/>
      <c r="C571" s="852"/>
      <c r="D571" s="656"/>
      <c r="E571" s="821"/>
      <c r="F571" s="821"/>
      <c r="G571" s="821"/>
      <c r="H571" s="821"/>
      <c r="I571" s="821"/>
      <c r="J571" s="821"/>
      <c r="K571" s="821"/>
      <c r="L571" s="821"/>
      <c r="M571" s="677"/>
      <c r="N571" s="821"/>
      <c r="O571" s="821"/>
      <c r="P571" s="677"/>
      <c r="Q571" s="677"/>
      <c r="R571" s="677"/>
      <c r="S571" s="677"/>
      <c r="T571" s="677"/>
      <c r="U571" s="677"/>
      <c r="V571" s="677"/>
      <c r="W571" s="677"/>
      <c r="X571" s="677"/>
      <c r="Y571" s="677"/>
      <c r="Z571" s="677"/>
      <c r="AA571" s="677"/>
      <c r="AB571" s="677"/>
      <c r="AC571" s="677"/>
      <c r="AD571" s="677"/>
    </row>
    <row r="572">
      <c r="A572" s="673"/>
      <c r="B572" s="708"/>
      <c r="C572" s="852"/>
      <c r="D572" s="656"/>
      <c r="E572" s="821"/>
      <c r="F572" s="821"/>
      <c r="G572" s="821"/>
      <c r="H572" s="821"/>
      <c r="I572" s="821"/>
      <c r="J572" s="821"/>
      <c r="K572" s="821"/>
      <c r="L572" s="821"/>
      <c r="M572" s="677"/>
      <c r="N572" s="821"/>
      <c r="O572" s="821"/>
      <c r="P572" s="677"/>
      <c r="Q572" s="677"/>
      <c r="R572" s="677"/>
      <c r="S572" s="677"/>
      <c r="T572" s="677"/>
      <c r="U572" s="677"/>
      <c r="V572" s="677"/>
      <c r="W572" s="677"/>
      <c r="X572" s="677"/>
      <c r="Y572" s="677"/>
      <c r="Z572" s="677"/>
      <c r="AA572" s="677"/>
      <c r="AB572" s="677"/>
      <c r="AC572" s="677"/>
      <c r="AD572" s="677"/>
    </row>
    <row r="573">
      <c r="A573" s="673"/>
      <c r="B573" s="708"/>
      <c r="C573" s="852"/>
      <c r="D573" s="656"/>
      <c r="E573" s="821"/>
      <c r="F573" s="821"/>
      <c r="G573" s="821"/>
      <c r="H573" s="821"/>
      <c r="I573" s="821"/>
      <c r="J573" s="821"/>
      <c r="K573" s="821"/>
      <c r="L573" s="821"/>
      <c r="M573" s="677"/>
      <c r="N573" s="821"/>
      <c r="O573" s="821"/>
      <c r="P573" s="677"/>
      <c r="Q573" s="677"/>
      <c r="R573" s="677"/>
      <c r="S573" s="677"/>
      <c r="T573" s="677"/>
      <c r="U573" s="677"/>
      <c r="V573" s="677"/>
      <c r="W573" s="677"/>
      <c r="X573" s="677"/>
      <c r="Y573" s="677"/>
      <c r="Z573" s="677"/>
      <c r="AA573" s="677"/>
      <c r="AB573" s="677"/>
      <c r="AC573" s="677"/>
      <c r="AD573" s="677"/>
    </row>
    <row r="574">
      <c r="A574" s="673"/>
      <c r="B574" s="708"/>
      <c r="C574" s="852"/>
      <c r="D574" s="656"/>
      <c r="E574" s="821"/>
      <c r="F574" s="821"/>
      <c r="G574" s="821"/>
      <c r="H574" s="821"/>
      <c r="I574" s="821"/>
      <c r="J574" s="821"/>
      <c r="K574" s="821"/>
      <c r="L574" s="821"/>
      <c r="M574" s="677"/>
      <c r="N574" s="821"/>
      <c r="O574" s="821"/>
      <c r="P574" s="677"/>
      <c r="Q574" s="677"/>
      <c r="R574" s="677"/>
      <c r="S574" s="677"/>
      <c r="T574" s="677"/>
      <c r="U574" s="677"/>
      <c r="V574" s="677"/>
      <c r="W574" s="677"/>
      <c r="X574" s="677"/>
      <c r="Y574" s="677"/>
      <c r="Z574" s="677"/>
      <c r="AA574" s="677"/>
      <c r="AB574" s="677"/>
      <c r="AC574" s="677"/>
      <c r="AD574" s="677"/>
    </row>
    <row r="575">
      <c r="A575" s="673"/>
      <c r="B575" s="708"/>
      <c r="C575" s="852"/>
      <c r="D575" s="656"/>
      <c r="E575" s="821"/>
      <c r="F575" s="821"/>
      <c r="G575" s="821"/>
      <c r="H575" s="821"/>
      <c r="I575" s="821"/>
      <c r="J575" s="821"/>
      <c r="K575" s="821"/>
      <c r="L575" s="821"/>
      <c r="M575" s="677"/>
      <c r="N575" s="821"/>
      <c r="O575" s="821"/>
      <c r="P575" s="677"/>
      <c r="Q575" s="677"/>
      <c r="R575" s="677"/>
      <c r="S575" s="677"/>
      <c r="T575" s="677"/>
      <c r="U575" s="677"/>
      <c r="V575" s="677"/>
      <c r="W575" s="677"/>
      <c r="X575" s="677"/>
      <c r="Y575" s="677"/>
      <c r="Z575" s="677"/>
      <c r="AA575" s="677"/>
      <c r="AB575" s="677"/>
      <c r="AC575" s="677"/>
      <c r="AD575" s="677"/>
    </row>
    <row r="576">
      <c r="A576" s="673"/>
      <c r="B576" s="708"/>
      <c r="C576" s="852"/>
      <c r="D576" s="656"/>
      <c r="E576" s="821"/>
      <c r="F576" s="821"/>
      <c r="G576" s="821"/>
      <c r="H576" s="821"/>
      <c r="I576" s="821"/>
      <c r="J576" s="821"/>
      <c r="K576" s="821"/>
      <c r="L576" s="821"/>
      <c r="M576" s="677"/>
      <c r="N576" s="821"/>
      <c r="O576" s="821"/>
      <c r="P576" s="677"/>
      <c r="Q576" s="677"/>
      <c r="R576" s="677"/>
      <c r="S576" s="677"/>
      <c r="T576" s="677"/>
      <c r="U576" s="677"/>
      <c r="V576" s="677"/>
      <c r="W576" s="677"/>
      <c r="X576" s="677"/>
      <c r="Y576" s="677"/>
      <c r="Z576" s="677"/>
      <c r="AA576" s="677"/>
      <c r="AB576" s="677"/>
      <c r="AC576" s="677"/>
      <c r="AD576" s="677"/>
    </row>
    <row r="577">
      <c r="A577" s="673"/>
      <c r="B577" s="708"/>
      <c r="C577" s="852"/>
      <c r="D577" s="656"/>
      <c r="E577" s="821"/>
      <c r="F577" s="821"/>
      <c r="G577" s="821"/>
      <c r="H577" s="821"/>
      <c r="I577" s="821"/>
      <c r="J577" s="821"/>
      <c r="K577" s="821"/>
      <c r="L577" s="821"/>
      <c r="M577" s="677"/>
      <c r="N577" s="821"/>
      <c r="O577" s="821"/>
      <c r="P577" s="677"/>
      <c r="Q577" s="677"/>
      <c r="R577" s="677"/>
      <c r="S577" s="677"/>
      <c r="T577" s="677"/>
      <c r="U577" s="677"/>
      <c r="V577" s="677"/>
      <c r="W577" s="677"/>
      <c r="X577" s="677"/>
      <c r="Y577" s="677"/>
      <c r="Z577" s="677"/>
      <c r="AA577" s="677"/>
      <c r="AB577" s="677"/>
      <c r="AC577" s="677"/>
      <c r="AD577" s="677"/>
    </row>
    <row r="578">
      <c r="A578" s="867"/>
      <c r="B578" s="708"/>
      <c r="C578" s="852"/>
      <c r="D578" s="656"/>
      <c r="E578" s="821"/>
      <c r="F578" s="821"/>
      <c r="G578" s="821"/>
      <c r="H578" s="821"/>
      <c r="I578" s="821"/>
      <c r="J578" s="821"/>
      <c r="K578" s="821"/>
      <c r="L578" s="821"/>
      <c r="M578" s="677"/>
      <c r="N578" s="821"/>
      <c r="O578" s="821"/>
      <c r="P578" s="677"/>
      <c r="Q578" s="677"/>
      <c r="R578" s="677"/>
      <c r="S578" s="677"/>
      <c r="T578" s="677"/>
      <c r="U578" s="677"/>
      <c r="V578" s="677"/>
      <c r="W578" s="677"/>
      <c r="X578" s="677"/>
      <c r="Y578" s="677"/>
      <c r="Z578" s="677"/>
      <c r="AA578" s="677"/>
      <c r="AB578" s="677"/>
      <c r="AC578" s="677"/>
      <c r="AD578" s="677"/>
    </row>
    <row r="579">
      <c r="A579" s="867"/>
      <c r="B579" s="708"/>
      <c r="C579" s="852"/>
      <c r="D579" s="656"/>
      <c r="E579" s="821"/>
      <c r="F579" s="821"/>
      <c r="G579" s="821"/>
      <c r="H579" s="821"/>
      <c r="I579" s="821"/>
      <c r="J579" s="821"/>
      <c r="K579" s="821"/>
      <c r="L579" s="821"/>
      <c r="M579" s="677"/>
      <c r="N579" s="821"/>
      <c r="O579" s="821"/>
      <c r="P579" s="677"/>
      <c r="Q579" s="677"/>
      <c r="R579" s="677"/>
      <c r="S579" s="677"/>
      <c r="T579" s="677"/>
      <c r="U579" s="677"/>
      <c r="V579" s="677"/>
      <c r="W579" s="677"/>
      <c r="X579" s="677"/>
      <c r="Y579" s="677"/>
      <c r="Z579" s="677"/>
      <c r="AA579" s="677"/>
      <c r="AB579" s="677"/>
      <c r="AC579" s="677"/>
      <c r="AD579" s="677"/>
    </row>
    <row r="580">
      <c r="A580" s="867"/>
      <c r="B580" s="708"/>
      <c r="C580" s="852"/>
      <c r="D580" s="656"/>
      <c r="E580" s="821"/>
      <c r="F580" s="821"/>
      <c r="G580" s="821"/>
      <c r="H580" s="821"/>
      <c r="I580" s="821"/>
      <c r="J580" s="821"/>
      <c r="K580" s="821"/>
      <c r="L580" s="821"/>
      <c r="M580" s="677"/>
      <c r="N580" s="821"/>
      <c r="O580" s="821"/>
      <c r="P580" s="677"/>
      <c r="Q580" s="677"/>
      <c r="R580" s="677"/>
      <c r="S580" s="677"/>
      <c r="T580" s="677"/>
      <c r="U580" s="677"/>
      <c r="V580" s="677"/>
      <c r="W580" s="677"/>
      <c r="X580" s="677"/>
      <c r="Y580" s="677"/>
      <c r="Z580" s="677"/>
      <c r="AA580" s="677"/>
      <c r="AB580" s="677"/>
      <c r="AC580" s="677"/>
      <c r="AD580" s="677"/>
    </row>
    <row r="581">
      <c r="A581" s="867"/>
      <c r="B581" s="708"/>
      <c r="C581" s="852"/>
      <c r="D581" s="656"/>
      <c r="E581" s="821"/>
      <c r="F581" s="821"/>
      <c r="G581" s="821"/>
      <c r="H581" s="821"/>
      <c r="I581" s="821"/>
      <c r="J581" s="821"/>
      <c r="K581" s="821"/>
      <c r="L581" s="821"/>
      <c r="M581" s="677"/>
      <c r="N581" s="821"/>
      <c r="O581" s="821"/>
      <c r="P581" s="677"/>
      <c r="Q581" s="677"/>
      <c r="R581" s="677"/>
      <c r="S581" s="677"/>
      <c r="T581" s="677"/>
      <c r="U581" s="677"/>
      <c r="V581" s="677"/>
      <c r="W581" s="677"/>
      <c r="X581" s="677"/>
      <c r="Y581" s="677"/>
      <c r="Z581" s="677"/>
      <c r="AA581" s="677"/>
      <c r="AB581" s="677"/>
      <c r="AC581" s="677"/>
      <c r="AD581" s="677"/>
    </row>
    <row r="582">
      <c r="A582" s="867"/>
      <c r="B582" s="708"/>
      <c r="C582" s="852"/>
      <c r="D582" s="656"/>
      <c r="E582" s="821"/>
      <c r="F582" s="821"/>
      <c r="G582" s="821"/>
      <c r="H582" s="821"/>
      <c r="I582" s="821"/>
      <c r="J582" s="821"/>
      <c r="K582" s="821"/>
      <c r="L582" s="821"/>
      <c r="M582" s="677"/>
      <c r="N582" s="821"/>
      <c r="O582" s="821"/>
      <c r="P582" s="677"/>
      <c r="Q582" s="677"/>
      <c r="R582" s="677"/>
      <c r="S582" s="677"/>
      <c r="T582" s="677"/>
      <c r="U582" s="677"/>
      <c r="V582" s="677"/>
      <c r="W582" s="677"/>
      <c r="X582" s="677"/>
      <c r="Y582" s="677"/>
      <c r="Z582" s="677"/>
      <c r="AA582" s="677"/>
      <c r="AB582" s="677"/>
      <c r="AC582" s="677"/>
      <c r="AD582" s="677"/>
    </row>
    <row r="583">
      <c r="A583" s="867"/>
      <c r="B583" s="708"/>
      <c r="C583" s="852"/>
      <c r="D583" s="656"/>
      <c r="E583" s="821"/>
      <c r="F583" s="821"/>
      <c r="G583" s="821"/>
      <c r="H583" s="821"/>
      <c r="I583" s="821"/>
      <c r="J583" s="821"/>
      <c r="K583" s="821"/>
      <c r="L583" s="821"/>
      <c r="M583" s="677"/>
      <c r="N583" s="821"/>
      <c r="O583" s="821"/>
      <c r="P583" s="677"/>
      <c r="Q583" s="677"/>
      <c r="R583" s="677"/>
      <c r="S583" s="677"/>
      <c r="T583" s="677"/>
      <c r="U583" s="677"/>
      <c r="V583" s="677"/>
      <c r="W583" s="677"/>
      <c r="X583" s="677"/>
      <c r="Y583" s="677"/>
      <c r="Z583" s="677"/>
      <c r="AA583" s="677"/>
      <c r="AB583" s="677"/>
      <c r="AC583" s="677"/>
      <c r="AD583" s="677"/>
    </row>
    <row r="584">
      <c r="A584" s="867"/>
      <c r="B584" s="708"/>
      <c r="C584" s="852"/>
      <c r="D584" s="656"/>
      <c r="E584" s="821"/>
      <c r="F584" s="821"/>
      <c r="G584" s="821"/>
      <c r="H584" s="821"/>
      <c r="I584" s="821"/>
      <c r="J584" s="821"/>
      <c r="K584" s="821"/>
      <c r="L584" s="821"/>
      <c r="M584" s="677"/>
      <c r="N584" s="821"/>
      <c r="O584" s="821"/>
      <c r="P584" s="677"/>
      <c r="Q584" s="677"/>
      <c r="R584" s="677"/>
      <c r="S584" s="677"/>
      <c r="T584" s="677"/>
      <c r="U584" s="677"/>
      <c r="V584" s="677"/>
      <c r="W584" s="677"/>
      <c r="X584" s="677"/>
      <c r="Y584" s="677"/>
      <c r="Z584" s="677"/>
      <c r="AA584" s="677"/>
      <c r="AB584" s="677"/>
      <c r="AC584" s="677"/>
      <c r="AD584" s="677"/>
    </row>
    <row r="585">
      <c r="A585" s="867"/>
      <c r="B585" s="708"/>
      <c r="C585" s="852"/>
      <c r="D585" s="656"/>
      <c r="E585" s="821"/>
      <c r="F585" s="821"/>
      <c r="G585" s="821"/>
      <c r="H585" s="821"/>
      <c r="I585" s="821"/>
      <c r="J585" s="821"/>
      <c r="K585" s="821"/>
      <c r="L585" s="821"/>
      <c r="M585" s="677"/>
      <c r="N585" s="821"/>
      <c r="O585" s="821"/>
      <c r="P585" s="677"/>
      <c r="Q585" s="677"/>
      <c r="R585" s="677"/>
      <c r="S585" s="677"/>
      <c r="T585" s="677"/>
      <c r="U585" s="677"/>
      <c r="V585" s="677"/>
      <c r="W585" s="677"/>
      <c r="X585" s="677"/>
      <c r="Y585" s="677"/>
      <c r="Z585" s="677"/>
      <c r="AA585" s="677"/>
      <c r="AB585" s="677"/>
      <c r="AC585" s="677"/>
      <c r="AD585" s="677"/>
    </row>
    <row r="586">
      <c r="A586" s="867"/>
      <c r="B586" s="708"/>
      <c r="C586" s="852"/>
      <c r="D586" s="656"/>
      <c r="E586" s="821"/>
      <c r="F586" s="821"/>
      <c r="G586" s="821"/>
      <c r="H586" s="821"/>
      <c r="I586" s="821"/>
      <c r="J586" s="821"/>
      <c r="K586" s="821"/>
      <c r="L586" s="821"/>
      <c r="M586" s="677"/>
      <c r="N586" s="821"/>
      <c r="O586" s="821"/>
      <c r="P586" s="677"/>
      <c r="Q586" s="677"/>
      <c r="R586" s="677"/>
      <c r="S586" s="677"/>
      <c r="T586" s="677"/>
      <c r="U586" s="677"/>
      <c r="V586" s="677"/>
      <c r="W586" s="677"/>
      <c r="X586" s="677"/>
      <c r="Y586" s="677"/>
      <c r="Z586" s="677"/>
      <c r="AA586" s="677"/>
      <c r="AB586" s="677"/>
      <c r="AC586" s="677"/>
      <c r="AD586" s="677"/>
    </row>
    <row r="587">
      <c r="A587" s="867"/>
      <c r="B587" s="708"/>
      <c r="C587" s="852"/>
      <c r="D587" s="656"/>
      <c r="E587" s="821"/>
      <c r="F587" s="821"/>
      <c r="G587" s="821"/>
      <c r="H587" s="821"/>
      <c r="I587" s="821"/>
      <c r="J587" s="821"/>
      <c r="K587" s="821"/>
      <c r="L587" s="821"/>
      <c r="M587" s="677"/>
      <c r="N587" s="821"/>
      <c r="O587" s="821"/>
      <c r="P587" s="677"/>
      <c r="Q587" s="677"/>
      <c r="R587" s="677"/>
      <c r="S587" s="677"/>
      <c r="T587" s="677"/>
      <c r="U587" s="677"/>
      <c r="V587" s="677"/>
      <c r="W587" s="677"/>
      <c r="X587" s="677"/>
      <c r="Y587" s="677"/>
      <c r="Z587" s="677"/>
      <c r="AA587" s="677"/>
      <c r="AB587" s="677"/>
      <c r="AC587" s="677"/>
      <c r="AD587" s="677"/>
    </row>
    <row r="588">
      <c r="A588" s="867"/>
      <c r="B588" s="708"/>
      <c r="C588" s="852"/>
      <c r="D588" s="656"/>
      <c r="E588" s="821"/>
      <c r="F588" s="821"/>
      <c r="G588" s="821"/>
      <c r="H588" s="821"/>
      <c r="I588" s="821"/>
      <c r="J588" s="821"/>
      <c r="K588" s="821"/>
      <c r="L588" s="821"/>
      <c r="M588" s="677"/>
      <c r="N588" s="821"/>
      <c r="O588" s="821"/>
      <c r="P588" s="677"/>
      <c r="Q588" s="677"/>
      <c r="R588" s="677"/>
      <c r="S588" s="677"/>
      <c r="T588" s="677"/>
      <c r="U588" s="677"/>
      <c r="V588" s="677"/>
      <c r="W588" s="677"/>
      <c r="X588" s="677"/>
      <c r="Y588" s="677"/>
      <c r="Z588" s="677"/>
      <c r="AA588" s="677"/>
      <c r="AB588" s="677"/>
      <c r="AC588" s="677"/>
      <c r="AD588" s="677"/>
    </row>
    <row r="589">
      <c r="A589" s="867"/>
      <c r="B589" s="708"/>
      <c r="C589" s="852"/>
      <c r="D589" s="656"/>
      <c r="E589" s="821"/>
      <c r="F589" s="821"/>
      <c r="G589" s="821"/>
      <c r="H589" s="821"/>
      <c r="I589" s="821"/>
      <c r="J589" s="821"/>
      <c r="K589" s="821"/>
      <c r="L589" s="821"/>
      <c r="M589" s="677"/>
      <c r="N589" s="821"/>
      <c r="O589" s="821"/>
      <c r="P589" s="677"/>
      <c r="Q589" s="677"/>
      <c r="R589" s="677"/>
      <c r="S589" s="677"/>
      <c r="T589" s="677"/>
      <c r="U589" s="677"/>
      <c r="V589" s="677"/>
      <c r="W589" s="677"/>
      <c r="X589" s="677"/>
      <c r="Y589" s="677"/>
      <c r="Z589" s="677"/>
      <c r="AA589" s="677"/>
      <c r="AB589" s="677"/>
      <c r="AC589" s="677"/>
      <c r="AD589" s="677"/>
    </row>
    <row r="590">
      <c r="A590" s="867"/>
      <c r="B590" s="708"/>
      <c r="C590" s="852"/>
      <c r="D590" s="656"/>
      <c r="E590" s="821"/>
      <c r="F590" s="821"/>
      <c r="G590" s="821"/>
      <c r="H590" s="821"/>
      <c r="I590" s="821"/>
      <c r="J590" s="821"/>
      <c r="K590" s="821"/>
      <c r="L590" s="821"/>
      <c r="M590" s="677"/>
      <c r="N590" s="821"/>
      <c r="O590" s="821"/>
      <c r="P590" s="677"/>
      <c r="Q590" s="677"/>
      <c r="R590" s="677"/>
      <c r="S590" s="677"/>
      <c r="T590" s="677"/>
      <c r="U590" s="677"/>
      <c r="V590" s="677"/>
      <c r="W590" s="677"/>
      <c r="X590" s="677"/>
      <c r="Y590" s="677"/>
      <c r="Z590" s="677"/>
      <c r="AA590" s="677"/>
      <c r="AB590" s="677"/>
      <c r="AC590" s="677"/>
      <c r="AD590" s="677"/>
    </row>
    <row r="591">
      <c r="A591" s="867"/>
      <c r="B591" s="708"/>
      <c r="C591" s="852"/>
      <c r="D591" s="656"/>
      <c r="E591" s="821"/>
      <c r="F591" s="821"/>
      <c r="G591" s="821"/>
      <c r="H591" s="821"/>
      <c r="I591" s="821"/>
      <c r="J591" s="821"/>
      <c r="K591" s="821"/>
      <c r="L591" s="821"/>
      <c r="M591" s="677"/>
      <c r="N591" s="821"/>
      <c r="O591" s="821"/>
      <c r="P591" s="677"/>
      <c r="Q591" s="677"/>
      <c r="R591" s="677"/>
      <c r="S591" s="677"/>
      <c r="T591" s="677"/>
      <c r="U591" s="677"/>
      <c r="V591" s="677"/>
      <c r="W591" s="677"/>
      <c r="X591" s="677"/>
      <c r="Y591" s="677"/>
      <c r="Z591" s="677"/>
      <c r="AA591" s="677"/>
      <c r="AB591" s="677"/>
      <c r="AC591" s="677"/>
      <c r="AD591" s="677"/>
    </row>
    <row r="592">
      <c r="A592" s="867"/>
      <c r="B592" s="708"/>
      <c r="C592" s="852"/>
      <c r="D592" s="656"/>
      <c r="E592" s="821"/>
      <c r="F592" s="821"/>
      <c r="G592" s="821"/>
      <c r="H592" s="821"/>
      <c r="I592" s="821"/>
      <c r="J592" s="821"/>
      <c r="K592" s="821"/>
      <c r="L592" s="821"/>
      <c r="M592" s="677"/>
      <c r="N592" s="821"/>
      <c r="O592" s="821"/>
      <c r="P592" s="677"/>
      <c r="Q592" s="677"/>
      <c r="R592" s="677"/>
      <c r="S592" s="677"/>
      <c r="T592" s="677"/>
      <c r="U592" s="677"/>
      <c r="V592" s="677"/>
      <c r="W592" s="677"/>
      <c r="X592" s="677"/>
      <c r="Y592" s="677"/>
      <c r="Z592" s="677"/>
      <c r="AA592" s="677"/>
      <c r="AB592" s="677"/>
      <c r="AC592" s="677"/>
      <c r="AD592" s="677"/>
    </row>
    <row r="593">
      <c r="A593" s="867"/>
      <c r="B593" s="708"/>
      <c r="C593" s="852"/>
      <c r="D593" s="656"/>
      <c r="E593" s="821"/>
      <c r="F593" s="821"/>
      <c r="G593" s="821"/>
      <c r="H593" s="821"/>
      <c r="I593" s="821"/>
      <c r="J593" s="821"/>
      <c r="K593" s="821"/>
      <c r="L593" s="821"/>
      <c r="M593" s="677"/>
      <c r="N593" s="821"/>
      <c r="O593" s="821"/>
      <c r="P593" s="677"/>
      <c r="Q593" s="677"/>
      <c r="R593" s="677"/>
      <c r="S593" s="677"/>
      <c r="T593" s="677"/>
      <c r="U593" s="677"/>
      <c r="V593" s="677"/>
      <c r="W593" s="677"/>
      <c r="X593" s="677"/>
      <c r="Y593" s="677"/>
      <c r="Z593" s="677"/>
      <c r="AA593" s="677"/>
      <c r="AB593" s="677"/>
      <c r="AC593" s="677"/>
      <c r="AD593" s="677"/>
    </row>
    <row r="594">
      <c r="A594" s="867"/>
      <c r="B594" s="708"/>
      <c r="C594" s="852"/>
      <c r="D594" s="656"/>
      <c r="E594" s="821"/>
      <c r="F594" s="821"/>
      <c r="G594" s="821"/>
      <c r="H594" s="821"/>
      <c r="I594" s="821"/>
      <c r="J594" s="821"/>
      <c r="K594" s="821"/>
      <c r="L594" s="821"/>
      <c r="M594" s="677"/>
      <c r="N594" s="821"/>
      <c r="O594" s="821"/>
      <c r="P594" s="677"/>
      <c r="Q594" s="677"/>
      <c r="R594" s="677"/>
      <c r="S594" s="677"/>
      <c r="T594" s="677"/>
      <c r="U594" s="677"/>
      <c r="V594" s="677"/>
      <c r="W594" s="677"/>
      <c r="X594" s="677"/>
      <c r="Y594" s="677"/>
      <c r="Z594" s="677"/>
      <c r="AA594" s="677"/>
      <c r="AB594" s="677"/>
      <c r="AC594" s="677"/>
      <c r="AD594" s="677"/>
    </row>
    <row r="595">
      <c r="A595" s="867"/>
      <c r="B595" s="708"/>
      <c r="C595" s="852"/>
      <c r="D595" s="656"/>
      <c r="E595" s="821"/>
      <c r="F595" s="821"/>
      <c r="G595" s="821"/>
      <c r="H595" s="821"/>
      <c r="I595" s="821"/>
      <c r="J595" s="821"/>
      <c r="K595" s="821"/>
      <c r="L595" s="821"/>
      <c r="M595" s="677"/>
      <c r="N595" s="821"/>
      <c r="O595" s="821"/>
      <c r="P595" s="677"/>
      <c r="Q595" s="677"/>
      <c r="R595" s="677"/>
      <c r="S595" s="677"/>
      <c r="T595" s="677"/>
      <c r="U595" s="677"/>
      <c r="V595" s="677"/>
      <c r="W595" s="677"/>
      <c r="X595" s="677"/>
      <c r="Y595" s="677"/>
      <c r="Z595" s="677"/>
      <c r="AA595" s="677"/>
      <c r="AB595" s="677"/>
      <c r="AC595" s="677"/>
      <c r="AD595" s="677"/>
    </row>
    <row r="596">
      <c r="A596" s="867"/>
      <c r="B596" s="708"/>
      <c r="C596" s="852"/>
      <c r="D596" s="656"/>
      <c r="E596" s="821"/>
      <c r="F596" s="821"/>
      <c r="G596" s="821"/>
      <c r="H596" s="821"/>
      <c r="I596" s="821"/>
      <c r="J596" s="821"/>
      <c r="K596" s="821"/>
      <c r="L596" s="821"/>
      <c r="M596" s="677"/>
      <c r="N596" s="821"/>
      <c r="O596" s="821"/>
      <c r="P596" s="677"/>
      <c r="Q596" s="677"/>
      <c r="R596" s="677"/>
      <c r="S596" s="677"/>
      <c r="T596" s="677"/>
      <c r="U596" s="677"/>
      <c r="V596" s="677"/>
      <c r="W596" s="677"/>
      <c r="X596" s="677"/>
      <c r="Y596" s="677"/>
      <c r="Z596" s="677"/>
      <c r="AA596" s="677"/>
      <c r="AB596" s="677"/>
      <c r="AC596" s="677"/>
      <c r="AD596" s="677"/>
    </row>
    <row r="597">
      <c r="A597" s="867"/>
      <c r="B597" s="708"/>
      <c r="C597" s="852"/>
      <c r="D597" s="656"/>
      <c r="E597" s="821"/>
      <c r="F597" s="821"/>
      <c r="G597" s="821"/>
      <c r="H597" s="821"/>
      <c r="I597" s="821"/>
      <c r="J597" s="821"/>
      <c r="K597" s="821"/>
      <c r="L597" s="821"/>
      <c r="M597" s="677"/>
      <c r="N597" s="821"/>
      <c r="O597" s="821"/>
      <c r="P597" s="677"/>
      <c r="Q597" s="677"/>
      <c r="R597" s="677"/>
      <c r="S597" s="677"/>
      <c r="T597" s="677"/>
      <c r="U597" s="677"/>
      <c r="V597" s="677"/>
      <c r="W597" s="677"/>
      <c r="X597" s="677"/>
      <c r="Y597" s="677"/>
      <c r="Z597" s="677"/>
      <c r="AA597" s="677"/>
      <c r="AB597" s="677"/>
      <c r="AC597" s="677"/>
      <c r="AD597" s="677"/>
    </row>
    <row r="598">
      <c r="A598" s="867"/>
      <c r="B598" s="708"/>
      <c r="C598" s="852"/>
      <c r="D598" s="656"/>
      <c r="E598" s="821"/>
      <c r="F598" s="821"/>
      <c r="G598" s="821"/>
      <c r="H598" s="821"/>
      <c r="I598" s="821"/>
      <c r="J598" s="821"/>
      <c r="K598" s="821"/>
      <c r="L598" s="821"/>
      <c r="M598" s="677"/>
      <c r="N598" s="821"/>
      <c r="O598" s="821"/>
      <c r="P598" s="677"/>
      <c r="Q598" s="677"/>
      <c r="R598" s="677"/>
      <c r="S598" s="677"/>
      <c r="T598" s="677"/>
      <c r="U598" s="677"/>
      <c r="V598" s="677"/>
      <c r="W598" s="677"/>
      <c r="X598" s="677"/>
      <c r="Y598" s="677"/>
      <c r="Z598" s="677"/>
      <c r="AA598" s="677"/>
      <c r="AB598" s="677"/>
      <c r="AC598" s="677"/>
      <c r="AD598" s="677"/>
    </row>
    <row r="599">
      <c r="A599" s="867"/>
      <c r="B599" s="708"/>
      <c r="C599" s="852"/>
      <c r="D599" s="656"/>
      <c r="E599" s="821"/>
      <c r="F599" s="821"/>
      <c r="G599" s="821"/>
      <c r="H599" s="821"/>
      <c r="I599" s="821"/>
      <c r="J599" s="821"/>
      <c r="K599" s="821"/>
      <c r="L599" s="821"/>
      <c r="M599" s="677"/>
      <c r="N599" s="821"/>
      <c r="O599" s="821"/>
      <c r="P599" s="677"/>
      <c r="Q599" s="677"/>
      <c r="R599" s="677"/>
      <c r="S599" s="677"/>
      <c r="T599" s="677"/>
      <c r="U599" s="677"/>
      <c r="V599" s="677"/>
      <c r="W599" s="677"/>
      <c r="X599" s="677"/>
      <c r="Y599" s="677"/>
      <c r="Z599" s="677"/>
      <c r="AA599" s="677"/>
      <c r="AB599" s="677"/>
      <c r="AC599" s="677"/>
      <c r="AD599" s="677"/>
    </row>
    <row r="600">
      <c r="A600" s="867"/>
      <c r="B600" s="708"/>
      <c r="C600" s="852"/>
      <c r="D600" s="656"/>
      <c r="E600" s="821"/>
      <c r="F600" s="821"/>
      <c r="G600" s="821"/>
      <c r="H600" s="821"/>
      <c r="I600" s="821"/>
      <c r="J600" s="821"/>
      <c r="K600" s="821"/>
      <c r="L600" s="821"/>
      <c r="M600" s="677"/>
      <c r="N600" s="821"/>
      <c r="O600" s="821"/>
      <c r="P600" s="677"/>
      <c r="Q600" s="677"/>
      <c r="R600" s="677"/>
      <c r="S600" s="677"/>
      <c r="T600" s="677"/>
      <c r="U600" s="677"/>
      <c r="V600" s="677"/>
      <c r="W600" s="677"/>
      <c r="X600" s="677"/>
      <c r="Y600" s="677"/>
      <c r="Z600" s="677"/>
      <c r="AA600" s="677"/>
      <c r="AB600" s="677"/>
      <c r="AC600" s="677"/>
      <c r="AD600" s="677"/>
    </row>
    <row r="601">
      <c r="A601" s="867"/>
      <c r="B601" s="708"/>
      <c r="C601" s="852"/>
      <c r="D601" s="656"/>
      <c r="E601" s="821"/>
      <c r="F601" s="821"/>
      <c r="G601" s="821"/>
      <c r="H601" s="821"/>
      <c r="I601" s="821"/>
      <c r="J601" s="821"/>
      <c r="K601" s="821"/>
      <c r="L601" s="821"/>
      <c r="M601" s="677"/>
      <c r="N601" s="821"/>
      <c r="O601" s="821"/>
      <c r="P601" s="677"/>
      <c r="Q601" s="677"/>
      <c r="R601" s="677"/>
      <c r="S601" s="677"/>
      <c r="T601" s="677"/>
      <c r="U601" s="677"/>
      <c r="V601" s="677"/>
      <c r="W601" s="677"/>
      <c r="X601" s="677"/>
      <c r="Y601" s="677"/>
      <c r="Z601" s="677"/>
      <c r="AA601" s="677"/>
      <c r="AB601" s="677"/>
      <c r="AC601" s="677"/>
      <c r="AD601" s="677"/>
    </row>
    <row r="602">
      <c r="A602" s="867"/>
      <c r="B602" s="708"/>
      <c r="C602" s="852"/>
      <c r="D602" s="656"/>
      <c r="E602" s="821"/>
      <c r="F602" s="821"/>
      <c r="G602" s="821"/>
      <c r="H602" s="821"/>
      <c r="I602" s="821"/>
      <c r="J602" s="821"/>
      <c r="K602" s="821"/>
      <c r="L602" s="821"/>
      <c r="M602" s="677"/>
      <c r="N602" s="821"/>
      <c r="O602" s="821"/>
      <c r="P602" s="677"/>
      <c r="Q602" s="677"/>
      <c r="R602" s="677"/>
      <c r="S602" s="677"/>
      <c r="T602" s="677"/>
      <c r="U602" s="677"/>
      <c r="V602" s="677"/>
      <c r="W602" s="677"/>
      <c r="X602" s="677"/>
      <c r="Y602" s="677"/>
      <c r="Z602" s="677"/>
      <c r="AA602" s="677"/>
      <c r="AB602" s="677"/>
      <c r="AC602" s="677"/>
      <c r="AD602" s="677"/>
    </row>
    <row r="603">
      <c r="A603" s="867"/>
      <c r="B603" s="708"/>
      <c r="C603" s="852"/>
      <c r="D603" s="656"/>
      <c r="E603" s="821"/>
      <c r="F603" s="821"/>
      <c r="G603" s="821"/>
      <c r="H603" s="821"/>
      <c r="I603" s="821"/>
      <c r="J603" s="821"/>
      <c r="K603" s="821"/>
      <c r="L603" s="821"/>
      <c r="M603" s="677"/>
      <c r="N603" s="821"/>
      <c r="O603" s="821"/>
      <c r="P603" s="677"/>
      <c r="Q603" s="677"/>
      <c r="R603" s="677"/>
      <c r="S603" s="677"/>
      <c r="T603" s="677"/>
      <c r="U603" s="677"/>
      <c r="V603" s="677"/>
      <c r="W603" s="677"/>
      <c r="X603" s="677"/>
      <c r="Y603" s="677"/>
      <c r="Z603" s="677"/>
      <c r="AA603" s="677"/>
      <c r="AB603" s="677"/>
      <c r="AC603" s="677"/>
      <c r="AD603" s="677"/>
    </row>
    <row r="604">
      <c r="A604" s="867"/>
      <c r="B604" s="708"/>
      <c r="C604" s="852"/>
      <c r="D604" s="656"/>
      <c r="E604" s="821"/>
      <c r="F604" s="821"/>
      <c r="G604" s="821"/>
      <c r="H604" s="821"/>
      <c r="I604" s="821"/>
      <c r="J604" s="821"/>
      <c r="K604" s="821"/>
      <c r="L604" s="821"/>
      <c r="M604" s="677"/>
      <c r="N604" s="821"/>
      <c r="O604" s="821"/>
      <c r="P604" s="677"/>
      <c r="Q604" s="677"/>
      <c r="R604" s="677"/>
      <c r="S604" s="677"/>
      <c r="T604" s="677"/>
      <c r="U604" s="677"/>
      <c r="V604" s="677"/>
      <c r="W604" s="677"/>
      <c r="X604" s="677"/>
      <c r="Y604" s="677"/>
      <c r="Z604" s="677"/>
      <c r="AA604" s="677"/>
      <c r="AB604" s="677"/>
      <c r="AC604" s="677"/>
      <c r="AD604" s="677"/>
    </row>
    <row r="605">
      <c r="A605" s="867"/>
      <c r="B605" s="708"/>
      <c r="C605" s="852"/>
      <c r="D605" s="656"/>
      <c r="E605" s="821"/>
      <c r="F605" s="821"/>
      <c r="G605" s="821"/>
      <c r="H605" s="821"/>
      <c r="I605" s="821"/>
      <c r="J605" s="821"/>
      <c r="K605" s="821"/>
      <c r="L605" s="821"/>
      <c r="M605" s="677"/>
      <c r="N605" s="821"/>
      <c r="O605" s="821"/>
      <c r="P605" s="677"/>
      <c r="Q605" s="677"/>
      <c r="R605" s="677"/>
      <c r="S605" s="677"/>
      <c r="T605" s="677"/>
      <c r="U605" s="677"/>
      <c r="V605" s="677"/>
      <c r="W605" s="677"/>
      <c r="X605" s="677"/>
      <c r="Y605" s="677"/>
      <c r="Z605" s="677"/>
      <c r="AA605" s="677"/>
      <c r="AB605" s="677"/>
      <c r="AC605" s="677"/>
      <c r="AD605" s="677"/>
    </row>
    <row r="606">
      <c r="A606" s="867"/>
      <c r="B606" s="708"/>
      <c r="C606" s="852"/>
      <c r="D606" s="656"/>
      <c r="E606" s="821"/>
      <c r="F606" s="821"/>
      <c r="G606" s="821"/>
      <c r="H606" s="821"/>
      <c r="I606" s="821"/>
      <c r="J606" s="821"/>
      <c r="K606" s="821"/>
      <c r="L606" s="821"/>
      <c r="M606" s="677"/>
      <c r="N606" s="821"/>
      <c r="O606" s="821"/>
      <c r="P606" s="677"/>
      <c r="Q606" s="677"/>
      <c r="R606" s="677"/>
      <c r="S606" s="677"/>
      <c r="T606" s="677"/>
      <c r="U606" s="677"/>
      <c r="V606" s="677"/>
      <c r="W606" s="677"/>
      <c r="X606" s="677"/>
      <c r="Y606" s="677"/>
      <c r="Z606" s="677"/>
      <c r="AA606" s="677"/>
      <c r="AB606" s="677"/>
      <c r="AC606" s="677"/>
      <c r="AD606" s="677"/>
    </row>
    <row r="607">
      <c r="A607" s="867"/>
      <c r="B607" s="708"/>
      <c r="C607" s="852"/>
      <c r="D607" s="656"/>
      <c r="E607" s="821"/>
      <c r="F607" s="821"/>
      <c r="G607" s="821"/>
      <c r="H607" s="821"/>
      <c r="I607" s="821"/>
      <c r="J607" s="821"/>
      <c r="K607" s="821"/>
      <c r="L607" s="821"/>
      <c r="M607" s="677"/>
      <c r="N607" s="821"/>
      <c r="O607" s="821"/>
      <c r="P607" s="677"/>
      <c r="Q607" s="677"/>
      <c r="R607" s="677"/>
      <c r="S607" s="677"/>
      <c r="T607" s="677"/>
      <c r="U607" s="677"/>
      <c r="V607" s="677"/>
      <c r="W607" s="677"/>
      <c r="X607" s="677"/>
      <c r="Y607" s="677"/>
      <c r="Z607" s="677"/>
      <c r="AA607" s="677"/>
      <c r="AB607" s="677"/>
      <c r="AC607" s="677"/>
      <c r="AD607" s="677"/>
    </row>
    <row r="608">
      <c r="A608" s="867"/>
      <c r="B608" s="708"/>
      <c r="C608" s="852"/>
      <c r="D608" s="656"/>
      <c r="E608" s="821"/>
      <c r="F608" s="821"/>
      <c r="G608" s="821"/>
      <c r="H608" s="821"/>
      <c r="I608" s="821"/>
      <c r="J608" s="821"/>
      <c r="K608" s="821"/>
      <c r="L608" s="821"/>
      <c r="M608" s="677"/>
      <c r="N608" s="821"/>
      <c r="O608" s="821"/>
      <c r="P608" s="677"/>
      <c r="Q608" s="677"/>
      <c r="R608" s="677"/>
      <c r="S608" s="677"/>
      <c r="T608" s="677"/>
      <c r="U608" s="677"/>
      <c r="V608" s="677"/>
      <c r="W608" s="677"/>
      <c r="X608" s="677"/>
      <c r="Y608" s="677"/>
      <c r="Z608" s="677"/>
      <c r="AA608" s="677"/>
      <c r="AB608" s="677"/>
      <c r="AC608" s="677"/>
      <c r="AD608" s="677"/>
    </row>
    <row r="609">
      <c r="A609" s="867"/>
      <c r="B609" s="708"/>
      <c r="C609" s="852"/>
      <c r="D609" s="656"/>
      <c r="E609" s="821"/>
      <c r="F609" s="821"/>
      <c r="G609" s="821"/>
      <c r="H609" s="821"/>
      <c r="I609" s="821"/>
      <c r="J609" s="821"/>
      <c r="K609" s="821"/>
      <c r="L609" s="821"/>
      <c r="M609" s="677"/>
      <c r="N609" s="821"/>
      <c r="O609" s="821"/>
      <c r="P609" s="677"/>
      <c r="Q609" s="677"/>
      <c r="R609" s="677"/>
      <c r="S609" s="677"/>
      <c r="T609" s="677"/>
      <c r="U609" s="677"/>
      <c r="V609" s="677"/>
      <c r="W609" s="677"/>
      <c r="X609" s="677"/>
      <c r="Y609" s="677"/>
      <c r="Z609" s="677"/>
      <c r="AA609" s="677"/>
      <c r="AB609" s="677"/>
      <c r="AC609" s="677"/>
      <c r="AD609" s="677"/>
    </row>
    <row r="610">
      <c r="A610" s="867"/>
      <c r="B610" s="708"/>
      <c r="C610" s="852"/>
      <c r="D610" s="656"/>
      <c r="E610" s="821"/>
      <c r="F610" s="821"/>
      <c r="G610" s="821"/>
      <c r="H610" s="821"/>
      <c r="I610" s="821"/>
      <c r="J610" s="821"/>
      <c r="K610" s="821"/>
      <c r="L610" s="821"/>
      <c r="M610" s="677"/>
      <c r="N610" s="821"/>
      <c r="O610" s="821"/>
      <c r="P610" s="677"/>
      <c r="Q610" s="677"/>
      <c r="R610" s="677"/>
      <c r="S610" s="677"/>
      <c r="T610" s="677"/>
      <c r="U610" s="677"/>
      <c r="V610" s="677"/>
      <c r="W610" s="677"/>
      <c r="X610" s="677"/>
      <c r="Y610" s="677"/>
      <c r="Z610" s="677"/>
      <c r="AA610" s="677"/>
      <c r="AB610" s="677"/>
      <c r="AC610" s="677"/>
      <c r="AD610" s="677"/>
    </row>
    <row r="611">
      <c r="A611" s="867"/>
      <c r="B611" s="708"/>
      <c r="C611" s="852"/>
      <c r="D611" s="656"/>
      <c r="E611" s="821"/>
      <c r="F611" s="821"/>
      <c r="G611" s="821"/>
      <c r="H611" s="821"/>
      <c r="I611" s="821"/>
      <c r="J611" s="821"/>
      <c r="K611" s="821"/>
      <c r="L611" s="821"/>
      <c r="M611" s="677"/>
      <c r="N611" s="821"/>
      <c r="O611" s="821"/>
      <c r="P611" s="677"/>
      <c r="Q611" s="677"/>
      <c r="R611" s="677"/>
      <c r="S611" s="677"/>
      <c r="T611" s="677"/>
      <c r="U611" s="677"/>
      <c r="V611" s="677"/>
      <c r="W611" s="677"/>
      <c r="X611" s="677"/>
      <c r="Y611" s="677"/>
      <c r="Z611" s="677"/>
      <c r="AA611" s="677"/>
      <c r="AB611" s="677"/>
      <c r="AC611" s="677"/>
      <c r="AD611" s="677"/>
    </row>
    <row r="612">
      <c r="A612" s="867"/>
      <c r="B612" s="708"/>
      <c r="C612" s="852"/>
      <c r="D612" s="656"/>
      <c r="E612" s="821"/>
      <c r="F612" s="821"/>
      <c r="G612" s="821"/>
      <c r="H612" s="821"/>
      <c r="I612" s="821"/>
      <c r="J612" s="821"/>
      <c r="K612" s="821"/>
      <c r="L612" s="821"/>
      <c r="M612" s="677"/>
      <c r="N612" s="821"/>
      <c r="O612" s="821"/>
      <c r="P612" s="677"/>
      <c r="Q612" s="677"/>
      <c r="R612" s="677"/>
      <c r="S612" s="677"/>
      <c r="T612" s="677"/>
      <c r="U612" s="677"/>
      <c r="V612" s="677"/>
      <c r="W612" s="677"/>
      <c r="X612" s="677"/>
      <c r="Y612" s="677"/>
      <c r="Z612" s="677"/>
      <c r="AA612" s="677"/>
      <c r="AB612" s="677"/>
      <c r="AC612" s="677"/>
      <c r="AD612" s="677"/>
    </row>
    <row r="613">
      <c r="A613" s="867"/>
      <c r="B613" s="708"/>
      <c r="C613" s="852"/>
      <c r="D613" s="656"/>
      <c r="E613" s="821"/>
      <c r="F613" s="821"/>
      <c r="G613" s="821"/>
      <c r="H613" s="821"/>
      <c r="I613" s="821"/>
      <c r="J613" s="821"/>
      <c r="K613" s="821"/>
      <c r="L613" s="821"/>
      <c r="M613" s="677"/>
      <c r="N613" s="821"/>
      <c r="O613" s="821"/>
      <c r="P613" s="677"/>
      <c r="Q613" s="677"/>
      <c r="R613" s="677"/>
      <c r="S613" s="677"/>
      <c r="T613" s="677"/>
      <c r="U613" s="677"/>
      <c r="V613" s="677"/>
      <c r="W613" s="677"/>
      <c r="X613" s="677"/>
      <c r="Y613" s="677"/>
      <c r="Z613" s="677"/>
      <c r="AA613" s="677"/>
      <c r="AB613" s="677"/>
      <c r="AC613" s="677"/>
      <c r="AD613" s="677"/>
    </row>
    <row r="614">
      <c r="A614" s="867"/>
      <c r="B614" s="708"/>
      <c r="C614" s="852"/>
      <c r="D614" s="656"/>
      <c r="E614" s="821"/>
      <c r="F614" s="821"/>
      <c r="G614" s="821"/>
      <c r="H614" s="821"/>
      <c r="I614" s="821"/>
      <c r="J614" s="821"/>
      <c r="K614" s="821"/>
      <c r="L614" s="821"/>
      <c r="M614" s="677"/>
      <c r="N614" s="821"/>
      <c r="O614" s="821"/>
      <c r="P614" s="677"/>
      <c r="Q614" s="677"/>
      <c r="R614" s="677"/>
      <c r="S614" s="677"/>
      <c r="T614" s="677"/>
      <c r="U614" s="677"/>
      <c r="V614" s="677"/>
      <c r="W614" s="677"/>
      <c r="X614" s="677"/>
      <c r="Y614" s="677"/>
      <c r="Z614" s="677"/>
      <c r="AA614" s="677"/>
      <c r="AB614" s="677"/>
      <c r="AC614" s="677"/>
      <c r="AD614" s="677"/>
    </row>
    <row r="615">
      <c r="A615" s="867"/>
      <c r="B615" s="708"/>
      <c r="C615" s="852"/>
      <c r="D615" s="656"/>
      <c r="E615" s="821"/>
      <c r="F615" s="821"/>
      <c r="G615" s="821"/>
      <c r="H615" s="821"/>
      <c r="I615" s="821"/>
      <c r="J615" s="821"/>
      <c r="K615" s="821"/>
      <c r="L615" s="821"/>
      <c r="M615" s="677"/>
      <c r="N615" s="821"/>
      <c r="O615" s="821"/>
      <c r="P615" s="677"/>
      <c r="Q615" s="677"/>
      <c r="R615" s="677"/>
      <c r="S615" s="677"/>
      <c r="T615" s="677"/>
      <c r="U615" s="677"/>
      <c r="V615" s="677"/>
      <c r="W615" s="677"/>
      <c r="X615" s="677"/>
      <c r="Y615" s="677"/>
      <c r="Z615" s="677"/>
      <c r="AA615" s="677"/>
      <c r="AB615" s="677"/>
      <c r="AC615" s="677"/>
      <c r="AD615" s="677"/>
    </row>
    <row r="616">
      <c r="A616" s="867"/>
      <c r="B616" s="708"/>
      <c r="C616" s="852"/>
      <c r="D616" s="656"/>
      <c r="E616" s="821"/>
      <c r="F616" s="821"/>
      <c r="G616" s="821"/>
      <c r="H616" s="821"/>
      <c r="I616" s="821"/>
      <c r="J616" s="821"/>
      <c r="K616" s="821"/>
      <c r="L616" s="821"/>
      <c r="M616" s="677"/>
      <c r="N616" s="821"/>
      <c r="O616" s="821"/>
      <c r="P616" s="677"/>
      <c r="Q616" s="677"/>
      <c r="R616" s="677"/>
      <c r="S616" s="677"/>
      <c r="T616" s="677"/>
      <c r="U616" s="677"/>
      <c r="V616" s="677"/>
      <c r="W616" s="677"/>
      <c r="X616" s="677"/>
      <c r="Y616" s="677"/>
      <c r="Z616" s="677"/>
      <c r="AA616" s="677"/>
      <c r="AB616" s="677"/>
      <c r="AC616" s="677"/>
      <c r="AD616" s="677"/>
    </row>
    <row r="617">
      <c r="A617" s="867"/>
      <c r="B617" s="708"/>
      <c r="C617" s="852"/>
      <c r="D617" s="656"/>
      <c r="E617" s="821"/>
      <c r="F617" s="821"/>
      <c r="G617" s="821"/>
      <c r="H617" s="821"/>
      <c r="I617" s="821"/>
      <c r="J617" s="821"/>
      <c r="K617" s="821"/>
      <c r="L617" s="821"/>
      <c r="M617" s="677"/>
      <c r="N617" s="821"/>
      <c r="O617" s="821"/>
      <c r="P617" s="677"/>
      <c r="Q617" s="677"/>
      <c r="R617" s="677"/>
      <c r="S617" s="677"/>
      <c r="T617" s="677"/>
      <c r="U617" s="677"/>
      <c r="V617" s="677"/>
      <c r="W617" s="677"/>
      <c r="X617" s="677"/>
      <c r="Y617" s="677"/>
      <c r="Z617" s="677"/>
      <c r="AA617" s="677"/>
      <c r="AB617" s="677"/>
      <c r="AC617" s="677"/>
      <c r="AD617" s="677"/>
    </row>
    <row r="618">
      <c r="A618" s="867"/>
      <c r="B618" s="708"/>
      <c r="C618" s="852"/>
      <c r="D618" s="656"/>
      <c r="E618" s="821"/>
      <c r="F618" s="821"/>
      <c r="G618" s="821"/>
      <c r="H618" s="821"/>
      <c r="I618" s="821"/>
      <c r="J618" s="821"/>
      <c r="K618" s="821"/>
      <c r="L618" s="821"/>
      <c r="M618" s="677"/>
      <c r="N618" s="821"/>
      <c r="O618" s="821"/>
      <c r="P618" s="677"/>
      <c r="Q618" s="677"/>
      <c r="R618" s="677"/>
      <c r="S618" s="677"/>
      <c r="T618" s="677"/>
      <c r="U618" s="677"/>
      <c r="V618" s="677"/>
      <c r="W618" s="677"/>
      <c r="X618" s="677"/>
      <c r="Y618" s="677"/>
      <c r="Z618" s="677"/>
      <c r="AA618" s="677"/>
      <c r="AB618" s="677"/>
      <c r="AC618" s="677"/>
      <c r="AD618" s="677"/>
    </row>
    <row r="619">
      <c r="A619" s="867"/>
      <c r="B619" s="708"/>
      <c r="C619" s="852"/>
      <c r="D619" s="656"/>
      <c r="E619" s="821"/>
      <c r="F619" s="821"/>
      <c r="G619" s="821"/>
      <c r="H619" s="821"/>
      <c r="I619" s="821"/>
      <c r="J619" s="821"/>
      <c r="K619" s="821"/>
      <c r="L619" s="821"/>
      <c r="M619" s="677"/>
      <c r="N619" s="821"/>
      <c r="O619" s="821"/>
      <c r="P619" s="677"/>
      <c r="Q619" s="677"/>
      <c r="R619" s="677"/>
      <c r="S619" s="677"/>
      <c r="T619" s="677"/>
      <c r="U619" s="677"/>
      <c r="V619" s="677"/>
      <c r="W619" s="677"/>
      <c r="X619" s="677"/>
      <c r="Y619" s="677"/>
      <c r="Z619" s="677"/>
      <c r="AA619" s="677"/>
      <c r="AB619" s="677"/>
      <c r="AC619" s="677"/>
      <c r="AD619" s="677"/>
    </row>
    <row r="620">
      <c r="A620" s="867"/>
      <c r="B620" s="708"/>
      <c r="C620" s="852"/>
      <c r="D620" s="656"/>
      <c r="E620" s="821"/>
      <c r="F620" s="821"/>
      <c r="G620" s="821"/>
      <c r="H620" s="821"/>
      <c r="I620" s="821"/>
      <c r="J620" s="821"/>
      <c r="K620" s="821"/>
      <c r="L620" s="821"/>
      <c r="M620" s="677"/>
      <c r="N620" s="821"/>
      <c r="O620" s="821"/>
      <c r="P620" s="677"/>
      <c r="Q620" s="677"/>
      <c r="R620" s="677"/>
      <c r="S620" s="677"/>
      <c r="T620" s="677"/>
      <c r="U620" s="677"/>
      <c r="V620" s="677"/>
      <c r="W620" s="677"/>
      <c r="X620" s="677"/>
      <c r="Y620" s="677"/>
      <c r="Z620" s="677"/>
      <c r="AA620" s="677"/>
      <c r="AB620" s="677"/>
      <c r="AC620" s="677"/>
      <c r="AD620" s="677"/>
    </row>
    <row r="621">
      <c r="A621" s="867"/>
      <c r="B621" s="708"/>
      <c r="C621" s="852"/>
      <c r="D621" s="656"/>
      <c r="E621" s="821"/>
      <c r="F621" s="821"/>
      <c r="G621" s="821"/>
      <c r="H621" s="821"/>
      <c r="I621" s="821"/>
      <c r="J621" s="821"/>
      <c r="K621" s="821"/>
      <c r="L621" s="821"/>
      <c r="M621" s="677"/>
      <c r="N621" s="821"/>
      <c r="O621" s="821"/>
      <c r="P621" s="677"/>
      <c r="Q621" s="677"/>
      <c r="R621" s="677"/>
      <c r="S621" s="677"/>
      <c r="T621" s="677"/>
      <c r="U621" s="677"/>
      <c r="V621" s="677"/>
      <c r="W621" s="677"/>
      <c r="X621" s="677"/>
      <c r="Y621" s="677"/>
      <c r="Z621" s="677"/>
      <c r="AA621" s="677"/>
      <c r="AB621" s="677"/>
      <c r="AC621" s="677"/>
      <c r="AD621" s="677"/>
    </row>
    <row r="622">
      <c r="A622" s="867"/>
      <c r="B622" s="708"/>
      <c r="C622" s="852"/>
      <c r="D622" s="656"/>
      <c r="E622" s="821"/>
      <c r="F622" s="821"/>
      <c r="G622" s="821"/>
      <c r="H622" s="821"/>
      <c r="I622" s="821"/>
      <c r="J622" s="821"/>
      <c r="K622" s="821"/>
      <c r="L622" s="821"/>
      <c r="M622" s="677"/>
      <c r="N622" s="821"/>
      <c r="O622" s="821"/>
      <c r="P622" s="677"/>
      <c r="Q622" s="677"/>
      <c r="R622" s="677"/>
      <c r="S622" s="677"/>
      <c r="T622" s="677"/>
      <c r="U622" s="677"/>
      <c r="V622" s="677"/>
      <c r="W622" s="677"/>
      <c r="X622" s="677"/>
      <c r="Y622" s="677"/>
      <c r="Z622" s="677"/>
      <c r="AA622" s="677"/>
      <c r="AB622" s="677"/>
      <c r="AC622" s="677"/>
      <c r="AD622" s="677"/>
    </row>
    <row r="623">
      <c r="A623" s="867"/>
      <c r="B623" s="708"/>
      <c r="C623" s="852"/>
      <c r="D623" s="656"/>
      <c r="E623" s="821"/>
      <c r="F623" s="821"/>
      <c r="G623" s="821"/>
      <c r="H623" s="821"/>
      <c r="I623" s="821"/>
      <c r="J623" s="821"/>
      <c r="K623" s="821"/>
      <c r="L623" s="821"/>
      <c r="M623" s="677"/>
      <c r="N623" s="821"/>
      <c r="O623" s="821"/>
      <c r="P623" s="677"/>
      <c r="Q623" s="677"/>
      <c r="R623" s="677"/>
      <c r="S623" s="677"/>
      <c r="T623" s="677"/>
      <c r="U623" s="677"/>
      <c r="V623" s="677"/>
      <c r="W623" s="677"/>
      <c r="X623" s="677"/>
      <c r="Y623" s="677"/>
      <c r="Z623" s="677"/>
      <c r="AA623" s="677"/>
      <c r="AB623" s="677"/>
      <c r="AC623" s="677"/>
      <c r="AD623" s="677"/>
    </row>
    <row r="624">
      <c r="A624" s="867"/>
      <c r="B624" s="708"/>
      <c r="C624" s="852"/>
      <c r="D624" s="656"/>
      <c r="E624" s="821"/>
      <c r="F624" s="821"/>
      <c r="G624" s="821"/>
      <c r="H624" s="821"/>
      <c r="I624" s="821"/>
      <c r="J624" s="821"/>
      <c r="K624" s="821"/>
      <c r="L624" s="821"/>
      <c r="M624" s="677"/>
      <c r="N624" s="821"/>
      <c r="O624" s="821"/>
      <c r="P624" s="677"/>
      <c r="Q624" s="677"/>
      <c r="R624" s="677"/>
      <c r="S624" s="677"/>
      <c r="T624" s="677"/>
      <c r="U624" s="677"/>
      <c r="V624" s="677"/>
      <c r="W624" s="677"/>
      <c r="X624" s="677"/>
      <c r="Y624" s="677"/>
      <c r="Z624" s="677"/>
      <c r="AA624" s="677"/>
      <c r="AB624" s="677"/>
      <c r="AC624" s="677"/>
      <c r="AD624" s="677"/>
    </row>
    <row r="625">
      <c r="A625" s="867"/>
      <c r="B625" s="708"/>
      <c r="C625" s="852"/>
      <c r="D625" s="656"/>
      <c r="E625" s="821"/>
      <c r="F625" s="821"/>
      <c r="G625" s="821"/>
      <c r="H625" s="821"/>
      <c r="I625" s="821"/>
      <c r="J625" s="821"/>
      <c r="K625" s="821"/>
      <c r="L625" s="821"/>
      <c r="M625" s="677"/>
      <c r="N625" s="821"/>
      <c r="O625" s="821"/>
      <c r="P625" s="677"/>
      <c r="Q625" s="677"/>
      <c r="R625" s="677"/>
      <c r="S625" s="677"/>
      <c r="T625" s="677"/>
      <c r="U625" s="677"/>
      <c r="V625" s="677"/>
      <c r="W625" s="677"/>
      <c r="X625" s="677"/>
      <c r="Y625" s="677"/>
      <c r="Z625" s="677"/>
      <c r="AA625" s="677"/>
      <c r="AB625" s="677"/>
      <c r="AC625" s="677"/>
      <c r="AD625" s="677"/>
    </row>
    <row r="626">
      <c r="A626" s="867"/>
      <c r="B626" s="708"/>
      <c r="C626" s="852"/>
      <c r="D626" s="656"/>
      <c r="E626" s="821"/>
      <c r="F626" s="821"/>
      <c r="G626" s="821"/>
      <c r="H626" s="821"/>
      <c r="I626" s="821"/>
      <c r="J626" s="821"/>
      <c r="K626" s="821"/>
      <c r="L626" s="821"/>
      <c r="M626" s="677"/>
      <c r="N626" s="821"/>
      <c r="O626" s="821"/>
      <c r="P626" s="677"/>
      <c r="Q626" s="677"/>
      <c r="R626" s="677"/>
      <c r="S626" s="677"/>
      <c r="T626" s="677"/>
      <c r="U626" s="677"/>
      <c r="V626" s="677"/>
      <c r="W626" s="677"/>
      <c r="X626" s="677"/>
      <c r="Y626" s="677"/>
      <c r="Z626" s="677"/>
      <c r="AA626" s="677"/>
      <c r="AB626" s="677"/>
      <c r="AC626" s="677"/>
      <c r="AD626" s="677"/>
    </row>
    <row r="627">
      <c r="A627" s="867"/>
      <c r="B627" s="708"/>
      <c r="C627" s="852"/>
      <c r="D627" s="656"/>
      <c r="E627" s="821"/>
      <c r="F627" s="821"/>
      <c r="G627" s="821"/>
      <c r="H627" s="821"/>
      <c r="I627" s="821"/>
      <c r="J627" s="821"/>
      <c r="K627" s="821"/>
      <c r="L627" s="821"/>
      <c r="M627" s="677"/>
      <c r="N627" s="821"/>
      <c r="O627" s="821"/>
      <c r="P627" s="677"/>
      <c r="Q627" s="677"/>
      <c r="R627" s="677"/>
      <c r="S627" s="677"/>
      <c r="T627" s="677"/>
      <c r="U627" s="677"/>
      <c r="V627" s="677"/>
      <c r="W627" s="677"/>
      <c r="X627" s="677"/>
      <c r="Y627" s="677"/>
      <c r="Z627" s="677"/>
      <c r="AA627" s="677"/>
      <c r="AB627" s="677"/>
      <c r="AC627" s="677"/>
      <c r="AD627" s="677"/>
    </row>
    <row r="628">
      <c r="A628" s="867"/>
      <c r="B628" s="708"/>
      <c r="C628" s="852"/>
      <c r="D628" s="656"/>
      <c r="E628" s="821"/>
      <c r="F628" s="821"/>
      <c r="G628" s="821"/>
      <c r="H628" s="821"/>
      <c r="I628" s="821"/>
      <c r="J628" s="821"/>
      <c r="K628" s="821"/>
      <c r="L628" s="821"/>
      <c r="M628" s="677"/>
      <c r="N628" s="821"/>
      <c r="O628" s="821"/>
      <c r="P628" s="677"/>
      <c r="Q628" s="677"/>
      <c r="R628" s="677"/>
      <c r="S628" s="677"/>
      <c r="T628" s="677"/>
      <c r="U628" s="677"/>
      <c r="V628" s="677"/>
      <c r="W628" s="677"/>
      <c r="X628" s="677"/>
      <c r="Y628" s="677"/>
      <c r="Z628" s="677"/>
      <c r="AA628" s="677"/>
      <c r="AB628" s="677"/>
      <c r="AC628" s="677"/>
      <c r="AD628" s="677"/>
    </row>
    <row r="629">
      <c r="A629" s="867"/>
      <c r="B629" s="708"/>
      <c r="C629" s="852"/>
      <c r="D629" s="656"/>
      <c r="E629" s="821"/>
      <c r="F629" s="821"/>
      <c r="G629" s="821"/>
      <c r="H629" s="821"/>
      <c r="I629" s="821"/>
      <c r="J629" s="821"/>
      <c r="K629" s="821"/>
      <c r="L629" s="821"/>
      <c r="M629" s="677"/>
      <c r="N629" s="821"/>
      <c r="O629" s="821"/>
      <c r="P629" s="677"/>
      <c r="Q629" s="677"/>
      <c r="R629" s="677"/>
      <c r="S629" s="677"/>
      <c r="T629" s="677"/>
      <c r="U629" s="677"/>
      <c r="V629" s="677"/>
      <c r="W629" s="677"/>
      <c r="X629" s="677"/>
      <c r="Y629" s="677"/>
      <c r="Z629" s="677"/>
      <c r="AA629" s="677"/>
      <c r="AB629" s="677"/>
      <c r="AC629" s="677"/>
      <c r="AD629" s="677"/>
    </row>
    <row r="630">
      <c r="A630" s="867"/>
      <c r="B630" s="708"/>
      <c r="C630" s="852"/>
      <c r="D630" s="656"/>
      <c r="E630" s="821"/>
      <c r="F630" s="821"/>
      <c r="G630" s="821"/>
      <c r="H630" s="821"/>
      <c r="I630" s="821"/>
      <c r="J630" s="821"/>
      <c r="K630" s="821"/>
      <c r="L630" s="821"/>
      <c r="M630" s="677"/>
      <c r="N630" s="821"/>
      <c r="O630" s="821"/>
      <c r="P630" s="677"/>
      <c r="Q630" s="677"/>
      <c r="R630" s="677"/>
      <c r="S630" s="677"/>
      <c r="T630" s="677"/>
      <c r="U630" s="677"/>
      <c r="V630" s="677"/>
      <c r="W630" s="677"/>
      <c r="X630" s="677"/>
      <c r="Y630" s="677"/>
      <c r="Z630" s="677"/>
      <c r="AA630" s="677"/>
      <c r="AB630" s="677"/>
      <c r="AC630" s="677"/>
      <c r="AD630" s="677"/>
    </row>
    <row r="631">
      <c r="A631" s="867"/>
      <c r="B631" s="708"/>
      <c r="C631" s="852"/>
      <c r="D631" s="656"/>
      <c r="E631" s="821"/>
      <c r="F631" s="821"/>
      <c r="G631" s="821"/>
      <c r="H631" s="821"/>
      <c r="I631" s="821"/>
      <c r="J631" s="821"/>
      <c r="K631" s="821"/>
      <c r="L631" s="821"/>
      <c r="M631" s="677"/>
      <c r="N631" s="821"/>
      <c r="O631" s="821"/>
      <c r="P631" s="677"/>
      <c r="Q631" s="677"/>
      <c r="R631" s="677"/>
      <c r="S631" s="677"/>
      <c r="T631" s="677"/>
      <c r="U631" s="677"/>
      <c r="V631" s="677"/>
      <c r="W631" s="677"/>
      <c r="X631" s="677"/>
      <c r="Y631" s="677"/>
      <c r="Z631" s="677"/>
      <c r="AA631" s="677"/>
      <c r="AB631" s="677"/>
      <c r="AC631" s="677"/>
      <c r="AD631" s="677"/>
    </row>
    <row r="632">
      <c r="A632" s="867"/>
      <c r="B632" s="708"/>
      <c r="C632" s="852"/>
      <c r="D632" s="656"/>
      <c r="E632" s="821"/>
      <c r="F632" s="821"/>
      <c r="G632" s="821"/>
      <c r="H632" s="821"/>
      <c r="I632" s="821"/>
      <c r="J632" s="821"/>
      <c r="K632" s="821"/>
      <c r="L632" s="821"/>
      <c r="M632" s="677"/>
      <c r="N632" s="821"/>
      <c r="O632" s="821"/>
      <c r="P632" s="677"/>
      <c r="Q632" s="677"/>
      <c r="R632" s="677"/>
      <c r="S632" s="677"/>
      <c r="T632" s="677"/>
      <c r="U632" s="677"/>
      <c r="V632" s="677"/>
      <c r="W632" s="677"/>
      <c r="X632" s="677"/>
      <c r="Y632" s="677"/>
      <c r="Z632" s="677"/>
      <c r="AA632" s="677"/>
      <c r="AB632" s="677"/>
      <c r="AC632" s="677"/>
      <c r="AD632" s="677"/>
    </row>
    <row r="633">
      <c r="A633" s="867"/>
      <c r="B633" s="708"/>
      <c r="C633" s="852"/>
      <c r="D633" s="656"/>
      <c r="E633" s="821"/>
      <c r="F633" s="821"/>
      <c r="G633" s="821"/>
      <c r="H633" s="821"/>
      <c r="I633" s="821"/>
      <c r="J633" s="821"/>
      <c r="K633" s="821"/>
      <c r="L633" s="821"/>
      <c r="M633" s="677"/>
      <c r="N633" s="821"/>
      <c r="O633" s="821"/>
      <c r="P633" s="677"/>
      <c r="Q633" s="677"/>
      <c r="R633" s="677"/>
      <c r="S633" s="677"/>
      <c r="T633" s="677"/>
      <c r="U633" s="677"/>
      <c r="V633" s="677"/>
      <c r="W633" s="677"/>
      <c r="X633" s="677"/>
      <c r="Y633" s="677"/>
      <c r="Z633" s="677"/>
      <c r="AA633" s="677"/>
      <c r="AB633" s="677"/>
      <c r="AC633" s="677"/>
      <c r="AD633" s="677"/>
    </row>
    <row r="634">
      <c r="A634" s="867"/>
      <c r="B634" s="708"/>
      <c r="C634" s="852"/>
      <c r="D634" s="656"/>
      <c r="E634" s="821"/>
      <c r="F634" s="821"/>
      <c r="G634" s="821"/>
      <c r="H634" s="821"/>
      <c r="I634" s="821"/>
      <c r="J634" s="821"/>
      <c r="K634" s="821"/>
      <c r="L634" s="821"/>
      <c r="M634" s="677"/>
      <c r="N634" s="821"/>
      <c r="O634" s="821"/>
      <c r="P634" s="677"/>
      <c r="Q634" s="677"/>
      <c r="R634" s="677"/>
      <c r="S634" s="677"/>
      <c r="T634" s="677"/>
      <c r="U634" s="677"/>
      <c r="V634" s="677"/>
      <c r="W634" s="677"/>
      <c r="X634" s="677"/>
      <c r="Y634" s="677"/>
      <c r="Z634" s="677"/>
      <c r="AA634" s="677"/>
      <c r="AB634" s="677"/>
      <c r="AC634" s="677"/>
      <c r="AD634" s="677"/>
    </row>
    <row r="635">
      <c r="A635" s="867"/>
      <c r="B635" s="708"/>
      <c r="C635" s="852"/>
      <c r="D635" s="656"/>
      <c r="E635" s="821"/>
      <c r="F635" s="821"/>
      <c r="G635" s="821"/>
      <c r="H635" s="821"/>
      <c r="I635" s="821"/>
      <c r="J635" s="821"/>
      <c r="K635" s="821"/>
      <c r="L635" s="821"/>
      <c r="M635" s="677"/>
      <c r="N635" s="821"/>
      <c r="O635" s="821"/>
      <c r="P635" s="677"/>
      <c r="Q635" s="677"/>
      <c r="R635" s="677"/>
      <c r="S635" s="677"/>
      <c r="T635" s="677"/>
      <c r="U635" s="677"/>
      <c r="V635" s="677"/>
      <c r="W635" s="677"/>
      <c r="X635" s="677"/>
      <c r="Y635" s="677"/>
      <c r="Z635" s="677"/>
      <c r="AA635" s="677"/>
      <c r="AB635" s="677"/>
      <c r="AC635" s="677"/>
      <c r="AD635" s="677"/>
    </row>
    <row r="636">
      <c r="A636" s="867"/>
      <c r="B636" s="708"/>
      <c r="C636" s="852"/>
      <c r="D636" s="656"/>
      <c r="E636" s="821"/>
      <c r="F636" s="821"/>
      <c r="G636" s="821"/>
      <c r="H636" s="821"/>
      <c r="I636" s="821"/>
      <c r="J636" s="821"/>
      <c r="K636" s="821"/>
      <c r="L636" s="821"/>
      <c r="M636" s="677"/>
      <c r="N636" s="821"/>
      <c r="O636" s="821"/>
      <c r="P636" s="677"/>
      <c r="Q636" s="677"/>
      <c r="R636" s="677"/>
      <c r="S636" s="677"/>
      <c r="T636" s="677"/>
      <c r="U636" s="677"/>
      <c r="V636" s="677"/>
      <c r="W636" s="677"/>
      <c r="X636" s="677"/>
      <c r="Y636" s="677"/>
      <c r="Z636" s="677"/>
      <c r="AA636" s="677"/>
      <c r="AB636" s="677"/>
      <c r="AC636" s="677"/>
      <c r="AD636" s="677"/>
    </row>
    <row r="637">
      <c r="A637" s="867"/>
      <c r="B637" s="708"/>
      <c r="C637" s="852"/>
      <c r="D637" s="656"/>
      <c r="E637" s="821"/>
      <c r="F637" s="821"/>
      <c r="G637" s="821"/>
      <c r="H637" s="821"/>
      <c r="I637" s="821"/>
      <c r="J637" s="821"/>
      <c r="K637" s="821"/>
      <c r="L637" s="821"/>
      <c r="M637" s="677"/>
      <c r="N637" s="821"/>
      <c r="O637" s="821"/>
      <c r="P637" s="677"/>
      <c r="Q637" s="677"/>
      <c r="R637" s="677"/>
      <c r="S637" s="677"/>
      <c r="T637" s="677"/>
      <c r="U637" s="677"/>
      <c r="V637" s="677"/>
      <c r="W637" s="677"/>
      <c r="X637" s="677"/>
      <c r="Y637" s="677"/>
      <c r="Z637" s="677"/>
      <c r="AA637" s="677"/>
      <c r="AB637" s="677"/>
      <c r="AC637" s="677"/>
      <c r="AD637" s="677"/>
    </row>
    <row r="638">
      <c r="A638" s="867"/>
      <c r="B638" s="708"/>
      <c r="C638" s="852"/>
      <c r="D638" s="656"/>
      <c r="E638" s="821"/>
      <c r="F638" s="821"/>
      <c r="G638" s="821"/>
      <c r="H638" s="821"/>
      <c r="I638" s="821"/>
      <c r="J638" s="821"/>
      <c r="K638" s="821"/>
      <c r="L638" s="821"/>
      <c r="M638" s="677"/>
      <c r="N638" s="821"/>
      <c r="O638" s="821"/>
      <c r="P638" s="677"/>
      <c r="Q638" s="677"/>
      <c r="R638" s="677"/>
      <c r="S638" s="677"/>
      <c r="T638" s="677"/>
      <c r="U638" s="677"/>
      <c r="V638" s="677"/>
      <c r="W638" s="677"/>
      <c r="X638" s="677"/>
      <c r="Y638" s="677"/>
      <c r="Z638" s="677"/>
      <c r="AA638" s="677"/>
      <c r="AB638" s="677"/>
      <c r="AC638" s="677"/>
      <c r="AD638" s="677"/>
    </row>
    <row r="639">
      <c r="A639" s="867"/>
      <c r="B639" s="708"/>
      <c r="C639" s="852"/>
      <c r="D639" s="656"/>
      <c r="E639" s="821"/>
      <c r="F639" s="821"/>
      <c r="G639" s="821"/>
      <c r="H639" s="821"/>
      <c r="I639" s="821"/>
      <c r="J639" s="821"/>
      <c r="K639" s="821"/>
      <c r="L639" s="821"/>
      <c r="M639" s="677"/>
      <c r="N639" s="821"/>
      <c r="O639" s="821"/>
      <c r="P639" s="677"/>
      <c r="Q639" s="677"/>
      <c r="R639" s="677"/>
      <c r="S639" s="677"/>
      <c r="T639" s="677"/>
      <c r="U639" s="677"/>
      <c r="V639" s="677"/>
      <c r="W639" s="677"/>
      <c r="X639" s="677"/>
      <c r="Y639" s="677"/>
      <c r="Z639" s="677"/>
      <c r="AA639" s="677"/>
      <c r="AB639" s="677"/>
      <c r="AC639" s="677"/>
      <c r="AD639" s="677"/>
    </row>
    <row r="640">
      <c r="A640" s="867"/>
      <c r="B640" s="708"/>
      <c r="C640" s="852"/>
      <c r="D640" s="656"/>
      <c r="E640" s="821"/>
      <c r="F640" s="821"/>
      <c r="G640" s="821"/>
      <c r="H640" s="821"/>
      <c r="I640" s="821"/>
      <c r="J640" s="821"/>
      <c r="K640" s="821"/>
      <c r="L640" s="821"/>
      <c r="M640" s="677"/>
      <c r="N640" s="821"/>
      <c r="O640" s="821"/>
      <c r="P640" s="677"/>
      <c r="Q640" s="677"/>
      <c r="R640" s="677"/>
      <c r="S640" s="677"/>
      <c r="T640" s="677"/>
      <c r="U640" s="677"/>
      <c r="V640" s="677"/>
      <c r="W640" s="677"/>
      <c r="X640" s="677"/>
      <c r="Y640" s="677"/>
      <c r="Z640" s="677"/>
      <c r="AA640" s="677"/>
      <c r="AB640" s="677"/>
      <c r="AC640" s="677"/>
      <c r="AD640" s="677"/>
    </row>
    <row r="641">
      <c r="A641" s="867"/>
      <c r="B641" s="708"/>
      <c r="C641" s="852"/>
      <c r="D641" s="656"/>
      <c r="E641" s="821"/>
      <c r="F641" s="821"/>
      <c r="G641" s="821"/>
      <c r="H641" s="821"/>
      <c r="I641" s="821"/>
      <c r="J641" s="821"/>
      <c r="K641" s="821"/>
      <c r="L641" s="821"/>
      <c r="M641" s="677"/>
      <c r="N641" s="821"/>
      <c r="O641" s="821"/>
      <c r="P641" s="677"/>
      <c r="Q641" s="677"/>
      <c r="R641" s="677"/>
      <c r="S641" s="677"/>
      <c r="T641" s="677"/>
      <c r="U641" s="677"/>
      <c r="V641" s="677"/>
      <c r="W641" s="677"/>
      <c r="X641" s="677"/>
      <c r="Y641" s="677"/>
      <c r="Z641" s="677"/>
      <c r="AA641" s="677"/>
      <c r="AB641" s="677"/>
      <c r="AC641" s="677"/>
      <c r="AD641" s="677"/>
    </row>
    <row r="642">
      <c r="A642" s="867"/>
      <c r="B642" s="708"/>
      <c r="C642" s="852"/>
      <c r="D642" s="656"/>
      <c r="E642" s="821"/>
      <c r="F642" s="821"/>
      <c r="G642" s="821"/>
      <c r="H642" s="821"/>
      <c r="I642" s="821"/>
      <c r="J642" s="821"/>
      <c r="K642" s="821"/>
      <c r="L642" s="821"/>
      <c r="M642" s="677"/>
      <c r="N642" s="821"/>
      <c r="O642" s="821"/>
      <c r="P642" s="677"/>
      <c r="Q642" s="677"/>
      <c r="R642" s="677"/>
      <c r="S642" s="677"/>
      <c r="T642" s="677"/>
      <c r="U642" s="677"/>
      <c r="V642" s="677"/>
      <c r="W642" s="677"/>
      <c r="X642" s="677"/>
      <c r="Y642" s="677"/>
      <c r="Z642" s="677"/>
      <c r="AA642" s="677"/>
      <c r="AB642" s="677"/>
      <c r="AC642" s="677"/>
      <c r="AD642" s="677"/>
    </row>
    <row r="643">
      <c r="A643" s="867"/>
      <c r="B643" s="708"/>
      <c r="C643" s="852"/>
      <c r="D643" s="656"/>
      <c r="E643" s="821"/>
      <c r="F643" s="821"/>
      <c r="G643" s="821"/>
      <c r="H643" s="821"/>
      <c r="I643" s="821"/>
      <c r="J643" s="821"/>
      <c r="K643" s="821"/>
      <c r="L643" s="821"/>
      <c r="M643" s="677"/>
      <c r="N643" s="821"/>
      <c r="O643" s="821"/>
      <c r="P643" s="677"/>
      <c r="Q643" s="677"/>
      <c r="R643" s="677"/>
      <c r="S643" s="677"/>
      <c r="T643" s="677"/>
      <c r="U643" s="677"/>
      <c r="V643" s="677"/>
      <c r="W643" s="677"/>
      <c r="X643" s="677"/>
      <c r="Y643" s="677"/>
      <c r="Z643" s="677"/>
      <c r="AA643" s="677"/>
      <c r="AB643" s="677"/>
      <c r="AC643" s="677"/>
      <c r="AD643" s="677"/>
    </row>
    <row r="644">
      <c r="A644" s="867"/>
      <c r="B644" s="708"/>
      <c r="C644" s="852"/>
      <c r="D644" s="656"/>
      <c r="E644" s="821"/>
      <c r="F644" s="821"/>
      <c r="G644" s="821"/>
      <c r="H644" s="821"/>
      <c r="I644" s="821"/>
      <c r="J644" s="821"/>
      <c r="K644" s="821"/>
      <c r="L644" s="821"/>
      <c r="M644" s="677"/>
      <c r="N644" s="821"/>
      <c r="O644" s="821"/>
      <c r="P644" s="677"/>
      <c r="Q644" s="677"/>
      <c r="R644" s="677"/>
      <c r="S644" s="677"/>
      <c r="T644" s="677"/>
      <c r="U644" s="677"/>
      <c r="V644" s="677"/>
      <c r="W644" s="677"/>
      <c r="X644" s="677"/>
      <c r="Y644" s="677"/>
      <c r="Z644" s="677"/>
      <c r="AA644" s="677"/>
      <c r="AB644" s="677"/>
      <c r="AC644" s="677"/>
      <c r="AD644" s="677"/>
    </row>
    <row r="645">
      <c r="A645" s="867"/>
      <c r="B645" s="708"/>
      <c r="C645" s="852"/>
      <c r="D645" s="656"/>
      <c r="E645" s="821"/>
      <c r="F645" s="821"/>
      <c r="G645" s="821"/>
      <c r="H645" s="821"/>
      <c r="I645" s="821"/>
      <c r="J645" s="821"/>
      <c r="K645" s="821"/>
      <c r="L645" s="821"/>
      <c r="M645" s="677"/>
      <c r="N645" s="821"/>
      <c r="O645" s="821"/>
      <c r="P645" s="677"/>
      <c r="Q645" s="677"/>
      <c r="R645" s="677"/>
      <c r="S645" s="677"/>
      <c r="T645" s="677"/>
      <c r="U645" s="677"/>
      <c r="V645" s="677"/>
      <c r="W645" s="677"/>
      <c r="X645" s="677"/>
      <c r="Y645" s="677"/>
      <c r="Z645" s="677"/>
      <c r="AA645" s="677"/>
      <c r="AB645" s="677"/>
      <c r="AC645" s="677"/>
      <c r="AD645" s="677"/>
    </row>
    <row r="646">
      <c r="A646" s="867"/>
      <c r="B646" s="708"/>
      <c r="C646" s="852"/>
      <c r="D646" s="656"/>
      <c r="E646" s="821"/>
      <c r="F646" s="821"/>
      <c r="G646" s="821"/>
      <c r="H646" s="821"/>
      <c r="I646" s="821"/>
      <c r="J646" s="821"/>
      <c r="K646" s="821"/>
      <c r="L646" s="821"/>
      <c r="M646" s="677"/>
      <c r="N646" s="821"/>
      <c r="O646" s="821"/>
      <c r="P646" s="677"/>
      <c r="Q646" s="677"/>
      <c r="R646" s="677"/>
      <c r="S646" s="677"/>
      <c r="T646" s="677"/>
      <c r="U646" s="677"/>
      <c r="V646" s="677"/>
      <c r="W646" s="677"/>
      <c r="X646" s="677"/>
      <c r="Y646" s="677"/>
      <c r="Z646" s="677"/>
      <c r="AA646" s="677"/>
      <c r="AB646" s="677"/>
      <c r="AC646" s="677"/>
      <c r="AD646" s="677"/>
    </row>
    <row r="647">
      <c r="A647" s="867"/>
      <c r="B647" s="708"/>
      <c r="C647" s="852"/>
      <c r="D647" s="656"/>
      <c r="E647" s="821"/>
      <c r="F647" s="821"/>
      <c r="G647" s="821"/>
      <c r="H647" s="821"/>
      <c r="I647" s="821"/>
      <c r="J647" s="821"/>
      <c r="K647" s="821"/>
      <c r="L647" s="821"/>
      <c r="M647" s="677"/>
      <c r="N647" s="821"/>
      <c r="O647" s="821"/>
      <c r="P647" s="677"/>
      <c r="Q647" s="677"/>
      <c r="R647" s="677"/>
      <c r="S647" s="677"/>
      <c r="T647" s="677"/>
      <c r="U647" s="677"/>
      <c r="V647" s="677"/>
      <c r="W647" s="677"/>
      <c r="X647" s="677"/>
      <c r="Y647" s="677"/>
      <c r="Z647" s="677"/>
      <c r="AA647" s="677"/>
      <c r="AB647" s="677"/>
      <c r="AC647" s="677"/>
      <c r="AD647" s="677"/>
    </row>
    <row r="648">
      <c r="A648" s="867"/>
      <c r="B648" s="708"/>
      <c r="C648" s="852"/>
      <c r="D648" s="656"/>
      <c r="E648" s="821"/>
      <c r="F648" s="821"/>
      <c r="G648" s="821"/>
      <c r="H648" s="821"/>
      <c r="I648" s="821"/>
      <c r="J648" s="821"/>
      <c r="K648" s="821"/>
      <c r="L648" s="821"/>
      <c r="M648" s="677"/>
      <c r="N648" s="821"/>
      <c r="O648" s="821"/>
      <c r="P648" s="677"/>
      <c r="Q648" s="677"/>
      <c r="R648" s="677"/>
      <c r="S648" s="677"/>
      <c r="T648" s="677"/>
      <c r="U648" s="677"/>
      <c r="V648" s="677"/>
      <c r="W648" s="677"/>
      <c r="X648" s="677"/>
      <c r="Y648" s="677"/>
      <c r="Z648" s="677"/>
      <c r="AA648" s="677"/>
      <c r="AB648" s="677"/>
      <c r="AC648" s="677"/>
      <c r="AD648" s="677"/>
    </row>
    <row r="649">
      <c r="A649" s="867"/>
      <c r="B649" s="708"/>
      <c r="C649" s="852"/>
      <c r="D649" s="656"/>
      <c r="E649" s="821"/>
      <c r="F649" s="821"/>
      <c r="G649" s="821"/>
      <c r="H649" s="821"/>
      <c r="I649" s="821"/>
      <c r="J649" s="821"/>
      <c r="K649" s="821"/>
      <c r="L649" s="821"/>
      <c r="M649" s="677"/>
      <c r="N649" s="821"/>
      <c r="O649" s="821"/>
      <c r="P649" s="677"/>
      <c r="Q649" s="677"/>
      <c r="R649" s="677"/>
      <c r="S649" s="677"/>
      <c r="T649" s="677"/>
      <c r="U649" s="677"/>
      <c r="V649" s="677"/>
      <c r="W649" s="677"/>
      <c r="X649" s="677"/>
      <c r="Y649" s="677"/>
      <c r="Z649" s="677"/>
      <c r="AA649" s="677"/>
      <c r="AB649" s="677"/>
      <c r="AC649" s="677"/>
      <c r="AD649" s="677"/>
    </row>
    <row r="650">
      <c r="A650" s="867"/>
      <c r="B650" s="708"/>
      <c r="C650" s="852"/>
      <c r="D650" s="656"/>
      <c r="E650" s="821"/>
      <c r="F650" s="821"/>
      <c r="G650" s="821"/>
      <c r="H650" s="821"/>
      <c r="I650" s="821"/>
      <c r="J650" s="821"/>
      <c r="K650" s="821"/>
      <c r="L650" s="821"/>
      <c r="M650" s="677"/>
      <c r="N650" s="821"/>
      <c r="O650" s="821"/>
      <c r="P650" s="677"/>
      <c r="Q650" s="677"/>
      <c r="R650" s="677"/>
      <c r="S650" s="677"/>
      <c r="T650" s="677"/>
      <c r="U650" s="677"/>
      <c r="V650" s="677"/>
      <c r="W650" s="677"/>
      <c r="X650" s="677"/>
      <c r="Y650" s="677"/>
      <c r="Z650" s="677"/>
      <c r="AA650" s="677"/>
      <c r="AB650" s="677"/>
      <c r="AC650" s="677"/>
      <c r="AD650" s="677"/>
    </row>
    <row r="651">
      <c r="A651" s="867"/>
      <c r="B651" s="708"/>
      <c r="C651" s="852"/>
      <c r="D651" s="656"/>
      <c r="E651" s="821"/>
      <c r="F651" s="821"/>
      <c r="G651" s="821"/>
      <c r="H651" s="821"/>
      <c r="I651" s="821"/>
      <c r="J651" s="821"/>
      <c r="K651" s="821"/>
      <c r="L651" s="821"/>
      <c r="M651" s="677"/>
      <c r="N651" s="821"/>
      <c r="O651" s="821"/>
      <c r="P651" s="677"/>
      <c r="Q651" s="677"/>
      <c r="R651" s="677"/>
      <c r="S651" s="677"/>
      <c r="T651" s="677"/>
      <c r="U651" s="677"/>
      <c r="V651" s="677"/>
      <c r="W651" s="677"/>
      <c r="X651" s="677"/>
      <c r="Y651" s="677"/>
      <c r="Z651" s="677"/>
      <c r="AA651" s="677"/>
      <c r="AB651" s="677"/>
      <c r="AC651" s="677"/>
      <c r="AD651" s="677"/>
    </row>
    <row r="652">
      <c r="A652" s="867"/>
      <c r="B652" s="708"/>
      <c r="C652" s="852"/>
      <c r="D652" s="656"/>
      <c r="E652" s="821"/>
      <c r="F652" s="821"/>
      <c r="G652" s="821"/>
      <c r="H652" s="821"/>
      <c r="I652" s="821"/>
      <c r="J652" s="821"/>
      <c r="K652" s="821"/>
      <c r="L652" s="821"/>
      <c r="M652" s="677"/>
      <c r="N652" s="821"/>
      <c r="O652" s="821"/>
      <c r="P652" s="677"/>
      <c r="Q652" s="677"/>
      <c r="R652" s="677"/>
      <c r="S652" s="677"/>
      <c r="T652" s="677"/>
      <c r="U652" s="677"/>
      <c r="V652" s="677"/>
      <c r="W652" s="677"/>
      <c r="X652" s="677"/>
      <c r="Y652" s="677"/>
      <c r="Z652" s="677"/>
      <c r="AA652" s="677"/>
      <c r="AB652" s="677"/>
      <c r="AC652" s="677"/>
      <c r="AD652" s="677"/>
    </row>
    <row r="653">
      <c r="A653" s="867"/>
      <c r="B653" s="708"/>
      <c r="C653" s="852"/>
      <c r="D653" s="656"/>
      <c r="E653" s="821"/>
      <c r="F653" s="821"/>
      <c r="G653" s="821"/>
      <c r="H653" s="821"/>
      <c r="I653" s="821"/>
      <c r="J653" s="821"/>
      <c r="K653" s="821"/>
      <c r="L653" s="821"/>
      <c r="M653" s="677"/>
      <c r="N653" s="821"/>
      <c r="O653" s="821"/>
      <c r="P653" s="677"/>
      <c r="Q653" s="677"/>
      <c r="R653" s="677"/>
      <c r="S653" s="677"/>
      <c r="T653" s="677"/>
      <c r="U653" s="677"/>
      <c r="V653" s="677"/>
      <c r="W653" s="677"/>
      <c r="X653" s="677"/>
      <c r="Y653" s="677"/>
      <c r="Z653" s="677"/>
      <c r="AA653" s="677"/>
      <c r="AB653" s="677"/>
      <c r="AC653" s="677"/>
      <c r="AD653" s="677"/>
    </row>
    <row r="654">
      <c r="A654" s="867"/>
      <c r="B654" s="708"/>
      <c r="C654" s="852"/>
      <c r="D654" s="656"/>
      <c r="E654" s="821"/>
      <c r="F654" s="821"/>
      <c r="G654" s="821"/>
      <c r="H654" s="821"/>
      <c r="I654" s="821"/>
      <c r="J654" s="821"/>
      <c r="K654" s="821"/>
      <c r="L654" s="821"/>
      <c r="M654" s="677"/>
      <c r="N654" s="821"/>
      <c r="O654" s="821"/>
      <c r="P654" s="677"/>
      <c r="Q654" s="677"/>
      <c r="R654" s="677"/>
      <c r="S654" s="677"/>
      <c r="T654" s="677"/>
      <c r="U654" s="677"/>
      <c r="V654" s="677"/>
      <c r="W654" s="677"/>
      <c r="X654" s="677"/>
      <c r="Y654" s="677"/>
      <c r="Z654" s="677"/>
      <c r="AA654" s="677"/>
      <c r="AB654" s="677"/>
      <c r="AC654" s="677"/>
      <c r="AD654" s="677"/>
    </row>
    <row r="655">
      <c r="A655" s="867"/>
      <c r="B655" s="708"/>
      <c r="C655" s="852"/>
      <c r="D655" s="656"/>
      <c r="E655" s="821"/>
      <c r="F655" s="821"/>
      <c r="G655" s="821"/>
      <c r="H655" s="821"/>
      <c r="I655" s="821"/>
      <c r="J655" s="821"/>
      <c r="K655" s="821"/>
      <c r="L655" s="821"/>
      <c r="M655" s="677"/>
      <c r="N655" s="821"/>
      <c r="O655" s="821"/>
      <c r="P655" s="677"/>
      <c r="Q655" s="677"/>
      <c r="R655" s="677"/>
      <c r="S655" s="677"/>
      <c r="T655" s="677"/>
      <c r="U655" s="677"/>
      <c r="V655" s="677"/>
      <c r="W655" s="677"/>
      <c r="X655" s="677"/>
      <c r="Y655" s="677"/>
      <c r="Z655" s="677"/>
      <c r="AA655" s="677"/>
      <c r="AB655" s="677"/>
      <c r="AC655" s="677"/>
      <c r="AD655" s="677"/>
    </row>
    <row r="656">
      <c r="A656" s="867"/>
      <c r="B656" s="708"/>
      <c r="C656" s="852"/>
      <c r="D656" s="656"/>
      <c r="E656" s="821"/>
      <c r="F656" s="821"/>
      <c r="G656" s="821"/>
      <c r="H656" s="821"/>
      <c r="I656" s="821"/>
      <c r="J656" s="821"/>
      <c r="K656" s="821"/>
      <c r="L656" s="821"/>
      <c r="M656" s="677"/>
      <c r="N656" s="821"/>
      <c r="O656" s="821"/>
      <c r="P656" s="677"/>
      <c r="Q656" s="677"/>
      <c r="R656" s="677"/>
      <c r="S656" s="677"/>
      <c r="T656" s="677"/>
      <c r="U656" s="677"/>
      <c r="V656" s="677"/>
      <c r="W656" s="677"/>
      <c r="X656" s="677"/>
      <c r="Y656" s="677"/>
      <c r="Z656" s="677"/>
      <c r="AA656" s="677"/>
      <c r="AB656" s="677"/>
      <c r="AC656" s="677"/>
      <c r="AD656" s="677"/>
    </row>
    <row r="657">
      <c r="A657" s="867"/>
      <c r="B657" s="708"/>
      <c r="C657" s="852"/>
      <c r="D657" s="656"/>
      <c r="E657" s="821"/>
      <c r="F657" s="821"/>
      <c r="G657" s="821"/>
      <c r="H657" s="821"/>
      <c r="I657" s="821"/>
      <c r="J657" s="821"/>
      <c r="K657" s="821"/>
      <c r="L657" s="821"/>
      <c r="M657" s="677"/>
      <c r="N657" s="821"/>
      <c r="O657" s="821"/>
      <c r="P657" s="677"/>
      <c r="Q657" s="677"/>
      <c r="R657" s="677"/>
      <c r="S657" s="677"/>
      <c r="T657" s="677"/>
      <c r="U657" s="677"/>
      <c r="V657" s="677"/>
      <c r="W657" s="677"/>
      <c r="X657" s="677"/>
      <c r="Y657" s="677"/>
      <c r="Z657" s="677"/>
      <c r="AA657" s="677"/>
      <c r="AB657" s="677"/>
      <c r="AC657" s="677"/>
      <c r="AD657" s="677"/>
    </row>
    <row r="658">
      <c r="A658" s="867"/>
      <c r="B658" s="708"/>
      <c r="C658" s="852"/>
      <c r="D658" s="656"/>
      <c r="E658" s="821"/>
      <c r="F658" s="821"/>
      <c r="G658" s="821"/>
      <c r="H658" s="821"/>
      <c r="I658" s="821"/>
      <c r="J658" s="821"/>
      <c r="K658" s="821"/>
      <c r="L658" s="821"/>
      <c r="M658" s="677"/>
      <c r="N658" s="821"/>
      <c r="O658" s="821"/>
      <c r="P658" s="677"/>
      <c r="Q658" s="677"/>
      <c r="R658" s="677"/>
      <c r="S658" s="677"/>
      <c r="T658" s="677"/>
      <c r="U658" s="677"/>
      <c r="V658" s="677"/>
      <c r="W658" s="677"/>
      <c r="X658" s="677"/>
      <c r="Y658" s="677"/>
      <c r="Z658" s="677"/>
      <c r="AA658" s="677"/>
      <c r="AB658" s="677"/>
      <c r="AC658" s="677"/>
      <c r="AD658" s="677"/>
    </row>
    <row r="659">
      <c r="A659" s="867"/>
      <c r="B659" s="708"/>
      <c r="C659" s="852"/>
      <c r="D659" s="656"/>
      <c r="E659" s="821"/>
      <c r="F659" s="821"/>
      <c r="G659" s="821"/>
      <c r="H659" s="821"/>
      <c r="I659" s="821"/>
      <c r="J659" s="821"/>
      <c r="K659" s="821"/>
      <c r="L659" s="821"/>
      <c r="M659" s="677"/>
      <c r="N659" s="821"/>
      <c r="O659" s="821"/>
      <c r="P659" s="677"/>
      <c r="Q659" s="677"/>
      <c r="R659" s="677"/>
      <c r="S659" s="677"/>
      <c r="T659" s="677"/>
      <c r="U659" s="677"/>
      <c r="V659" s="677"/>
      <c r="W659" s="677"/>
      <c r="X659" s="677"/>
      <c r="Y659" s="677"/>
      <c r="Z659" s="677"/>
      <c r="AA659" s="677"/>
      <c r="AB659" s="677"/>
      <c r="AC659" s="677"/>
      <c r="AD659" s="677"/>
    </row>
    <row r="660">
      <c r="A660" s="867"/>
      <c r="B660" s="708"/>
      <c r="C660" s="852"/>
      <c r="D660" s="656"/>
      <c r="E660" s="821"/>
      <c r="F660" s="821"/>
      <c r="G660" s="821"/>
      <c r="H660" s="821"/>
      <c r="I660" s="821"/>
      <c r="J660" s="821"/>
      <c r="K660" s="821"/>
      <c r="L660" s="821"/>
      <c r="M660" s="677"/>
      <c r="N660" s="821"/>
      <c r="O660" s="821"/>
      <c r="P660" s="677"/>
      <c r="Q660" s="677"/>
      <c r="R660" s="677"/>
      <c r="S660" s="677"/>
      <c r="T660" s="677"/>
      <c r="U660" s="677"/>
      <c r="V660" s="677"/>
      <c r="W660" s="677"/>
      <c r="X660" s="677"/>
      <c r="Y660" s="677"/>
      <c r="Z660" s="677"/>
      <c r="AA660" s="677"/>
      <c r="AB660" s="677"/>
      <c r="AC660" s="677"/>
      <c r="AD660" s="677"/>
    </row>
    <row r="661">
      <c r="A661" s="867"/>
      <c r="B661" s="708"/>
      <c r="C661" s="852"/>
      <c r="D661" s="656"/>
      <c r="E661" s="821"/>
      <c r="F661" s="821"/>
      <c r="G661" s="821"/>
      <c r="H661" s="821"/>
      <c r="I661" s="821"/>
      <c r="J661" s="821"/>
      <c r="K661" s="821"/>
      <c r="L661" s="821"/>
      <c r="M661" s="677"/>
      <c r="N661" s="821"/>
      <c r="O661" s="821"/>
      <c r="P661" s="677"/>
      <c r="Q661" s="677"/>
      <c r="R661" s="677"/>
      <c r="S661" s="677"/>
      <c r="T661" s="677"/>
      <c r="U661" s="677"/>
      <c r="V661" s="677"/>
      <c r="W661" s="677"/>
      <c r="X661" s="677"/>
      <c r="Y661" s="677"/>
      <c r="Z661" s="677"/>
      <c r="AA661" s="677"/>
      <c r="AB661" s="677"/>
      <c r="AC661" s="677"/>
      <c r="AD661" s="677"/>
    </row>
    <row r="662">
      <c r="A662" s="867"/>
      <c r="B662" s="708"/>
      <c r="C662" s="852"/>
      <c r="D662" s="656"/>
      <c r="E662" s="821"/>
      <c r="F662" s="821"/>
      <c r="G662" s="821"/>
      <c r="H662" s="821"/>
      <c r="I662" s="821"/>
      <c r="J662" s="821"/>
      <c r="K662" s="821"/>
      <c r="L662" s="821"/>
      <c r="M662" s="677"/>
      <c r="N662" s="821"/>
      <c r="O662" s="821"/>
      <c r="P662" s="677"/>
      <c r="Q662" s="677"/>
      <c r="R662" s="677"/>
      <c r="S662" s="677"/>
      <c r="T662" s="677"/>
      <c r="U662" s="677"/>
      <c r="V662" s="677"/>
      <c r="W662" s="677"/>
      <c r="X662" s="677"/>
      <c r="Y662" s="677"/>
      <c r="Z662" s="677"/>
      <c r="AA662" s="677"/>
      <c r="AB662" s="677"/>
      <c r="AC662" s="677"/>
      <c r="AD662" s="677"/>
    </row>
    <row r="663">
      <c r="A663" s="867"/>
      <c r="B663" s="708"/>
      <c r="C663" s="852"/>
      <c r="D663" s="656"/>
      <c r="E663" s="821"/>
      <c r="F663" s="821"/>
      <c r="G663" s="821"/>
      <c r="H663" s="821"/>
      <c r="I663" s="821"/>
      <c r="J663" s="821"/>
      <c r="K663" s="821"/>
      <c r="L663" s="821"/>
      <c r="M663" s="677"/>
      <c r="N663" s="821"/>
      <c r="O663" s="821"/>
      <c r="P663" s="677"/>
      <c r="Q663" s="677"/>
      <c r="R663" s="677"/>
      <c r="S663" s="677"/>
      <c r="T663" s="677"/>
      <c r="U663" s="677"/>
      <c r="V663" s="677"/>
      <c r="W663" s="677"/>
      <c r="X663" s="677"/>
      <c r="Y663" s="677"/>
      <c r="Z663" s="677"/>
      <c r="AA663" s="677"/>
      <c r="AB663" s="677"/>
      <c r="AC663" s="677"/>
      <c r="AD663" s="677"/>
    </row>
    <row r="664">
      <c r="A664" s="867"/>
      <c r="B664" s="708"/>
      <c r="C664" s="852"/>
      <c r="D664" s="656"/>
      <c r="E664" s="821"/>
      <c r="F664" s="821"/>
      <c r="G664" s="821"/>
      <c r="H664" s="821"/>
      <c r="I664" s="821"/>
      <c r="J664" s="821"/>
      <c r="K664" s="821"/>
      <c r="L664" s="821"/>
      <c r="M664" s="677"/>
      <c r="N664" s="821"/>
      <c r="O664" s="821"/>
      <c r="P664" s="677"/>
      <c r="Q664" s="677"/>
      <c r="R664" s="677"/>
      <c r="S664" s="677"/>
      <c r="T664" s="677"/>
      <c r="U664" s="677"/>
      <c r="V664" s="677"/>
      <c r="W664" s="677"/>
      <c r="X664" s="677"/>
      <c r="Y664" s="677"/>
      <c r="Z664" s="677"/>
      <c r="AA664" s="677"/>
      <c r="AB664" s="677"/>
      <c r="AC664" s="677"/>
      <c r="AD664" s="677"/>
    </row>
    <row r="665">
      <c r="A665" s="867"/>
      <c r="B665" s="708"/>
      <c r="C665" s="852"/>
      <c r="D665" s="656"/>
      <c r="E665" s="821"/>
      <c r="F665" s="821"/>
      <c r="G665" s="821"/>
      <c r="H665" s="821"/>
      <c r="I665" s="821"/>
      <c r="J665" s="821"/>
      <c r="K665" s="821"/>
      <c r="L665" s="821"/>
      <c r="M665" s="677"/>
      <c r="N665" s="821"/>
      <c r="O665" s="821"/>
      <c r="P665" s="677"/>
      <c r="Q665" s="677"/>
      <c r="R665" s="677"/>
      <c r="S665" s="677"/>
      <c r="T665" s="677"/>
      <c r="U665" s="677"/>
      <c r="V665" s="677"/>
      <c r="W665" s="677"/>
      <c r="X665" s="677"/>
      <c r="Y665" s="677"/>
      <c r="Z665" s="677"/>
      <c r="AA665" s="677"/>
      <c r="AB665" s="677"/>
      <c r="AC665" s="677"/>
      <c r="AD665" s="677"/>
    </row>
    <row r="666">
      <c r="A666" s="867"/>
      <c r="B666" s="708"/>
      <c r="C666" s="852"/>
      <c r="D666" s="656"/>
      <c r="E666" s="821"/>
      <c r="F666" s="821"/>
      <c r="G666" s="821"/>
      <c r="H666" s="821"/>
      <c r="I666" s="821"/>
      <c r="J666" s="821"/>
      <c r="K666" s="821"/>
      <c r="L666" s="821"/>
      <c r="M666" s="677"/>
      <c r="N666" s="821"/>
      <c r="O666" s="821"/>
      <c r="P666" s="677"/>
      <c r="Q666" s="677"/>
      <c r="R666" s="677"/>
      <c r="S666" s="677"/>
      <c r="T666" s="677"/>
      <c r="U666" s="677"/>
      <c r="V666" s="677"/>
      <c r="W666" s="677"/>
      <c r="X666" s="677"/>
      <c r="Y666" s="677"/>
      <c r="Z666" s="677"/>
      <c r="AA666" s="677"/>
      <c r="AB666" s="677"/>
      <c r="AC666" s="677"/>
      <c r="AD666" s="677"/>
    </row>
    <row r="667">
      <c r="A667" s="867"/>
      <c r="B667" s="708"/>
      <c r="C667" s="852"/>
      <c r="D667" s="656"/>
      <c r="E667" s="821"/>
      <c r="F667" s="821"/>
      <c r="G667" s="821"/>
      <c r="H667" s="821"/>
      <c r="I667" s="821"/>
      <c r="J667" s="821"/>
      <c r="K667" s="821"/>
      <c r="L667" s="821"/>
      <c r="M667" s="677"/>
      <c r="N667" s="821"/>
      <c r="O667" s="821"/>
      <c r="P667" s="677"/>
      <c r="Q667" s="677"/>
      <c r="R667" s="677"/>
      <c r="S667" s="677"/>
      <c r="T667" s="677"/>
      <c r="U667" s="677"/>
      <c r="V667" s="677"/>
      <c r="W667" s="677"/>
      <c r="X667" s="677"/>
      <c r="Y667" s="677"/>
      <c r="Z667" s="677"/>
      <c r="AA667" s="677"/>
      <c r="AB667" s="677"/>
      <c r="AC667" s="677"/>
      <c r="AD667" s="677"/>
    </row>
    <row r="668">
      <c r="A668" s="867"/>
      <c r="B668" s="708"/>
      <c r="C668" s="852"/>
      <c r="D668" s="656"/>
      <c r="E668" s="821"/>
      <c r="F668" s="821"/>
      <c r="G668" s="821"/>
      <c r="H668" s="821"/>
      <c r="I668" s="821"/>
      <c r="J668" s="821"/>
      <c r="K668" s="821"/>
      <c r="L668" s="821"/>
      <c r="M668" s="677"/>
      <c r="N668" s="821"/>
      <c r="O668" s="821"/>
      <c r="P668" s="677"/>
      <c r="Q668" s="677"/>
      <c r="R668" s="677"/>
      <c r="S668" s="677"/>
      <c r="T668" s="677"/>
      <c r="U668" s="677"/>
      <c r="V668" s="677"/>
      <c r="W668" s="677"/>
      <c r="X668" s="677"/>
      <c r="Y668" s="677"/>
      <c r="Z668" s="677"/>
      <c r="AA668" s="677"/>
      <c r="AB668" s="677"/>
      <c r="AC668" s="677"/>
      <c r="AD668" s="677"/>
    </row>
    <row r="669">
      <c r="A669" s="867"/>
      <c r="B669" s="708"/>
      <c r="C669" s="852"/>
      <c r="D669" s="656"/>
      <c r="E669" s="821"/>
      <c r="F669" s="821"/>
      <c r="G669" s="821"/>
      <c r="H669" s="821"/>
      <c r="I669" s="821"/>
      <c r="J669" s="821"/>
      <c r="K669" s="821"/>
      <c r="L669" s="821"/>
      <c r="M669" s="677"/>
      <c r="N669" s="821"/>
      <c r="O669" s="821"/>
      <c r="P669" s="677"/>
      <c r="Q669" s="677"/>
      <c r="R669" s="677"/>
      <c r="S669" s="677"/>
      <c r="T669" s="677"/>
      <c r="U669" s="677"/>
      <c r="V669" s="677"/>
      <c r="W669" s="677"/>
      <c r="X669" s="677"/>
      <c r="Y669" s="677"/>
      <c r="Z669" s="677"/>
      <c r="AA669" s="677"/>
      <c r="AB669" s="677"/>
      <c r="AC669" s="677"/>
      <c r="AD669" s="677"/>
    </row>
    <row r="670">
      <c r="A670" s="867"/>
      <c r="B670" s="708"/>
      <c r="C670" s="852"/>
      <c r="D670" s="656"/>
      <c r="E670" s="821"/>
      <c r="F670" s="821"/>
      <c r="G670" s="821"/>
      <c r="H670" s="821"/>
      <c r="I670" s="821"/>
      <c r="J670" s="821"/>
      <c r="K670" s="821"/>
      <c r="L670" s="821"/>
      <c r="M670" s="677"/>
      <c r="N670" s="821"/>
      <c r="O670" s="821"/>
      <c r="P670" s="677"/>
      <c r="Q670" s="677"/>
      <c r="R670" s="677"/>
      <c r="S670" s="677"/>
      <c r="T670" s="677"/>
      <c r="U670" s="677"/>
      <c r="V670" s="677"/>
      <c r="W670" s="677"/>
      <c r="X670" s="677"/>
      <c r="Y670" s="677"/>
      <c r="Z670" s="677"/>
      <c r="AA670" s="677"/>
      <c r="AB670" s="677"/>
      <c r="AC670" s="677"/>
      <c r="AD670" s="677"/>
    </row>
    <row r="671">
      <c r="A671" s="867"/>
      <c r="B671" s="708"/>
      <c r="C671" s="852"/>
      <c r="D671" s="656"/>
      <c r="E671" s="821"/>
      <c r="F671" s="821"/>
      <c r="G671" s="821"/>
      <c r="H671" s="821"/>
      <c r="I671" s="821"/>
      <c r="J671" s="821"/>
      <c r="K671" s="821"/>
      <c r="L671" s="821"/>
      <c r="M671" s="677"/>
      <c r="N671" s="821"/>
      <c r="O671" s="821"/>
      <c r="P671" s="677"/>
      <c r="Q671" s="677"/>
      <c r="R671" s="677"/>
      <c r="S671" s="677"/>
      <c r="T671" s="677"/>
      <c r="U671" s="677"/>
      <c r="V671" s="677"/>
      <c r="W671" s="677"/>
      <c r="X671" s="677"/>
      <c r="Y671" s="677"/>
      <c r="Z671" s="677"/>
      <c r="AA671" s="677"/>
      <c r="AB671" s="677"/>
      <c r="AC671" s="677"/>
      <c r="AD671" s="677"/>
    </row>
    <row r="672">
      <c r="A672" s="867"/>
      <c r="B672" s="708"/>
      <c r="C672" s="852"/>
      <c r="D672" s="656"/>
      <c r="E672" s="821"/>
      <c r="F672" s="821"/>
      <c r="G672" s="821"/>
      <c r="H672" s="821"/>
      <c r="I672" s="821"/>
      <c r="J672" s="821"/>
      <c r="K672" s="821"/>
      <c r="L672" s="821"/>
      <c r="M672" s="677"/>
      <c r="N672" s="821"/>
      <c r="O672" s="821"/>
      <c r="P672" s="677"/>
      <c r="Q672" s="677"/>
      <c r="R672" s="677"/>
      <c r="S672" s="677"/>
      <c r="T672" s="677"/>
      <c r="U672" s="677"/>
      <c r="V672" s="677"/>
      <c r="W672" s="677"/>
      <c r="X672" s="677"/>
      <c r="Y672" s="677"/>
      <c r="Z672" s="677"/>
      <c r="AA672" s="677"/>
      <c r="AB672" s="677"/>
      <c r="AC672" s="677"/>
      <c r="AD672" s="677"/>
    </row>
    <row r="673">
      <c r="A673" s="867"/>
      <c r="B673" s="708"/>
      <c r="C673" s="852"/>
      <c r="D673" s="656"/>
      <c r="E673" s="821"/>
      <c r="F673" s="821"/>
      <c r="G673" s="821"/>
      <c r="H673" s="821"/>
      <c r="I673" s="821"/>
      <c r="J673" s="821"/>
      <c r="K673" s="821"/>
      <c r="L673" s="821"/>
      <c r="M673" s="677"/>
      <c r="N673" s="821"/>
      <c r="O673" s="821"/>
      <c r="P673" s="677"/>
      <c r="Q673" s="677"/>
      <c r="R673" s="677"/>
      <c r="S673" s="677"/>
      <c r="T673" s="677"/>
      <c r="U673" s="677"/>
      <c r="V673" s="677"/>
      <c r="W673" s="677"/>
      <c r="X673" s="677"/>
      <c r="Y673" s="677"/>
      <c r="Z673" s="677"/>
      <c r="AA673" s="677"/>
      <c r="AB673" s="677"/>
      <c r="AC673" s="677"/>
      <c r="AD673" s="677"/>
    </row>
    <row r="674">
      <c r="A674" s="867"/>
      <c r="B674" s="708"/>
      <c r="C674" s="852"/>
      <c r="D674" s="656"/>
      <c r="E674" s="821"/>
      <c r="F674" s="821"/>
      <c r="G674" s="821"/>
      <c r="H674" s="821"/>
      <c r="I674" s="821"/>
      <c r="J674" s="821"/>
      <c r="K674" s="821"/>
      <c r="L674" s="821"/>
      <c r="M674" s="677"/>
      <c r="N674" s="821"/>
      <c r="O674" s="821"/>
      <c r="P674" s="677"/>
      <c r="Q674" s="677"/>
      <c r="R674" s="677"/>
      <c r="S674" s="677"/>
      <c r="T674" s="677"/>
      <c r="U674" s="677"/>
      <c r="V674" s="677"/>
      <c r="W674" s="677"/>
      <c r="X674" s="677"/>
      <c r="Y674" s="677"/>
      <c r="Z674" s="677"/>
      <c r="AA674" s="677"/>
      <c r="AB674" s="677"/>
      <c r="AC674" s="677"/>
      <c r="AD674" s="677"/>
    </row>
    <row r="675">
      <c r="A675" s="867"/>
      <c r="B675" s="708"/>
      <c r="C675" s="852"/>
      <c r="D675" s="656"/>
      <c r="E675" s="821"/>
      <c r="F675" s="821"/>
      <c r="G675" s="821"/>
      <c r="H675" s="821"/>
      <c r="I675" s="821"/>
      <c r="J675" s="821"/>
      <c r="K675" s="821"/>
      <c r="L675" s="821"/>
      <c r="M675" s="677"/>
      <c r="N675" s="821"/>
      <c r="O675" s="821"/>
      <c r="P675" s="677"/>
      <c r="Q675" s="677"/>
      <c r="R675" s="677"/>
      <c r="S675" s="677"/>
      <c r="T675" s="677"/>
      <c r="U675" s="677"/>
      <c r="V675" s="677"/>
      <c r="W675" s="677"/>
      <c r="X675" s="677"/>
      <c r="Y675" s="677"/>
      <c r="Z675" s="677"/>
      <c r="AA675" s="677"/>
      <c r="AB675" s="677"/>
      <c r="AC675" s="677"/>
      <c r="AD675" s="677"/>
    </row>
    <row r="676">
      <c r="A676" s="867"/>
      <c r="B676" s="708"/>
      <c r="C676" s="852"/>
      <c r="D676" s="656"/>
      <c r="E676" s="821"/>
      <c r="F676" s="821"/>
      <c r="G676" s="821"/>
      <c r="H676" s="821"/>
      <c r="I676" s="821"/>
      <c r="J676" s="821"/>
      <c r="K676" s="821"/>
      <c r="L676" s="821"/>
      <c r="M676" s="677"/>
      <c r="N676" s="821"/>
      <c r="O676" s="821"/>
      <c r="P676" s="677"/>
      <c r="Q676" s="677"/>
      <c r="R676" s="677"/>
      <c r="S676" s="677"/>
      <c r="T676" s="677"/>
      <c r="U676" s="677"/>
      <c r="V676" s="677"/>
      <c r="W676" s="677"/>
      <c r="X676" s="677"/>
      <c r="Y676" s="677"/>
      <c r="Z676" s="677"/>
      <c r="AA676" s="677"/>
      <c r="AB676" s="677"/>
      <c r="AC676" s="677"/>
      <c r="AD676" s="677"/>
    </row>
    <row r="677">
      <c r="A677" s="867"/>
      <c r="B677" s="708"/>
      <c r="C677" s="852"/>
      <c r="D677" s="656"/>
      <c r="E677" s="821"/>
      <c r="F677" s="821"/>
      <c r="G677" s="821"/>
      <c r="H677" s="821"/>
      <c r="I677" s="821"/>
      <c r="J677" s="821"/>
      <c r="K677" s="821"/>
      <c r="L677" s="821"/>
      <c r="M677" s="677"/>
      <c r="N677" s="821"/>
      <c r="O677" s="821"/>
      <c r="P677" s="677"/>
      <c r="Q677" s="677"/>
      <c r="R677" s="677"/>
      <c r="S677" s="677"/>
      <c r="T677" s="677"/>
      <c r="U677" s="677"/>
      <c r="V677" s="677"/>
      <c r="W677" s="677"/>
      <c r="X677" s="677"/>
      <c r="Y677" s="677"/>
      <c r="Z677" s="677"/>
      <c r="AA677" s="677"/>
      <c r="AB677" s="677"/>
      <c r="AC677" s="677"/>
      <c r="AD677" s="677"/>
    </row>
    <row r="678">
      <c r="A678" s="867"/>
      <c r="B678" s="708"/>
      <c r="C678" s="852"/>
      <c r="D678" s="656"/>
      <c r="E678" s="821"/>
      <c r="F678" s="821"/>
      <c r="G678" s="821"/>
      <c r="H678" s="821"/>
      <c r="I678" s="821"/>
      <c r="J678" s="821"/>
      <c r="K678" s="821"/>
      <c r="L678" s="821"/>
      <c r="M678" s="677"/>
      <c r="N678" s="821"/>
      <c r="O678" s="821"/>
      <c r="P678" s="677"/>
      <c r="Q678" s="677"/>
      <c r="R678" s="677"/>
      <c r="S678" s="677"/>
      <c r="T678" s="677"/>
      <c r="U678" s="677"/>
      <c r="V678" s="677"/>
      <c r="W678" s="677"/>
      <c r="X678" s="677"/>
      <c r="Y678" s="677"/>
      <c r="Z678" s="677"/>
      <c r="AA678" s="677"/>
      <c r="AB678" s="677"/>
      <c r="AC678" s="677"/>
      <c r="AD678" s="677"/>
    </row>
    <row r="679">
      <c r="A679" s="867"/>
      <c r="B679" s="708"/>
      <c r="C679" s="852"/>
      <c r="D679" s="656"/>
      <c r="E679" s="821"/>
      <c r="F679" s="821"/>
      <c r="G679" s="821"/>
      <c r="H679" s="821"/>
      <c r="I679" s="821"/>
      <c r="J679" s="821"/>
      <c r="K679" s="821"/>
      <c r="L679" s="821"/>
      <c r="M679" s="677"/>
      <c r="N679" s="821"/>
      <c r="O679" s="821"/>
      <c r="P679" s="677"/>
      <c r="Q679" s="677"/>
      <c r="R679" s="677"/>
      <c r="S679" s="677"/>
      <c r="T679" s="677"/>
      <c r="U679" s="677"/>
      <c r="V679" s="677"/>
      <c r="W679" s="677"/>
      <c r="X679" s="677"/>
      <c r="Y679" s="677"/>
      <c r="Z679" s="677"/>
      <c r="AA679" s="677"/>
      <c r="AB679" s="677"/>
      <c r="AC679" s="677"/>
      <c r="AD679" s="677"/>
    </row>
    <row r="680">
      <c r="A680" s="867"/>
      <c r="B680" s="708"/>
      <c r="C680" s="852"/>
      <c r="D680" s="656"/>
      <c r="E680" s="821"/>
      <c r="F680" s="821"/>
      <c r="G680" s="821"/>
      <c r="H680" s="821"/>
      <c r="I680" s="821"/>
      <c r="J680" s="821"/>
      <c r="K680" s="821"/>
      <c r="L680" s="821"/>
      <c r="M680" s="677"/>
      <c r="N680" s="821"/>
      <c r="O680" s="821"/>
      <c r="P680" s="677"/>
      <c r="Q680" s="677"/>
      <c r="R680" s="677"/>
      <c r="S680" s="677"/>
      <c r="T680" s="677"/>
      <c r="U680" s="677"/>
      <c r="V680" s="677"/>
      <c r="W680" s="677"/>
      <c r="X680" s="677"/>
      <c r="Y680" s="677"/>
      <c r="Z680" s="677"/>
      <c r="AA680" s="677"/>
      <c r="AB680" s="677"/>
      <c r="AC680" s="677"/>
      <c r="AD680" s="677"/>
    </row>
    <row r="681">
      <c r="A681" s="867"/>
      <c r="B681" s="708"/>
      <c r="C681" s="852"/>
      <c r="D681" s="656"/>
      <c r="E681" s="821"/>
      <c r="F681" s="821"/>
      <c r="G681" s="821"/>
      <c r="H681" s="821"/>
      <c r="I681" s="821"/>
      <c r="J681" s="821"/>
      <c r="K681" s="821"/>
      <c r="L681" s="821"/>
      <c r="M681" s="677"/>
      <c r="N681" s="821"/>
      <c r="O681" s="821"/>
      <c r="P681" s="677"/>
      <c r="Q681" s="677"/>
      <c r="R681" s="677"/>
      <c r="S681" s="677"/>
      <c r="T681" s="677"/>
      <c r="U681" s="677"/>
      <c r="V681" s="677"/>
      <c r="W681" s="677"/>
      <c r="X681" s="677"/>
      <c r="Y681" s="677"/>
      <c r="Z681" s="677"/>
      <c r="AA681" s="677"/>
      <c r="AB681" s="677"/>
      <c r="AC681" s="677"/>
      <c r="AD681" s="677"/>
    </row>
    <row r="682">
      <c r="A682" s="867"/>
      <c r="B682" s="708"/>
      <c r="C682" s="852"/>
      <c r="D682" s="656"/>
      <c r="E682" s="821"/>
      <c r="F682" s="821"/>
      <c r="G682" s="821"/>
      <c r="H682" s="821"/>
      <c r="I682" s="821"/>
      <c r="J682" s="821"/>
      <c r="K682" s="821"/>
      <c r="L682" s="821"/>
      <c r="M682" s="677"/>
      <c r="N682" s="821"/>
      <c r="O682" s="821"/>
      <c r="P682" s="677"/>
      <c r="Q682" s="677"/>
      <c r="R682" s="677"/>
      <c r="S682" s="677"/>
      <c r="T682" s="677"/>
      <c r="U682" s="677"/>
      <c r="V682" s="677"/>
      <c r="W682" s="677"/>
      <c r="X682" s="677"/>
      <c r="Y682" s="677"/>
      <c r="Z682" s="677"/>
      <c r="AA682" s="677"/>
      <c r="AB682" s="677"/>
      <c r="AC682" s="677"/>
      <c r="AD682" s="677"/>
    </row>
    <row r="683">
      <c r="A683" s="867"/>
      <c r="B683" s="708"/>
      <c r="C683" s="852"/>
      <c r="D683" s="656"/>
      <c r="E683" s="821"/>
      <c r="F683" s="821"/>
      <c r="G683" s="821"/>
      <c r="H683" s="821"/>
      <c r="I683" s="821"/>
      <c r="J683" s="821"/>
      <c r="K683" s="821"/>
      <c r="L683" s="821"/>
      <c r="M683" s="677"/>
      <c r="N683" s="821"/>
      <c r="O683" s="821"/>
      <c r="P683" s="677"/>
      <c r="Q683" s="677"/>
      <c r="R683" s="677"/>
      <c r="S683" s="677"/>
      <c r="T683" s="677"/>
      <c r="U683" s="677"/>
      <c r="V683" s="677"/>
      <c r="W683" s="677"/>
      <c r="X683" s="677"/>
      <c r="Y683" s="677"/>
      <c r="Z683" s="677"/>
      <c r="AA683" s="677"/>
      <c r="AB683" s="677"/>
      <c r="AC683" s="677"/>
      <c r="AD683" s="677"/>
    </row>
    <row r="684">
      <c r="A684" s="867"/>
      <c r="B684" s="708"/>
      <c r="C684" s="852"/>
      <c r="D684" s="656"/>
      <c r="E684" s="821"/>
      <c r="F684" s="821"/>
      <c r="G684" s="821"/>
      <c r="H684" s="821"/>
      <c r="I684" s="821"/>
      <c r="J684" s="821"/>
      <c r="K684" s="821"/>
      <c r="L684" s="821"/>
      <c r="M684" s="677"/>
      <c r="N684" s="821"/>
      <c r="O684" s="821"/>
      <c r="P684" s="677"/>
      <c r="Q684" s="677"/>
      <c r="R684" s="677"/>
      <c r="S684" s="677"/>
      <c r="T684" s="677"/>
      <c r="U684" s="677"/>
      <c r="V684" s="677"/>
      <c r="W684" s="677"/>
      <c r="X684" s="677"/>
      <c r="Y684" s="677"/>
      <c r="Z684" s="677"/>
      <c r="AA684" s="677"/>
      <c r="AB684" s="677"/>
      <c r="AC684" s="677"/>
      <c r="AD684" s="677"/>
    </row>
    <row r="685">
      <c r="A685" s="867"/>
      <c r="B685" s="708"/>
      <c r="C685" s="852"/>
      <c r="D685" s="656"/>
      <c r="E685" s="821"/>
      <c r="F685" s="821"/>
      <c r="G685" s="821"/>
      <c r="H685" s="821"/>
      <c r="I685" s="821"/>
      <c r="J685" s="821"/>
      <c r="K685" s="821"/>
      <c r="L685" s="821"/>
      <c r="M685" s="677"/>
      <c r="N685" s="821"/>
      <c r="O685" s="821"/>
      <c r="P685" s="677"/>
      <c r="Q685" s="677"/>
      <c r="R685" s="677"/>
      <c r="S685" s="677"/>
      <c r="T685" s="677"/>
      <c r="U685" s="677"/>
      <c r="V685" s="677"/>
      <c r="W685" s="677"/>
      <c r="X685" s="677"/>
      <c r="Y685" s="677"/>
      <c r="Z685" s="677"/>
      <c r="AA685" s="677"/>
      <c r="AB685" s="677"/>
      <c r="AC685" s="677"/>
      <c r="AD685" s="677"/>
    </row>
    <row r="686">
      <c r="A686" s="867"/>
      <c r="B686" s="708"/>
      <c r="C686" s="852"/>
      <c r="D686" s="656"/>
      <c r="E686" s="821"/>
      <c r="F686" s="821"/>
      <c r="G686" s="821"/>
      <c r="H686" s="821"/>
      <c r="I686" s="821"/>
      <c r="J686" s="821"/>
      <c r="K686" s="821"/>
      <c r="L686" s="821"/>
      <c r="M686" s="677"/>
      <c r="N686" s="821"/>
      <c r="O686" s="821"/>
      <c r="P686" s="677"/>
      <c r="Q686" s="677"/>
      <c r="R686" s="677"/>
      <c r="S686" s="677"/>
      <c r="T686" s="677"/>
      <c r="U686" s="677"/>
      <c r="V686" s="677"/>
      <c r="W686" s="677"/>
      <c r="X686" s="677"/>
      <c r="Y686" s="677"/>
      <c r="Z686" s="677"/>
      <c r="AA686" s="677"/>
      <c r="AB686" s="677"/>
      <c r="AC686" s="677"/>
      <c r="AD686" s="677"/>
    </row>
    <row r="687">
      <c r="A687" s="867"/>
      <c r="B687" s="708"/>
      <c r="C687" s="852"/>
      <c r="D687" s="656"/>
      <c r="E687" s="821"/>
      <c r="F687" s="821"/>
      <c r="G687" s="821"/>
      <c r="H687" s="821"/>
      <c r="I687" s="821"/>
      <c r="J687" s="821"/>
      <c r="K687" s="821"/>
      <c r="L687" s="821"/>
      <c r="M687" s="677"/>
      <c r="N687" s="821"/>
      <c r="O687" s="821"/>
      <c r="P687" s="677"/>
      <c r="Q687" s="677"/>
      <c r="R687" s="677"/>
      <c r="S687" s="677"/>
      <c r="T687" s="677"/>
      <c r="U687" s="677"/>
      <c r="V687" s="677"/>
      <c r="W687" s="677"/>
      <c r="X687" s="677"/>
      <c r="Y687" s="677"/>
      <c r="Z687" s="677"/>
      <c r="AA687" s="677"/>
      <c r="AB687" s="677"/>
      <c r="AC687" s="677"/>
      <c r="AD687" s="677"/>
    </row>
    <row r="688">
      <c r="A688" s="867"/>
      <c r="B688" s="708"/>
      <c r="C688" s="852"/>
      <c r="D688" s="656"/>
      <c r="E688" s="821"/>
      <c r="F688" s="821"/>
      <c r="G688" s="821"/>
      <c r="H688" s="821"/>
      <c r="I688" s="821"/>
      <c r="J688" s="821"/>
      <c r="K688" s="821"/>
      <c r="L688" s="821"/>
      <c r="M688" s="677"/>
      <c r="N688" s="821"/>
      <c r="O688" s="821"/>
      <c r="P688" s="677"/>
      <c r="Q688" s="677"/>
      <c r="R688" s="677"/>
      <c r="S688" s="677"/>
      <c r="T688" s="677"/>
      <c r="U688" s="677"/>
      <c r="V688" s="677"/>
      <c r="W688" s="677"/>
      <c r="X688" s="677"/>
      <c r="Y688" s="677"/>
      <c r="Z688" s="677"/>
      <c r="AA688" s="677"/>
      <c r="AB688" s="677"/>
      <c r="AC688" s="677"/>
      <c r="AD688" s="677"/>
    </row>
    <row r="689">
      <c r="A689" s="867"/>
      <c r="B689" s="708"/>
      <c r="C689" s="852"/>
      <c r="D689" s="656"/>
      <c r="E689" s="821"/>
      <c r="F689" s="821"/>
      <c r="G689" s="821"/>
      <c r="H689" s="821"/>
      <c r="I689" s="821"/>
      <c r="J689" s="821"/>
      <c r="K689" s="821"/>
      <c r="L689" s="821"/>
      <c r="M689" s="677"/>
      <c r="N689" s="821"/>
      <c r="O689" s="821"/>
      <c r="P689" s="677"/>
      <c r="Q689" s="677"/>
      <c r="R689" s="677"/>
      <c r="S689" s="677"/>
      <c r="T689" s="677"/>
      <c r="U689" s="677"/>
      <c r="V689" s="677"/>
      <c r="W689" s="677"/>
      <c r="X689" s="677"/>
      <c r="Y689" s="677"/>
      <c r="Z689" s="677"/>
      <c r="AA689" s="677"/>
      <c r="AB689" s="677"/>
      <c r="AC689" s="677"/>
      <c r="AD689" s="677"/>
    </row>
    <row r="690">
      <c r="A690" s="867"/>
      <c r="B690" s="708"/>
      <c r="C690" s="852"/>
      <c r="D690" s="656"/>
      <c r="E690" s="821"/>
      <c r="F690" s="821"/>
      <c r="G690" s="821"/>
      <c r="H690" s="821"/>
      <c r="I690" s="821"/>
      <c r="J690" s="821"/>
      <c r="K690" s="821"/>
      <c r="L690" s="821"/>
      <c r="M690" s="677"/>
      <c r="N690" s="821"/>
      <c r="O690" s="821"/>
      <c r="P690" s="677"/>
      <c r="Q690" s="677"/>
      <c r="R690" s="677"/>
      <c r="S690" s="677"/>
      <c r="T690" s="677"/>
      <c r="U690" s="677"/>
      <c r="V690" s="677"/>
      <c r="W690" s="677"/>
      <c r="X690" s="677"/>
      <c r="Y690" s="677"/>
      <c r="Z690" s="677"/>
      <c r="AA690" s="677"/>
      <c r="AB690" s="677"/>
      <c r="AC690" s="677"/>
      <c r="AD690" s="677"/>
    </row>
    <row r="691">
      <c r="A691" s="867"/>
      <c r="B691" s="708"/>
      <c r="C691" s="852"/>
      <c r="D691" s="656"/>
      <c r="E691" s="821"/>
      <c r="F691" s="821"/>
      <c r="G691" s="821"/>
      <c r="H691" s="821"/>
      <c r="I691" s="821"/>
      <c r="J691" s="821"/>
      <c r="K691" s="821"/>
      <c r="L691" s="821"/>
      <c r="M691" s="677"/>
      <c r="N691" s="821"/>
      <c r="O691" s="821"/>
      <c r="P691" s="677"/>
      <c r="Q691" s="677"/>
      <c r="R691" s="677"/>
      <c r="S691" s="677"/>
      <c r="T691" s="677"/>
      <c r="U691" s="677"/>
      <c r="V691" s="677"/>
      <c r="W691" s="677"/>
      <c r="X691" s="677"/>
      <c r="Y691" s="677"/>
      <c r="Z691" s="677"/>
      <c r="AA691" s="677"/>
      <c r="AB691" s="677"/>
      <c r="AC691" s="677"/>
      <c r="AD691" s="677"/>
    </row>
    <row r="692">
      <c r="A692" s="867"/>
      <c r="B692" s="708"/>
      <c r="C692" s="852"/>
      <c r="D692" s="656"/>
      <c r="E692" s="821"/>
      <c r="F692" s="821"/>
      <c r="G692" s="821"/>
      <c r="H692" s="821"/>
      <c r="I692" s="821"/>
      <c r="J692" s="821"/>
      <c r="K692" s="821"/>
      <c r="L692" s="821"/>
      <c r="M692" s="677"/>
      <c r="N692" s="821"/>
      <c r="O692" s="821"/>
      <c r="P692" s="677"/>
      <c r="Q692" s="677"/>
      <c r="R692" s="677"/>
      <c r="S692" s="677"/>
      <c r="T692" s="677"/>
      <c r="U692" s="677"/>
      <c r="V692" s="677"/>
      <c r="W692" s="677"/>
      <c r="X692" s="677"/>
      <c r="Y692" s="677"/>
      <c r="Z692" s="677"/>
      <c r="AA692" s="677"/>
      <c r="AB692" s="677"/>
      <c r="AC692" s="677"/>
      <c r="AD692" s="677"/>
    </row>
    <row r="693">
      <c r="A693" s="867"/>
      <c r="B693" s="708"/>
      <c r="C693" s="852"/>
      <c r="D693" s="656"/>
      <c r="E693" s="821"/>
      <c r="F693" s="821"/>
      <c r="G693" s="821"/>
      <c r="H693" s="821"/>
      <c r="I693" s="821"/>
      <c r="J693" s="821"/>
      <c r="K693" s="821"/>
      <c r="L693" s="821"/>
      <c r="M693" s="677"/>
      <c r="N693" s="821"/>
      <c r="O693" s="821"/>
      <c r="P693" s="677"/>
      <c r="Q693" s="677"/>
      <c r="R693" s="677"/>
      <c r="S693" s="677"/>
      <c r="T693" s="677"/>
      <c r="U693" s="677"/>
      <c r="V693" s="677"/>
      <c r="W693" s="677"/>
      <c r="X693" s="677"/>
      <c r="Y693" s="677"/>
      <c r="Z693" s="677"/>
      <c r="AA693" s="677"/>
      <c r="AB693" s="677"/>
      <c r="AC693" s="677"/>
      <c r="AD693" s="677"/>
    </row>
    <row r="694">
      <c r="A694" s="879"/>
      <c r="B694" s="708"/>
      <c r="C694" s="852"/>
      <c r="D694" s="656"/>
      <c r="E694" s="821"/>
      <c r="F694" s="821"/>
      <c r="G694" s="821"/>
      <c r="H694" s="821"/>
      <c r="I694" s="821"/>
      <c r="J694" s="821"/>
      <c r="K694" s="821"/>
      <c r="L694" s="821"/>
      <c r="M694" s="677"/>
      <c r="N694" s="821"/>
      <c r="O694" s="821"/>
      <c r="P694" s="677"/>
      <c r="Q694" s="677"/>
      <c r="R694" s="677"/>
      <c r="S694" s="677"/>
      <c r="T694" s="677"/>
      <c r="U694" s="677"/>
      <c r="V694" s="677"/>
      <c r="W694" s="677"/>
      <c r="X694" s="677"/>
      <c r="Y694" s="677"/>
      <c r="Z694" s="677"/>
      <c r="AA694" s="677"/>
      <c r="AB694" s="677"/>
      <c r="AC694" s="677"/>
      <c r="AD694" s="677"/>
    </row>
    <row r="695">
      <c r="A695" s="867"/>
      <c r="B695" s="708"/>
      <c r="C695" s="852"/>
      <c r="D695" s="656"/>
      <c r="E695" s="821"/>
      <c r="F695" s="821"/>
      <c r="G695" s="821"/>
      <c r="H695" s="821"/>
      <c r="I695" s="821"/>
      <c r="J695" s="821"/>
      <c r="K695" s="821"/>
      <c r="L695" s="821"/>
      <c r="M695" s="677"/>
      <c r="N695" s="821"/>
      <c r="O695" s="821"/>
      <c r="P695" s="677"/>
      <c r="Q695" s="677"/>
      <c r="R695" s="677"/>
      <c r="S695" s="677"/>
      <c r="T695" s="677"/>
      <c r="U695" s="677"/>
      <c r="V695" s="677"/>
      <c r="W695" s="677"/>
      <c r="X695" s="677"/>
      <c r="Y695" s="677"/>
      <c r="Z695" s="677"/>
      <c r="AA695" s="677"/>
      <c r="AB695" s="677"/>
      <c r="AC695" s="677"/>
      <c r="AD695" s="677"/>
    </row>
    <row r="696">
      <c r="A696" s="867"/>
      <c r="B696" s="708"/>
      <c r="C696" s="852"/>
      <c r="D696" s="656"/>
      <c r="E696" s="821"/>
      <c r="F696" s="821"/>
      <c r="G696" s="821"/>
      <c r="H696" s="821"/>
      <c r="I696" s="821"/>
      <c r="J696" s="821"/>
      <c r="K696" s="821"/>
      <c r="L696" s="821"/>
      <c r="M696" s="677"/>
      <c r="N696" s="821"/>
      <c r="O696" s="821"/>
      <c r="P696" s="677"/>
      <c r="Q696" s="677"/>
      <c r="R696" s="677"/>
      <c r="S696" s="677"/>
      <c r="T696" s="677"/>
      <c r="U696" s="677"/>
      <c r="V696" s="677"/>
      <c r="W696" s="677"/>
      <c r="X696" s="677"/>
      <c r="Y696" s="677"/>
      <c r="Z696" s="677"/>
      <c r="AA696" s="677"/>
      <c r="AB696" s="677"/>
      <c r="AC696" s="677"/>
      <c r="AD696" s="677"/>
    </row>
    <row r="697">
      <c r="A697" s="867"/>
      <c r="B697" s="708"/>
      <c r="C697" s="852"/>
      <c r="D697" s="656"/>
      <c r="E697" s="821"/>
      <c r="F697" s="821"/>
      <c r="G697" s="821"/>
      <c r="H697" s="821"/>
      <c r="I697" s="821"/>
      <c r="J697" s="821"/>
      <c r="K697" s="821"/>
      <c r="L697" s="821"/>
      <c r="M697" s="677"/>
      <c r="N697" s="821"/>
      <c r="O697" s="821"/>
      <c r="P697" s="677"/>
      <c r="Q697" s="677"/>
      <c r="R697" s="677"/>
      <c r="S697" s="677"/>
      <c r="T697" s="677"/>
      <c r="U697" s="677"/>
      <c r="V697" s="677"/>
      <c r="W697" s="677"/>
      <c r="X697" s="677"/>
      <c r="Y697" s="677"/>
      <c r="Z697" s="677"/>
      <c r="AA697" s="677"/>
      <c r="AB697" s="677"/>
      <c r="AC697" s="677"/>
      <c r="AD697" s="677"/>
    </row>
    <row r="698">
      <c r="A698" s="867"/>
      <c r="B698" s="708"/>
      <c r="C698" s="852"/>
      <c r="D698" s="656"/>
      <c r="E698" s="821"/>
      <c r="F698" s="821"/>
      <c r="G698" s="821"/>
      <c r="H698" s="821"/>
      <c r="I698" s="821"/>
      <c r="J698" s="821"/>
      <c r="K698" s="821"/>
      <c r="L698" s="821"/>
      <c r="M698" s="677"/>
      <c r="N698" s="821"/>
      <c r="O698" s="821"/>
      <c r="P698" s="677"/>
      <c r="Q698" s="677"/>
      <c r="R698" s="677"/>
      <c r="S698" s="677"/>
      <c r="T698" s="677"/>
      <c r="U698" s="677"/>
      <c r="V698" s="677"/>
      <c r="W698" s="677"/>
      <c r="X698" s="677"/>
      <c r="Y698" s="677"/>
      <c r="Z698" s="677"/>
      <c r="AA698" s="677"/>
      <c r="AB698" s="677"/>
      <c r="AC698" s="677"/>
      <c r="AD698" s="677"/>
    </row>
    <row r="699">
      <c r="A699" s="867"/>
      <c r="B699" s="708"/>
      <c r="C699" s="852"/>
      <c r="D699" s="656"/>
      <c r="E699" s="821"/>
      <c r="F699" s="821"/>
      <c r="G699" s="821"/>
      <c r="H699" s="821"/>
      <c r="I699" s="821"/>
      <c r="J699" s="821"/>
      <c r="K699" s="821"/>
      <c r="L699" s="821"/>
      <c r="M699" s="677"/>
      <c r="N699" s="821"/>
      <c r="O699" s="821"/>
      <c r="P699" s="677"/>
      <c r="Q699" s="677"/>
      <c r="R699" s="677"/>
      <c r="S699" s="677"/>
      <c r="T699" s="677"/>
      <c r="U699" s="677"/>
      <c r="V699" s="677"/>
      <c r="W699" s="677"/>
      <c r="X699" s="677"/>
      <c r="Y699" s="677"/>
      <c r="Z699" s="677"/>
      <c r="AA699" s="677"/>
      <c r="AB699" s="677"/>
      <c r="AC699" s="677"/>
      <c r="AD699" s="677"/>
    </row>
    <row r="700">
      <c r="A700" s="867"/>
      <c r="B700" s="708"/>
      <c r="C700" s="852"/>
      <c r="D700" s="656"/>
      <c r="E700" s="821"/>
      <c r="F700" s="821"/>
      <c r="G700" s="821"/>
      <c r="H700" s="821"/>
      <c r="I700" s="821"/>
      <c r="J700" s="821"/>
      <c r="K700" s="821"/>
      <c r="L700" s="821"/>
      <c r="M700" s="677"/>
      <c r="N700" s="821"/>
      <c r="O700" s="821"/>
      <c r="P700" s="677"/>
      <c r="Q700" s="677"/>
      <c r="R700" s="677"/>
      <c r="S700" s="677"/>
      <c r="T700" s="677"/>
      <c r="U700" s="677"/>
      <c r="V700" s="677"/>
      <c r="W700" s="677"/>
      <c r="X700" s="677"/>
      <c r="Y700" s="677"/>
      <c r="Z700" s="677"/>
      <c r="AA700" s="677"/>
      <c r="AB700" s="677"/>
      <c r="AC700" s="677"/>
      <c r="AD700" s="677"/>
    </row>
    <row r="701">
      <c r="A701" s="867"/>
      <c r="B701" s="708"/>
      <c r="C701" s="852"/>
      <c r="D701" s="656"/>
      <c r="E701" s="821"/>
      <c r="F701" s="821"/>
      <c r="G701" s="821"/>
      <c r="H701" s="821"/>
      <c r="I701" s="821"/>
      <c r="J701" s="821"/>
      <c r="K701" s="821"/>
      <c r="L701" s="821"/>
      <c r="M701" s="677"/>
      <c r="N701" s="821"/>
      <c r="O701" s="821"/>
      <c r="P701" s="677"/>
      <c r="Q701" s="677"/>
      <c r="R701" s="677"/>
      <c r="S701" s="677"/>
      <c r="T701" s="677"/>
      <c r="U701" s="677"/>
      <c r="V701" s="677"/>
      <c r="W701" s="677"/>
      <c r="X701" s="677"/>
      <c r="Y701" s="677"/>
      <c r="Z701" s="677"/>
      <c r="AA701" s="677"/>
      <c r="AB701" s="677"/>
      <c r="AC701" s="677"/>
      <c r="AD701" s="677"/>
    </row>
    <row r="702">
      <c r="A702" s="867"/>
      <c r="B702" s="708"/>
      <c r="C702" s="852"/>
      <c r="D702" s="656"/>
      <c r="E702" s="821"/>
      <c r="F702" s="821"/>
      <c r="G702" s="821"/>
      <c r="H702" s="821"/>
      <c r="I702" s="821"/>
      <c r="J702" s="821"/>
      <c r="K702" s="821"/>
      <c r="L702" s="821"/>
      <c r="M702" s="677"/>
      <c r="N702" s="821"/>
      <c r="O702" s="821"/>
      <c r="P702" s="677"/>
      <c r="Q702" s="677"/>
      <c r="R702" s="677"/>
      <c r="S702" s="677"/>
      <c r="T702" s="677"/>
      <c r="U702" s="677"/>
      <c r="V702" s="677"/>
      <c r="W702" s="677"/>
      <c r="X702" s="677"/>
      <c r="Y702" s="677"/>
      <c r="Z702" s="677"/>
      <c r="AA702" s="677"/>
      <c r="AB702" s="677"/>
      <c r="AC702" s="677"/>
      <c r="AD702" s="677"/>
    </row>
    <row r="703">
      <c r="A703" s="867"/>
      <c r="B703" s="708"/>
      <c r="C703" s="852"/>
      <c r="D703" s="656"/>
      <c r="E703" s="821"/>
      <c r="F703" s="821"/>
      <c r="G703" s="821"/>
      <c r="H703" s="821"/>
      <c r="I703" s="821"/>
      <c r="J703" s="821"/>
      <c r="K703" s="821"/>
      <c r="L703" s="821"/>
      <c r="M703" s="677"/>
      <c r="N703" s="821"/>
      <c r="O703" s="821"/>
      <c r="P703" s="677"/>
      <c r="Q703" s="677"/>
      <c r="R703" s="677"/>
      <c r="S703" s="677"/>
      <c r="T703" s="677"/>
      <c r="U703" s="677"/>
      <c r="V703" s="677"/>
      <c r="W703" s="677"/>
      <c r="X703" s="677"/>
      <c r="Y703" s="677"/>
      <c r="Z703" s="677"/>
      <c r="AA703" s="677"/>
      <c r="AB703" s="677"/>
      <c r="AC703" s="677"/>
      <c r="AD703" s="677"/>
    </row>
    <row r="704">
      <c r="A704" s="867"/>
      <c r="B704" s="708"/>
      <c r="C704" s="852"/>
      <c r="D704" s="656"/>
      <c r="E704" s="821"/>
      <c r="F704" s="821"/>
      <c r="G704" s="821"/>
      <c r="H704" s="821"/>
      <c r="I704" s="821"/>
      <c r="J704" s="821"/>
      <c r="K704" s="821"/>
      <c r="L704" s="821"/>
      <c r="M704" s="677"/>
      <c r="N704" s="821"/>
      <c r="O704" s="821"/>
      <c r="P704" s="677"/>
      <c r="Q704" s="677"/>
      <c r="R704" s="677"/>
      <c r="S704" s="677"/>
      <c r="T704" s="677"/>
      <c r="U704" s="677"/>
      <c r="V704" s="677"/>
      <c r="W704" s="677"/>
      <c r="X704" s="677"/>
      <c r="Y704" s="677"/>
      <c r="Z704" s="677"/>
      <c r="AA704" s="677"/>
      <c r="AB704" s="677"/>
      <c r="AC704" s="677"/>
      <c r="AD704" s="677"/>
    </row>
    <row r="705">
      <c r="A705" s="867"/>
      <c r="B705" s="708"/>
      <c r="C705" s="852"/>
      <c r="D705" s="656"/>
      <c r="E705" s="821"/>
      <c r="F705" s="821"/>
      <c r="G705" s="821"/>
      <c r="H705" s="821"/>
      <c r="I705" s="821"/>
      <c r="J705" s="821"/>
      <c r="K705" s="821"/>
      <c r="L705" s="821"/>
      <c r="M705" s="677"/>
      <c r="N705" s="821"/>
      <c r="O705" s="821"/>
      <c r="P705" s="677"/>
      <c r="Q705" s="677"/>
      <c r="R705" s="677"/>
      <c r="S705" s="677"/>
      <c r="T705" s="677"/>
      <c r="U705" s="677"/>
      <c r="V705" s="677"/>
      <c r="W705" s="677"/>
      <c r="X705" s="677"/>
      <c r="Y705" s="677"/>
      <c r="Z705" s="677"/>
      <c r="AA705" s="677"/>
      <c r="AB705" s="677"/>
      <c r="AC705" s="677"/>
      <c r="AD705" s="677"/>
    </row>
    <row r="706">
      <c r="A706" s="867"/>
      <c r="B706" s="708"/>
      <c r="C706" s="852"/>
      <c r="D706" s="656"/>
      <c r="E706" s="821"/>
      <c r="F706" s="821"/>
      <c r="G706" s="821"/>
      <c r="H706" s="821"/>
      <c r="I706" s="821"/>
      <c r="J706" s="821"/>
      <c r="K706" s="821"/>
      <c r="L706" s="821"/>
      <c r="M706" s="677"/>
      <c r="N706" s="821"/>
      <c r="O706" s="821"/>
      <c r="P706" s="677"/>
      <c r="Q706" s="677"/>
      <c r="R706" s="677"/>
      <c r="S706" s="677"/>
      <c r="T706" s="677"/>
      <c r="U706" s="677"/>
      <c r="V706" s="677"/>
      <c r="W706" s="677"/>
      <c r="X706" s="677"/>
      <c r="Y706" s="677"/>
      <c r="Z706" s="677"/>
      <c r="AA706" s="677"/>
      <c r="AB706" s="677"/>
      <c r="AC706" s="677"/>
      <c r="AD706" s="677"/>
    </row>
    <row r="707">
      <c r="A707" s="867"/>
      <c r="B707" s="708"/>
      <c r="C707" s="852"/>
      <c r="D707" s="656"/>
      <c r="E707" s="821"/>
      <c r="F707" s="821"/>
      <c r="G707" s="821"/>
      <c r="H707" s="821"/>
      <c r="I707" s="821"/>
      <c r="J707" s="821"/>
      <c r="K707" s="821"/>
      <c r="L707" s="821"/>
      <c r="M707" s="677"/>
      <c r="N707" s="821"/>
      <c r="O707" s="821"/>
      <c r="P707" s="677"/>
      <c r="Q707" s="677"/>
      <c r="R707" s="677"/>
      <c r="S707" s="677"/>
      <c r="T707" s="677"/>
      <c r="U707" s="677"/>
      <c r="V707" s="677"/>
      <c r="W707" s="677"/>
      <c r="X707" s="677"/>
      <c r="Y707" s="677"/>
      <c r="Z707" s="677"/>
      <c r="AA707" s="677"/>
      <c r="AB707" s="677"/>
      <c r="AC707" s="677"/>
      <c r="AD707" s="677"/>
    </row>
    <row r="708">
      <c r="A708" s="867"/>
      <c r="B708" s="708"/>
      <c r="C708" s="852"/>
      <c r="D708" s="656"/>
      <c r="E708" s="821"/>
      <c r="F708" s="821"/>
      <c r="G708" s="821"/>
      <c r="H708" s="821"/>
      <c r="I708" s="821"/>
      <c r="J708" s="821"/>
      <c r="K708" s="821"/>
      <c r="L708" s="821"/>
      <c r="M708" s="677"/>
      <c r="N708" s="821"/>
      <c r="O708" s="821"/>
      <c r="P708" s="677"/>
      <c r="Q708" s="677"/>
      <c r="R708" s="677"/>
      <c r="S708" s="677"/>
      <c r="T708" s="677"/>
      <c r="U708" s="677"/>
      <c r="V708" s="677"/>
      <c r="W708" s="677"/>
      <c r="X708" s="677"/>
      <c r="Y708" s="677"/>
      <c r="Z708" s="677"/>
      <c r="AA708" s="677"/>
      <c r="AB708" s="677"/>
      <c r="AC708" s="677"/>
      <c r="AD708" s="677"/>
    </row>
    <row r="709">
      <c r="A709" s="867"/>
      <c r="B709" s="708"/>
      <c r="C709" s="852"/>
      <c r="D709" s="656"/>
      <c r="E709" s="821"/>
      <c r="F709" s="821"/>
      <c r="G709" s="821"/>
      <c r="H709" s="821"/>
      <c r="I709" s="821"/>
      <c r="J709" s="821"/>
      <c r="K709" s="821"/>
      <c r="L709" s="821"/>
      <c r="M709" s="677"/>
      <c r="N709" s="821"/>
      <c r="O709" s="821"/>
      <c r="P709" s="677"/>
      <c r="Q709" s="677"/>
      <c r="R709" s="677"/>
      <c r="S709" s="677"/>
      <c r="T709" s="677"/>
      <c r="U709" s="677"/>
      <c r="V709" s="677"/>
      <c r="W709" s="677"/>
      <c r="X709" s="677"/>
      <c r="Y709" s="677"/>
      <c r="Z709" s="677"/>
      <c r="AA709" s="677"/>
      <c r="AB709" s="677"/>
      <c r="AC709" s="677"/>
      <c r="AD709" s="677"/>
    </row>
    <row r="710">
      <c r="A710" s="867"/>
      <c r="B710" s="708"/>
      <c r="C710" s="852"/>
      <c r="D710" s="656"/>
      <c r="E710" s="821"/>
      <c r="F710" s="821"/>
      <c r="G710" s="821"/>
      <c r="H710" s="821"/>
      <c r="I710" s="821"/>
      <c r="J710" s="821"/>
      <c r="K710" s="821"/>
      <c r="L710" s="821"/>
      <c r="M710" s="677"/>
      <c r="N710" s="821"/>
      <c r="O710" s="821"/>
      <c r="P710" s="677"/>
      <c r="Q710" s="677"/>
      <c r="R710" s="677"/>
      <c r="S710" s="677"/>
      <c r="T710" s="677"/>
      <c r="U710" s="677"/>
      <c r="V710" s="677"/>
      <c r="W710" s="677"/>
      <c r="X710" s="677"/>
      <c r="Y710" s="677"/>
      <c r="Z710" s="677"/>
      <c r="AA710" s="677"/>
      <c r="AB710" s="677"/>
      <c r="AC710" s="677"/>
      <c r="AD710" s="677"/>
    </row>
    <row r="711">
      <c r="A711" s="867"/>
      <c r="B711" s="708"/>
      <c r="C711" s="852"/>
      <c r="D711" s="656"/>
      <c r="E711" s="821"/>
      <c r="F711" s="821"/>
      <c r="G711" s="821"/>
      <c r="H711" s="821"/>
      <c r="I711" s="821"/>
      <c r="J711" s="821"/>
      <c r="K711" s="821"/>
      <c r="L711" s="821"/>
      <c r="M711" s="677"/>
      <c r="N711" s="821"/>
      <c r="O711" s="821"/>
      <c r="P711" s="677"/>
      <c r="Q711" s="677"/>
      <c r="R711" s="677"/>
      <c r="S711" s="677"/>
      <c r="T711" s="677"/>
      <c r="U711" s="677"/>
      <c r="V711" s="677"/>
      <c r="W711" s="677"/>
      <c r="X711" s="677"/>
      <c r="Y711" s="677"/>
      <c r="Z711" s="677"/>
      <c r="AA711" s="677"/>
      <c r="AB711" s="677"/>
      <c r="AC711" s="677"/>
      <c r="AD711" s="677"/>
    </row>
    <row r="712">
      <c r="A712" s="867"/>
      <c r="B712" s="708"/>
      <c r="C712" s="852"/>
      <c r="D712" s="656"/>
      <c r="E712" s="821"/>
      <c r="F712" s="821"/>
      <c r="G712" s="821"/>
      <c r="H712" s="821"/>
      <c r="I712" s="821"/>
      <c r="J712" s="821"/>
      <c r="K712" s="821"/>
      <c r="L712" s="821"/>
      <c r="M712" s="677"/>
      <c r="N712" s="821"/>
      <c r="O712" s="821"/>
      <c r="P712" s="677"/>
      <c r="Q712" s="677"/>
      <c r="R712" s="677"/>
      <c r="S712" s="677"/>
      <c r="T712" s="677"/>
      <c r="U712" s="677"/>
      <c r="V712" s="677"/>
      <c r="W712" s="677"/>
      <c r="X712" s="677"/>
      <c r="Y712" s="677"/>
      <c r="Z712" s="677"/>
      <c r="AA712" s="677"/>
      <c r="AB712" s="677"/>
      <c r="AC712" s="677"/>
      <c r="AD712" s="677"/>
    </row>
    <row r="713">
      <c r="A713" s="867"/>
      <c r="B713" s="708"/>
      <c r="C713" s="852"/>
      <c r="D713" s="656"/>
      <c r="E713" s="821"/>
      <c r="F713" s="821"/>
      <c r="G713" s="821"/>
      <c r="H713" s="821"/>
      <c r="I713" s="821"/>
      <c r="J713" s="821"/>
      <c r="K713" s="821"/>
      <c r="L713" s="821"/>
      <c r="M713" s="677"/>
      <c r="N713" s="821"/>
      <c r="O713" s="821"/>
      <c r="P713" s="677"/>
      <c r="Q713" s="677"/>
      <c r="R713" s="677"/>
      <c r="S713" s="677"/>
      <c r="T713" s="677"/>
      <c r="U713" s="677"/>
      <c r="V713" s="677"/>
      <c r="W713" s="677"/>
      <c r="X713" s="677"/>
      <c r="Y713" s="677"/>
      <c r="Z713" s="677"/>
      <c r="AA713" s="677"/>
      <c r="AB713" s="677"/>
      <c r="AC713" s="677"/>
      <c r="AD713" s="677"/>
    </row>
    <row r="714">
      <c r="A714" s="867"/>
      <c r="B714" s="708"/>
      <c r="C714" s="852"/>
      <c r="D714" s="656"/>
      <c r="E714" s="821"/>
      <c r="F714" s="821"/>
      <c r="G714" s="821"/>
      <c r="H714" s="821"/>
      <c r="I714" s="821"/>
      <c r="J714" s="821"/>
      <c r="K714" s="821"/>
      <c r="L714" s="821"/>
      <c r="M714" s="677"/>
      <c r="N714" s="821"/>
      <c r="O714" s="821"/>
      <c r="P714" s="677"/>
      <c r="Q714" s="677"/>
      <c r="R714" s="677"/>
      <c r="S714" s="677"/>
      <c r="T714" s="677"/>
      <c r="U714" s="677"/>
      <c r="V714" s="677"/>
      <c r="W714" s="677"/>
      <c r="X714" s="677"/>
      <c r="Y714" s="677"/>
      <c r="Z714" s="677"/>
      <c r="AA714" s="677"/>
      <c r="AB714" s="677"/>
      <c r="AC714" s="677"/>
      <c r="AD714" s="677"/>
    </row>
    <row r="715">
      <c r="A715" s="867"/>
      <c r="B715" s="708"/>
      <c r="C715" s="852"/>
      <c r="D715" s="656"/>
      <c r="E715" s="821"/>
      <c r="F715" s="821"/>
      <c r="G715" s="821"/>
      <c r="H715" s="821"/>
      <c r="I715" s="821"/>
      <c r="J715" s="821"/>
      <c r="K715" s="821"/>
      <c r="L715" s="821"/>
      <c r="M715" s="677"/>
      <c r="N715" s="821"/>
      <c r="O715" s="821"/>
      <c r="P715" s="677"/>
      <c r="Q715" s="677"/>
      <c r="R715" s="677"/>
      <c r="S715" s="677"/>
      <c r="T715" s="677"/>
      <c r="U715" s="677"/>
      <c r="V715" s="677"/>
      <c r="W715" s="677"/>
      <c r="X715" s="677"/>
      <c r="Y715" s="677"/>
      <c r="Z715" s="677"/>
      <c r="AA715" s="677"/>
      <c r="AB715" s="677"/>
      <c r="AC715" s="677"/>
      <c r="AD715" s="677"/>
    </row>
    <row r="716">
      <c r="A716" s="867"/>
      <c r="B716" s="708"/>
      <c r="C716" s="852"/>
      <c r="D716" s="656"/>
      <c r="E716" s="821"/>
      <c r="F716" s="821"/>
      <c r="G716" s="821"/>
      <c r="H716" s="821"/>
      <c r="I716" s="821"/>
      <c r="J716" s="821"/>
      <c r="K716" s="821"/>
      <c r="L716" s="821"/>
      <c r="M716" s="677"/>
      <c r="N716" s="821"/>
      <c r="O716" s="821"/>
      <c r="P716" s="677"/>
      <c r="Q716" s="677"/>
      <c r="R716" s="677"/>
      <c r="S716" s="677"/>
      <c r="T716" s="677"/>
      <c r="U716" s="677"/>
      <c r="V716" s="677"/>
      <c r="W716" s="677"/>
      <c r="X716" s="677"/>
      <c r="Y716" s="677"/>
      <c r="Z716" s="677"/>
      <c r="AA716" s="677"/>
      <c r="AB716" s="677"/>
      <c r="AC716" s="677"/>
      <c r="AD716" s="677"/>
    </row>
    <row r="717">
      <c r="A717" s="867"/>
      <c r="B717" s="708"/>
      <c r="C717" s="852"/>
      <c r="D717" s="656"/>
      <c r="E717" s="821"/>
      <c r="F717" s="821"/>
      <c r="G717" s="821"/>
      <c r="H717" s="821"/>
      <c r="I717" s="821"/>
      <c r="J717" s="821"/>
      <c r="K717" s="821"/>
      <c r="L717" s="821"/>
      <c r="M717" s="677"/>
      <c r="N717" s="821"/>
      <c r="O717" s="821"/>
      <c r="P717" s="677"/>
      <c r="Q717" s="677"/>
      <c r="R717" s="677"/>
      <c r="S717" s="677"/>
      <c r="T717" s="677"/>
      <c r="U717" s="677"/>
      <c r="V717" s="677"/>
      <c r="W717" s="677"/>
      <c r="X717" s="677"/>
      <c r="Y717" s="677"/>
      <c r="Z717" s="677"/>
      <c r="AA717" s="677"/>
      <c r="AB717" s="677"/>
      <c r="AC717" s="677"/>
      <c r="AD717" s="677"/>
    </row>
    <row r="718">
      <c r="A718" s="867"/>
      <c r="B718" s="708"/>
      <c r="C718" s="852"/>
      <c r="D718" s="656"/>
      <c r="E718" s="821"/>
      <c r="F718" s="821"/>
      <c r="G718" s="821"/>
      <c r="H718" s="821"/>
      <c r="I718" s="821"/>
      <c r="J718" s="821"/>
      <c r="K718" s="821"/>
      <c r="L718" s="821"/>
      <c r="M718" s="677"/>
      <c r="N718" s="821"/>
      <c r="O718" s="821"/>
      <c r="P718" s="677"/>
      <c r="Q718" s="677"/>
      <c r="R718" s="677"/>
      <c r="S718" s="677"/>
      <c r="T718" s="677"/>
      <c r="U718" s="677"/>
      <c r="V718" s="677"/>
      <c r="W718" s="677"/>
      <c r="X718" s="677"/>
      <c r="Y718" s="677"/>
      <c r="Z718" s="677"/>
      <c r="AA718" s="677"/>
      <c r="AB718" s="677"/>
      <c r="AC718" s="677"/>
      <c r="AD718" s="677"/>
    </row>
    <row r="719">
      <c r="A719" s="867"/>
      <c r="B719" s="708"/>
      <c r="C719" s="852"/>
      <c r="D719" s="656"/>
      <c r="E719" s="821"/>
      <c r="F719" s="821"/>
      <c r="G719" s="821"/>
      <c r="H719" s="821"/>
      <c r="I719" s="821"/>
      <c r="J719" s="821"/>
      <c r="K719" s="821"/>
      <c r="L719" s="821"/>
      <c r="M719" s="677"/>
      <c r="N719" s="821"/>
      <c r="O719" s="821"/>
      <c r="P719" s="677"/>
      <c r="Q719" s="677"/>
      <c r="R719" s="677"/>
      <c r="S719" s="677"/>
      <c r="T719" s="677"/>
      <c r="U719" s="677"/>
      <c r="V719" s="677"/>
      <c r="W719" s="677"/>
      <c r="X719" s="677"/>
      <c r="Y719" s="677"/>
      <c r="Z719" s="677"/>
      <c r="AA719" s="677"/>
      <c r="AB719" s="677"/>
      <c r="AC719" s="677"/>
      <c r="AD719" s="677"/>
    </row>
    <row r="720">
      <c r="A720" s="867"/>
      <c r="B720" s="708"/>
      <c r="C720" s="852"/>
      <c r="D720" s="656"/>
      <c r="E720" s="821"/>
      <c r="F720" s="821"/>
      <c r="G720" s="821"/>
      <c r="H720" s="821"/>
      <c r="I720" s="821"/>
      <c r="J720" s="821"/>
      <c r="K720" s="821"/>
      <c r="L720" s="821"/>
      <c r="M720" s="677"/>
      <c r="N720" s="821"/>
      <c r="O720" s="821"/>
      <c r="P720" s="677"/>
      <c r="Q720" s="677"/>
      <c r="R720" s="677"/>
      <c r="S720" s="677"/>
      <c r="T720" s="677"/>
      <c r="U720" s="677"/>
      <c r="V720" s="677"/>
      <c r="W720" s="677"/>
      <c r="X720" s="677"/>
      <c r="Y720" s="677"/>
      <c r="Z720" s="677"/>
      <c r="AA720" s="677"/>
      <c r="AB720" s="677"/>
      <c r="AC720" s="677"/>
      <c r="AD720" s="677"/>
    </row>
    <row r="721">
      <c r="A721" s="867"/>
      <c r="B721" s="708"/>
      <c r="C721" s="852"/>
      <c r="D721" s="656"/>
      <c r="E721" s="821"/>
      <c r="F721" s="821"/>
      <c r="G721" s="821"/>
      <c r="H721" s="821"/>
      <c r="I721" s="821"/>
      <c r="J721" s="821"/>
      <c r="K721" s="821"/>
      <c r="L721" s="821"/>
      <c r="M721" s="677"/>
      <c r="N721" s="821"/>
      <c r="O721" s="821"/>
      <c r="P721" s="677"/>
      <c r="Q721" s="677"/>
      <c r="R721" s="677"/>
      <c r="S721" s="677"/>
      <c r="T721" s="677"/>
      <c r="U721" s="677"/>
      <c r="V721" s="677"/>
      <c r="W721" s="677"/>
      <c r="X721" s="677"/>
      <c r="Y721" s="677"/>
      <c r="Z721" s="677"/>
      <c r="AA721" s="677"/>
      <c r="AB721" s="677"/>
      <c r="AC721" s="677"/>
      <c r="AD721" s="677"/>
    </row>
    <row r="722">
      <c r="A722" s="867"/>
      <c r="B722" s="708"/>
      <c r="C722" s="852"/>
      <c r="D722" s="656"/>
      <c r="E722" s="821"/>
      <c r="F722" s="821"/>
      <c r="G722" s="821"/>
      <c r="H722" s="821"/>
      <c r="I722" s="821"/>
      <c r="J722" s="821"/>
      <c r="K722" s="821"/>
      <c r="L722" s="821"/>
      <c r="M722" s="677"/>
      <c r="N722" s="821"/>
      <c r="O722" s="821"/>
      <c r="P722" s="677"/>
      <c r="Q722" s="677"/>
      <c r="R722" s="677"/>
      <c r="S722" s="677"/>
      <c r="T722" s="677"/>
      <c r="U722" s="677"/>
      <c r="V722" s="677"/>
      <c r="W722" s="677"/>
      <c r="X722" s="677"/>
      <c r="Y722" s="677"/>
      <c r="Z722" s="677"/>
      <c r="AA722" s="677"/>
      <c r="AB722" s="677"/>
      <c r="AC722" s="677"/>
      <c r="AD722" s="677"/>
    </row>
    <row r="723">
      <c r="A723" s="867"/>
      <c r="B723" s="708"/>
      <c r="C723" s="852"/>
      <c r="D723" s="656"/>
      <c r="E723" s="821"/>
      <c r="F723" s="821"/>
      <c r="G723" s="821"/>
      <c r="H723" s="821"/>
      <c r="I723" s="821"/>
      <c r="J723" s="821"/>
      <c r="K723" s="821"/>
      <c r="L723" s="821"/>
      <c r="M723" s="677"/>
      <c r="N723" s="821"/>
      <c r="O723" s="821"/>
      <c r="P723" s="677"/>
      <c r="Q723" s="677"/>
      <c r="R723" s="677"/>
      <c r="S723" s="677"/>
      <c r="T723" s="677"/>
      <c r="U723" s="677"/>
      <c r="V723" s="677"/>
      <c r="W723" s="677"/>
      <c r="X723" s="677"/>
      <c r="Y723" s="677"/>
      <c r="Z723" s="677"/>
      <c r="AA723" s="677"/>
      <c r="AB723" s="677"/>
      <c r="AC723" s="677"/>
      <c r="AD723" s="677"/>
    </row>
    <row r="724">
      <c r="A724" s="867"/>
      <c r="B724" s="708"/>
      <c r="C724" s="852"/>
      <c r="D724" s="656"/>
      <c r="E724" s="821"/>
      <c r="F724" s="821"/>
      <c r="G724" s="821"/>
      <c r="H724" s="821"/>
      <c r="I724" s="821"/>
      <c r="J724" s="821"/>
      <c r="K724" s="821"/>
      <c r="L724" s="821"/>
      <c r="M724" s="677"/>
      <c r="N724" s="821"/>
      <c r="O724" s="821"/>
      <c r="P724" s="677"/>
      <c r="Q724" s="677"/>
      <c r="R724" s="677"/>
      <c r="S724" s="677"/>
      <c r="T724" s="677"/>
      <c r="U724" s="677"/>
      <c r="V724" s="677"/>
      <c r="W724" s="677"/>
      <c r="X724" s="677"/>
      <c r="Y724" s="677"/>
      <c r="Z724" s="677"/>
      <c r="AA724" s="677"/>
      <c r="AB724" s="677"/>
      <c r="AC724" s="677"/>
      <c r="AD724" s="677"/>
    </row>
    <row r="725">
      <c r="A725" s="867"/>
      <c r="B725" s="708"/>
      <c r="C725" s="852"/>
      <c r="D725" s="656"/>
      <c r="E725" s="821"/>
      <c r="F725" s="821"/>
      <c r="G725" s="821"/>
      <c r="H725" s="821"/>
      <c r="I725" s="821"/>
      <c r="J725" s="821"/>
      <c r="K725" s="821"/>
      <c r="L725" s="821"/>
      <c r="M725" s="677"/>
      <c r="N725" s="821"/>
      <c r="O725" s="821"/>
      <c r="P725" s="677"/>
      <c r="Q725" s="677"/>
      <c r="R725" s="677"/>
      <c r="S725" s="677"/>
      <c r="T725" s="677"/>
      <c r="U725" s="677"/>
      <c r="V725" s="677"/>
      <c r="W725" s="677"/>
      <c r="X725" s="677"/>
      <c r="Y725" s="677"/>
      <c r="Z725" s="677"/>
      <c r="AA725" s="677"/>
      <c r="AB725" s="677"/>
      <c r="AC725" s="677"/>
      <c r="AD725" s="677"/>
    </row>
    <row r="726">
      <c r="A726" s="867"/>
      <c r="B726" s="708"/>
      <c r="C726" s="852"/>
      <c r="D726" s="656"/>
      <c r="E726" s="821"/>
      <c r="F726" s="821"/>
      <c r="G726" s="821"/>
      <c r="H726" s="821"/>
      <c r="I726" s="821"/>
      <c r="J726" s="821"/>
      <c r="K726" s="821"/>
      <c r="L726" s="821"/>
      <c r="M726" s="677"/>
      <c r="N726" s="821"/>
      <c r="O726" s="821"/>
      <c r="P726" s="677"/>
      <c r="Q726" s="677"/>
      <c r="R726" s="677"/>
      <c r="S726" s="677"/>
      <c r="T726" s="677"/>
      <c r="U726" s="677"/>
      <c r="V726" s="677"/>
      <c r="W726" s="677"/>
      <c r="X726" s="677"/>
      <c r="Y726" s="677"/>
      <c r="Z726" s="677"/>
      <c r="AA726" s="677"/>
      <c r="AB726" s="677"/>
      <c r="AC726" s="677"/>
      <c r="AD726" s="677"/>
    </row>
    <row r="727">
      <c r="A727" s="867"/>
      <c r="B727" s="708"/>
      <c r="C727" s="852"/>
      <c r="D727" s="656"/>
      <c r="E727" s="821"/>
      <c r="F727" s="821"/>
      <c r="G727" s="821"/>
      <c r="H727" s="821"/>
      <c r="I727" s="821"/>
      <c r="J727" s="821"/>
      <c r="K727" s="821"/>
      <c r="L727" s="821"/>
      <c r="M727" s="677"/>
      <c r="N727" s="821"/>
      <c r="O727" s="821"/>
      <c r="P727" s="677"/>
      <c r="Q727" s="677"/>
      <c r="R727" s="677"/>
      <c r="S727" s="677"/>
      <c r="T727" s="677"/>
      <c r="U727" s="677"/>
      <c r="V727" s="677"/>
      <c r="W727" s="677"/>
      <c r="X727" s="677"/>
      <c r="Y727" s="677"/>
      <c r="Z727" s="677"/>
      <c r="AA727" s="677"/>
      <c r="AB727" s="677"/>
      <c r="AC727" s="677"/>
      <c r="AD727" s="677"/>
    </row>
    <row r="728">
      <c r="A728" s="867"/>
      <c r="B728" s="708"/>
      <c r="C728" s="852"/>
      <c r="D728" s="656"/>
      <c r="E728" s="821"/>
      <c r="F728" s="821"/>
      <c r="G728" s="821"/>
      <c r="H728" s="821"/>
      <c r="I728" s="821"/>
      <c r="J728" s="821"/>
      <c r="K728" s="821"/>
      <c r="L728" s="821"/>
      <c r="M728" s="677"/>
      <c r="N728" s="821"/>
      <c r="O728" s="821"/>
      <c r="P728" s="677"/>
      <c r="Q728" s="677"/>
      <c r="R728" s="677"/>
      <c r="S728" s="677"/>
      <c r="T728" s="677"/>
      <c r="U728" s="677"/>
      <c r="V728" s="677"/>
      <c r="W728" s="677"/>
      <c r="X728" s="677"/>
      <c r="Y728" s="677"/>
      <c r="Z728" s="677"/>
      <c r="AA728" s="677"/>
      <c r="AB728" s="677"/>
      <c r="AC728" s="677"/>
      <c r="AD728" s="677"/>
    </row>
    <row r="729">
      <c r="A729" s="867"/>
      <c r="B729" s="708"/>
      <c r="C729" s="852"/>
      <c r="D729" s="656"/>
      <c r="E729" s="821"/>
      <c r="F729" s="821"/>
      <c r="G729" s="821"/>
      <c r="H729" s="821"/>
      <c r="I729" s="821"/>
      <c r="J729" s="821"/>
      <c r="K729" s="821"/>
      <c r="L729" s="821"/>
      <c r="M729" s="677"/>
      <c r="N729" s="821"/>
      <c r="O729" s="821"/>
      <c r="P729" s="677"/>
      <c r="Q729" s="677"/>
      <c r="R729" s="677"/>
      <c r="S729" s="677"/>
      <c r="T729" s="677"/>
      <c r="U729" s="677"/>
      <c r="V729" s="677"/>
      <c r="W729" s="677"/>
      <c r="X729" s="677"/>
      <c r="Y729" s="677"/>
      <c r="Z729" s="677"/>
      <c r="AA729" s="677"/>
      <c r="AB729" s="677"/>
      <c r="AC729" s="677"/>
      <c r="AD729" s="677"/>
    </row>
    <row r="730">
      <c r="A730" s="867"/>
      <c r="B730" s="708"/>
      <c r="C730" s="852"/>
      <c r="D730" s="656"/>
      <c r="E730" s="821"/>
      <c r="F730" s="821"/>
      <c r="G730" s="821"/>
      <c r="H730" s="821"/>
      <c r="I730" s="821"/>
      <c r="J730" s="821"/>
      <c r="K730" s="821"/>
      <c r="L730" s="821"/>
      <c r="M730" s="677"/>
      <c r="N730" s="821"/>
      <c r="O730" s="821"/>
      <c r="P730" s="677"/>
      <c r="Q730" s="677"/>
      <c r="R730" s="677"/>
      <c r="S730" s="677"/>
      <c r="T730" s="677"/>
      <c r="U730" s="677"/>
      <c r="V730" s="677"/>
      <c r="W730" s="677"/>
      <c r="X730" s="677"/>
      <c r="Y730" s="677"/>
      <c r="Z730" s="677"/>
      <c r="AA730" s="677"/>
      <c r="AB730" s="677"/>
      <c r="AC730" s="677"/>
      <c r="AD730" s="677"/>
    </row>
    <row r="731">
      <c r="A731" s="867"/>
      <c r="B731" s="708"/>
      <c r="C731" s="852"/>
      <c r="D731" s="656"/>
      <c r="E731" s="821"/>
      <c r="F731" s="821"/>
      <c r="G731" s="821"/>
      <c r="H731" s="821"/>
      <c r="I731" s="821"/>
      <c r="J731" s="821"/>
      <c r="K731" s="821"/>
      <c r="L731" s="821"/>
      <c r="M731" s="677"/>
      <c r="N731" s="821"/>
      <c r="O731" s="821"/>
      <c r="P731" s="677"/>
      <c r="Q731" s="677"/>
      <c r="R731" s="677"/>
      <c r="S731" s="677"/>
      <c r="T731" s="677"/>
      <c r="U731" s="677"/>
      <c r="V731" s="677"/>
      <c r="W731" s="677"/>
      <c r="X731" s="677"/>
      <c r="Y731" s="677"/>
      <c r="Z731" s="677"/>
      <c r="AA731" s="677"/>
      <c r="AB731" s="677"/>
      <c r="AC731" s="677"/>
      <c r="AD731" s="677"/>
    </row>
    <row r="732">
      <c r="A732" s="867"/>
      <c r="B732" s="708"/>
      <c r="C732" s="852"/>
      <c r="D732" s="656"/>
      <c r="E732" s="821"/>
      <c r="F732" s="821"/>
      <c r="G732" s="821"/>
      <c r="H732" s="821"/>
      <c r="I732" s="821"/>
      <c r="J732" s="821"/>
      <c r="K732" s="821"/>
      <c r="L732" s="821"/>
      <c r="M732" s="677"/>
      <c r="N732" s="821"/>
      <c r="O732" s="821"/>
      <c r="P732" s="677"/>
      <c r="Q732" s="677"/>
      <c r="R732" s="677"/>
      <c r="S732" s="677"/>
      <c r="T732" s="677"/>
      <c r="U732" s="677"/>
      <c r="V732" s="677"/>
      <c r="W732" s="677"/>
      <c r="X732" s="677"/>
      <c r="Y732" s="677"/>
      <c r="Z732" s="677"/>
      <c r="AA732" s="677"/>
      <c r="AB732" s="677"/>
      <c r="AC732" s="677"/>
      <c r="AD732" s="677"/>
    </row>
    <row r="733">
      <c r="A733" s="867"/>
      <c r="B733" s="708"/>
      <c r="C733" s="852"/>
      <c r="D733" s="656"/>
      <c r="E733" s="821"/>
      <c r="F733" s="821"/>
      <c r="G733" s="821"/>
      <c r="H733" s="821"/>
      <c r="I733" s="821"/>
      <c r="J733" s="821"/>
      <c r="K733" s="821"/>
      <c r="L733" s="821"/>
      <c r="M733" s="677"/>
      <c r="N733" s="821"/>
      <c r="O733" s="821"/>
      <c r="P733" s="677"/>
      <c r="Q733" s="677"/>
      <c r="R733" s="677"/>
      <c r="S733" s="677"/>
      <c r="T733" s="677"/>
      <c r="U733" s="677"/>
      <c r="V733" s="677"/>
      <c r="W733" s="677"/>
      <c r="X733" s="677"/>
      <c r="Y733" s="677"/>
      <c r="Z733" s="677"/>
      <c r="AA733" s="677"/>
      <c r="AB733" s="677"/>
      <c r="AC733" s="677"/>
      <c r="AD733" s="677"/>
    </row>
    <row r="734">
      <c r="A734" s="867"/>
      <c r="B734" s="882"/>
      <c r="C734" s="852"/>
      <c r="D734" s="656"/>
      <c r="E734" s="821"/>
      <c r="F734" s="821"/>
      <c r="G734" s="821"/>
      <c r="H734" s="821"/>
      <c r="I734" s="821"/>
      <c r="J734" s="821"/>
      <c r="K734" s="821"/>
      <c r="L734" s="821"/>
      <c r="M734" s="677"/>
      <c r="N734" s="821"/>
      <c r="O734" s="821"/>
      <c r="P734" s="677"/>
      <c r="Q734" s="677"/>
      <c r="R734" s="677"/>
      <c r="S734" s="677"/>
      <c r="T734" s="677"/>
      <c r="U734" s="677"/>
      <c r="V734" s="677"/>
      <c r="W734" s="677"/>
      <c r="X734" s="677"/>
      <c r="Y734" s="677"/>
      <c r="Z734" s="677"/>
      <c r="AA734" s="677"/>
      <c r="AB734" s="677"/>
      <c r="AC734" s="677"/>
      <c r="AD734" s="677"/>
    </row>
    <row r="735">
      <c r="A735" s="867"/>
      <c r="B735" s="708"/>
      <c r="C735" s="852"/>
      <c r="D735" s="656"/>
      <c r="E735" s="821"/>
      <c r="F735" s="821"/>
      <c r="G735" s="821"/>
      <c r="H735" s="821"/>
      <c r="I735" s="821"/>
      <c r="J735" s="821"/>
      <c r="K735" s="821"/>
      <c r="L735" s="821"/>
      <c r="M735" s="677"/>
      <c r="N735" s="821"/>
      <c r="O735" s="821"/>
      <c r="P735" s="677"/>
      <c r="Q735" s="677"/>
      <c r="R735" s="677"/>
      <c r="S735" s="677"/>
      <c r="T735" s="677"/>
      <c r="U735" s="677"/>
      <c r="V735" s="677"/>
      <c r="W735" s="677"/>
      <c r="X735" s="677"/>
      <c r="Y735" s="677"/>
      <c r="Z735" s="677"/>
      <c r="AA735" s="677"/>
      <c r="AB735" s="677"/>
      <c r="AC735" s="677"/>
      <c r="AD735" s="677"/>
    </row>
    <row r="736">
      <c r="A736" s="867"/>
      <c r="B736" s="708"/>
      <c r="C736" s="852"/>
      <c r="D736" s="656"/>
      <c r="E736" s="821"/>
      <c r="F736" s="821"/>
      <c r="G736" s="821"/>
      <c r="H736" s="821"/>
      <c r="I736" s="821"/>
      <c r="J736" s="821"/>
      <c r="K736" s="821"/>
      <c r="L736" s="821"/>
      <c r="M736" s="677"/>
      <c r="N736" s="821"/>
      <c r="O736" s="821"/>
      <c r="P736" s="677"/>
      <c r="Q736" s="677"/>
      <c r="R736" s="677"/>
      <c r="S736" s="677"/>
      <c r="T736" s="677"/>
      <c r="U736" s="677"/>
      <c r="V736" s="677"/>
      <c r="W736" s="677"/>
      <c r="X736" s="677"/>
      <c r="Y736" s="677"/>
      <c r="Z736" s="677"/>
      <c r="AA736" s="677"/>
      <c r="AB736" s="677"/>
      <c r="AC736" s="677"/>
      <c r="AD736" s="677"/>
    </row>
    <row r="737">
      <c r="A737" s="867"/>
      <c r="B737" s="708"/>
      <c r="C737" s="852"/>
      <c r="D737" s="656"/>
      <c r="E737" s="821"/>
      <c r="F737" s="821"/>
      <c r="G737" s="821"/>
      <c r="H737" s="821"/>
      <c r="I737" s="821"/>
      <c r="J737" s="821"/>
      <c r="K737" s="821"/>
      <c r="L737" s="821"/>
      <c r="M737" s="677"/>
      <c r="N737" s="821"/>
      <c r="O737" s="821"/>
      <c r="P737" s="677"/>
      <c r="Q737" s="677"/>
      <c r="R737" s="677"/>
      <c r="S737" s="677"/>
      <c r="T737" s="677"/>
      <c r="U737" s="677"/>
      <c r="V737" s="677"/>
      <c r="W737" s="677"/>
      <c r="X737" s="677"/>
      <c r="Y737" s="677"/>
      <c r="Z737" s="677"/>
      <c r="AA737" s="677"/>
      <c r="AB737" s="677"/>
      <c r="AC737" s="677"/>
      <c r="AD737" s="677"/>
    </row>
    <row r="738">
      <c r="A738" s="867"/>
      <c r="B738" s="708"/>
      <c r="C738" s="852"/>
      <c r="D738" s="656"/>
      <c r="E738" s="821"/>
      <c r="F738" s="821"/>
      <c r="G738" s="821"/>
      <c r="H738" s="821"/>
      <c r="I738" s="821"/>
      <c r="J738" s="821"/>
      <c r="K738" s="821"/>
      <c r="L738" s="821"/>
      <c r="M738" s="677"/>
      <c r="N738" s="821"/>
      <c r="O738" s="821"/>
      <c r="P738" s="677"/>
      <c r="Q738" s="677"/>
      <c r="R738" s="677"/>
      <c r="S738" s="677"/>
      <c r="T738" s="677"/>
      <c r="U738" s="677"/>
      <c r="V738" s="677"/>
      <c r="W738" s="677"/>
      <c r="X738" s="677"/>
      <c r="Y738" s="677"/>
      <c r="Z738" s="677"/>
      <c r="AA738" s="677"/>
      <c r="AB738" s="677"/>
      <c r="AC738" s="677"/>
      <c r="AD738" s="677"/>
    </row>
    <row r="739">
      <c r="A739" s="867"/>
      <c r="B739" s="708"/>
      <c r="C739" s="852"/>
      <c r="D739" s="656"/>
      <c r="E739" s="821"/>
      <c r="F739" s="821"/>
      <c r="G739" s="821"/>
      <c r="H739" s="821"/>
      <c r="I739" s="821"/>
      <c r="J739" s="821"/>
      <c r="K739" s="821"/>
      <c r="L739" s="821"/>
      <c r="M739" s="677"/>
      <c r="N739" s="821"/>
      <c r="O739" s="821"/>
      <c r="P739" s="677"/>
      <c r="Q739" s="677"/>
      <c r="R739" s="677"/>
      <c r="S739" s="677"/>
      <c r="T739" s="677"/>
      <c r="U739" s="677"/>
      <c r="V739" s="677"/>
      <c r="W739" s="677"/>
      <c r="X739" s="677"/>
      <c r="Y739" s="677"/>
      <c r="Z739" s="677"/>
      <c r="AA739" s="677"/>
      <c r="AB739" s="677"/>
      <c r="AC739" s="677"/>
      <c r="AD739" s="677"/>
    </row>
    <row r="740">
      <c r="A740" s="867"/>
      <c r="B740" s="708"/>
      <c r="C740" s="852"/>
      <c r="D740" s="656"/>
      <c r="E740" s="821"/>
      <c r="F740" s="821"/>
      <c r="G740" s="821"/>
      <c r="H740" s="821"/>
      <c r="I740" s="821"/>
      <c r="J740" s="821"/>
      <c r="K740" s="821"/>
      <c r="L740" s="821"/>
      <c r="M740" s="677"/>
      <c r="N740" s="821"/>
      <c r="O740" s="821"/>
      <c r="P740" s="677"/>
      <c r="Q740" s="677"/>
      <c r="R740" s="677"/>
      <c r="S740" s="677"/>
      <c r="T740" s="677"/>
      <c r="U740" s="677"/>
      <c r="V740" s="677"/>
      <c r="W740" s="677"/>
      <c r="X740" s="677"/>
      <c r="Y740" s="677"/>
      <c r="Z740" s="677"/>
      <c r="AA740" s="677"/>
      <c r="AB740" s="677"/>
      <c r="AC740" s="677"/>
      <c r="AD740" s="677"/>
    </row>
    <row r="741">
      <c r="A741" s="867"/>
      <c r="B741" s="708"/>
      <c r="C741" s="852"/>
      <c r="D741" s="656"/>
      <c r="E741" s="821"/>
      <c r="F741" s="821"/>
      <c r="G741" s="821"/>
      <c r="H741" s="821"/>
      <c r="I741" s="821"/>
      <c r="J741" s="821"/>
      <c r="K741" s="821"/>
      <c r="L741" s="821"/>
      <c r="M741" s="677"/>
      <c r="N741" s="821"/>
      <c r="O741" s="821"/>
      <c r="P741" s="677"/>
      <c r="Q741" s="677"/>
      <c r="R741" s="677"/>
      <c r="S741" s="677"/>
      <c r="T741" s="677"/>
      <c r="U741" s="677"/>
      <c r="V741" s="677"/>
      <c r="W741" s="677"/>
      <c r="X741" s="677"/>
      <c r="Y741" s="677"/>
      <c r="Z741" s="677"/>
      <c r="AA741" s="677"/>
      <c r="AB741" s="677"/>
      <c r="AC741" s="677"/>
      <c r="AD741" s="677"/>
    </row>
    <row r="742">
      <c r="A742" s="867"/>
      <c r="B742" s="708"/>
      <c r="C742" s="852"/>
      <c r="D742" s="656"/>
      <c r="E742" s="821"/>
      <c r="F742" s="821"/>
      <c r="G742" s="821"/>
      <c r="H742" s="821"/>
      <c r="I742" s="821"/>
      <c r="J742" s="821"/>
      <c r="K742" s="821"/>
      <c r="L742" s="821"/>
      <c r="M742" s="677"/>
      <c r="N742" s="821"/>
      <c r="O742" s="821"/>
      <c r="P742" s="677"/>
      <c r="Q742" s="677"/>
      <c r="R742" s="677"/>
      <c r="S742" s="677"/>
      <c r="T742" s="677"/>
      <c r="U742" s="677"/>
      <c r="V742" s="677"/>
      <c r="W742" s="677"/>
      <c r="X742" s="677"/>
      <c r="Y742" s="677"/>
      <c r="Z742" s="677"/>
      <c r="AA742" s="677"/>
      <c r="AB742" s="677"/>
      <c r="AC742" s="677"/>
      <c r="AD742" s="677"/>
    </row>
    <row r="743">
      <c r="A743" s="867"/>
      <c r="B743" s="708"/>
      <c r="C743" s="852"/>
      <c r="D743" s="656"/>
      <c r="E743" s="821"/>
      <c r="F743" s="821"/>
      <c r="G743" s="821"/>
      <c r="H743" s="821"/>
      <c r="I743" s="821"/>
      <c r="J743" s="821"/>
      <c r="K743" s="821"/>
      <c r="L743" s="821"/>
      <c r="M743" s="677"/>
      <c r="N743" s="821"/>
      <c r="O743" s="821"/>
      <c r="P743" s="677"/>
      <c r="Q743" s="677"/>
      <c r="R743" s="677"/>
      <c r="S743" s="677"/>
      <c r="T743" s="677"/>
      <c r="U743" s="677"/>
      <c r="V743" s="677"/>
      <c r="W743" s="677"/>
      <c r="X743" s="677"/>
      <c r="Y743" s="677"/>
      <c r="Z743" s="677"/>
      <c r="AA743" s="677"/>
      <c r="AB743" s="677"/>
      <c r="AC743" s="677"/>
      <c r="AD743" s="677"/>
    </row>
    <row r="744">
      <c r="A744" s="867"/>
      <c r="B744" s="708"/>
      <c r="C744" s="852"/>
      <c r="D744" s="656"/>
      <c r="E744" s="821"/>
      <c r="F744" s="821"/>
      <c r="G744" s="821"/>
      <c r="H744" s="821"/>
      <c r="I744" s="821"/>
      <c r="J744" s="821"/>
      <c r="K744" s="821"/>
      <c r="L744" s="821"/>
      <c r="M744" s="677"/>
      <c r="N744" s="821"/>
      <c r="O744" s="821"/>
      <c r="P744" s="677"/>
      <c r="Q744" s="677"/>
      <c r="R744" s="677"/>
      <c r="S744" s="677"/>
      <c r="T744" s="677"/>
      <c r="U744" s="677"/>
      <c r="V744" s="677"/>
      <c r="W744" s="677"/>
      <c r="X744" s="677"/>
      <c r="Y744" s="677"/>
      <c r="Z744" s="677"/>
      <c r="AA744" s="677"/>
      <c r="AB744" s="677"/>
      <c r="AC744" s="677"/>
      <c r="AD744" s="677"/>
    </row>
    <row r="745">
      <c r="A745" s="867"/>
      <c r="B745" s="708"/>
      <c r="C745" s="852"/>
      <c r="D745" s="656"/>
      <c r="E745" s="821"/>
      <c r="F745" s="821"/>
      <c r="G745" s="821"/>
      <c r="H745" s="821"/>
      <c r="I745" s="821"/>
      <c r="J745" s="821"/>
      <c r="K745" s="821"/>
      <c r="L745" s="821"/>
      <c r="M745" s="677"/>
      <c r="N745" s="821"/>
      <c r="O745" s="821"/>
      <c r="P745" s="677"/>
      <c r="Q745" s="677"/>
      <c r="R745" s="677"/>
      <c r="S745" s="677"/>
      <c r="T745" s="677"/>
      <c r="U745" s="677"/>
      <c r="V745" s="677"/>
      <c r="W745" s="677"/>
      <c r="X745" s="677"/>
      <c r="Y745" s="677"/>
      <c r="Z745" s="677"/>
      <c r="AA745" s="677"/>
      <c r="AB745" s="677"/>
      <c r="AC745" s="677"/>
      <c r="AD745" s="677"/>
    </row>
    <row r="746">
      <c r="A746" s="867"/>
      <c r="B746" s="708"/>
      <c r="C746" s="852"/>
      <c r="D746" s="656"/>
      <c r="E746" s="821"/>
      <c r="F746" s="821"/>
      <c r="G746" s="821"/>
      <c r="H746" s="821"/>
      <c r="I746" s="821"/>
      <c r="J746" s="821"/>
      <c r="K746" s="821"/>
      <c r="L746" s="821"/>
      <c r="M746" s="677"/>
      <c r="N746" s="821"/>
      <c r="O746" s="821"/>
      <c r="P746" s="677"/>
      <c r="Q746" s="677"/>
      <c r="R746" s="677"/>
      <c r="S746" s="677"/>
      <c r="T746" s="677"/>
      <c r="U746" s="677"/>
      <c r="V746" s="677"/>
      <c r="W746" s="677"/>
      <c r="X746" s="677"/>
      <c r="Y746" s="677"/>
      <c r="Z746" s="677"/>
      <c r="AA746" s="677"/>
      <c r="AB746" s="677"/>
      <c r="AC746" s="677"/>
      <c r="AD746" s="677"/>
    </row>
    <row r="747">
      <c r="A747" s="867"/>
      <c r="B747" s="708"/>
      <c r="C747" s="852"/>
      <c r="D747" s="656"/>
      <c r="E747" s="821"/>
      <c r="F747" s="821"/>
      <c r="G747" s="821"/>
      <c r="H747" s="821"/>
      <c r="I747" s="821"/>
      <c r="J747" s="821"/>
      <c r="K747" s="821"/>
      <c r="L747" s="821"/>
      <c r="M747" s="677"/>
      <c r="N747" s="821"/>
      <c r="O747" s="821"/>
      <c r="P747" s="677"/>
      <c r="Q747" s="677"/>
      <c r="R747" s="677"/>
      <c r="S747" s="677"/>
      <c r="T747" s="677"/>
      <c r="U747" s="677"/>
      <c r="V747" s="677"/>
      <c r="W747" s="677"/>
      <c r="X747" s="677"/>
      <c r="Y747" s="677"/>
      <c r="Z747" s="677"/>
      <c r="AA747" s="677"/>
      <c r="AB747" s="677"/>
      <c r="AC747" s="677"/>
      <c r="AD747" s="677"/>
    </row>
    <row r="748">
      <c r="A748" s="867"/>
      <c r="B748" s="708"/>
      <c r="C748" s="852"/>
      <c r="D748" s="656"/>
      <c r="E748" s="821"/>
      <c r="F748" s="821"/>
      <c r="G748" s="821"/>
      <c r="H748" s="821"/>
      <c r="I748" s="821"/>
      <c r="J748" s="821"/>
      <c r="K748" s="821"/>
      <c r="L748" s="821"/>
      <c r="M748" s="677"/>
      <c r="N748" s="821"/>
      <c r="O748" s="821"/>
      <c r="P748" s="677"/>
      <c r="Q748" s="677"/>
      <c r="R748" s="677"/>
      <c r="S748" s="677"/>
      <c r="T748" s="677"/>
      <c r="U748" s="677"/>
      <c r="V748" s="677"/>
      <c r="W748" s="677"/>
      <c r="X748" s="677"/>
      <c r="Y748" s="677"/>
      <c r="Z748" s="677"/>
      <c r="AA748" s="677"/>
      <c r="AB748" s="677"/>
      <c r="AC748" s="677"/>
      <c r="AD748" s="677"/>
    </row>
    <row r="749">
      <c r="A749" s="867"/>
      <c r="B749" s="708"/>
      <c r="C749" s="852"/>
      <c r="D749" s="656"/>
      <c r="E749" s="821"/>
      <c r="F749" s="821"/>
      <c r="G749" s="821"/>
      <c r="H749" s="821"/>
      <c r="I749" s="821"/>
      <c r="J749" s="821"/>
      <c r="K749" s="821"/>
      <c r="L749" s="821"/>
      <c r="M749" s="677"/>
      <c r="N749" s="821"/>
      <c r="O749" s="821"/>
      <c r="P749" s="677"/>
      <c r="Q749" s="677"/>
      <c r="R749" s="677"/>
      <c r="S749" s="677"/>
      <c r="T749" s="677"/>
      <c r="U749" s="677"/>
      <c r="V749" s="677"/>
      <c r="W749" s="677"/>
      <c r="X749" s="677"/>
      <c r="Y749" s="677"/>
      <c r="Z749" s="677"/>
      <c r="AA749" s="677"/>
      <c r="AB749" s="677"/>
      <c r="AC749" s="677"/>
      <c r="AD749" s="677"/>
    </row>
    <row r="750">
      <c r="A750" s="867"/>
      <c r="B750" s="708"/>
      <c r="C750" s="852"/>
      <c r="D750" s="656"/>
      <c r="E750" s="821"/>
      <c r="F750" s="821"/>
      <c r="G750" s="821"/>
      <c r="H750" s="821"/>
      <c r="I750" s="821"/>
      <c r="J750" s="821"/>
      <c r="K750" s="821"/>
      <c r="L750" s="821"/>
      <c r="M750" s="677"/>
      <c r="N750" s="821"/>
      <c r="O750" s="821"/>
      <c r="P750" s="677"/>
      <c r="Q750" s="677"/>
      <c r="R750" s="677"/>
      <c r="S750" s="677"/>
      <c r="T750" s="677"/>
      <c r="U750" s="677"/>
      <c r="V750" s="677"/>
      <c r="W750" s="677"/>
      <c r="X750" s="677"/>
      <c r="Y750" s="677"/>
      <c r="Z750" s="677"/>
      <c r="AA750" s="677"/>
      <c r="AB750" s="677"/>
      <c r="AC750" s="677"/>
      <c r="AD750" s="677"/>
    </row>
    <row r="751">
      <c r="A751" s="867"/>
      <c r="B751" s="674"/>
      <c r="C751" s="852"/>
      <c r="D751" s="656"/>
      <c r="E751" s="821"/>
      <c r="F751" s="821"/>
      <c r="G751" s="821"/>
      <c r="H751" s="821"/>
      <c r="I751" s="821"/>
      <c r="J751" s="821"/>
      <c r="K751" s="821"/>
      <c r="L751" s="821"/>
      <c r="M751" s="677"/>
      <c r="N751" s="821"/>
      <c r="O751" s="821"/>
      <c r="P751" s="677"/>
      <c r="Q751" s="677"/>
      <c r="R751" s="677"/>
      <c r="S751" s="677"/>
      <c r="T751" s="677"/>
      <c r="U751" s="677"/>
      <c r="V751" s="677"/>
      <c r="W751" s="677"/>
      <c r="X751" s="677"/>
      <c r="Y751" s="677"/>
      <c r="Z751" s="677"/>
      <c r="AA751" s="677"/>
      <c r="AB751" s="677"/>
      <c r="AC751" s="677"/>
      <c r="AD751" s="677"/>
    </row>
    <row r="752">
      <c r="A752" s="867"/>
      <c r="B752" s="708"/>
      <c r="C752" s="852"/>
      <c r="D752" s="656"/>
      <c r="E752" s="821"/>
      <c r="F752" s="821"/>
      <c r="G752" s="821"/>
      <c r="H752" s="821"/>
      <c r="I752" s="821"/>
      <c r="J752" s="821"/>
      <c r="K752" s="821"/>
      <c r="L752" s="821"/>
      <c r="M752" s="677"/>
      <c r="N752" s="821"/>
      <c r="O752" s="821"/>
      <c r="P752" s="677"/>
      <c r="Q752" s="677"/>
      <c r="R752" s="677"/>
      <c r="S752" s="677"/>
      <c r="T752" s="677"/>
      <c r="U752" s="677"/>
      <c r="V752" s="677"/>
      <c r="W752" s="677"/>
      <c r="X752" s="677"/>
      <c r="Y752" s="677"/>
      <c r="Z752" s="677"/>
      <c r="AA752" s="677"/>
      <c r="AB752" s="677"/>
      <c r="AC752" s="677"/>
      <c r="AD752" s="677"/>
    </row>
    <row r="753">
      <c r="A753" s="867"/>
      <c r="B753" s="708"/>
      <c r="C753" s="852"/>
      <c r="D753" s="656"/>
      <c r="E753" s="821"/>
      <c r="F753" s="821"/>
      <c r="G753" s="821"/>
      <c r="H753" s="821"/>
      <c r="I753" s="821"/>
      <c r="J753" s="821"/>
      <c r="K753" s="821"/>
      <c r="L753" s="821"/>
      <c r="M753" s="677"/>
      <c r="N753" s="821"/>
      <c r="O753" s="821"/>
      <c r="P753" s="677"/>
      <c r="Q753" s="677"/>
      <c r="R753" s="677"/>
      <c r="S753" s="677"/>
      <c r="T753" s="677"/>
      <c r="U753" s="677"/>
      <c r="V753" s="677"/>
      <c r="W753" s="677"/>
      <c r="X753" s="677"/>
      <c r="Y753" s="677"/>
      <c r="Z753" s="677"/>
      <c r="AA753" s="677"/>
      <c r="AB753" s="677"/>
      <c r="AC753" s="677"/>
      <c r="AD753" s="677"/>
    </row>
    <row r="754">
      <c r="A754" s="867"/>
      <c r="B754" s="708"/>
      <c r="C754" s="852"/>
      <c r="D754" s="656"/>
      <c r="E754" s="821"/>
      <c r="F754" s="821"/>
      <c r="G754" s="821"/>
      <c r="H754" s="821"/>
      <c r="I754" s="821"/>
      <c r="J754" s="821"/>
      <c r="K754" s="821"/>
      <c r="L754" s="821"/>
      <c r="M754" s="677"/>
      <c r="N754" s="821"/>
      <c r="O754" s="821"/>
      <c r="P754" s="677"/>
      <c r="Q754" s="677"/>
      <c r="R754" s="677"/>
      <c r="S754" s="677"/>
      <c r="T754" s="677"/>
      <c r="U754" s="677"/>
      <c r="V754" s="677"/>
      <c r="W754" s="677"/>
      <c r="X754" s="677"/>
      <c r="Y754" s="677"/>
      <c r="Z754" s="677"/>
      <c r="AA754" s="677"/>
      <c r="AB754" s="677"/>
      <c r="AC754" s="677"/>
      <c r="AD754" s="677"/>
    </row>
    <row r="755">
      <c r="A755" s="867"/>
      <c r="B755" s="708"/>
      <c r="C755" s="852"/>
      <c r="D755" s="656"/>
      <c r="E755" s="821"/>
      <c r="F755" s="821"/>
      <c r="G755" s="821"/>
      <c r="H755" s="821"/>
      <c r="I755" s="821"/>
      <c r="J755" s="821"/>
      <c r="K755" s="821"/>
      <c r="L755" s="821"/>
      <c r="M755" s="677"/>
      <c r="N755" s="821"/>
      <c r="O755" s="821"/>
      <c r="P755" s="677"/>
      <c r="Q755" s="677"/>
      <c r="R755" s="677"/>
      <c r="S755" s="677"/>
      <c r="T755" s="677"/>
      <c r="U755" s="677"/>
      <c r="V755" s="677"/>
      <c r="W755" s="677"/>
      <c r="X755" s="677"/>
      <c r="Y755" s="677"/>
      <c r="Z755" s="677"/>
      <c r="AA755" s="677"/>
      <c r="AB755" s="677"/>
      <c r="AC755" s="677"/>
      <c r="AD755" s="677"/>
    </row>
    <row r="756">
      <c r="A756" s="867"/>
      <c r="B756" s="708"/>
      <c r="C756" s="852"/>
      <c r="D756" s="656"/>
      <c r="E756" s="821"/>
      <c r="F756" s="821"/>
      <c r="G756" s="821"/>
      <c r="H756" s="821"/>
      <c r="I756" s="821"/>
      <c r="J756" s="821"/>
      <c r="K756" s="821"/>
      <c r="L756" s="821"/>
      <c r="M756" s="677"/>
      <c r="N756" s="821"/>
      <c r="O756" s="821"/>
      <c r="P756" s="677"/>
      <c r="Q756" s="677"/>
      <c r="R756" s="677"/>
      <c r="S756" s="677"/>
      <c r="T756" s="677"/>
      <c r="U756" s="677"/>
      <c r="V756" s="677"/>
      <c r="W756" s="677"/>
      <c r="X756" s="677"/>
      <c r="Y756" s="677"/>
      <c r="Z756" s="677"/>
      <c r="AA756" s="677"/>
      <c r="AB756" s="677"/>
      <c r="AC756" s="677"/>
      <c r="AD756" s="677"/>
    </row>
    <row r="757">
      <c r="A757" s="867"/>
      <c r="B757" s="708"/>
      <c r="C757" s="852"/>
      <c r="D757" s="656"/>
      <c r="E757" s="821"/>
      <c r="F757" s="821"/>
      <c r="G757" s="821"/>
      <c r="H757" s="821"/>
      <c r="I757" s="821"/>
      <c r="J757" s="821"/>
      <c r="K757" s="821"/>
      <c r="L757" s="821"/>
      <c r="M757" s="677"/>
      <c r="N757" s="821"/>
      <c r="O757" s="821"/>
      <c r="P757" s="677"/>
      <c r="Q757" s="677"/>
      <c r="R757" s="677"/>
      <c r="S757" s="677"/>
      <c r="T757" s="677"/>
      <c r="U757" s="677"/>
      <c r="V757" s="677"/>
      <c r="W757" s="677"/>
      <c r="X757" s="677"/>
      <c r="Y757" s="677"/>
      <c r="Z757" s="677"/>
      <c r="AA757" s="677"/>
      <c r="AB757" s="677"/>
      <c r="AC757" s="677"/>
      <c r="AD757" s="677"/>
    </row>
    <row r="758">
      <c r="A758" s="867"/>
      <c r="B758" s="708"/>
      <c r="C758" s="852"/>
      <c r="D758" s="656"/>
      <c r="E758" s="821"/>
      <c r="F758" s="821"/>
      <c r="G758" s="821"/>
      <c r="H758" s="821"/>
      <c r="I758" s="821"/>
      <c r="J758" s="821"/>
      <c r="K758" s="821"/>
      <c r="L758" s="821"/>
      <c r="M758" s="677"/>
      <c r="N758" s="821"/>
      <c r="O758" s="821"/>
      <c r="P758" s="677"/>
      <c r="Q758" s="677"/>
      <c r="R758" s="677"/>
      <c r="S758" s="677"/>
      <c r="T758" s="677"/>
      <c r="U758" s="677"/>
      <c r="V758" s="677"/>
      <c r="W758" s="677"/>
      <c r="X758" s="677"/>
      <c r="Y758" s="677"/>
      <c r="Z758" s="677"/>
      <c r="AA758" s="677"/>
      <c r="AB758" s="677"/>
      <c r="AC758" s="677"/>
      <c r="AD758" s="677"/>
    </row>
    <row r="759">
      <c r="A759" s="867"/>
      <c r="B759" s="708"/>
      <c r="C759" s="852"/>
      <c r="D759" s="656"/>
      <c r="E759" s="821"/>
      <c r="F759" s="821"/>
      <c r="G759" s="821"/>
      <c r="H759" s="821"/>
      <c r="I759" s="821"/>
      <c r="J759" s="821"/>
      <c r="K759" s="821"/>
      <c r="L759" s="821"/>
      <c r="M759" s="677"/>
      <c r="N759" s="821"/>
      <c r="O759" s="821"/>
      <c r="P759" s="677"/>
      <c r="Q759" s="677"/>
      <c r="R759" s="677"/>
      <c r="S759" s="677"/>
      <c r="T759" s="677"/>
      <c r="U759" s="677"/>
      <c r="V759" s="677"/>
      <c r="W759" s="677"/>
      <c r="X759" s="677"/>
      <c r="Y759" s="677"/>
      <c r="Z759" s="677"/>
      <c r="AA759" s="677"/>
      <c r="AB759" s="677"/>
      <c r="AC759" s="677"/>
      <c r="AD759" s="677"/>
    </row>
    <row r="760">
      <c r="A760" s="867"/>
      <c r="B760" s="708"/>
      <c r="C760" s="852"/>
      <c r="D760" s="656"/>
      <c r="E760" s="821"/>
      <c r="F760" s="821"/>
      <c r="G760" s="821"/>
      <c r="H760" s="821"/>
      <c r="I760" s="821"/>
      <c r="J760" s="821"/>
      <c r="K760" s="821"/>
      <c r="L760" s="821"/>
      <c r="M760" s="677"/>
      <c r="N760" s="821"/>
      <c r="O760" s="821"/>
      <c r="P760" s="677"/>
      <c r="Q760" s="677"/>
      <c r="R760" s="677"/>
      <c r="S760" s="677"/>
      <c r="T760" s="677"/>
      <c r="U760" s="677"/>
      <c r="V760" s="677"/>
      <c r="W760" s="677"/>
      <c r="X760" s="677"/>
      <c r="Y760" s="677"/>
      <c r="Z760" s="677"/>
      <c r="AA760" s="677"/>
      <c r="AB760" s="677"/>
      <c r="AC760" s="677"/>
      <c r="AD760" s="677"/>
    </row>
    <row r="761">
      <c r="A761" s="867"/>
      <c r="B761" s="708"/>
      <c r="C761" s="852"/>
      <c r="D761" s="656"/>
      <c r="E761" s="821"/>
      <c r="F761" s="821"/>
      <c r="G761" s="821"/>
      <c r="H761" s="821"/>
      <c r="I761" s="821"/>
      <c r="J761" s="821"/>
      <c r="K761" s="821"/>
      <c r="L761" s="821"/>
      <c r="M761" s="677"/>
      <c r="N761" s="821"/>
      <c r="O761" s="821"/>
      <c r="P761" s="677"/>
      <c r="Q761" s="677"/>
      <c r="R761" s="677"/>
      <c r="S761" s="677"/>
      <c r="T761" s="677"/>
      <c r="U761" s="677"/>
      <c r="V761" s="677"/>
      <c r="W761" s="677"/>
      <c r="X761" s="677"/>
      <c r="Y761" s="677"/>
      <c r="Z761" s="677"/>
      <c r="AA761" s="677"/>
      <c r="AB761" s="677"/>
      <c r="AC761" s="677"/>
      <c r="AD761" s="677"/>
    </row>
    <row r="762">
      <c r="A762" s="867"/>
      <c r="B762" s="708"/>
      <c r="C762" s="852"/>
      <c r="D762" s="656"/>
      <c r="E762" s="821"/>
      <c r="F762" s="821"/>
      <c r="G762" s="821"/>
      <c r="H762" s="821"/>
      <c r="I762" s="821"/>
      <c r="J762" s="821"/>
      <c r="K762" s="821"/>
      <c r="L762" s="821"/>
      <c r="M762" s="677"/>
      <c r="N762" s="821"/>
      <c r="O762" s="821"/>
      <c r="P762" s="677"/>
      <c r="Q762" s="677"/>
      <c r="R762" s="677"/>
      <c r="S762" s="677"/>
      <c r="T762" s="677"/>
      <c r="U762" s="677"/>
      <c r="V762" s="677"/>
      <c r="W762" s="677"/>
      <c r="X762" s="677"/>
      <c r="Y762" s="677"/>
      <c r="Z762" s="677"/>
      <c r="AA762" s="677"/>
      <c r="AB762" s="677"/>
      <c r="AC762" s="677"/>
      <c r="AD762" s="677"/>
    </row>
    <row r="763">
      <c r="A763" s="867"/>
      <c r="B763" s="708"/>
      <c r="C763" s="852"/>
      <c r="D763" s="656"/>
      <c r="E763" s="821"/>
      <c r="F763" s="821"/>
      <c r="G763" s="821"/>
      <c r="H763" s="821"/>
      <c r="I763" s="821"/>
      <c r="J763" s="821"/>
      <c r="K763" s="821"/>
      <c r="L763" s="821"/>
      <c r="M763" s="677"/>
      <c r="N763" s="821"/>
      <c r="O763" s="821"/>
      <c r="P763" s="677"/>
      <c r="Q763" s="677"/>
      <c r="R763" s="677"/>
      <c r="S763" s="677"/>
      <c r="T763" s="677"/>
      <c r="U763" s="677"/>
      <c r="V763" s="677"/>
      <c r="W763" s="677"/>
      <c r="X763" s="677"/>
      <c r="Y763" s="677"/>
      <c r="Z763" s="677"/>
      <c r="AA763" s="677"/>
      <c r="AB763" s="677"/>
      <c r="AC763" s="677"/>
      <c r="AD763" s="677"/>
    </row>
    <row r="764">
      <c r="A764" s="867"/>
      <c r="B764" s="708"/>
      <c r="C764" s="852"/>
      <c r="D764" s="656"/>
      <c r="E764" s="821"/>
      <c r="F764" s="821"/>
      <c r="G764" s="821"/>
      <c r="H764" s="821"/>
      <c r="I764" s="821"/>
      <c r="J764" s="821"/>
      <c r="K764" s="821"/>
      <c r="L764" s="821"/>
      <c r="M764" s="677"/>
      <c r="N764" s="821"/>
      <c r="O764" s="821"/>
      <c r="P764" s="677"/>
      <c r="Q764" s="677"/>
      <c r="R764" s="677"/>
      <c r="S764" s="677"/>
      <c r="T764" s="677"/>
      <c r="U764" s="677"/>
      <c r="V764" s="677"/>
      <c r="W764" s="677"/>
      <c r="X764" s="677"/>
      <c r="Y764" s="677"/>
      <c r="Z764" s="677"/>
      <c r="AA764" s="677"/>
      <c r="AB764" s="677"/>
      <c r="AC764" s="677"/>
      <c r="AD764" s="677"/>
    </row>
    <row r="765">
      <c r="A765" s="867"/>
      <c r="B765" s="674"/>
      <c r="C765" s="852"/>
      <c r="D765" s="656"/>
      <c r="E765" s="821"/>
      <c r="F765" s="821"/>
      <c r="G765" s="821"/>
      <c r="H765" s="821"/>
      <c r="I765" s="821"/>
      <c r="J765" s="821"/>
      <c r="K765" s="821"/>
      <c r="L765" s="821"/>
      <c r="M765" s="677"/>
      <c r="N765" s="821"/>
      <c r="O765" s="821"/>
      <c r="P765" s="677"/>
      <c r="Q765" s="677"/>
      <c r="R765" s="677"/>
      <c r="S765" s="677"/>
      <c r="T765" s="677"/>
      <c r="U765" s="677"/>
      <c r="V765" s="677"/>
      <c r="W765" s="677"/>
      <c r="X765" s="677"/>
      <c r="Y765" s="677"/>
      <c r="Z765" s="677"/>
      <c r="AA765" s="677"/>
      <c r="AB765" s="677"/>
      <c r="AC765" s="677"/>
      <c r="AD765" s="677"/>
    </row>
    <row r="766">
      <c r="A766" s="867"/>
      <c r="B766" s="674"/>
      <c r="C766" s="852"/>
      <c r="D766" s="656"/>
      <c r="E766" s="821"/>
      <c r="F766" s="821"/>
      <c r="G766" s="821"/>
      <c r="H766" s="821"/>
      <c r="I766" s="821"/>
      <c r="J766" s="821"/>
      <c r="K766" s="821"/>
      <c r="L766" s="821"/>
      <c r="M766" s="677"/>
      <c r="N766" s="821"/>
      <c r="O766" s="821"/>
      <c r="P766" s="677"/>
      <c r="Q766" s="677"/>
      <c r="R766" s="677"/>
      <c r="S766" s="677"/>
      <c r="T766" s="677"/>
      <c r="U766" s="677"/>
      <c r="V766" s="677"/>
      <c r="W766" s="677"/>
      <c r="X766" s="677"/>
      <c r="Y766" s="677"/>
      <c r="Z766" s="677"/>
      <c r="AA766" s="677"/>
      <c r="AB766" s="677"/>
      <c r="AC766" s="677"/>
      <c r="AD766" s="677"/>
    </row>
    <row r="767">
      <c r="A767" s="867"/>
      <c r="B767" s="674"/>
      <c r="C767" s="852"/>
      <c r="D767" s="656"/>
      <c r="E767" s="821"/>
      <c r="F767" s="821"/>
      <c r="G767" s="821"/>
      <c r="H767" s="821"/>
      <c r="I767" s="821"/>
      <c r="J767" s="821"/>
      <c r="K767" s="821"/>
      <c r="L767" s="821"/>
      <c r="M767" s="677"/>
      <c r="N767" s="821"/>
      <c r="O767" s="821"/>
      <c r="P767" s="677"/>
      <c r="Q767" s="677"/>
      <c r="R767" s="677"/>
      <c r="S767" s="677"/>
      <c r="T767" s="677"/>
      <c r="U767" s="677"/>
      <c r="V767" s="677"/>
      <c r="W767" s="677"/>
      <c r="X767" s="677"/>
      <c r="Y767" s="677"/>
      <c r="Z767" s="677"/>
      <c r="AA767" s="677"/>
      <c r="AB767" s="677"/>
      <c r="AC767" s="677"/>
      <c r="AD767" s="677"/>
    </row>
    <row r="768">
      <c r="A768" s="867"/>
      <c r="B768" s="708"/>
      <c r="C768" s="852"/>
      <c r="D768" s="656"/>
      <c r="E768" s="821"/>
      <c r="F768" s="821"/>
      <c r="G768" s="821"/>
      <c r="H768" s="821"/>
      <c r="I768" s="821"/>
      <c r="J768" s="821"/>
      <c r="K768" s="821"/>
      <c r="L768" s="821"/>
      <c r="M768" s="677"/>
      <c r="N768" s="821"/>
      <c r="O768" s="821"/>
      <c r="P768" s="677"/>
      <c r="Q768" s="677"/>
      <c r="R768" s="677"/>
      <c r="S768" s="677"/>
      <c r="T768" s="677"/>
      <c r="U768" s="677"/>
      <c r="V768" s="677"/>
      <c r="W768" s="677"/>
      <c r="X768" s="677"/>
      <c r="Y768" s="677"/>
      <c r="Z768" s="677"/>
      <c r="AA768" s="677"/>
      <c r="AB768" s="677"/>
      <c r="AC768" s="677"/>
      <c r="AD768" s="677"/>
    </row>
    <row r="769">
      <c r="A769" s="867"/>
      <c r="B769" s="674"/>
      <c r="C769" s="852"/>
      <c r="D769" s="656"/>
      <c r="E769" s="821"/>
      <c r="F769" s="821"/>
      <c r="G769" s="821"/>
      <c r="H769" s="821"/>
      <c r="I769" s="821"/>
      <c r="J769" s="821"/>
      <c r="K769" s="821"/>
      <c r="L769" s="821"/>
      <c r="M769" s="677"/>
      <c r="N769" s="821"/>
      <c r="O769" s="821"/>
      <c r="P769" s="677"/>
      <c r="Q769" s="677"/>
      <c r="R769" s="677"/>
      <c r="S769" s="677"/>
      <c r="T769" s="677"/>
      <c r="U769" s="677"/>
      <c r="V769" s="677"/>
      <c r="W769" s="677"/>
      <c r="X769" s="677"/>
      <c r="Y769" s="677"/>
      <c r="Z769" s="677"/>
      <c r="AA769" s="677"/>
      <c r="AB769" s="677"/>
      <c r="AC769" s="677"/>
      <c r="AD769" s="677"/>
    </row>
    <row r="770">
      <c r="A770" s="867"/>
      <c r="B770" s="674"/>
      <c r="C770" s="852"/>
      <c r="D770" s="656"/>
      <c r="E770" s="821"/>
      <c r="F770" s="821"/>
      <c r="G770" s="821"/>
      <c r="H770" s="821"/>
      <c r="I770" s="821"/>
      <c r="J770" s="821"/>
      <c r="K770" s="821"/>
      <c r="L770" s="821"/>
      <c r="M770" s="677"/>
      <c r="N770" s="821"/>
      <c r="O770" s="821"/>
      <c r="P770" s="677"/>
      <c r="Q770" s="677"/>
      <c r="R770" s="677"/>
      <c r="S770" s="677"/>
      <c r="T770" s="677"/>
      <c r="U770" s="677"/>
      <c r="V770" s="677"/>
      <c r="W770" s="677"/>
      <c r="X770" s="677"/>
      <c r="Y770" s="677"/>
      <c r="Z770" s="677"/>
      <c r="AA770" s="677"/>
      <c r="AB770" s="677"/>
      <c r="AC770" s="677"/>
      <c r="AD770" s="677"/>
    </row>
    <row r="771">
      <c r="A771" s="867"/>
      <c r="B771" s="674"/>
      <c r="C771" s="852"/>
      <c r="D771" s="656"/>
      <c r="E771" s="821"/>
      <c r="F771" s="821"/>
      <c r="G771" s="821"/>
      <c r="H771" s="821"/>
      <c r="I771" s="821"/>
      <c r="J771" s="821"/>
      <c r="K771" s="821"/>
      <c r="L771" s="821"/>
      <c r="M771" s="677"/>
      <c r="N771" s="821"/>
      <c r="O771" s="821"/>
      <c r="P771" s="677"/>
      <c r="Q771" s="677"/>
      <c r="R771" s="677"/>
      <c r="S771" s="677"/>
      <c r="T771" s="677"/>
      <c r="U771" s="677"/>
      <c r="V771" s="677"/>
      <c r="W771" s="677"/>
      <c r="X771" s="677"/>
      <c r="Y771" s="677"/>
      <c r="Z771" s="677"/>
      <c r="AA771" s="677"/>
      <c r="AB771" s="677"/>
      <c r="AC771" s="677"/>
      <c r="AD771" s="677"/>
    </row>
    <row r="772">
      <c r="A772" s="867"/>
      <c r="B772" s="708"/>
      <c r="C772" s="852"/>
      <c r="D772" s="656"/>
      <c r="E772" s="821"/>
      <c r="F772" s="821"/>
      <c r="G772" s="821"/>
      <c r="H772" s="821"/>
      <c r="I772" s="821"/>
      <c r="J772" s="821"/>
      <c r="K772" s="821"/>
      <c r="L772" s="821"/>
      <c r="M772" s="677"/>
      <c r="N772" s="821"/>
      <c r="O772" s="821"/>
      <c r="P772" s="677"/>
      <c r="Q772" s="677"/>
      <c r="R772" s="677"/>
      <c r="S772" s="677"/>
      <c r="T772" s="677"/>
      <c r="U772" s="677"/>
      <c r="V772" s="677"/>
      <c r="W772" s="677"/>
      <c r="X772" s="677"/>
      <c r="Y772" s="677"/>
      <c r="Z772" s="677"/>
      <c r="AA772" s="677"/>
      <c r="AB772" s="677"/>
      <c r="AC772" s="677"/>
      <c r="AD772" s="677"/>
    </row>
    <row r="773">
      <c r="A773" s="867"/>
      <c r="B773" s="708"/>
      <c r="C773" s="852"/>
      <c r="D773" s="656"/>
      <c r="E773" s="821"/>
      <c r="F773" s="821"/>
      <c r="G773" s="821"/>
      <c r="H773" s="821"/>
      <c r="I773" s="821"/>
      <c r="J773" s="821"/>
      <c r="K773" s="821"/>
      <c r="L773" s="821"/>
      <c r="M773" s="677"/>
      <c r="N773" s="821"/>
      <c r="O773" s="821"/>
      <c r="P773" s="677"/>
      <c r="Q773" s="677"/>
      <c r="R773" s="677"/>
      <c r="S773" s="677"/>
      <c r="T773" s="677"/>
      <c r="U773" s="677"/>
      <c r="V773" s="677"/>
      <c r="W773" s="677"/>
      <c r="X773" s="677"/>
      <c r="Y773" s="677"/>
      <c r="Z773" s="677"/>
      <c r="AA773" s="677"/>
      <c r="AB773" s="677"/>
      <c r="AC773" s="677"/>
      <c r="AD773" s="677"/>
    </row>
    <row r="774">
      <c r="A774" s="867"/>
      <c r="B774" s="674"/>
      <c r="C774" s="852"/>
      <c r="D774" s="656"/>
      <c r="E774" s="821"/>
      <c r="F774" s="821"/>
      <c r="G774" s="821"/>
      <c r="H774" s="821"/>
      <c r="I774" s="821"/>
      <c r="J774" s="821"/>
      <c r="K774" s="821"/>
      <c r="L774" s="821"/>
      <c r="M774" s="677"/>
      <c r="N774" s="821"/>
      <c r="O774" s="821"/>
      <c r="P774" s="677"/>
      <c r="Q774" s="677"/>
      <c r="R774" s="677"/>
      <c r="S774" s="677"/>
      <c r="T774" s="677"/>
      <c r="U774" s="677"/>
      <c r="V774" s="677"/>
      <c r="W774" s="677"/>
      <c r="X774" s="677"/>
      <c r="Y774" s="677"/>
      <c r="Z774" s="677"/>
      <c r="AA774" s="677"/>
      <c r="AB774" s="677"/>
      <c r="AC774" s="677"/>
      <c r="AD774" s="677"/>
    </row>
    <row r="775">
      <c r="A775" s="867"/>
      <c r="B775" s="674"/>
      <c r="C775" s="852"/>
      <c r="D775" s="656"/>
      <c r="E775" s="821"/>
      <c r="F775" s="821"/>
      <c r="G775" s="821"/>
      <c r="H775" s="821"/>
      <c r="I775" s="821"/>
      <c r="J775" s="821"/>
      <c r="K775" s="821"/>
      <c r="L775" s="821"/>
      <c r="M775" s="677"/>
      <c r="N775" s="821"/>
      <c r="O775" s="821"/>
      <c r="P775" s="677"/>
      <c r="Q775" s="677"/>
      <c r="R775" s="677"/>
      <c r="S775" s="677"/>
      <c r="T775" s="677"/>
      <c r="U775" s="677"/>
      <c r="V775" s="677"/>
      <c r="W775" s="677"/>
      <c r="X775" s="677"/>
      <c r="Y775" s="677"/>
      <c r="Z775" s="677"/>
      <c r="AA775" s="677"/>
      <c r="AB775" s="677"/>
      <c r="AC775" s="677"/>
      <c r="AD775" s="677"/>
    </row>
    <row r="776">
      <c r="A776" s="867"/>
      <c r="B776" s="708"/>
      <c r="C776" s="852"/>
      <c r="D776" s="656"/>
      <c r="E776" s="821"/>
      <c r="F776" s="821"/>
      <c r="G776" s="821"/>
      <c r="H776" s="821"/>
      <c r="I776" s="821"/>
      <c r="J776" s="821"/>
      <c r="K776" s="821"/>
      <c r="L776" s="821"/>
      <c r="M776" s="677"/>
      <c r="N776" s="821"/>
      <c r="O776" s="821"/>
      <c r="P776" s="677"/>
      <c r="Q776" s="677"/>
      <c r="R776" s="677"/>
      <c r="S776" s="677"/>
      <c r="T776" s="677"/>
      <c r="U776" s="677"/>
      <c r="V776" s="677"/>
      <c r="W776" s="677"/>
      <c r="X776" s="677"/>
      <c r="Y776" s="677"/>
      <c r="Z776" s="677"/>
      <c r="AA776" s="677"/>
      <c r="AB776" s="677"/>
      <c r="AC776" s="677"/>
      <c r="AD776" s="677"/>
    </row>
    <row r="777">
      <c r="A777" s="867"/>
      <c r="B777" s="708"/>
      <c r="C777" s="852"/>
      <c r="D777" s="656"/>
      <c r="E777" s="821"/>
      <c r="F777" s="821"/>
      <c r="G777" s="821"/>
      <c r="H777" s="821"/>
      <c r="I777" s="821"/>
      <c r="J777" s="821"/>
      <c r="K777" s="821"/>
      <c r="L777" s="821"/>
      <c r="M777" s="677"/>
      <c r="N777" s="821"/>
      <c r="O777" s="821"/>
      <c r="P777" s="677"/>
      <c r="Q777" s="677"/>
      <c r="R777" s="677"/>
      <c r="S777" s="677"/>
      <c r="T777" s="677"/>
      <c r="U777" s="677"/>
      <c r="V777" s="677"/>
      <c r="W777" s="677"/>
      <c r="X777" s="677"/>
      <c r="Y777" s="677"/>
      <c r="Z777" s="677"/>
      <c r="AA777" s="677"/>
      <c r="AB777" s="677"/>
      <c r="AC777" s="677"/>
      <c r="AD777" s="677"/>
    </row>
    <row r="778">
      <c r="A778" s="867"/>
      <c r="B778" s="674"/>
      <c r="C778" s="852"/>
      <c r="D778" s="656"/>
      <c r="E778" s="821"/>
      <c r="F778" s="821"/>
      <c r="G778" s="821"/>
      <c r="H778" s="821"/>
      <c r="I778" s="821"/>
      <c r="J778" s="821"/>
      <c r="K778" s="821"/>
      <c r="L778" s="821"/>
      <c r="M778" s="677"/>
      <c r="N778" s="821"/>
      <c r="O778" s="821"/>
      <c r="P778" s="677"/>
      <c r="Q778" s="677"/>
      <c r="R778" s="677"/>
      <c r="S778" s="677"/>
      <c r="T778" s="677"/>
      <c r="U778" s="677"/>
      <c r="V778" s="677"/>
      <c r="W778" s="677"/>
      <c r="X778" s="677"/>
      <c r="Y778" s="677"/>
      <c r="Z778" s="677"/>
      <c r="AA778" s="677"/>
      <c r="AB778" s="677"/>
      <c r="AC778" s="677"/>
      <c r="AD778" s="677"/>
    </row>
    <row r="779">
      <c r="A779" s="867"/>
      <c r="B779" s="708"/>
      <c r="C779" s="852"/>
      <c r="D779" s="656"/>
      <c r="E779" s="821"/>
      <c r="F779" s="821"/>
      <c r="G779" s="821"/>
      <c r="H779" s="821"/>
      <c r="I779" s="821"/>
      <c r="J779" s="821"/>
      <c r="K779" s="821"/>
      <c r="L779" s="821"/>
      <c r="M779" s="677"/>
      <c r="N779" s="821"/>
      <c r="O779" s="821"/>
      <c r="P779" s="677"/>
      <c r="Q779" s="677"/>
      <c r="R779" s="677"/>
      <c r="S779" s="677"/>
      <c r="T779" s="677"/>
      <c r="U779" s="677"/>
      <c r="V779" s="677"/>
      <c r="W779" s="677"/>
      <c r="X779" s="677"/>
      <c r="Y779" s="677"/>
      <c r="Z779" s="677"/>
      <c r="AA779" s="677"/>
      <c r="AB779" s="677"/>
      <c r="AC779" s="677"/>
      <c r="AD779" s="677"/>
    </row>
    <row r="780">
      <c r="A780" s="867"/>
      <c r="B780" s="708"/>
      <c r="C780" s="852"/>
      <c r="D780" s="656"/>
      <c r="E780" s="821"/>
      <c r="F780" s="821"/>
      <c r="G780" s="821"/>
      <c r="H780" s="821"/>
      <c r="I780" s="821"/>
      <c r="J780" s="821"/>
      <c r="K780" s="821"/>
      <c r="L780" s="821"/>
      <c r="M780" s="677"/>
      <c r="N780" s="821"/>
      <c r="O780" s="821"/>
      <c r="P780" s="677"/>
      <c r="Q780" s="677"/>
      <c r="R780" s="677"/>
      <c r="S780" s="677"/>
      <c r="T780" s="677"/>
      <c r="U780" s="677"/>
      <c r="V780" s="677"/>
      <c r="W780" s="677"/>
      <c r="X780" s="677"/>
      <c r="Y780" s="677"/>
      <c r="Z780" s="677"/>
      <c r="AA780" s="677"/>
      <c r="AB780" s="677"/>
      <c r="AC780" s="677"/>
      <c r="AD780" s="677"/>
    </row>
    <row r="781">
      <c r="A781" s="867"/>
      <c r="B781" s="708"/>
      <c r="C781" s="852"/>
      <c r="D781" s="656"/>
      <c r="E781" s="821"/>
      <c r="F781" s="821"/>
      <c r="G781" s="821"/>
      <c r="H781" s="821"/>
      <c r="I781" s="821"/>
      <c r="J781" s="821"/>
      <c r="K781" s="821"/>
      <c r="L781" s="821"/>
      <c r="M781" s="677"/>
      <c r="N781" s="821"/>
      <c r="O781" s="821"/>
      <c r="P781" s="677"/>
      <c r="Q781" s="677"/>
      <c r="R781" s="677"/>
      <c r="S781" s="677"/>
      <c r="T781" s="677"/>
      <c r="U781" s="677"/>
      <c r="V781" s="677"/>
      <c r="W781" s="677"/>
      <c r="X781" s="677"/>
      <c r="Y781" s="677"/>
      <c r="Z781" s="677"/>
      <c r="AA781" s="677"/>
      <c r="AB781" s="677"/>
      <c r="AC781" s="677"/>
      <c r="AD781" s="677"/>
    </row>
    <row r="782">
      <c r="A782" s="867"/>
      <c r="B782" s="708"/>
      <c r="C782" s="852"/>
      <c r="D782" s="656"/>
      <c r="E782" s="821"/>
      <c r="F782" s="821"/>
      <c r="G782" s="821"/>
      <c r="H782" s="821"/>
      <c r="I782" s="821"/>
      <c r="J782" s="821"/>
      <c r="K782" s="821"/>
      <c r="L782" s="821"/>
      <c r="M782" s="677"/>
      <c r="N782" s="821"/>
      <c r="O782" s="821"/>
      <c r="P782" s="677"/>
      <c r="Q782" s="677"/>
      <c r="R782" s="677"/>
      <c r="S782" s="677"/>
      <c r="T782" s="677"/>
      <c r="U782" s="677"/>
      <c r="V782" s="677"/>
      <c r="W782" s="677"/>
      <c r="X782" s="677"/>
      <c r="Y782" s="677"/>
      <c r="Z782" s="677"/>
      <c r="AA782" s="677"/>
      <c r="AB782" s="677"/>
      <c r="AC782" s="677"/>
      <c r="AD782" s="677"/>
    </row>
    <row r="783">
      <c r="A783" s="867"/>
      <c r="B783" s="674"/>
      <c r="C783" s="852"/>
      <c r="D783" s="656"/>
      <c r="E783" s="821"/>
      <c r="F783" s="821"/>
      <c r="G783" s="821"/>
      <c r="H783" s="821"/>
      <c r="I783" s="821"/>
      <c r="J783" s="821"/>
      <c r="K783" s="821"/>
      <c r="L783" s="821"/>
      <c r="M783" s="677"/>
      <c r="N783" s="821"/>
      <c r="O783" s="821"/>
      <c r="P783" s="677"/>
      <c r="Q783" s="677"/>
      <c r="R783" s="677"/>
      <c r="S783" s="677"/>
      <c r="T783" s="677"/>
      <c r="U783" s="677"/>
      <c r="V783" s="677"/>
      <c r="W783" s="677"/>
      <c r="X783" s="677"/>
      <c r="Y783" s="677"/>
      <c r="Z783" s="677"/>
      <c r="AA783" s="677"/>
      <c r="AB783" s="677"/>
      <c r="AC783" s="677"/>
      <c r="AD783" s="677"/>
    </row>
    <row r="784">
      <c r="A784" s="867"/>
      <c r="B784" s="674"/>
      <c r="C784" s="852"/>
      <c r="D784" s="656"/>
      <c r="E784" s="821"/>
      <c r="F784" s="821"/>
      <c r="G784" s="821"/>
      <c r="H784" s="821"/>
      <c r="I784" s="821"/>
      <c r="J784" s="821"/>
      <c r="K784" s="821"/>
      <c r="L784" s="821"/>
      <c r="M784" s="677"/>
      <c r="N784" s="821"/>
      <c r="O784" s="821"/>
      <c r="P784" s="677"/>
      <c r="Q784" s="677"/>
      <c r="R784" s="677"/>
      <c r="S784" s="677"/>
      <c r="T784" s="677"/>
      <c r="U784" s="677"/>
      <c r="V784" s="677"/>
      <c r="W784" s="677"/>
      <c r="X784" s="677"/>
      <c r="Y784" s="677"/>
      <c r="Z784" s="677"/>
      <c r="AA784" s="677"/>
      <c r="AB784" s="677"/>
      <c r="AC784" s="677"/>
      <c r="AD784" s="677"/>
    </row>
    <row r="785">
      <c r="A785" s="867"/>
      <c r="B785" s="674"/>
      <c r="C785" s="852"/>
      <c r="D785" s="656"/>
      <c r="E785" s="821"/>
      <c r="F785" s="821"/>
      <c r="G785" s="821"/>
      <c r="H785" s="821"/>
      <c r="I785" s="821"/>
      <c r="J785" s="821"/>
      <c r="K785" s="821"/>
      <c r="L785" s="821"/>
      <c r="M785" s="677"/>
      <c r="N785" s="821"/>
      <c r="O785" s="821"/>
      <c r="P785" s="677"/>
      <c r="Q785" s="677"/>
      <c r="R785" s="677"/>
      <c r="S785" s="677"/>
      <c r="T785" s="677"/>
      <c r="U785" s="677"/>
      <c r="V785" s="677"/>
      <c r="W785" s="677"/>
      <c r="X785" s="677"/>
      <c r="Y785" s="677"/>
      <c r="Z785" s="677"/>
      <c r="AA785" s="677"/>
      <c r="AB785" s="677"/>
      <c r="AC785" s="677"/>
      <c r="AD785" s="677"/>
    </row>
    <row r="786">
      <c r="A786" s="867"/>
      <c r="B786" s="708"/>
      <c r="C786" s="852"/>
      <c r="D786" s="656"/>
      <c r="E786" s="821"/>
      <c r="F786" s="821"/>
      <c r="G786" s="821"/>
      <c r="H786" s="821"/>
      <c r="I786" s="821"/>
      <c r="J786" s="821"/>
      <c r="K786" s="821"/>
      <c r="L786" s="821"/>
      <c r="M786" s="677"/>
      <c r="N786" s="821"/>
      <c r="O786" s="821"/>
      <c r="P786" s="677"/>
      <c r="Q786" s="677"/>
      <c r="R786" s="677"/>
      <c r="S786" s="677"/>
      <c r="T786" s="677"/>
      <c r="U786" s="677"/>
      <c r="V786" s="677"/>
      <c r="W786" s="677"/>
      <c r="X786" s="677"/>
      <c r="Y786" s="677"/>
      <c r="Z786" s="677"/>
      <c r="AA786" s="677"/>
      <c r="AB786" s="677"/>
      <c r="AC786" s="677"/>
      <c r="AD786" s="677"/>
    </row>
    <row r="787">
      <c r="A787" s="867"/>
      <c r="B787" s="674"/>
      <c r="C787" s="852"/>
      <c r="D787" s="656"/>
      <c r="E787" s="821"/>
      <c r="F787" s="821"/>
      <c r="G787" s="821"/>
      <c r="H787" s="821"/>
      <c r="I787" s="821"/>
      <c r="J787" s="821"/>
      <c r="K787" s="821"/>
      <c r="L787" s="821"/>
      <c r="M787" s="677"/>
      <c r="N787" s="821"/>
      <c r="O787" s="821"/>
      <c r="P787" s="677"/>
      <c r="Q787" s="677"/>
      <c r="R787" s="677"/>
      <c r="S787" s="677"/>
      <c r="T787" s="677"/>
      <c r="U787" s="677"/>
      <c r="V787" s="677"/>
      <c r="W787" s="677"/>
      <c r="X787" s="677"/>
      <c r="Y787" s="677"/>
      <c r="Z787" s="677"/>
      <c r="AA787" s="677"/>
      <c r="AB787" s="677"/>
      <c r="AC787" s="677"/>
      <c r="AD787" s="677"/>
    </row>
    <row r="788">
      <c r="A788" s="867"/>
      <c r="B788" s="708"/>
      <c r="C788" s="852"/>
      <c r="D788" s="656"/>
      <c r="E788" s="821"/>
      <c r="F788" s="821"/>
      <c r="G788" s="821"/>
      <c r="H788" s="821"/>
      <c r="I788" s="821"/>
      <c r="J788" s="821"/>
      <c r="K788" s="821"/>
      <c r="L788" s="821"/>
      <c r="M788" s="677"/>
      <c r="N788" s="821"/>
      <c r="O788" s="821"/>
      <c r="P788" s="677"/>
      <c r="Q788" s="677"/>
      <c r="R788" s="677"/>
      <c r="S788" s="677"/>
      <c r="T788" s="677"/>
      <c r="U788" s="677"/>
      <c r="V788" s="677"/>
      <c r="W788" s="677"/>
      <c r="X788" s="677"/>
      <c r="Y788" s="677"/>
      <c r="Z788" s="677"/>
      <c r="AA788" s="677"/>
      <c r="AB788" s="677"/>
      <c r="AC788" s="677"/>
      <c r="AD788" s="677"/>
    </row>
    <row r="789">
      <c r="A789" s="867"/>
      <c r="B789" s="674"/>
      <c r="C789" s="852"/>
      <c r="D789" s="656"/>
      <c r="E789" s="821"/>
      <c r="F789" s="821"/>
      <c r="G789" s="821"/>
      <c r="H789" s="821"/>
      <c r="I789" s="821"/>
      <c r="J789" s="821"/>
      <c r="K789" s="821"/>
      <c r="L789" s="821"/>
      <c r="M789" s="677"/>
      <c r="N789" s="821"/>
      <c r="O789" s="821"/>
      <c r="P789" s="677"/>
      <c r="Q789" s="677"/>
      <c r="R789" s="677"/>
      <c r="S789" s="677"/>
      <c r="T789" s="677"/>
      <c r="U789" s="677"/>
      <c r="V789" s="677"/>
      <c r="W789" s="677"/>
      <c r="X789" s="677"/>
      <c r="Y789" s="677"/>
      <c r="Z789" s="677"/>
      <c r="AA789" s="677"/>
      <c r="AB789" s="677"/>
      <c r="AC789" s="677"/>
      <c r="AD789" s="677"/>
    </row>
    <row r="790">
      <c r="A790" s="867"/>
      <c r="B790" s="674"/>
      <c r="C790" s="852"/>
      <c r="D790" s="656"/>
      <c r="E790" s="821"/>
      <c r="F790" s="821"/>
      <c r="G790" s="821"/>
      <c r="H790" s="821"/>
      <c r="I790" s="821"/>
      <c r="J790" s="821"/>
      <c r="K790" s="821"/>
      <c r="L790" s="821"/>
      <c r="M790" s="677"/>
      <c r="N790" s="821"/>
      <c r="O790" s="821"/>
      <c r="P790" s="677"/>
      <c r="Q790" s="677"/>
      <c r="R790" s="677"/>
      <c r="S790" s="677"/>
      <c r="T790" s="677"/>
      <c r="U790" s="677"/>
      <c r="V790" s="677"/>
      <c r="W790" s="677"/>
      <c r="X790" s="677"/>
      <c r="Y790" s="677"/>
      <c r="Z790" s="677"/>
      <c r="AA790" s="677"/>
      <c r="AB790" s="677"/>
      <c r="AC790" s="677"/>
      <c r="AD790" s="677"/>
    </row>
    <row r="791">
      <c r="A791" s="867"/>
      <c r="B791" s="708"/>
      <c r="C791" s="852"/>
      <c r="D791" s="656"/>
      <c r="E791" s="821"/>
      <c r="F791" s="821"/>
      <c r="G791" s="821"/>
      <c r="H791" s="821"/>
      <c r="I791" s="821"/>
      <c r="J791" s="821"/>
      <c r="K791" s="821"/>
      <c r="L791" s="821"/>
      <c r="M791" s="677"/>
      <c r="N791" s="821"/>
      <c r="O791" s="821"/>
      <c r="P791" s="677"/>
      <c r="Q791" s="677"/>
      <c r="R791" s="677"/>
      <c r="S791" s="677"/>
      <c r="T791" s="677"/>
      <c r="U791" s="677"/>
      <c r="V791" s="677"/>
      <c r="W791" s="677"/>
      <c r="X791" s="677"/>
      <c r="Y791" s="677"/>
      <c r="Z791" s="677"/>
      <c r="AA791" s="677"/>
      <c r="AB791" s="677"/>
      <c r="AC791" s="677"/>
      <c r="AD791" s="677"/>
    </row>
    <row r="792">
      <c r="A792" s="867"/>
      <c r="B792" s="708"/>
      <c r="C792" s="852"/>
      <c r="D792" s="656"/>
      <c r="E792" s="821"/>
      <c r="F792" s="821"/>
      <c r="G792" s="821"/>
      <c r="H792" s="821"/>
      <c r="I792" s="821"/>
      <c r="J792" s="821"/>
      <c r="K792" s="821"/>
      <c r="L792" s="821"/>
      <c r="M792" s="677"/>
      <c r="N792" s="821"/>
      <c r="O792" s="821"/>
      <c r="P792" s="677"/>
      <c r="Q792" s="677"/>
      <c r="R792" s="677"/>
      <c r="S792" s="677"/>
      <c r="T792" s="677"/>
      <c r="U792" s="677"/>
      <c r="V792" s="677"/>
      <c r="W792" s="677"/>
      <c r="X792" s="677"/>
      <c r="Y792" s="677"/>
      <c r="Z792" s="677"/>
      <c r="AA792" s="677"/>
      <c r="AB792" s="677"/>
      <c r="AC792" s="677"/>
      <c r="AD792" s="677"/>
    </row>
    <row r="793">
      <c r="A793" s="867"/>
      <c r="B793" s="708"/>
      <c r="C793" s="852"/>
      <c r="D793" s="656"/>
      <c r="E793" s="821"/>
      <c r="F793" s="821"/>
      <c r="G793" s="821"/>
      <c r="H793" s="821"/>
      <c r="I793" s="821"/>
      <c r="J793" s="821"/>
      <c r="K793" s="821"/>
      <c r="L793" s="821"/>
      <c r="M793" s="677"/>
      <c r="N793" s="821"/>
      <c r="O793" s="821"/>
      <c r="P793" s="677"/>
      <c r="Q793" s="677"/>
      <c r="R793" s="677"/>
      <c r="S793" s="677"/>
      <c r="T793" s="677"/>
      <c r="U793" s="677"/>
      <c r="V793" s="677"/>
      <c r="W793" s="677"/>
      <c r="X793" s="677"/>
      <c r="Y793" s="677"/>
      <c r="Z793" s="677"/>
      <c r="AA793" s="677"/>
      <c r="AB793" s="677"/>
      <c r="AC793" s="677"/>
      <c r="AD793" s="677"/>
    </row>
    <row r="794">
      <c r="A794" s="867"/>
      <c r="B794" s="708"/>
      <c r="C794" s="852"/>
      <c r="D794" s="656"/>
      <c r="E794" s="821"/>
      <c r="F794" s="821"/>
      <c r="G794" s="821"/>
      <c r="H794" s="821"/>
      <c r="I794" s="821"/>
      <c r="J794" s="821"/>
      <c r="K794" s="821"/>
      <c r="L794" s="821"/>
      <c r="M794" s="677"/>
      <c r="N794" s="821"/>
      <c r="O794" s="821"/>
      <c r="P794" s="677"/>
      <c r="Q794" s="677"/>
      <c r="R794" s="677"/>
      <c r="S794" s="677"/>
      <c r="T794" s="677"/>
      <c r="U794" s="677"/>
      <c r="V794" s="677"/>
      <c r="W794" s="677"/>
      <c r="X794" s="677"/>
      <c r="Y794" s="677"/>
      <c r="Z794" s="677"/>
      <c r="AA794" s="677"/>
      <c r="AB794" s="677"/>
      <c r="AC794" s="677"/>
      <c r="AD794" s="677"/>
    </row>
    <row r="795">
      <c r="A795" s="867"/>
      <c r="B795" s="674"/>
      <c r="C795" s="852"/>
      <c r="D795" s="656"/>
      <c r="E795" s="821"/>
      <c r="F795" s="821"/>
      <c r="G795" s="821"/>
      <c r="H795" s="821"/>
      <c r="I795" s="821"/>
      <c r="J795" s="821"/>
      <c r="K795" s="821"/>
      <c r="L795" s="821"/>
      <c r="M795" s="677"/>
      <c r="N795" s="821"/>
      <c r="O795" s="821"/>
      <c r="P795" s="677"/>
      <c r="Q795" s="677"/>
      <c r="R795" s="677"/>
      <c r="S795" s="677"/>
      <c r="T795" s="677"/>
      <c r="U795" s="677"/>
      <c r="V795" s="677"/>
      <c r="W795" s="677"/>
      <c r="X795" s="677"/>
      <c r="Y795" s="677"/>
      <c r="Z795" s="677"/>
      <c r="AA795" s="677"/>
      <c r="AB795" s="677"/>
      <c r="AC795" s="677"/>
      <c r="AD795" s="677"/>
    </row>
    <row r="796">
      <c r="A796" s="867"/>
      <c r="B796" s="708"/>
      <c r="C796" s="852"/>
      <c r="D796" s="656"/>
      <c r="E796" s="821"/>
      <c r="F796" s="821"/>
      <c r="G796" s="821"/>
      <c r="H796" s="821"/>
      <c r="I796" s="821"/>
      <c r="J796" s="821"/>
      <c r="K796" s="821"/>
      <c r="L796" s="821"/>
      <c r="M796" s="677"/>
      <c r="N796" s="821"/>
      <c r="O796" s="821"/>
      <c r="P796" s="677"/>
      <c r="Q796" s="677"/>
      <c r="R796" s="677"/>
      <c r="S796" s="677"/>
      <c r="T796" s="677"/>
      <c r="U796" s="677"/>
      <c r="V796" s="677"/>
      <c r="W796" s="677"/>
      <c r="X796" s="677"/>
      <c r="Y796" s="677"/>
      <c r="Z796" s="677"/>
      <c r="AA796" s="677"/>
      <c r="AB796" s="677"/>
      <c r="AC796" s="677"/>
      <c r="AD796" s="677"/>
    </row>
    <row r="797">
      <c r="A797" s="867"/>
      <c r="B797" s="674"/>
      <c r="C797" s="852"/>
      <c r="D797" s="656"/>
      <c r="E797" s="821"/>
      <c r="F797" s="821"/>
      <c r="G797" s="821"/>
      <c r="H797" s="821"/>
      <c r="I797" s="821"/>
      <c r="J797" s="821"/>
      <c r="K797" s="821"/>
      <c r="L797" s="821"/>
      <c r="M797" s="677"/>
      <c r="N797" s="821"/>
      <c r="O797" s="821"/>
      <c r="P797" s="677"/>
      <c r="Q797" s="677"/>
      <c r="R797" s="677"/>
      <c r="S797" s="677"/>
      <c r="T797" s="677"/>
      <c r="U797" s="677"/>
      <c r="V797" s="677"/>
      <c r="W797" s="677"/>
      <c r="X797" s="677"/>
      <c r="Y797" s="677"/>
      <c r="Z797" s="677"/>
      <c r="AA797" s="677"/>
      <c r="AB797" s="677"/>
      <c r="AC797" s="677"/>
      <c r="AD797" s="677"/>
    </row>
    <row r="798">
      <c r="A798" s="867"/>
      <c r="B798" s="674"/>
      <c r="C798" s="852"/>
      <c r="D798" s="656"/>
      <c r="E798" s="821"/>
      <c r="F798" s="821"/>
      <c r="G798" s="821"/>
      <c r="H798" s="821"/>
      <c r="I798" s="821"/>
      <c r="J798" s="821"/>
      <c r="K798" s="821"/>
      <c r="L798" s="821"/>
      <c r="M798" s="677"/>
      <c r="N798" s="821"/>
      <c r="O798" s="821"/>
      <c r="P798" s="677"/>
      <c r="Q798" s="677"/>
      <c r="R798" s="677"/>
      <c r="S798" s="677"/>
      <c r="T798" s="677"/>
      <c r="U798" s="677"/>
      <c r="V798" s="677"/>
      <c r="W798" s="677"/>
      <c r="X798" s="677"/>
      <c r="Y798" s="677"/>
      <c r="Z798" s="677"/>
      <c r="AA798" s="677"/>
      <c r="AB798" s="677"/>
      <c r="AC798" s="677"/>
      <c r="AD798" s="677"/>
    </row>
    <row r="799">
      <c r="A799" s="867"/>
      <c r="B799" s="674"/>
      <c r="C799" s="852"/>
      <c r="D799" s="656"/>
      <c r="E799" s="821"/>
      <c r="F799" s="821"/>
      <c r="G799" s="821"/>
      <c r="H799" s="821"/>
      <c r="I799" s="821"/>
      <c r="J799" s="821"/>
      <c r="K799" s="821"/>
      <c r="L799" s="821"/>
      <c r="M799" s="677"/>
      <c r="N799" s="821"/>
      <c r="O799" s="821"/>
      <c r="P799" s="677"/>
      <c r="Q799" s="677"/>
      <c r="R799" s="677"/>
      <c r="S799" s="677"/>
      <c r="T799" s="677"/>
      <c r="U799" s="677"/>
      <c r="V799" s="677"/>
      <c r="W799" s="677"/>
      <c r="X799" s="677"/>
      <c r="Y799" s="677"/>
      <c r="Z799" s="677"/>
      <c r="AA799" s="677"/>
      <c r="AB799" s="677"/>
      <c r="AC799" s="677"/>
      <c r="AD799" s="677"/>
    </row>
    <row r="800">
      <c r="A800" s="867"/>
      <c r="B800" s="674"/>
      <c r="C800" s="852"/>
      <c r="D800" s="656"/>
      <c r="E800" s="821"/>
      <c r="F800" s="821"/>
      <c r="G800" s="821"/>
      <c r="H800" s="821"/>
      <c r="I800" s="821"/>
      <c r="J800" s="821"/>
      <c r="K800" s="821"/>
      <c r="L800" s="821"/>
      <c r="M800" s="677"/>
      <c r="N800" s="821"/>
      <c r="O800" s="821"/>
      <c r="P800" s="677"/>
      <c r="Q800" s="677"/>
      <c r="R800" s="677"/>
      <c r="S800" s="677"/>
      <c r="T800" s="677"/>
      <c r="U800" s="677"/>
      <c r="V800" s="677"/>
      <c r="W800" s="677"/>
      <c r="X800" s="677"/>
      <c r="Y800" s="677"/>
      <c r="Z800" s="677"/>
      <c r="AA800" s="677"/>
      <c r="AB800" s="677"/>
      <c r="AC800" s="677"/>
      <c r="AD800" s="677"/>
    </row>
    <row r="801">
      <c r="A801" s="867"/>
      <c r="B801" s="674"/>
      <c r="C801" s="852"/>
      <c r="D801" s="656"/>
      <c r="E801" s="821"/>
      <c r="F801" s="821"/>
      <c r="G801" s="821"/>
      <c r="H801" s="821"/>
      <c r="I801" s="821"/>
      <c r="J801" s="821"/>
      <c r="K801" s="821"/>
      <c r="L801" s="821"/>
      <c r="M801" s="677"/>
      <c r="N801" s="821"/>
      <c r="O801" s="821"/>
      <c r="P801" s="677"/>
      <c r="Q801" s="677"/>
      <c r="R801" s="677"/>
      <c r="S801" s="677"/>
      <c r="T801" s="677"/>
      <c r="U801" s="677"/>
      <c r="V801" s="677"/>
      <c r="W801" s="677"/>
      <c r="X801" s="677"/>
      <c r="Y801" s="677"/>
      <c r="Z801" s="677"/>
      <c r="AA801" s="677"/>
      <c r="AB801" s="677"/>
      <c r="AC801" s="677"/>
      <c r="AD801" s="677"/>
    </row>
    <row r="802">
      <c r="A802" s="867"/>
      <c r="B802" s="674"/>
      <c r="C802" s="852"/>
      <c r="D802" s="656"/>
      <c r="E802" s="821"/>
      <c r="F802" s="821"/>
      <c r="G802" s="821"/>
      <c r="H802" s="821"/>
      <c r="I802" s="821"/>
      <c r="J802" s="821"/>
      <c r="K802" s="821"/>
      <c r="L802" s="821"/>
      <c r="M802" s="677"/>
      <c r="N802" s="821"/>
      <c r="O802" s="821"/>
      <c r="P802" s="677"/>
      <c r="Q802" s="677"/>
      <c r="R802" s="677"/>
      <c r="S802" s="677"/>
      <c r="T802" s="677"/>
      <c r="U802" s="677"/>
      <c r="V802" s="677"/>
      <c r="W802" s="677"/>
      <c r="X802" s="677"/>
      <c r="Y802" s="677"/>
      <c r="Z802" s="677"/>
      <c r="AA802" s="677"/>
      <c r="AB802" s="677"/>
      <c r="AC802" s="677"/>
      <c r="AD802" s="677"/>
    </row>
    <row r="803">
      <c r="A803" s="867"/>
      <c r="B803" s="708"/>
      <c r="C803" s="852"/>
      <c r="D803" s="656"/>
      <c r="E803" s="821"/>
      <c r="F803" s="821"/>
      <c r="G803" s="821"/>
      <c r="H803" s="821"/>
      <c r="I803" s="821"/>
      <c r="J803" s="821"/>
      <c r="K803" s="821"/>
      <c r="L803" s="821"/>
      <c r="M803" s="677"/>
      <c r="N803" s="821"/>
      <c r="O803" s="821"/>
      <c r="P803" s="677"/>
      <c r="Q803" s="677"/>
      <c r="R803" s="677"/>
      <c r="S803" s="677"/>
      <c r="T803" s="677"/>
      <c r="U803" s="677"/>
      <c r="V803" s="677"/>
      <c r="W803" s="677"/>
      <c r="X803" s="677"/>
      <c r="Y803" s="677"/>
      <c r="Z803" s="677"/>
      <c r="AA803" s="677"/>
      <c r="AB803" s="677"/>
      <c r="AC803" s="677"/>
      <c r="AD803" s="677"/>
    </row>
    <row r="804">
      <c r="A804" s="867"/>
      <c r="B804" s="674"/>
      <c r="C804" s="852"/>
      <c r="D804" s="656"/>
      <c r="E804" s="821"/>
      <c r="F804" s="821"/>
      <c r="G804" s="821"/>
      <c r="H804" s="821"/>
      <c r="I804" s="821"/>
      <c r="J804" s="821"/>
      <c r="K804" s="821"/>
      <c r="L804" s="821"/>
      <c r="M804" s="677"/>
      <c r="N804" s="821"/>
      <c r="O804" s="821"/>
      <c r="P804" s="677"/>
      <c r="Q804" s="677"/>
      <c r="R804" s="677"/>
      <c r="S804" s="677"/>
      <c r="T804" s="677"/>
      <c r="U804" s="677"/>
      <c r="V804" s="677"/>
      <c r="W804" s="677"/>
      <c r="X804" s="677"/>
      <c r="Y804" s="677"/>
      <c r="Z804" s="677"/>
      <c r="AA804" s="677"/>
      <c r="AB804" s="677"/>
      <c r="AC804" s="677"/>
      <c r="AD804" s="677"/>
    </row>
    <row r="805">
      <c r="A805" s="867"/>
      <c r="B805" s="674"/>
      <c r="C805" s="852"/>
      <c r="D805" s="656"/>
      <c r="E805" s="821"/>
      <c r="F805" s="821"/>
      <c r="G805" s="821"/>
      <c r="H805" s="821"/>
      <c r="I805" s="821"/>
      <c r="J805" s="821"/>
      <c r="K805" s="821"/>
      <c r="L805" s="821"/>
      <c r="M805" s="677"/>
      <c r="N805" s="821"/>
      <c r="O805" s="821"/>
      <c r="P805" s="677"/>
      <c r="Q805" s="677"/>
      <c r="R805" s="677"/>
      <c r="S805" s="677"/>
      <c r="T805" s="677"/>
      <c r="U805" s="677"/>
      <c r="V805" s="677"/>
      <c r="W805" s="677"/>
      <c r="X805" s="677"/>
      <c r="Y805" s="677"/>
      <c r="Z805" s="677"/>
      <c r="AA805" s="677"/>
      <c r="AB805" s="677"/>
      <c r="AC805" s="677"/>
      <c r="AD805" s="677"/>
    </row>
    <row r="806">
      <c r="A806" s="867"/>
      <c r="B806" s="674"/>
      <c r="C806" s="852"/>
      <c r="D806" s="656"/>
      <c r="E806" s="821"/>
      <c r="F806" s="821"/>
      <c r="G806" s="821"/>
      <c r="H806" s="821"/>
      <c r="I806" s="821"/>
      <c r="J806" s="821"/>
      <c r="K806" s="821"/>
      <c r="L806" s="821"/>
      <c r="M806" s="677"/>
      <c r="N806" s="821"/>
      <c r="O806" s="821"/>
      <c r="P806" s="677"/>
      <c r="Q806" s="677"/>
      <c r="R806" s="677"/>
      <c r="S806" s="677"/>
      <c r="T806" s="677"/>
      <c r="U806" s="677"/>
      <c r="V806" s="677"/>
      <c r="W806" s="677"/>
      <c r="X806" s="677"/>
      <c r="Y806" s="677"/>
      <c r="Z806" s="677"/>
      <c r="AA806" s="677"/>
      <c r="AB806" s="677"/>
      <c r="AC806" s="677"/>
      <c r="AD806" s="677"/>
    </row>
    <row r="807">
      <c r="A807" s="867"/>
      <c r="B807" s="674"/>
      <c r="C807" s="852"/>
      <c r="D807" s="656"/>
      <c r="E807" s="821"/>
      <c r="F807" s="821"/>
      <c r="G807" s="821"/>
      <c r="H807" s="821"/>
      <c r="I807" s="821"/>
      <c r="J807" s="821"/>
      <c r="K807" s="821"/>
      <c r="L807" s="821"/>
      <c r="M807" s="677"/>
      <c r="N807" s="821"/>
      <c r="O807" s="821"/>
      <c r="P807" s="677"/>
      <c r="Q807" s="677"/>
      <c r="R807" s="677"/>
      <c r="S807" s="677"/>
      <c r="T807" s="677"/>
      <c r="U807" s="677"/>
      <c r="V807" s="677"/>
      <c r="W807" s="677"/>
      <c r="X807" s="677"/>
      <c r="Y807" s="677"/>
      <c r="Z807" s="677"/>
      <c r="AA807" s="677"/>
      <c r="AB807" s="677"/>
      <c r="AC807" s="677"/>
      <c r="AD807" s="677"/>
    </row>
    <row r="808">
      <c r="A808" s="867"/>
      <c r="B808" s="708"/>
      <c r="C808" s="852"/>
      <c r="D808" s="656"/>
      <c r="E808" s="821"/>
      <c r="F808" s="821"/>
      <c r="G808" s="821"/>
      <c r="H808" s="821"/>
      <c r="I808" s="821"/>
      <c r="J808" s="821"/>
      <c r="K808" s="821"/>
      <c r="L808" s="821"/>
      <c r="M808" s="677"/>
      <c r="N808" s="821"/>
      <c r="O808" s="821"/>
      <c r="P808" s="677"/>
      <c r="Q808" s="677"/>
      <c r="R808" s="677"/>
      <c r="S808" s="677"/>
      <c r="T808" s="677"/>
      <c r="U808" s="677"/>
      <c r="V808" s="677"/>
      <c r="W808" s="677"/>
      <c r="X808" s="677"/>
      <c r="Y808" s="677"/>
      <c r="Z808" s="677"/>
      <c r="AA808" s="677"/>
      <c r="AB808" s="677"/>
      <c r="AC808" s="677"/>
      <c r="AD808" s="677"/>
    </row>
    <row r="809">
      <c r="A809" s="867"/>
      <c r="B809" s="674"/>
      <c r="C809" s="852"/>
      <c r="D809" s="656"/>
      <c r="E809" s="821"/>
      <c r="F809" s="821"/>
      <c r="G809" s="821"/>
      <c r="H809" s="821"/>
      <c r="I809" s="821"/>
      <c r="J809" s="821"/>
      <c r="K809" s="821"/>
      <c r="L809" s="821"/>
      <c r="M809" s="677"/>
      <c r="N809" s="821"/>
      <c r="O809" s="821"/>
      <c r="P809" s="677"/>
      <c r="Q809" s="677"/>
      <c r="R809" s="677"/>
      <c r="S809" s="677"/>
      <c r="T809" s="677"/>
      <c r="U809" s="677"/>
      <c r="V809" s="677"/>
      <c r="W809" s="677"/>
      <c r="X809" s="677"/>
      <c r="Y809" s="677"/>
      <c r="Z809" s="677"/>
      <c r="AA809" s="677"/>
      <c r="AB809" s="677"/>
      <c r="AC809" s="677"/>
      <c r="AD809" s="677"/>
    </row>
    <row r="810">
      <c r="A810" s="867"/>
      <c r="B810" s="674"/>
      <c r="C810" s="852"/>
      <c r="D810" s="656"/>
      <c r="E810" s="821"/>
      <c r="F810" s="821"/>
      <c r="G810" s="821"/>
      <c r="H810" s="821"/>
      <c r="I810" s="821"/>
      <c r="J810" s="821"/>
      <c r="K810" s="821"/>
      <c r="L810" s="821"/>
      <c r="M810" s="677"/>
      <c r="N810" s="821"/>
      <c r="O810" s="821"/>
      <c r="P810" s="677"/>
      <c r="Q810" s="677"/>
      <c r="R810" s="677"/>
      <c r="S810" s="677"/>
      <c r="T810" s="677"/>
      <c r="U810" s="677"/>
      <c r="V810" s="677"/>
      <c r="W810" s="677"/>
      <c r="X810" s="677"/>
      <c r="Y810" s="677"/>
      <c r="Z810" s="677"/>
      <c r="AA810" s="677"/>
      <c r="AB810" s="677"/>
      <c r="AC810" s="677"/>
      <c r="AD810" s="677"/>
    </row>
    <row r="811">
      <c r="A811" s="867"/>
      <c r="B811" s="674"/>
      <c r="C811" s="852"/>
      <c r="D811" s="656"/>
      <c r="E811" s="821"/>
      <c r="F811" s="821"/>
      <c r="G811" s="821"/>
      <c r="H811" s="821"/>
      <c r="I811" s="821"/>
      <c r="J811" s="821"/>
      <c r="K811" s="821"/>
      <c r="L811" s="821"/>
      <c r="M811" s="677"/>
      <c r="N811" s="821"/>
      <c r="O811" s="821"/>
      <c r="P811" s="677"/>
      <c r="Q811" s="677"/>
      <c r="R811" s="677"/>
      <c r="S811" s="677"/>
      <c r="T811" s="677"/>
      <c r="U811" s="677"/>
      <c r="V811" s="677"/>
      <c r="W811" s="677"/>
      <c r="X811" s="677"/>
      <c r="Y811" s="677"/>
      <c r="Z811" s="677"/>
      <c r="AA811" s="677"/>
      <c r="AB811" s="677"/>
      <c r="AC811" s="677"/>
      <c r="AD811" s="677"/>
    </row>
    <row r="812">
      <c r="A812" s="867"/>
      <c r="B812" s="674"/>
      <c r="C812" s="852"/>
      <c r="D812" s="656"/>
      <c r="E812" s="821"/>
      <c r="F812" s="821"/>
      <c r="G812" s="821"/>
      <c r="H812" s="821"/>
      <c r="I812" s="821"/>
      <c r="J812" s="821"/>
      <c r="K812" s="821"/>
      <c r="L812" s="821"/>
      <c r="M812" s="677"/>
      <c r="N812" s="821"/>
      <c r="O812" s="821"/>
      <c r="P812" s="677"/>
      <c r="Q812" s="677"/>
      <c r="R812" s="677"/>
      <c r="S812" s="677"/>
      <c r="T812" s="677"/>
      <c r="U812" s="677"/>
      <c r="V812" s="677"/>
      <c r="W812" s="677"/>
      <c r="X812" s="677"/>
      <c r="Y812" s="677"/>
      <c r="Z812" s="677"/>
      <c r="AA812" s="677"/>
      <c r="AB812" s="677"/>
      <c r="AC812" s="677"/>
      <c r="AD812" s="677"/>
    </row>
    <row r="813">
      <c r="A813" s="867"/>
      <c r="B813" s="708"/>
      <c r="C813" s="852"/>
      <c r="D813" s="656"/>
      <c r="E813" s="821"/>
      <c r="F813" s="821"/>
      <c r="G813" s="821"/>
      <c r="H813" s="821"/>
      <c r="I813" s="821"/>
      <c r="J813" s="821"/>
      <c r="K813" s="821"/>
      <c r="L813" s="821"/>
      <c r="M813" s="677"/>
      <c r="N813" s="821"/>
      <c r="O813" s="821"/>
      <c r="P813" s="677"/>
      <c r="Q813" s="677"/>
      <c r="R813" s="677"/>
      <c r="S813" s="677"/>
      <c r="T813" s="677"/>
      <c r="U813" s="677"/>
      <c r="V813" s="677"/>
      <c r="W813" s="677"/>
      <c r="X813" s="677"/>
      <c r="Y813" s="677"/>
      <c r="Z813" s="677"/>
      <c r="AA813" s="677"/>
      <c r="AB813" s="677"/>
      <c r="AC813" s="677"/>
      <c r="AD813" s="677"/>
    </row>
    <row r="814">
      <c r="A814" s="867"/>
      <c r="B814" s="674"/>
      <c r="C814" s="852"/>
      <c r="D814" s="656"/>
      <c r="E814" s="821"/>
      <c r="F814" s="821"/>
      <c r="G814" s="821"/>
      <c r="H814" s="821"/>
      <c r="I814" s="821"/>
      <c r="J814" s="821"/>
      <c r="K814" s="821"/>
      <c r="L814" s="821"/>
      <c r="M814" s="677"/>
      <c r="N814" s="821"/>
      <c r="O814" s="821"/>
      <c r="P814" s="677"/>
      <c r="Q814" s="677"/>
      <c r="R814" s="677"/>
      <c r="S814" s="677"/>
      <c r="T814" s="677"/>
      <c r="U814" s="677"/>
      <c r="V814" s="677"/>
      <c r="W814" s="677"/>
      <c r="X814" s="677"/>
      <c r="Y814" s="677"/>
      <c r="Z814" s="677"/>
      <c r="AA814" s="677"/>
      <c r="AB814" s="677"/>
      <c r="AC814" s="677"/>
      <c r="AD814" s="677"/>
    </row>
    <row r="815">
      <c r="A815" s="867"/>
      <c r="B815" s="708"/>
      <c r="C815" s="852"/>
      <c r="D815" s="656"/>
      <c r="E815" s="821"/>
      <c r="F815" s="821"/>
      <c r="G815" s="821"/>
      <c r="H815" s="821"/>
      <c r="I815" s="821"/>
      <c r="J815" s="821"/>
      <c r="K815" s="821"/>
      <c r="L815" s="821"/>
      <c r="M815" s="677"/>
      <c r="N815" s="821"/>
      <c r="O815" s="821"/>
      <c r="P815" s="677"/>
      <c r="Q815" s="677"/>
      <c r="R815" s="677"/>
      <c r="S815" s="677"/>
      <c r="T815" s="677"/>
      <c r="U815" s="677"/>
      <c r="V815" s="677"/>
      <c r="W815" s="677"/>
      <c r="X815" s="677"/>
      <c r="Y815" s="677"/>
      <c r="Z815" s="677"/>
      <c r="AA815" s="677"/>
      <c r="AB815" s="677"/>
      <c r="AC815" s="677"/>
      <c r="AD815" s="677"/>
    </row>
    <row r="816">
      <c r="A816" s="867"/>
      <c r="B816" s="674"/>
      <c r="C816" s="852"/>
      <c r="D816" s="656"/>
      <c r="E816" s="821"/>
      <c r="F816" s="821"/>
      <c r="G816" s="821"/>
      <c r="H816" s="821"/>
      <c r="I816" s="821"/>
      <c r="J816" s="821"/>
      <c r="K816" s="821"/>
      <c r="L816" s="821"/>
      <c r="M816" s="677"/>
      <c r="N816" s="821"/>
      <c r="O816" s="821"/>
      <c r="P816" s="677"/>
      <c r="Q816" s="677"/>
      <c r="R816" s="677"/>
      <c r="S816" s="677"/>
      <c r="T816" s="677"/>
      <c r="U816" s="677"/>
      <c r="V816" s="677"/>
      <c r="W816" s="677"/>
      <c r="X816" s="677"/>
      <c r="Y816" s="677"/>
      <c r="Z816" s="677"/>
      <c r="AA816" s="677"/>
      <c r="AB816" s="677"/>
      <c r="AC816" s="677"/>
      <c r="AD816" s="677"/>
    </row>
    <row r="817">
      <c r="A817" s="867"/>
      <c r="B817" s="674"/>
      <c r="C817" s="852"/>
      <c r="D817" s="656"/>
      <c r="E817" s="821"/>
      <c r="F817" s="821"/>
      <c r="G817" s="821"/>
      <c r="H817" s="821"/>
      <c r="I817" s="821"/>
      <c r="J817" s="821"/>
      <c r="K817" s="821"/>
      <c r="L817" s="821"/>
      <c r="M817" s="677"/>
      <c r="N817" s="821"/>
      <c r="O817" s="821"/>
      <c r="P817" s="677"/>
      <c r="Q817" s="677"/>
      <c r="R817" s="677"/>
      <c r="S817" s="677"/>
      <c r="T817" s="677"/>
      <c r="U817" s="677"/>
      <c r="V817" s="677"/>
      <c r="W817" s="677"/>
      <c r="X817" s="677"/>
      <c r="Y817" s="677"/>
      <c r="Z817" s="677"/>
      <c r="AA817" s="677"/>
      <c r="AB817" s="677"/>
      <c r="AC817" s="677"/>
      <c r="AD817" s="677"/>
    </row>
    <row r="818">
      <c r="A818" s="867"/>
      <c r="B818" s="674"/>
      <c r="C818" s="852"/>
      <c r="D818" s="656"/>
      <c r="E818" s="821"/>
      <c r="F818" s="821"/>
      <c r="G818" s="821"/>
      <c r="H818" s="821"/>
      <c r="I818" s="821"/>
      <c r="J818" s="821"/>
      <c r="K818" s="821"/>
      <c r="L818" s="821"/>
      <c r="M818" s="677"/>
      <c r="N818" s="821"/>
      <c r="O818" s="821"/>
      <c r="P818" s="677"/>
      <c r="Q818" s="677"/>
      <c r="R818" s="677"/>
      <c r="S818" s="677"/>
      <c r="T818" s="677"/>
      <c r="U818" s="677"/>
      <c r="V818" s="677"/>
      <c r="W818" s="677"/>
      <c r="X818" s="677"/>
      <c r="Y818" s="677"/>
      <c r="Z818" s="677"/>
      <c r="AA818" s="677"/>
      <c r="AB818" s="677"/>
      <c r="AC818" s="677"/>
      <c r="AD818" s="677"/>
    </row>
    <row r="819">
      <c r="A819" s="867"/>
      <c r="B819" s="674"/>
      <c r="C819" s="852"/>
      <c r="D819" s="656"/>
      <c r="E819" s="821"/>
      <c r="F819" s="821"/>
      <c r="G819" s="821"/>
      <c r="H819" s="821"/>
      <c r="I819" s="821"/>
      <c r="J819" s="821"/>
      <c r="K819" s="821"/>
      <c r="L819" s="821"/>
      <c r="M819" s="677"/>
      <c r="N819" s="821"/>
      <c r="O819" s="821"/>
      <c r="P819" s="677"/>
      <c r="Q819" s="677"/>
      <c r="R819" s="677"/>
      <c r="S819" s="677"/>
      <c r="T819" s="677"/>
      <c r="U819" s="677"/>
      <c r="V819" s="677"/>
      <c r="W819" s="677"/>
      <c r="X819" s="677"/>
      <c r="Y819" s="677"/>
      <c r="Z819" s="677"/>
      <c r="AA819" s="677"/>
      <c r="AB819" s="677"/>
      <c r="AC819" s="677"/>
      <c r="AD819" s="677"/>
    </row>
    <row r="820">
      <c r="A820" s="867"/>
      <c r="B820" s="674"/>
      <c r="C820" s="852"/>
      <c r="D820" s="656"/>
      <c r="E820" s="821"/>
      <c r="F820" s="821"/>
      <c r="G820" s="821"/>
      <c r="H820" s="821"/>
      <c r="I820" s="821"/>
      <c r="J820" s="821"/>
      <c r="K820" s="821"/>
      <c r="L820" s="821"/>
      <c r="M820" s="677"/>
      <c r="N820" s="821"/>
      <c r="O820" s="821"/>
      <c r="P820" s="677"/>
      <c r="Q820" s="677"/>
      <c r="R820" s="677"/>
      <c r="S820" s="677"/>
      <c r="T820" s="677"/>
      <c r="U820" s="677"/>
      <c r="V820" s="677"/>
      <c r="W820" s="677"/>
      <c r="X820" s="677"/>
      <c r="Y820" s="677"/>
      <c r="Z820" s="677"/>
      <c r="AA820" s="677"/>
      <c r="AB820" s="677"/>
      <c r="AC820" s="677"/>
      <c r="AD820" s="677"/>
    </row>
    <row r="821">
      <c r="A821" s="867"/>
      <c r="B821" s="674"/>
      <c r="C821" s="852"/>
      <c r="D821" s="656"/>
      <c r="E821" s="821"/>
      <c r="F821" s="821"/>
      <c r="G821" s="821"/>
      <c r="H821" s="821"/>
      <c r="I821" s="821"/>
      <c r="J821" s="821"/>
      <c r="K821" s="821"/>
      <c r="L821" s="821"/>
      <c r="M821" s="677"/>
      <c r="N821" s="821"/>
      <c r="O821" s="821"/>
      <c r="P821" s="677"/>
      <c r="Q821" s="677"/>
      <c r="R821" s="677"/>
      <c r="S821" s="677"/>
      <c r="T821" s="677"/>
      <c r="U821" s="677"/>
      <c r="V821" s="677"/>
      <c r="W821" s="677"/>
      <c r="X821" s="677"/>
      <c r="Y821" s="677"/>
      <c r="Z821" s="677"/>
      <c r="AA821" s="677"/>
      <c r="AB821" s="677"/>
      <c r="AC821" s="677"/>
      <c r="AD821" s="677"/>
    </row>
    <row r="822">
      <c r="A822" s="867"/>
      <c r="B822" s="708"/>
      <c r="C822" s="852"/>
      <c r="D822" s="656"/>
      <c r="E822" s="821"/>
      <c r="F822" s="821"/>
      <c r="G822" s="821"/>
      <c r="H822" s="821"/>
      <c r="I822" s="821"/>
      <c r="J822" s="821"/>
      <c r="K822" s="821"/>
      <c r="L822" s="821"/>
      <c r="M822" s="677"/>
      <c r="N822" s="821"/>
      <c r="O822" s="821"/>
      <c r="P822" s="677"/>
      <c r="Q822" s="677"/>
      <c r="R822" s="677"/>
      <c r="S822" s="677"/>
      <c r="T822" s="677"/>
      <c r="U822" s="677"/>
      <c r="V822" s="677"/>
      <c r="W822" s="677"/>
      <c r="X822" s="677"/>
      <c r="Y822" s="677"/>
      <c r="Z822" s="677"/>
      <c r="AA822" s="677"/>
      <c r="AB822" s="677"/>
      <c r="AC822" s="677"/>
      <c r="AD822" s="677"/>
    </row>
    <row r="823">
      <c r="A823" s="867"/>
      <c r="B823" s="674"/>
      <c r="C823" s="852"/>
      <c r="D823" s="656"/>
      <c r="E823" s="821"/>
      <c r="F823" s="821"/>
      <c r="G823" s="821"/>
      <c r="H823" s="821"/>
      <c r="I823" s="821"/>
      <c r="J823" s="821"/>
      <c r="K823" s="821"/>
      <c r="L823" s="821"/>
      <c r="M823" s="677"/>
      <c r="N823" s="821"/>
      <c r="O823" s="821"/>
      <c r="P823" s="677"/>
      <c r="Q823" s="677"/>
      <c r="R823" s="677"/>
      <c r="S823" s="677"/>
      <c r="T823" s="677"/>
      <c r="U823" s="677"/>
      <c r="V823" s="677"/>
      <c r="W823" s="677"/>
      <c r="X823" s="677"/>
      <c r="Y823" s="677"/>
      <c r="Z823" s="677"/>
      <c r="AA823" s="677"/>
      <c r="AB823" s="677"/>
      <c r="AC823" s="677"/>
      <c r="AD823" s="677"/>
    </row>
    <row r="824">
      <c r="A824" s="867"/>
      <c r="B824" s="708"/>
      <c r="C824" s="852"/>
      <c r="D824" s="656"/>
      <c r="E824" s="821"/>
      <c r="F824" s="821"/>
      <c r="G824" s="821"/>
      <c r="H824" s="821"/>
      <c r="I824" s="821"/>
      <c r="J824" s="821"/>
      <c r="K824" s="821"/>
      <c r="L824" s="821"/>
      <c r="M824" s="677"/>
      <c r="N824" s="821"/>
      <c r="O824" s="821"/>
      <c r="P824" s="677"/>
      <c r="Q824" s="677"/>
      <c r="R824" s="677"/>
      <c r="S824" s="677"/>
      <c r="T824" s="677"/>
      <c r="U824" s="677"/>
      <c r="V824" s="677"/>
      <c r="W824" s="677"/>
      <c r="X824" s="677"/>
      <c r="Y824" s="677"/>
      <c r="Z824" s="677"/>
      <c r="AA824" s="677"/>
      <c r="AB824" s="677"/>
      <c r="AC824" s="677"/>
      <c r="AD824" s="677"/>
    </row>
    <row r="825">
      <c r="A825" s="867"/>
      <c r="B825" s="708"/>
      <c r="C825" s="852"/>
      <c r="D825" s="656"/>
      <c r="E825" s="821"/>
      <c r="F825" s="821"/>
      <c r="G825" s="821"/>
      <c r="H825" s="821"/>
      <c r="I825" s="821"/>
      <c r="J825" s="821"/>
      <c r="K825" s="821"/>
      <c r="L825" s="821"/>
      <c r="M825" s="677"/>
      <c r="N825" s="821"/>
      <c r="O825" s="821"/>
      <c r="P825" s="677"/>
      <c r="Q825" s="677"/>
      <c r="R825" s="677"/>
      <c r="S825" s="677"/>
      <c r="T825" s="677"/>
      <c r="U825" s="677"/>
      <c r="V825" s="677"/>
      <c r="W825" s="677"/>
      <c r="X825" s="677"/>
      <c r="Y825" s="677"/>
      <c r="Z825" s="677"/>
      <c r="AA825" s="677"/>
      <c r="AB825" s="677"/>
      <c r="AC825" s="677"/>
      <c r="AD825" s="677"/>
    </row>
    <row r="826">
      <c r="A826" s="867"/>
      <c r="B826" s="674"/>
      <c r="C826" s="852"/>
      <c r="D826" s="656"/>
      <c r="E826" s="821"/>
      <c r="F826" s="821"/>
      <c r="G826" s="821"/>
      <c r="H826" s="821"/>
      <c r="I826" s="821"/>
      <c r="J826" s="821"/>
      <c r="K826" s="821"/>
      <c r="L826" s="821"/>
      <c r="M826" s="677"/>
      <c r="N826" s="821"/>
      <c r="O826" s="821"/>
      <c r="P826" s="677"/>
      <c r="Q826" s="677"/>
      <c r="R826" s="677"/>
      <c r="S826" s="677"/>
      <c r="T826" s="677"/>
      <c r="U826" s="677"/>
      <c r="V826" s="677"/>
      <c r="W826" s="677"/>
      <c r="X826" s="677"/>
      <c r="Y826" s="677"/>
      <c r="Z826" s="677"/>
      <c r="AA826" s="677"/>
      <c r="AB826" s="677"/>
      <c r="AC826" s="677"/>
      <c r="AD826" s="677"/>
    </row>
    <row r="827">
      <c r="A827" s="867"/>
      <c r="B827" s="674"/>
      <c r="C827" s="852"/>
      <c r="D827" s="656"/>
      <c r="E827" s="821"/>
      <c r="F827" s="821"/>
      <c r="G827" s="821"/>
      <c r="H827" s="821"/>
      <c r="I827" s="821"/>
      <c r="J827" s="821"/>
      <c r="K827" s="821"/>
      <c r="L827" s="821"/>
      <c r="M827" s="677"/>
      <c r="N827" s="821"/>
      <c r="O827" s="821"/>
      <c r="P827" s="677"/>
      <c r="Q827" s="677"/>
      <c r="R827" s="677"/>
      <c r="S827" s="677"/>
      <c r="T827" s="677"/>
      <c r="U827" s="677"/>
      <c r="V827" s="677"/>
      <c r="W827" s="677"/>
      <c r="X827" s="677"/>
      <c r="Y827" s="677"/>
      <c r="Z827" s="677"/>
      <c r="AA827" s="677"/>
      <c r="AB827" s="677"/>
      <c r="AC827" s="677"/>
      <c r="AD827" s="677"/>
    </row>
    <row r="828">
      <c r="A828" s="867"/>
      <c r="B828" s="674"/>
      <c r="C828" s="852"/>
      <c r="D828" s="656"/>
      <c r="E828" s="821"/>
      <c r="F828" s="821"/>
      <c r="G828" s="821"/>
      <c r="H828" s="821"/>
      <c r="I828" s="821"/>
      <c r="J828" s="821"/>
      <c r="K828" s="821"/>
      <c r="L828" s="821"/>
      <c r="M828" s="677"/>
      <c r="N828" s="821"/>
      <c r="O828" s="821"/>
      <c r="P828" s="677"/>
      <c r="Q828" s="677"/>
      <c r="R828" s="677"/>
      <c r="S828" s="677"/>
      <c r="T828" s="677"/>
      <c r="U828" s="677"/>
      <c r="V828" s="677"/>
      <c r="W828" s="677"/>
      <c r="X828" s="677"/>
      <c r="Y828" s="677"/>
      <c r="Z828" s="677"/>
      <c r="AA828" s="677"/>
      <c r="AB828" s="677"/>
      <c r="AC828" s="677"/>
      <c r="AD828" s="677"/>
    </row>
    <row r="829">
      <c r="A829" s="867"/>
      <c r="B829" s="674"/>
      <c r="C829" s="852"/>
      <c r="D829" s="656"/>
      <c r="E829" s="821"/>
      <c r="F829" s="821"/>
      <c r="G829" s="821"/>
      <c r="H829" s="821"/>
      <c r="I829" s="821"/>
      <c r="J829" s="821"/>
      <c r="K829" s="821"/>
      <c r="L829" s="821"/>
      <c r="M829" s="677"/>
      <c r="N829" s="821"/>
      <c r="O829" s="821"/>
      <c r="P829" s="677"/>
      <c r="Q829" s="677"/>
      <c r="R829" s="677"/>
      <c r="S829" s="677"/>
      <c r="T829" s="677"/>
      <c r="U829" s="677"/>
      <c r="V829" s="677"/>
      <c r="W829" s="677"/>
      <c r="X829" s="677"/>
      <c r="Y829" s="677"/>
      <c r="Z829" s="677"/>
      <c r="AA829" s="677"/>
      <c r="AB829" s="677"/>
      <c r="AC829" s="677"/>
      <c r="AD829" s="677"/>
    </row>
    <row r="830">
      <c r="A830" s="867"/>
      <c r="B830" s="674"/>
      <c r="C830" s="852"/>
      <c r="D830" s="656"/>
      <c r="E830" s="821"/>
      <c r="F830" s="821"/>
      <c r="G830" s="821"/>
      <c r="H830" s="821"/>
      <c r="I830" s="821"/>
      <c r="J830" s="821"/>
      <c r="K830" s="821"/>
      <c r="L830" s="821"/>
      <c r="M830" s="677"/>
      <c r="N830" s="821"/>
      <c r="O830" s="821"/>
      <c r="P830" s="677"/>
      <c r="Q830" s="677"/>
      <c r="R830" s="677"/>
      <c r="S830" s="677"/>
      <c r="T830" s="677"/>
      <c r="U830" s="677"/>
      <c r="V830" s="677"/>
      <c r="W830" s="677"/>
      <c r="X830" s="677"/>
      <c r="Y830" s="677"/>
      <c r="Z830" s="677"/>
      <c r="AA830" s="677"/>
      <c r="AB830" s="677"/>
      <c r="AC830" s="677"/>
      <c r="AD830" s="677"/>
    </row>
    <row r="831">
      <c r="A831" s="867"/>
      <c r="B831" s="674"/>
      <c r="C831" s="852"/>
      <c r="D831" s="656"/>
      <c r="E831" s="821"/>
      <c r="F831" s="821"/>
      <c r="G831" s="821"/>
      <c r="H831" s="821"/>
      <c r="I831" s="821"/>
      <c r="J831" s="821"/>
      <c r="K831" s="821"/>
      <c r="L831" s="821"/>
      <c r="M831" s="677"/>
      <c r="N831" s="821"/>
      <c r="O831" s="821"/>
      <c r="P831" s="677"/>
      <c r="Q831" s="677"/>
      <c r="R831" s="677"/>
      <c r="S831" s="677"/>
      <c r="T831" s="677"/>
      <c r="U831" s="677"/>
      <c r="V831" s="677"/>
      <c r="W831" s="677"/>
      <c r="X831" s="677"/>
      <c r="Y831" s="677"/>
      <c r="Z831" s="677"/>
      <c r="AA831" s="677"/>
      <c r="AB831" s="677"/>
      <c r="AC831" s="677"/>
      <c r="AD831" s="677"/>
    </row>
    <row r="832">
      <c r="A832" s="867"/>
      <c r="B832" s="674"/>
      <c r="C832" s="852"/>
      <c r="D832" s="656"/>
      <c r="E832" s="821"/>
      <c r="F832" s="821"/>
      <c r="G832" s="821"/>
      <c r="H832" s="821"/>
      <c r="I832" s="821"/>
      <c r="J832" s="821"/>
      <c r="K832" s="821"/>
      <c r="L832" s="821"/>
      <c r="M832" s="677"/>
      <c r="N832" s="821"/>
      <c r="O832" s="821"/>
      <c r="P832" s="677"/>
      <c r="Q832" s="677"/>
      <c r="R832" s="677"/>
      <c r="S832" s="677"/>
      <c r="T832" s="677"/>
      <c r="U832" s="677"/>
      <c r="V832" s="677"/>
      <c r="W832" s="677"/>
      <c r="X832" s="677"/>
      <c r="Y832" s="677"/>
      <c r="Z832" s="677"/>
      <c r="AA832" s="677"/>
      <c r="AB832" s="677"/>
      <c r="AC832" s="677"/>
      <c r="AD832" s="677"/>
    </row>
    <row r="833">
      <c r="A833" s="867"/>
      <c r="B833" s="674"/>
      <c r="C833" s="852"/>
      <c r="D833" s="656"/>
      <c r="E833" s="821"/>
      <c r="F833" s="821"/>
      <c r="G833" s="821"/>
      <c r="H833" s="821"/>
      <c r="I833" s="821"/>
      <c r="J833" s="821"/>
      <c r="K833" s="821"/>
      <c r="L833" s="821"/>
      <c r="M833" s="677"/>
      <c r="N833" s="821"/>
      <c r="O833" s="821"/>
      <c r="P833" s="677"/>
      <c r="Q833" s="677"/>
      <c r="R833" s="677"/>
      <c r="S833" s="677"/>
      <c r="T833" s="677"/>
      <c r="U833" s="677"/>
      <c r="V833" s="677"/>
      <c r="W833" s="677"/>
      <c r="X833" s="677"/>
      <c r="Y833" s="677"/>
      <c r="Z833" s="677"/>
      <c r="AA833" s="677"/>
      <c r="AB833" s="677"/>
      <c r="AC833" s="677"/>
      <c r="AD833" s="677"/>
    </row>
    <row r="834">
      <c r="A834" s="867"/>
      <c r="B834" s="674"/>
      <c r="C834" s="852"/>
      <c r="D834" s="656"/>
      <c r="E834" s="821"/>
      <c r="F834" s="821"/>
      <c r="G834" s="821"/>
      <c r="H834" s="821"/>
      <c r="I834" s="821"/>
      <c r="J834" s="821"/>
      <c r="K834" s="821"/>
      <c r="L834" s="821"/>
      <c r="M834" s="677"/>
      <c r="N834" s="821"/>
      <c r="O834" s="821"/>
      <c r="P834" s="677"/>
      <c r="Q834" s="677"/>
      <c r="R834" s="677"/>
      <c r="S834" s="677"/>
      <c r="T834" s="677"/>
      <c r="U834" s="677"/>
      <c r="V834" s="677"/>
      <c r="W834" s="677"/>
      <c r="X834" s="677"/>
      <c r="Y834" s="677"/>
      <c r="Z834" s="677"/>
      <c r="AA834" s="677"/>
      <c r="AB834" s="677"/>
      <c r="AC834" s="677"/>
      <c r="AD834" s="677"/>
    </row>
    <row r="835">
      <c r="A835" s="867"/>
      <c r="B835" s="674"/>
      <c r="C835" s="852"/>
      <c r="D835" s="656"/>
      <c r="E835" s="821"/>
      <c r="F835" s="821"/>
      <c r="G835" s="821"/>
      <c r="H835" s="821"/>
      <c r="I835" s="821"/>
      <c r="J835" s="821"/>
      <c r="K835" s="821"/>
      <c r="L835" s="821"/>
      <c r="M835" s="677"/>
      <c r="N835" s="821"/>
      <c r="O835" s="821"/>
      <c r="P835" s="677"/>
      <c r="Q835" s="677"/>
      <c r="R835" s="677"/>
      <c r="S835" s="677"/>
      <c r="T835" s="677"/>
      <c r="U835" s="677"/>
      <c r="V835" s="677"/>
      <c r="W835" s="677"/>
      <c r="X835" s="677"/>
      <c r="Y835" s="677"/>
      <c r="Z835" s="677"/>
      <c r="AA835" s="677"/>
      <c r="AB835" s="677"/>
      <c r="AC835" s="677"/>
      <c r="AD835" s="677"/>
    </row>
    <row r="836">
      <c r="A836" s="867"/>
      <c r="B836" s="674"/>
      <c r="C836" s="852"/>
      <c r="D836" s="656"/>
      <c r="E836" s="821"/>
      <c r="F836" s="821"/>
      <c r="G836" s="821"/>
      <c r="H836" s="821"/>
      <c r="I836" s="821"/>
      <c r="J836" s="821"/>
      <c r="K836" s="821"/>
      <c r="L836" s="821"/>
      <c r="M836" s="677"/>
      <c r="N836" s="821"/>
      <c r="O836" s="821"/>
      <c r="P836" s="677"/>
      <c r="Q836" s="677"/>
      <c r="R836" s="677"/>
      <c r="S836" s="677"/>
      <c r="T836" s="677"/>
      <c r="U836" s="677"/>
      <c r="V836" s="677"/>
      <c r="W836" s="677"/>
      <c r="X836" s="677"/>
      <c r="Y836" s="677"/>
      <c r="Z836" s="677"/>
      <c r="AA836" s="677"/>
      <c r="AB836" s="677"/>
      <c r="AC836" s="677"/>
      <c r="AD836" s="677"/>
    </row>
    <row r="837">
      <c r="A837" s="867"/>
      <c r="B837" s="674"/>
      <c r="C837" s="852"/>
      <c r="D837" s="656"/>
      <c r="E837" s="821"/>
      <c r="F837" s="821"/>
      <c r="G837" s="821"/>
      <c r="H837" s="821"/>
      <c r="I837" s="821"/>
      <c r="J837" s="821"/>
      <c r="K837" s="821"/>
      <c r="L837" s="821"/>
      <c r="M837" s="677"/>
      <c r="N837" s="821"/>
      <c r="O837" s="821"/>
      <c r="P837" s="677"/>
      <c r="Q837" s="677"/>
      <c r="R837" s="677"/>
      <c r="S837" s="677"/>
      <c r="T837" s="677"/>
      <c r="U837" s="677"/>
      <c r="V837" s="677"/>
      <c r="W837" s="677"/>
      <c r="X837" s="677"/>
      <c r="Y837" s="677"/>
      <c r="Z837" s="677"/>
      <c r="AA837" s="677"/>
      <c r="AB837" s="677"/>
      <c r="AC837" s="677"/>
      <c r="AD837" s="677"/>
    </row>
    <row r="838">
      <c r="A838" s="867"/>
      <c r="B838" s="674"/>
      <c r="C838" s="852"/>
      <c r="D838" s="656"/>
      <c r="E838" s="821"/>
      <c r="F838" s="821"/>
      <c r="G838" s="821"/>
      <c r="H838" s="821"/>
      <c r="I838" s="821"/>
      <c r="J838" s="821"/>
      <c r="K838" s="821"/>
      <c r="L838" s="821"/>
      <c r="M838" s="677"/>
      <c r="N838" s="821"/>
      <c r="O838" s="821"/>
      <c r="P838" s="677"/>
      <c r="Q838" s="677"/>
      <c r="R838" s="677"/>
      <c r="S838" s="677"/>
      <c r="T838" s="677"/>
      <c r="U838" s="677"/>
      <c r="V838" s="677"/>
      <c r="W838" s="677"/>
      <c r="X838" s="677"/>
      <c r="Y838" s="677"/>
      <c r="Z838" s="677"/>
      <c r="AA838" s="677"/>
      <c r="AB838" s="677"/>
      <c r="AC838" s="677"/>
      <c r="AD838" s="677"/>
    </row>
    <row r="839">
      <c r="A839" s="867"/>
      <c r="B839" s="674"/>
      <c r="C839" s="852"/>
      <c r="D839" s="656"/>
      <c r="E839" s="821"/>
      <c r="F839" s="821"/>
      <c r="G839" s="821"/>
      <c r="H839" s="821"/>
      <c r="I839" s="821"/>
      <c r="J839" s="821"/>
      <c r="K839" s="821"/>
      <c r="L839" s="821"/>
      <c r="M839" s="677"/>
      <c r="N839" s="821"/>
      <c r="O839" s="821"/>
      <c r="P839" s="677"/>
      <c r="Q839" s="677"/>
      <c r="R839" s="677"/>
      <c r="S839" s="677"/>
      <c r="T839" s="677"/>
      <c r="U839" s="677"/>
      <c r="V839" s="677"/>
      <c r="W839" s="677"/>
      <c r="X839" s="677"/>
      <c r="Y839" s="677"/>
      <c r="Z839" s="677"/>
      <c r="AA839" s="677"/>
      <c r="AB839" s="677"/>
      <c r="AC839" s="677"/>
      <c r="AD839" s="677"/>
    </row>
    <row r="840">
      <c r="A840" s="867"/>
      <c r="B840" s="674"/>
      <c r="C840" s="852"/>
      <c r="D840" s="656"/>
      <c r="E840" s="821"/>
      <c r="F840" s="821"/>
      <c r="G840" s="821"/>
      <c r="H840" s="821"/>
      <c r="I840" s="821"/>
      <c r="J840" s="821"/>
      <c r="K840" s="821"/>
      <c r="L840" s="821"/>
      <c r="M840" s="677"/>
      <c r="N840" s="821"/>
      <c r="O840" s="821"/>
      <c r="P840" s="677"/>
      <c r="Q840" s="677"/>
      <c r="R840" s="677"/>
      <c r="S840" s="677"/>
      <c r="T840" s="677"/>
      <c r="U840" s="677"/>
      <c r="V840" s="677"/>
      <c r="W840" s="677"/>
      <c r="X840" s="677"/>
      <c r="Y840" s="677"/>
      <c r="Z840" s="677"/>
      <c r="AA840" s="677"/>
      <c r="AB840" s="677"/>
      <c r="AC840" s="677"/>
      <c r="AD840" s="677"/>
    </row>
    <row r="841">
      <c r="A841" s="867"/>
      <c r="B841" s="674"/>
      <c r="C841" s="852"/>
      <c r="D841" s="656"/>
      <c r="E841" s="821"/>
      <c r="F841" s="821"/>
      <c r="G841" s="821"/>
      <c r="H841" s="821"/>
      <c r="I841" s="821"/>
      <c r="J841" s="821"/>
      <c r="K841" s="821"/>
      <c r="L841" s="821"/>
      <c r="M841" s="677"/>
      <c r="N841" s="821"/>
      <c r="O841" s="821"/>
      <c r="P841" s="677"/>
      <c r="Q841" s="677"/>
      <c r="R841" s="677"/>
      <c r="S841" s="677"/>
      <c r="T841" s="677"/>
      <c r="U841" s="677"/>
      <c r="V841" s="677"/>
      <c r="W841" s="677"/>
      <c r="X841" s="677"/>
      <c r="Y841" s="677"/>
      <c r="Z841" s="677"/>
      <c r="AA841" s="677"/>
      <c r="AB841" s="677"/>
      <c r="AC841" s="677"/>
      <c r="AD841" s="677"/>
    </row>
    <row r="842">
      <c r="A842" s="867"/>
      <c r="B842" s="674"/>
      <c r="C842" s="852"/>
      <c r="D842" s="656"/>
      <c r="E842" s="821"/>
      <c r="F842" s="821"/>
      <c r="G842" s="821"/>
      <c r="H842" s="821"/>
      <c r="I842" s="821"/>
      <c r="J842" s="821"/>
      <c r="K842" s="821"/>
      <c r="L842" s="821"/>
      <c r="M842" s="677"/>
      <c r="N842" s="821"/>
      <c r="O842" s="821"/>
      <c r="P842" s="677"/>
      <c r="Q842" s="677"/>
      <c r="R842" s="677"/>
      <c r="S842" s="677"/>
      <c r="T842" s="677"/>
      <c r="U842" s="677"/>
      <c r="V842" s="677"/>
      <c r="W842" s="677"/>
      <c r="X842" s="677"/>
      <c r="Y842" s="677"/>
      <c r="Z842" s="677"/>
      <c r="AA842" s="677"/>
      <c r="AB842" s="677"/>
      <c r="AC842" s="677"/>
      <c r="AD842" s="677"/>
    </row>
    <row r="843">
      <c r="A843" s="867"/>
      <c r="B843" s="674"/>
      <c r="C843" s="852"/>
      <c r="D843" s="656"/>
      <c r="E843" s="821"/>
      <c r="F843" s="821"/>
      <c r="G843" s="821"/>
      <c r="H843" s="821"/>
      <c r="I843" s="821"/>
      <c r="J843" s="821"/>
      <c r="K843" s="821"/>
      <c r="L843" s="821"/>
      <c r="M843" s="677"/>
      <c r="N843" s="821"/>
      <c r="O843" s="821"/>
      <c r="P843" s="677"/>
      <c r="Q843" s="677"/>
      <c r="R843" s="677"/>
      <c r="S843" s="677"/>
      <c r="T843" s="677"/>
      <c r="U843" s="677"/>
      <c r="V843" s="677"/>
      <c r="W843" s="677"/>
      <c r="X843" s="677"/>
      <c r="Y843" s="677"/>
      <c r="Z843" s="677"/>
      <c r="AA843" s="677"/>
      <c r="AB843" s="677"/>
      <c r="AC843" s="677"/>
      <c r="AD843" s="677"/>
    </row>
    <row r="844">
      <c r="A844" s="867"/>
      <c r="B844" s="708"/>
      <c r="C844" s="852"/>
      <c r="D844" s="656"/>
      <c r="E844" s="821"/>
      <c r="F844" s="821"/>
      <c r="G844" s="821"/>
      <c r="H844" s="821"/>
      <c r="I844" s="821"/>
      <c r="J844" s="821"/>
      <c r="K844" s="821"/>
      <c r="L844" s="821"/>
      <c r="M844" s="677"/>
      <c r="N844" s="821"/>
      <c r="O844" s="821"/>
      <c r="P844" s="677"/>
      <c r="Q844" s="677"/>
      <c r="R844" s="677"/>
      <c r="S844" s="677"/>
      <c r="T844" s="677"/>
      <c r="U844" s="677"/>
      <c r="V844" s="677"/>
      <c r="W844" s="677"/>
      <c r="X844" s="677"/>
      <c r="Y844" s="677"/>
      <c r="Z844" s="677"/>
      <c r="AA844" s="677"/>
      <c r="AB844" s="677"/>
      <c r="AC844" s="677"/>
      <c r="AD844" s="677"/>
    </row>
    <row r="845">
      <c r="A845" s="867"/>
      <c r="B845" s="674"/>
      <c r="C845" s="852"/>
      <c r="D845" s="656"/>
      <c r="E845" s="821"/>
      <c r="F845" s="821"/>
      <c r="G845" s="821"/>
      <c r="H845" s="821"/>
      <c r="I845" s="821"/>
      <c r="J845" s="821"/>
      <c r="K845" s="821"/>
      <c r="L845" s="821"/>
      <c r="M845" s="677"/>
      <c r="N845" s="821"/>
      <c r="O845" s="821"/>
      <c r="P845" s="677"/>
      <c r="Q845" s="677"/>
      <c r="R845" s="677"/>
      <c r="S845" s="677"/>
      <c r="T845" s="677"/>
      <c r="U845" s="677"/>
      <c r="V845" s="677"/>
      <c r="W845" s="677"/>
      <c r="X845" s="677"/>
      <c r="Y845" s="677"/>
      <c r="Z845" s="677"/>
      <c r="AA845" s="677"/>
      <c r="AB845" s="677"/>
      <c r="AC845" s="677"/>
      <c r="AD845" s="677"/>
    </row>
    <row r="846">
      <c r="A846" s="867"/>
      <c r="B846" s="674"/>
      <c r="C846" s="852"/>
      <c r="D846" s="656"/>
      <c r="E846" s="821"/>
      <c r="F846" s="821"/>
      <c r="G846" s="821"/>
      <c r="H846" s="821"/>
      <c r="I846" s="821"/>
      <c r="J846" s="821"/>
      <c r="K846" s="821"/>
      <c r="L846" s="821"/>
      <c r="M846" s="677"/>
      <c r="N846" s="821"/>
      <c r="O846" s="821"/>
      <c r="P846" s="677"/>
      <c r="Q846" s="677"/>
      <c r="R846" s="677"/>
      <c r="S846" s="677"/>
      <c r="T846" s="677"/>
      <c r="U846" s="677"/>
      <c r="V846" s="677"/>
      <c r="W846" s="677"/>
      <c r="X846" s="677"/>
      <c r="Y846" s="677"/>
      <c r="Z846" s="677"/>
      <c r="AA846" s="677"/>
      <c r="AB846" s="677"/>
      <c r="AC846" s="677"/>
      <c r="AD846" s="677"/>
    </row>
    <row r="847">
      <c r="A847" s="867"/>
      <c r="B847" s="708"/>
      <c r="C847" s="852"/>
      <c r="D847" s="656"/>
      <c r="E847" s="821"/>
      <c r="F847" s="821"/>
      <c r="G847" s="821"/>
      <c r="H847" s="821"/>
      <c r="I847" s="821"/>
      <c r="J847" s="821"/>
      <c r="K847" s="821"/>
      <c r="L847" s="821"/>
      <c r="M847" s="677"/>
      <c r="N847" s="821"/>
      <c r="O847" s="821"/>
      <c r="P847" s="677"/>
      <c r="Q847" s="677"/>
      <c r="R847" s="677"/>
      <c r="S847" s="677"/>
      <c r="T847" s="677"/>
      <c r="U847" s="677"/>
      <c r="V847" s="677"/>
      <c r="W847" s="677"/>
      <c r="X847" s="677"/>
      <c r="Y847" s="677"/>
      <c r="Z847" s="677"/>
      <c r="AA847" s="677"/>
      <c r="AB847" s="677"/>
      <c r="AC847" s="677"/>
      <c r="AD847" s="677"/>
    </row>
    <row r="848">
      <c r="A848" s="867"/>
      <c r="B848" s="674"/>
      <c r="C848" s="852"/>
      <c r="D848" s="656"/>
      <c r="E848" s="821"/>
      <c r="F848" s="821"/>
      <c r="G848" s="821"/>
      <c r="H848" s="821"/>
      <c r="I848" s="821"/>
      <c r="J848" s="821"/>
      <c r="K848" s="821"/>
      <c r="L848" s="821"/>
      <c r="M848" s="677"/>
      <c r="N848" s="821"/>
      <c r="O848" s="821"/>
      <c r="P848" s="677"/>
      <c r="Q848" s="677"/>
      <c r="R848" s="677"/>
      <c r="S848" s="677"/>
      <c r="T848" s="677"/>
      <c r="U848" s="677"/>
      <c r="V848" s="677"/>
      <c r="W848" s="677"/>
      <c r="X848" s="677"/>
      <c r="Y848" s="677"/>
      <c r="Z848" s="677"/>
      <c r="AA848" s="677"/>
      <c r="AB848" s="677"/>
      <c r="AC848" s="677"/>
      <c r="AD848" s="677"/>
    </row>
    <row r="849">
      <c r="A849" s="867"/>
      <c r="B849" s="708"/>
      <c r="C849" s="852"/>
      <c r="D849" s="656"/>
      <c r="E849" s="821"/>
      <c r="F849" s="821"/>
      <c r="G849" s="821"/>
      <c r="H849" s="821"/>
      <c r="I849" s="821"/>
      <c r="J849" s="821"/>
      <c r="K849" s="821"/>
      <c r="L849" s="821"/>
      <c r="M849" s="677"/>
      <c r="N849" s="821"/>
      <c r="O849" s="821"/>
      <c r="P849" s="677"/>
      <c r="Q849" s="677"/>
      <c r="R849" s="677"/>
      <c r="S849" s="677"/>
      <c r="T849" s="677"/>
      <c r="U849" s="677"/>
      <c r="V849" s="677"/>
      <c r="W849" s="677"/>
      <c r="X849" s="677"/>
      <c r="Y849" s="677"/>
      <c r="Z849" s="677"/>
      <c r="AA849" s="677"/>
      <c r="AB849" s="677"/>
      <c r="AC849" s="677"/>
      <c r="AD849" s="677"/>
    </row>
    <row r="850">
      <c r="A850" s="867"/>
      <c r="B850" s="674"/>
      <c r="C850" s="852"/>
      <c r="D850" s="656"/>
      <c r="E850" s="821"/>
      <c r="F850" s="821"/>
      <c r="G850" s="821"/>
      <c r="H850" s="821"/>
      <c r="I850" s="821"/>
      <c r="J850" s="821"/>
      <c r="K850" s="821"/>
      <c r="L850" s="821"/>
      <c r="M850" s="677"/>
      <c r="N850" s="821"/>
      <c r="O850" s="821"/>
      <c r="P850" s="677"/>
      <c r="Q850" s="677"/>
      <c r="R850" s="677"/>
      <c r="S850" s="677"/>
      <c r="T850" s="677"/>
      <c r="U850" s="677"/>
      <c r="V850" s="677"/>
      <c r="W850" s="677"/>
      <c r="X850" s="677"/>
      <c r="Y850" s="677"/>
      <c r="Z850" s="677"/>
      <c r="AA850" s="677"/>
      <c r="AB850" s="677"/>
      <c r="AC850" s="677"/>
      <c r="AD850" s="677"/>
    </row>
    <row r="851">
      <c r="A851" s="867"/>
      <c r="B851" s="674"/>
      <c r="C851" s="852"/>
      <c r="D851" s="656"/>
      <c r="E851" s="821"/>
      <c r="F851" s="821"/>
      <c r="G851" s="821"/>
      <c r="H851" s="821"/>
      <c r="I851" s="821"/>
      <c r="J851" s="821"/>
      <c r="K851" s="821"/>
      <c r="L851" s="821"/>
      <c r="M851" s="677"/>
      <c r="N851" s="821"/>
      <c r="O851" s="821"/>
      <c r="P851" s="677"/>
      <c r="Q851" s="677"/>
      <c r="R851" s="677"/>
      <c r="S851" s="677"/>
      <c r="T851" s="677"/>
      <c r="U851" s="677"/>
      <c r="V851" s="677"/>
      <c r="W851" s="677"/>
      <c r="X851" s="677"/>
      <c r="Y851" s="677"/>
      <c r="Z851" s="677"/>
      <c r="AA851" s="677"/>
      <c r="AB851" s="677"/>
      <c r="AC851" s="677"/>
      <c r="AD851" s="677"/>
    </row>
    <row r="852">
      <c r="A852" s="867"/>
      <c r="B852" s="674"/>
      <c r="C852" s="852"/>
      <c r="D852" s="656"/>
      <c r="E852" s="821"/>
      <c r="F852" s="821"/>
      <c r="G852" s="821"/>
      <c r="H852" s="821"/>
      <c r="I852" s="821"/>
      <c r="J852" s="821"/>
      <c r="K852" s="821"/>
      <c r="L852" s="821"/>
      <c r="M852" s="677"/>
      <c r="N852" s="821"/>
      <c r="O852" s="821"/>
      <c r="P852" s="677"/>
      <c r="Q852" s="677"/>
      <c r="R852" s="677"/>
      <c r="S852" s="677"/>
      <c r="T852" s="677"/>
      <c r="U852" s="677"/>
      <c r="V852" s="677"/>
      <c r="W852" s="677"/>
      <c r="X852" s="677"/>
      <c r="Y852" s="677"/>
      <c r="Z852" s="677"/>
      <c r="AA852" s="677"/>
      <c r="AB852" s="677"/>
      <c r="AC852" s="677"/>
      <c r="AD852" s="677"/>
    </row>
    <row r="853">
      <c r="A853" s="867"/>
      <c r="B853" s="674"/>
      <c r="C853" s="852"/>
      <c r="D853" s="656"/>
      <c r="E853" s="821"/>
      <c r="F853" s="821"/>
      <c r="G853" s="821"/>
      <c r="H853" s="821"/>
      <c r="I853" s="821"/>
      <c r="J853" s="821"/>
      <c r="K853" s="821"/>
      <c r="L853" s="821"/>
      <c r="M853" s="677"/>
      <c r="N853" s="821"/>
      <c r="O853" s="821"/>
      <c r="P853" s="677"/>
      <c r="Q853" s="677"/>
      <c r="R853" s="677"/>
      <c r="S853" s="677"/>
      <c r="T853" s="677"/>
      <c r="U853" s="677"/>
      <c r="V853" s="677"/>
      <c r="W853" s="677"/>
      <c r="X853" s="677"/>
      <c r="Y853" s="677"/>
      <c r="Z853" s="677"/>
      <c r="AA853" s="677"/>
      <c r="AB853" s="677"/>
      <c r="AC853" s="677"/>
      <c r="AD853" s="677"/>
    </row>
    <row r="854">
      <c r="A854" s="867"/>
      <c r="B854" s="674"/>
      <c r="C854" s="852"/>
      <c r="D854" s="656"/>
      <c r="E854" s="821"/>
      <c r="F854" s="821"/>
      <c r="G854" s="821"/>
      <c r="H854" s="821"/>
      <c r="I854" s="821"/>
      <c r="J854" s="821"/>
      <c r="K854" s="821"/>
      <c r="L854" s="821"/>
      <c r="M854" s="677"/>
      <c r="N854" s="821"/>
      <c r="O854" s="821"/>
      <c r="P854" s="677"/>
      <c r="Q854" s="677"/>
      <c r="R854" s="677"/>
      <c r="S854" s="677"/>
      <c r="T854" s="677"/>
      <c r="U854" s="677"/>
      <c r="V854" s="677"/>
      <c r="W854" s="677"/>
      <c r="X854" s="677"/>
      <c r="Y854" s="677"/>
      <c r="Z854" s="677"/>
      <c r="AA854" s="677"/>
      <c r="AB854" s="677"/>
      <c r="AC854" s="677"/>
      <c r="AD854" s="677"/>
    </row>
    <row r="855">
      <c r="A855" s="867"/>
      <c r="B855" s="674"/>
      <c r="C855" s="852"/>
      <c r="D855" s="656"/>
      <c r="E855" s="821"/>
      <c r="F855" s="821"/>
      <c r="G855" s="821"/>
      <c r="H855" s="821"/>
      <c r="I855" s="821"/>
      <c r="J855" s="821"/>
      <c r="K855" s="821"/>
      <c r="L855" s="821"/>
      <c r="M855" s="677"/>
      <c r="N855" s="821"/>
      <c r="O855" s="821"/>
      <c r="P855" s="677"/>
      <c r="Q855" s="677"/>
      <c r="R855" s="677"/>
      <c r="S855" s="677"/>
      <c r="T855" s="677"/>
      <c r="U855" s="677"/>
      <c r="V855" s="677"/>
      <c r="W855" s="677"/>
      <c r="X855" s="677"/>
      <c r="Y855" s="677"/>
      <c r="Z855" s="677"/>
      <c r="AA855" s="677"/>
      <c r="AB855" s="677"/>
      <c r="AC855" s="677"/>
      <c r="AD855" s="677"/>
    </row>
    <row r="856">
      <c r="A856" s="867"/>
      <c r="B856" s="674"/>
      <c r="C856" s="852"/>
      <c r="D856" s="656"/>
      <c r="E856" s="821"/>
      <c r="F856" s="821"/>
      <c r="G856" s="821"/>
      <c r="H856" s="821"/>
      <c r="I856" s="821"/>
      <c r="J856" s="821"/>
      <c r="K856" s="821"/>
      <c r="L856" s="821"/>
      <c r="M856" s="677"/>
      <c r="N856" s="821"/>
      <c r="O856" s="821"/>
      <c r="P856" s="677"/>
      <c r="Q856" s="677"/>
      <c r="R856" s="677"/>
      <c r="S856" s="677"/>
      <c r="T856" s="677"/>
      <c r="U856" s="677"/>
      <c r="V856" s="677"/>
      <c r="W856" s="677"/>
      <c r="X856" s="677"/>
      <c r="Y856" s="677"/>
      <c r="Z856" s="677"/>
      <c r="AA856" s="677"/>
      <c r="AB856" s="677"/>
      <c r="AC856" s="677"/>
      <c r="AD856" s="677"/>
    </row>
    <row r="857">
      <c r="A857" s="867"/>
      <c r="B857" s="674"/>
      <c r="C857" s="852"/>
      <c r="D857" s="656"/>
      <c r="E857" s="821"/>
      <c r="F857" s="821"/>
      <c r="G857" s="821"/>
      <c r="H857" s="821"/>
      <c r="I857" s="821"/>
      <c r="J857" s="821"/>
      <c r="K857" s="821"/>
      <c r="L857" s="821"/>
      <c r="M857" s="677"/>
      <c r="N857" s="821"/>
      <c r="O857" s="821"/>
      <c r="P857" s="677"/>
      <c r="Q857" s="677"/>
      <c r="R857" s="677"/>
      <c r="S857" s="677"/>
      <c r="T857" s="677"/>
      <c r="U857" s="677"/>
      <c r="V857" s="677"/>
      <c r="W857" s="677"/>
      <c r="X857" s="677"/>
      <c r="Y857" s="677"/>
      <c r="Z857" s="677"/>
      <c r="AA857" s="677"/>
      <c r="AB857" s="677"/>
      <c r="AC857" s="677"/>
      <c r="AD857" s="677"/>
    </row>
    <row r="858">
      <c r="A858" s="867"/>
      <c r="B858" s="674"/>
      <c r="C858" s="852"/>
      <c r="D858" s="656"/>
      <c r="E858" s="821"/>
      <c r="F858" s="821"/>
      <c r="G858" s="821"/>
      <c r="H858" s="821"/>
      <c r="I858" s="821"/>
      <c r="J858" s="821"/>
      <c r="K858" s="821"/>
      <c r="L858" s="821"/>
      <c r="M858" s="677"/>
      <c r="N858" s="821"/>
      <c r="O858" s="821"/>
      <c r="P858" s="677"/>
      <c r="Q858" s="677"/>
      <c r="R858" s="677"/>
      <c r="S858" s="677"/>
      <c r="T858" s="677"/>
      <c r="U858" s="677"/>
      <c r="V858" s="677"/>
      <c r="W858" s="677"/>
      <c r="X858" s="677"/>
      <c r="Y858" s="677"/>
      <c r="Z858" s="677"/>
      <c r="AA858" s="677"/>
      <c r="AB858" s="677"/>
      <c r="AC858" s="677"/>
      <c r="AD858" s="677"/>
    </row>
    <row r="859">
      <c r="A859" s="867"/>
      <c r="B859" s="674"/>
      <c r="C859" s="852"/>
      <c r="D859" s="656"/>
      <c r="E859" s="821"/>
      <c r="F859" s="821"/>
      <c r="G859" s="821"/>
      <c r="H859" s="821"/>
      <c r="I859" s="821"/>
      <c r="J859" s="821"/>
      <c r="K859" s="821"/>
      <c r="L859" s="821"/>
      <c r="M859" s="677"/>
      <c r="N859" s="821"/>
      <c r="O859" s="821"/>
      <c r="P859" s="677"/>
      <c r="Q859" s="677"/>
      <c r="R859" s="677"/>
      <c r="S859" s="677"/>
      <c r="T859" s="677"/>
      <c r="U859" s="677"/>
      <c r="V859" s="677"/>
      <c r="W859" s="677"/>
      <c r="X859" s="677"/>
      <c r="Y859" s="677"/>
      <c r="Z859" s="677"/>
      <c r="AA859" s="677"/>
      <c r="AB859" s="677"/>
      <c r="AC859" s="677"/>
      <c r="AD859" s="677"/>
    </row>
    <row r="860">
      <c r="A860" s="867"/>
      <c r="B860" s="674"/>
      <c r="C860" s="852"/>
      <c r="D860" s="656"/>
      <c r="E860" s="821"/>
      <c r="F860" s="821"/>
      <c r="G860" s="821"/>
      <c r="H860" s="821"/>
      <c r="I860" s="821"/>
      <c r="J860" s="821"/>
      <c r="K860" s="821"/>
      <c r="L860" s="821"/>
      <c r="M860" s="677"/>
      <c r="N860" s="821"/>
      <c r="O860" s="821"/>
      <c r="P860" s="677"/>
      <c r="Q860" s="677"/>
      <c r="R860" s="677"/>
      <c r="S860" s="677"/>
      <c r="T860" s="677"/>
      <c r="U860" s="677"/>
      <c r="V860" s="677"/>
      <c r="W860" s="677"/>
      <c r="X860" s="677"/>
      <c r="Y860" s="677"/>
      <c r="Z860" s="677"/>
      <c r="AA860" s="677"/>
      <c r="AB860" s="677"/>
      <c r="AC860" s="677"/>
      <c r="AD860" s="677"/>
    </row>
    <row r="861">
      <c r="A861" s="867"/>
      <c r="B861" s="674"/>
      <c r="C861" s="852"/>
      <c r="D861" s="656"/>
      <c r="E861" s="821"/>
      <c r="F861" s="821"/>
      <c r="G861" s="821"/>
      <c r="H861" s="821"/>
      <c r="I861" s="821"/>
      <c r="J861" s="821"/>
      <c r="K861" s="821"/>
      <c r="L861" s="821"/>
      <c r="M861" s="677"/>
      <c r="N861" s="821"/>
      <c r="O861" s="821"/>
      <c r="P861" s="677"/>
      <c r="Q861" s="677"/>
      <c r="R861" s="677"/>
      <c r="S861" s="677"/>
      <c r="T861" s="677"/>
      <c r="U861" s="677"/>
      <c r="V861" s="677"/>
      <c r="W861" s="677"/>
      <c r="X861" s="677"/>
      <c r="Y861" s="677"/>
      <c r="Z861" s="677"/>
      <c r="AA861" s="677"/>
      <c r="AB861" s="677"/>
      <c r="AC861" s="677"/>
      <c r="AD861" s="677"/>
    </row>
    <row r="862">
      <c r="A862" s="867"/>
      <c r="B862" s="674"/>
      <c r="C862" s="852"/>
      <c r="D862" s="656"/>
      <c r="E862" s="821"/>
      <c r="F862" s="821"/>
      <c r="G862" s="821"/>
      <c r="H862" s="821"/>
      <c r="I862" s="821"/>
      <c r="J862" s="821"/>
      <c r="K862" s="821"/>
      <c r="L862" s="821"/>
      <c r="M862" s="677"/>
      <c r="N862" s="821"/>
      <c r="O862" s="821"/>
      <c r="P862" s="677"/>
      <c r="Q862" s="677"/>
      <c r="R862" s="677"/>
      <c r="S862" s="677"/>
      <c r="T862" s="677"/>
      <c r="U862" s="677"/>
      <c r="V862" s="677"/>
      <c r="W862" s="677"/>
      <c r="X862" s="677"/>
      <c r="Y862" s="677"/>
      <c r="Z862" s="677"/>
      <c r="AA862" s="677"/>
      <c r="AB862" s="677"/>
      <c r="AC862" s="677"/>
      <c r="AD862" s="677"/>
    </row>
    <row r="863">
      <c r="A863" s="867"/>
      <c r="B863" s="674"/>
      <c r="C863" s="852"/>
      <c r="D863" s="656"/>
      <c r="E863" s="821"/>
      <c r="F863" s="821"/>
      <c r="G863" s="821"/>
      <c r="H863" s="821"/>
      <c r="I863" s="821"/>
      <c r="J863" s="821"/>
      <c r="K863" s="821"/>
      <c r="L863" s="821"/>
      <c r="M863" s="677"/>
      <c r="N863" s="821"/>
      <c r="O863" s="821"/>
      <c r="P863" s="677"/>
      <c r="Q863" s="677"/>
      <c r="R863" s="677"/>
      <c r="S863" s="677"/>
      <c r="T863" s="677"/>
      <c r="U863" s="677"/>
      <c r="V863" s="677"/>
      <c r="W863" s="677"/>
      <c r="X863" s="677"/>
      <c r="Y863" s="677"/>
      <c r="Z863" s="677"/>
      <c r="AA863" s="677"/>
      <c r="AB863" s="677"/>
      <c r="AC863" s="677"/>
      <c r="AD863" s="677"/>
    </row>
    <row r="864">
      <c r="A864" s="867"/>
      <c r="B864" s="674"/>
      <c r="C864" s="852"/>
      <c r="D864" s="656"/>
      <c r="E864" s="821"/>
      <c r="F864" s="821"/>
      <c r="G864" s="821"/>
      <c r="H864" s="821"/>
      <c r="I864" s="821"/>
      <c r="J864" s="821"/>
      <c r="K864" s="821"/>
      <c r="L864" s="821"/>
      <c r="M864" s="677"/>
      <c r="N864" s="821"/>
      <c r="O864" s="821"/>
      <c r="P864" s="677"/>
      <c r="Q864" s="677"/>
      <c r="R864" s="677"/>
      <c r="S864" s="677"/>
      <c r="T864" s="677"/>
      <c r="U864" s="677"/>
      <c r="V864" s="677"/>
      <c r="W864" s="677"/>
      <c r="X864" s="677"/>
      <c r="Y864" s="677"/>
      <c r="Z864" s="677"/>
      <c r="AA864" s="677"/>
      <c r="AB864" s="677"/>
      <c r="AC864" s="677"/>
      <c r="AD864" s="677"/>
    </row>
    <row r="865">
      <c r="A865" s="867"/>
      <c r="B865" s="674"/>
      <c r="C865" s="852"/>
      <c r="D865" s="656"/>
      <c r="E865" s="821"/>
      <c r="F865" s="821"/>
      <c r="G865" s="821"/>
      <c r="H865" s="821"/>
      <c r="I865" s="821"/>
      <c r="J865" s="821"/>
      <c r="K865" s="821"/>
      <c r="L865" s="821"/>
      <c r="M865" s="677"/>
      <c r="N865" s="821"/>
      <c r="O865" s="821"/>
      <c r="P865" s="677"/>
      <c r="Q865" s="677"/>
      <c r="R865" s="677"/>
      <c r="S865" s="677"/>
      <c r="T865" s="677"/>
      <c r="U865" s="677"/>
      <c r="V865" s="677"/>
      <c r="W865" s="677"/>
      <c r="X865" s="677"/>
      <c r="Y865" s="677"/>
      <c r="Z865" s="677"/>
      <c r="AA865" s="677"/>
      <c r="AB865" s="677"/>
      <c r="AC865" s="677"/>
      <c r="AD865" s="677"/>
    </row>
    <row r="866">
      <c r="A866" s="867"/>
      <c r="B866" s="674"/>
      <c r="C866" s="852"/>
      <c r="D866" s="656"/>
      <c r="E866" s="821"/>
      <c r="F866" s="821"/>
      <c r="G866" s="821"/>
      <c r="H866" s="821"/>
      <c r="I866" s="821"/>
      <c r="J866" s="821"/>
      <c r="K866" s="821"/>
      <c r="L866" s="821"/>
      <c r="M866" s="677"/>
      <c r="N866" s="821"/>
      <c r="O866" s="821"/>
      <c r="P866" s="677"/>
      <c r="Q866" s="677"/>
      <c r="R866" s="677"/>
      <c r="S866" s="677"/>
      <c r="T866" s="677"/>
      <c r="U866" s="677"/>
      <c r="V866" s="677"/>
      <c r="W866" s="677"/>
      <c r="X866" s="677"/>
      <c r="Y866" s="677"/>
      <c r="Z866" s="677"/>
      <c r="AA866" s="677"/>
      <c r="AB866" s="677"/>
      <c r="AC866" s="677"/>
      <c r="AD866" s="677"/>
    </row>
    <row r="867">
      <c r="A867" s="867"/>
      <c r="B867" s="674"/>
      <c r="C867" s="852"/>
      <c r="D867" s="656"/>
      <c r="E867" s="821"/>
      <c r="F867" s="821"/>
      <c r="G867" s="821"/>
      <c r="H867" s="821"/>
      <c r="I867" s="821"/>
      <c r="J867" s="821"/>
      <c r="K867" s="821"/>
      <c r="L867" s="821"/>
      <c r="M867" s="677"/>
      <c r="N867" s="821"/>
      <c r="O867" s="821"/>
      <c r="P867" s="677"/>
      <c r="Q867" s="677"/>
      <c r="R867" s="677"/>
      <c r="S867" s="677"/>
      <c r="T867" s="677"/>
      <c r="U867" s="677"/>
      <c r="V867" s="677"/>
      <c r="W867" s="677"/>
      <c r="X867" s="677"/>
      <c r="Y867" s="677"/>
      <c r="Z867" s="677"/>
      <c r="AA867" s="677"/>
      <c r="AB867" s="677"/>
      <c r="AC867" s="677"/>
      <c r="AD867" s="677"/>
    </row>
    <row r="868">
      <c r="A868" s="867"/>
      <c r="B868" s="674"/>
      <c r="C868" s="852"/>
      <c r="D868" s="656"/>
      <c r="E868" s="821"/>
      <c r="F868" s="821"/>
      <c r="G868" s="821"/>
      <c r="H868" s="821"/>
      <c r="I868" s="821"/>
      <c r="J868" s="821"/>
      <c r="K868" s="821"/>
      <c r="L868" s="821"/>
      <c r="M868" s="677"/>
      <c r="N868" s="821"/>
      <c r="O868" s="821"/>
      <c r="P868" s="677"/>
      <c r="Q868" s="677"/>
      <c r="R868" s="677"/>
      <c r="S868" s="677"/>
      <c r="T868" s="677"/>
      <c r="U868" s="677"/>
      <c r="V868" s="677"/>
      <c r="W868" s="677"/>
      <c r="X868" s="677"/>
      <c r="Y868" s="677"/>
      <c r="Z868" s="677"/>
      <c r="AA868" s="677"/>
      <c r="AB868" s="677"/>
      <c r="AC868" s="677"/>
      <c r="AD868" s="677"/>
    </row>
    <row r="869">
      <c r="A869" s="867"/>
      <c r="B869" s="674"/>
      <c r="C869" s="852"/>
      <c r="D869" s="656"/>
      <c r="E869" s="821"/>
      <c r="F869" s="821"/>
      <c r="G869" s="821"/>
      <c r="H869" s="821"/>
      <c r="I869" s="821"/>
      <c r="J869" s="821"/>
      <c r="K869" s="821"/>
      <c r="L869" s="821"/>
      <c r="M869" s="677"/>
      <c r="N869" s="821"/>
      <c r="O869" s="821"/>
      <c r="P869" s="677"/>
      <c r="Q869" s="677"/>
      <c r="R869" s="677"/>
      <c r="S869" s="677"/>
      <c r="T869" s="677"/>
      <c r="U869" s="677"/>
      <c r="V869" s="677"/>
      <c r="W869" s="677"/>
      <c r="X869" s="677"/>
      <c r="Y869" s="677"/>
      <c r="Z869" s="677"/>
      <c r="AA869" s="677"/>
      <c r="AB869" s="677"/>
      <c r="AC869" s="677"/>
      <c r="AD869" s="677"/>
    </row>
    <row r="870">
      <c r="A870" s="867"/>
      <c r="B870" s="674"/>
      <c r="C870" s="852"/>
      <c r="D870" s="656"/>
      <c r="E870" s="821"/>
      <c r="F870" s="821"/>
      <c r="G870" s="821"/>
      <c r="H870" s="821"/>
      <c r="I870" s="821"/>
      <c r="J870" s="821"/>
      <c r="K870" s="821"/>
      <c r="L870" s="821"/>
      <c r="M870" s="677"/>
      <c r="N870" s="821"/>
      <c r="O870" s="821"/>
      <c r="P870" s="677"/>
      <c r="Q870" s="677"/>
      <c r="R870" s="677"/>
      <c r="S870" s="677"/>
      <c r="T870" s="677"/>
      <c r="U870" s="677"/>
      <c r="V870" s="677"/>
      <c r="W870" s="677"/>
      <c r="X870" s="677"/>
      <c r="Y870" s="677"/>
      <c r="Z870" s="677"/>
      <c r="AA870" s="677"/>
      <c r="AB870" s="677"/>
      <c r="AC870" s="677"/>
      <c r="AD870" s="677"/>
    </row>
    <row r="871">
      <c r="A871" s="867"/>
      <c r="B871" s="674"/>
      <c r="C871" s="852"/>
      <c r="D871" s="656"/>
      <c r="E871" s="821"/>
      <c r="F871" s="821"/>
      <c r="G871" s="821"/>
      <c r="H871" s="821"/>
      <c r="I871" s="821"/>
      <c r="J871" s="821"/>
      <c r="K871" s="821"/>
      <c r="L871" s="821"/>
      <c r="M871" s="677"/>
      <c r="N871" s="821"/>
      <c r="O871" s="821"/>
      <c r="P871" s="677"/>
      <c r="Q871" s="677"/>
      <c r="R871" s="677"/>
      <c r="S871" s="677"/>
      <c r="T871" s="677"/>
      <c r="U871" s="677"/>
      <c r="V871" s="677"/>
      <c r="W871" s="677"/>
      <c r="X871" s="677"/>
      <c r="Y871" s="677"/>
      <c r="Z871" s="677"/>
      <c r="AA871" s="677"/>
      <c r="AB871" s="677"/>
      <c r="AC871" s="677"/>
      <c r="AD871" s="677"/>
    </row>
    <row r="872">
      <c r="A872" s="867"/>
      <c r="B872" s="674"/>
      <c r="C872" s="852"/>
      <c r="D872" s="656"/>
      <c r="E872" s="821"/>
      <c r="F872" s="821"/>
      <c r="G872" s="821"/>
      <c r="H872" s="821"/>
      <c r="I872" s="821"/>
      <c r="J872" s="821"/>
      <c r="K872" s="821"/>
      <c r="L872" s="821"/>
      <c r="M872" s="677"/>
      <c r="N872" s="821"/>
      <c r="O872" s="821"/>
      <c r="P872" s="677"/>
      <c r="Q872" s="677"/>
      <c r="R872" s="677"/>
      <c r="S872" s="677"/>
      <c r="T872" s="677"/>
      <c r="U872" s="677"/>
      <c r="V872" s="677"/>
      <c r="W872" s="677"/>
      <c r="X872" s="677"/>
      <c r="Y872" s="677"/>
      <c r="Z872" s="677"/>
      <c r="AA872" s="677"/>
      <c r="AB872" s="677"/>
      <c r="AC872" s="677"/>
      <c r="AD872" s="677"/>
    </row>
    <row r="873">
      <c r="A873" s="867"/>
      <c r="B873" s="674"/>
      <c r="C873" s="852"/>
      <c r="D873" s="656"/>
      <c r="E873" s="821"/>
      <c r="F873" s="821"/>
      <c r="G873" s="821"/>
      <c r="H873" s="821"/>
      <c r="I873" s="821"/>
      <c r="J873" s="821"/>
      <c r="K873" s="821"/>
      <c r="L873" s="821"/>
      <c r="M873" s="677"/>
      <c r="N873" s="821"/>
      <c r="O873" s="821"/>
      <c r="P873" s="677"/>
      <c r="Q873" s="677"/>
      <c r="R873" s="677"/>
      <c r="S873" s="677"/>
      <c r="T873" s="677"/>
      <c r="U873" s="677"/>
      <c r="V873" s="677"/>
      <c r="W873" s="677"/>
      <c r="X873" s="677"/>
      <c r="Y873" s="677"/>
      <c r="Z873" s="677"/>
      <c r="AA873" s="677"/>
      <c r="AB873" s="677"/>
      <c r="AC873" s="677"/>
      <c r="AD873" s="677"/>
    </row>
    <row r="874">
      <c r="A874" s="867"/>
      <c r="B874" s="674"/>
      <c r="C874" s="852"/>
      <c r="D874" s="656"/>
      <c r="E874" s="821"/>
      <c r="F874" s="821"/>
      <c r="G874" s="821"/>
      <c r="H874" s="821"/>
      <c r="I874" s="821"/>
      <c r="J874" s="821"/>
      <c r="K874" s="821"/>
      <c r="L874" s="821"/>
      <c r="M874" s="677"/>
      <c r="N874" s="821"/>
      <c r="O874" s="821"/>
      <c r="P874" s="677"/>
      <c r="Q874" s="677"/>
      <c r="R874" s="677"/>
      <c r="S874" s="677"/>
      <c r="T874" s="677"/>
      <c r="U874" s="677"/>
      <c r="V874" s="677"/>
      <c r="W874" s="677"/>
      <c r="X874" s="677"/>
      <c r="Y874" s="677"/>
      <c r="Z874" s="677"/>
      <c r="AA874" s="677"/>
      <c r="AB874" s="677"/>
      <c r="AC874" s="677"/>
      <c r="AD874" s="677"/>
    </row>
    <row r="875">
      <c r="A875" s="867"/>
      <c r="B875" s="674"/>
      <c r="C875" s="852"/>
      <c r="D875" s="656"/>
      <c r="E875" s="821"/>
      <c r="F875" s="821"/>
      <c r="G875" s="821"/>
      <c r="H875" s="821"/>
      <c r="I875" s="821"/>
      <c r="J875" s="821"/>
      <c r="K875" s="821"/>
      <c r="L875" s="821"/>
      <c r="M875" s="677"/>
      <c r="N875" s="821"/>
      <c r="O875" s="821"/>
      <c r="P875" s="677"/>
      <c r="Q875" s="677"/>
      <c r="R875" s="677"/>
      <c r="S875" s="677"/>
      <c r="T875" s="677"/>
      <c r="U875" s="677"/>
      <c r="V875" s="677"/>
      <c r="W875" s="677"/>
      <c r="X875" s="677"/>
      <c r="Y875" s="677"/>
      <c r="Z875" s="677"/>
      <c r="AA875" s="677"/>
      <c r="AB875" s="677"/>
      <c r="AC875" s="677"/>
      <c r="AD875" s="677"/>
    </row>
    <row r="876">
      <c r="A876" s="867"/>
      <c r="B876" s="674"/>
      <c r="C876" s="852"/>
      <c r="D876" s="656"/>
      <c r="E876" s="821"/>
      <c r="F876" s="821"/>
      <c r="G876" s="821"/>
      <c r="H876" s="821"/>
      <c r="I876" s="821"/>
      <c r="J876" s="821"/>
      <c r="K876" s="821"/>
      <c r="L876" s="821"/>
      <c r="M876" s="677"/>
      <c r="N876" s="821"/>
      <c r="O876" s="821"/>
      <c r="P876" s="677"/>
      <c r="Q876" s="677"/>
      <c r="R876" s="677"/>
      <c r="S876" s="677"/>
      <c r="T876" s="677"/>
      <c r="U876" s="677"/>
      <c r="V876" s="677"/>
      <c r="W876" s="677"/>
      <c r="X876" s="677"/>
      <c r="Y876" s="677"/>
      <c r="Z876" s="677"/>
      <c r="AA876" s="677"/>
      <c r="AB876" s="677"/>
      <c r="AC876" s="677"/>
      <c r="AD876" s="677"/>
    </row>
    <row r="877">
      <c r="A877" s="867"/>
      <c r="B877" s="674"/>
      <c r="C877" s="852"/>
      <c r="D877" s="656"/>
      <c r="E877" s="821"/>
      <c r="F877" s="821"/>
      <c r="G877" s="821"/>
      <c r="H877" s="821"/>
      <c r="I877" s="821"/>
      <c r="J877" s="821"/>
      <c r="K877" s="821"/>
      <c r="L877" s="821"/>
      <c r="M877" s="677"/>
      <c r="N877" s="821"/>
      <c r="O877" s="821"/>
      <c r="P877" s="677"/>
      <c r="Q877" s="677"/>
      <c r="R877" s="677"/>
      <c r="S877" s="677"/>
      <c r="T877" s="677"/>
      <c r="U877" s="677"/>
      <c r="V877" s="677"/>
      <c r="W877" s="677"/>
      <c r="X877" s="677"/>
      <c r="Y877" s="677"/>
      <c r="Z877" s="677"/>
      <c r="AA877" s="677"/>
      <c r="AB877" s="677"/>
      <c r="AC877" s="677"/>
      <c r="AD877" s="677"/>
    </row>
    <row r="878">
      <c r="A878" s="867"/>
      <c r="B878" s="674"/>
      <c r="C878" s="852"/>
      <c r="D878" s="656"/>
      <c r="E878" s="821"/>
      <c r="F878" s="821"/>
      <c r="G878" s="821"/>
      <c r="H878" s="821"/>
      <c r="I878" s="821"/>
      <c r="J878" s="821"/>
      <c r="K878" s="821"/>
      <c r="L878" s="821"/>
      <c r="M878" s="677"/>
      <c r="N878" s="821"/>
      <c r="O878" s="821"/>
      <c r="P878" s="677"/>
      <c r="Q878" s="677"/>
      <c r="R878" s="677"/>
      <c r="S878" s="677"/>
      <c r="T878" s="677"/>
      <c r="U878" s="677"/>
      <c r="V878" s="677"/>
      <c r="W878" s="677"/>
      <c r="X878" s="677"/>
      <c r="Y878" s="677"/>
      <c r="Z878" s="677"/>
      <c r="AA878" s="677"/>
      <c r="AB878" s="677"/>
      <c r="AC878" s="677"/>
      <c r="AD878" s="677"/>
    </row>
    <row r="879">
      <c r="A879" s="867"/>
      <c r="B879" s="674"/>
      <c r="C879" s="852"/>
      <c r="D879" s="656"/>
      <c r="E879" s="821"/>
      <c r="F879" s="821"/>
      <c r="G879" s="821"/>
      <c r="H879" s="821"/>
      <c r="I879" s="821"/>
      <c r="J879" s="821"/>
      <c r="K879" s="821"/>
      <c r="L879" s="821"/>
      <c r="M879" s="677"/>
      <c r="N879" s="821"/>
      <c r="O879" s="821"/>
      <c r="P879" s="677"/>
      <c r="Q879" s="677"/>
      <c r="R879" s="677"/>
      <c r="S879" s="677"/>
      <c r="T879" s="677"/>
      <c r="U879" s="677"/>
      <c r="V879" s="677"/>
      <c r="W879" s="677"/>
      <c r="X879" s="677"/>
      <c r="Y879" s="677"/>
      <c r="Z879" s="677"/>
      <c r="AA879" s="677"/>
      <c r="AB879" s="677"/>
      <c r="AC879" s="677"/>
      <c r="AD879" s="677"/>
    </row>
    <row r="880">
      <c r="A880" s="867"/>
      <c r="B880" s="674"/>
      <c r="C880" s="852"/>
      <c r="D880" s="656"/>
      <c r="E880" s="821"/>
      <c r="F880" s="821"/>
      <c r="G880" s="821"/>
      <c r="H880" s="821"/>
      <c r="I880" s="821"/>
      <c r="J880" s="821"/>
      <c r="K880" s="821"/>
      <c r="L880" s="821"/>
      <c r="M880" s="677"/>
      <c r="N880" s="821"/>
      <c r="O880" s="821"/>
      <c r="P880" s="677"/>
      <c r="Q880" s="677"/>
      <c r="R880" s="677"/>
      <c r="S880" s="677"/>
      <c r="T880" s="677"/>
      <c r="U880" s="677"/>
      <c r="V880" s="677"/>
      <c r="W880" s="677"/>
      <c r="X880" s="677"/>
      <c r="Y880" s="677"/>
      <c r="Z880" s="677"/>
      <c r="AA880" s="677"/>
      <c r="AB880" s="677"/>
      <c r="AC880" s="677"/>
      <c r="AD880" s="677"/>
    </row>
    <row r="881">
      <c r="A881" s="867"/>
      <c r="B881" s="708"/>
      <c r="C881" s="852"/>
      <c r="D881" s="656"/>
      <c r="E881" s="821"/>
      <c r="F881" s="821"/>
      <c r="G881" s="821"/>
      <c r="H881" s="821"/>
      <c r="I881" s="821"/>
      <c r="J881" s="821"/>
      <c r="K881" s="821"/>
      <c r="L881" s="821"/>
      <c r="M881" s="677"/>
      <c r="N881" s="821"/>
      <c r="O881" s="821"/>
      <c r="P881" s="677"/>
      <c r="Q881" s="677"/>
      <c r="R881" s="677"/>
      <c r="S881" s="677"/>
      <c r="T881" s="677"/>
      <c r="U881" s="677"/>
      <c r="V881" s="677"/>
      <c r="W881" s="677"/>
      <c r="X881" s="677"/>
      <c r="Y881" s="677"/>
      <c r="Z881" s="677"/>
      <c r="AA881" s="677"/>
      <c r="AB881" s="677"/>
      <c r="AC881" s="677"/>
      <c r="AD881" s="677"/>
    </row>
    <row r="882">
      <c r="A882" s="867"/>
      <c r="B882" s="674"/>
      <c r="C882" s="852"/>
      <c r="D882" s="656"/>
      <c r="E882" s="821"/>
      <c r="F882" s="821"/>
      <c r="G882" s="821"/>
      <c r="H882" s="821"/>
      <c r="I882" s="821"/>
      <c r="J882" s="821"/>
      <c r="K882" s="821"/>
      <c r="L882" s="821"/>
      <c r="M882" s="677"/>
      <c r="N882" s="821"/>
      <c r="O882" s="821"/>
      <c r="P882" s="677"/>
      <c r="Q882" s="677"/>
      <c r="R882" s="677"/>
      <c r="S882" s="677"/>
      <c r="T882" s="677"/>
      <c r="U882" s="677"/>
      <c r="V882" s="677"/>
      <c r="W882" s="677"/>
      <c r="X882" s="677"/>
      <c r="Y882" s="677"/>
      <c r="Z882" s="677"/>
      <c r="AA882" s="677"/>
      <c r="AB882" s="677"/>
      <c r="AC882" s="677"/>
      <c r="AD882" s="677"/>
    </row>
    <row r="883">
      <c r="A883" s="867"/>
      <c r="B883" s="674"/>
      <c r="C883" s="852"/>
      <c r="D883" s="656"/>
      <c r="E883" s="821"/>
      <c r="F883" s="821"/>
      <c r="G883" s="821"/>
      <c r="H883" s="821"/>
      <c r="I883" s="821"/>
      <c r="J883" s="821"/>
      <c r="K883" s="821"/>
      <c r="L883" s="821"/>
      <c r="M883" s="677"/>
      <c r="N883" s="821"/>
      <c r="O883" s="821"/>
      <c r="P883" s="677"/>
      <c r="Q883" s="677"/>
      <c r="R883" s="677"/>
      <c r="S883" s="677"/>
      <c r="T883" s="677"/>
      <c r="U883" s="677"/>
      <c r="V883" s="677"/>
      <c r="W883" s="677"/>
      <c r="X883" s="677"/>
      <c r="Y883" s="677"/>
      <c r="Z883" s="677"/>
      <c r="AA883" s="677"/>
      <c r="AB883" s="677"/>
      <c r="AC883" s="677"/>
      <c r="AD883" s="677"/>
    </row>
    <row r="884">
      <c r="A884" s="867"/>
      <c r="B884" s="674"/>
      <c r="C884" s="852"/>
      <c r="D884" s="656"/>
      <c r="E884" s="821"/>
      <c r="F884" s="821"/>
      <c r="G884" s="821"/>
      <c r="H884" s="821"/>
      <c r="I884" s="821"/>
      <c r="J884" s="821"/>
      <c r="K884" s="821"/>
      <c r="L884" s="821"/>
      <c r="M884" s="677"/>
      <c r="N884" s="821"/>
      <c r="O884" s="821"/>
      <c r="P884" s="677"/>
      <c r="Q884" s="677"/>
      <c r="R884" s="677"/>
      <c r="S884" s="677"/>
      <c r="T884" s="677"/>
      <c r="U884" s="677"/>
      <c r="V884" s="677"/>
      <c r="W884" s="677"/>
      <c r="X884" s="677"/>
      <c r="Y884" s="677"/>
      <c r="Z884" s="677"/>
      <c r="AA884" s="677"/>
      <c r="AB884" s="677"/>
      <c r="AC884" s="677"/>
      <c r="AD884" s="677"/>
    </row>
    <row r="885">
      <c r="A885" s="867"/>
      <c r="B885" s="674"/>
      <c r="C885" s="852"/>
      <c r="D885" s="656"/>
      <c r="E885" s="821"/>
      <c r="F885" s="821"/>
      <c r="G885" s="821"/>
      <c r="H885" s="821"/>
      <c r="I885" s="821"/>
      <c r="J885" s="821"/>
      <c r="K885" s="821"/>
      <c r="L885" s="821"/>
      <c r="M885" s="677"/>
      <c r="N885" s="821"/>
      <c r="O885" s="821"/>
      <c r="P885" s="677"/>
      <c r="Q885" s="677"/>
      <c r="R885" s="677"/>
      <c r="S885" s="677"/>
      <c r="T885" s="677"/>
      <c r="U885" s="677"/>
      <c r="V885" s="677"/>
      <c r="W885" s="677"/>
      <c r="X885" s="677"/>
      <c r="Y885" s="677"/>
      <c r="Z885" s="677"/>
      <c r="AA885" s="677"/>
      <c r="AB885" s="677"/>
      <c r="AC885" s="677"/>
      <c r="AD885" s="677"/>
    </row>
    <row r="886">
      <c r="A886" s="867"/>
      <c r="B886" s="674"/>
      <c r="C886" s="852"/>
      <c r="D886" s="656"/>
      <c r="E886" s="821"/>
      <c r="F886" s="821"/>
      <c r="G886" s="821"/>
      <c r="H886" s="821"/>
      <c r="I886" s="821"/>
      <c r="J886" s="821"/>
      <c r="K886" s="821"/>
      <c r="L886" s="821"/>
      <c r="M886" s="677"/>
      <c r="N886" s="821"/>
      <c r="O886" s="821"/>
      <c r="P886" s="677"/>
      <c r="Q886" s="677"/>
      <c r="R886" s="677"/>
      <c r="S886" s="677"/>
      <c r="T886" s="677"/>
      <c r="U886" s="677"/>
      <c r="V886" s="677"/>
      <c r="W886" s="677"/>
      <c r="X886" s="677"/>
      <c r="Y886" s="677"/>
      <c r="Z886" s="677"/>
      <c r="AA886" s="677"/>
      <c r="AB886" s="677"/>
      <c r="AC886" s="677"/>
      <c r="AD886" s="677"/>
    </row>
    <row r="887">
      <c r="A887" s="867"/>
      <c r="B887" s="708"/>
      <c r="C887" s="852"/>
      <c r="D887" s="656"/>
      <c r="E887" s="821"/>
      <c r="F887" s="821"/>
      <c r="G887" s="821"/>
      <c r="H887" s="821"/>
      <c r="I887" s="821"/>
      <c r="J887" s="821"/>
      <c r="K887" s="821"/>
      <c r="L887" s="821"/>
      <c r="M887" s="677"/>
      <c r="N887" s="821"/>
      <c r="O887" s="821"/>
      <c r="P887" s="677"/>
      <c r="Q887" s="677"/>
      <c r="R887" s="677"/>
      <c r="S887" s="677"/>
      <c r="T887" s="677"/>
      <c r="U887" s="677"/>
      <c r="V887" s="677"/>
      <c r="W887" s="677"/>
      <c r="X887" s="677"/>
      <c r="Y887" s="677"/>
      <c r="Z887" s="677"/>
      <c r="AA887" s="677"/>
      <c r="AB887" s="677"/>
      <c r="AC887" s="677"/>
      <c r="AD887" s="677"/>
    </row>
    <row r="888">
      <c r="A888" s="867"/>
      <c r="B888" s="674"/>
      <c r="C888" s="852"/>
      <c r="D888" s="656"/>
      <c r="E888" s="821"/>
      <c r="F888" s="821"/>
      <c r="G888" s="821"/>
      <c r="H888" s="821"/>
      <c r="I888" s="821"/>
      <c r="J888" s="821"/>
      <c r="K888" s="821"/>
      <c r="L888" s="821"/>
      <c r="M888" s="677"/>
      <c r="N888" s="821"/>
      <c r="O888" s="821"/>
      <c r="P888" s="677"/>
      <c r="Q888" s="677"/>
      <c r="R888" s="677"/>
      <c r="S888" s="677"/>
      <c r="T888" s="677"/>
      <c r="U888" s="677"/>
      <c r="V888" s="677"/>
      <c r="W888" s="677"/>
      <c r="X888" s="677"/>
      <c r="Y888" s="677"/>
      <c r="Z888" s="677"/>
      <c r="AA888" s="677"/>
      <c r="AB888" s="677"/>
      <c r="AC888" s="677"/>
      <c r="AD888" s="677"/>
    </row>
    <row r="889">
      <c r="A889" s="867"/>
      <c r="B889" s="674"/>
      <c r="C889" s="852"/>
      <c r="D889" s="656"/>
      <c r="E889" s="821"/>
      <c r="F889" s="821"/>
      <c r="G889" s="821"/>
      <c r="H889" s="821"/>
      <c r="I889" s="821"/>
      <c r="J889" s="821"/>
      <c r="K889" s="821"/>
      <c r="L889" s="821"/>
      <c r="M889" s="677"/>
      <c r="N889" s="821"/>
      <c r="O889" s="821"/>
      <c r="P889" s="677"/>
      <c r="Q889" s="677"/>
      <c r="R889" s="677"/>
      <c r="S889" s="677"/>
      <c r="T889" s="677"/>
      <c r="U889" s="677"/>
      <c r="V889" s="677"/>
      <c r="W889" s="677"/>
      <c r="X889" s="677"/>
      <c r="Y889" s="677"/>
      <c r="Z889" s="677"/>
      <c r="AA889" s="677"/>
      <c r="AB889" s="677"/>
      <c r="AC889" s="677"/>
      <c r="AD889" s="677"/>
    </row>
    <row r="890">
      <c r="A890" s="867"/>
      <c r="B890" s="674"/>
      <c r="C890" s="852"/>
      <c r="D890" s="656"/>
      <c r="E890" s="821"/>
      <c r="F890" s="821"/>
      <c r="G890" s="821"/>
      <c r="H890" s="821"/>
      <c r="I890" s="821"/>
      <c r="J890" s="821"/>
      <c r="K890" s="821"/>
      <c r="L890" s="821"/>
      <c r="M890" s="677"/>
      <c r="N890" s="821"/>
      <c r="O890" s="821"/>
      <c r="P890" s="677"/>
      <c r="Q890" s="677"/>
      <c r="R890" s="677"/>
      <c r="S890" s="677"/>
      <c r="T890" s="677"/>
      <c r="U890" s="677"/>
      <c r="V890" s="677"/>
      <c r="W890" s="677"/>
      <c r="X890" s="677"/>
      <c r="Y890" s="677"/>
      <c r="Z890" s="677"/>
      <c r="AA890" s="677"/>
      <c r="AB890" s="677"/>
      <c r="AC890" s="677"/>
      <c r="AD890" s="677"/>
    </row>
    <row r="891">
      <c r="A891" s="867"/>
      <c r="B891" s="674"/>
      <c r="C891" s="852"/>
      <c r="D891" s="656"/>
      <c r="E891" s="821"/>
      <c r="F891" s="821"/>
      <c r="G891" s="821"/>
      <c r="H891" s="821"/>
      <c r="I891" s="821"/>
      <c r="J891" s="821"/>
      <c r="K891" s="821"/>
      <c r="L891" s="821"/>
      <c r="M891" s="677"/>
      <c r="N891" s="821"/>
      <c r="O891" s="821"/>
      <c r="P891" s="677"/>
      <c r="Q891" s="677"/>
      <c r="R891" s="677"/>
      <c r="S891" s="677"/>
      <c r="T891" s="677"/>
      <c r="U891" s="677"/>
      <c r="V891" s="677"/>
      <c r="W891" s="677"/>
      <c r="X891" s="677"/>
      <c r="Y891" s="677"/>
      <c r="Z891" s="677"/>
      <c r="AA891" s="677"/>
      <c r="AB891" s="677"/>
      <c r="AC891" s="677"/>
      <c r="AD891" s="677"/>
    </row>
    <row r="892">
      <c r="A892" s="867"/>
      <c r="B892" s="674"/>
      <c r="C892" s="852"/>
      <c r="D892" s="656"/>
      <c r="E892" s="821"/>
      <c r="F892" s="821"/>
      <c r="G892" s="821"/>
      <c r="H892" s="821"/>
      <c r="I892" s="821"/>
      <c r="J892" s="821"/>
      <c r="K892" s="821"/>
      <c r="L892" s="821"/>
      <c r="M892" s="677"/>
      <c r="N892" s="821"/>
      <c r="O892" s="821"/>
      <c r="P892" s="677"/>
      <c r="Q892" s="677"/>
      <c r="R892" s="677"/>
      <c r="S892" s="677"/>
      <c r="T892" s="677"/>
      <c r="U892" s="677"/>
      <c r="V892" s="677"/>
      <c r="W892" s="677"/>
      <c r="X892" s="677"/>
      <c r="Y892" s="677"/>
      <c r="Z892" s="677"/>
      <c r="AA892" s="677"/>
      <c r="AB892" s="677"/>
      <c r="AC892" s="677"/>
      <c r="AD892" s="677"/>
    </row>
    <row r="893">
      <c r="A893" s="867"/>
      <c r="B893" s="674"/>
      <c r="C893" s="852"/>
      <c r="D893" s="656"/>
      <c r="E893" s="821"/>
      <c r="F893" s="821"/>
      <c r="G893" s="821"/>
      <c r="H893" s="821"/>
      <c r="I893" s="821"/>
      <c r="J893" s="821"/>
      <c r="K893" s="821"/>
      <c r="L893" s="821"/>
      <c r="M893" s="677"/>
      <c r="N893" s="821"/>
      <c r="O893" s="821"/>
      <c r="P893" s="677"/>
      <c r="Q893" s="677"/>
      <c r="R893" s="677"/>
      <c r="S893" s="677"/>
      <c r="T893" s="677"/>
      <c r="U893" s="677"/>
      <c r="V893" s="677"/>
      <c r="W893" s="677"/>
      <c r="X893" s="677"/>
      <c r="Y893" s="677"/>
      <c r="Z893" s="677"/>
      <c r="AA893" s="677"/>
      <c r="AB893" s="677"/>
      <c r="AC893" s="677"/>
      <c r="AD893" s="677"/>
    </row>
    <row r="894">
      <c r="A894" s="867"/>
      <c r="B894" s="674"/>
      <c r="C894" s="852"/>
      <c r="D894" s="656"/>
      <c r="E894" s="821"/>
      <c r="F894" s="821"/>
      <c r="G894" s="821"/>
      <c r="H894" s="821"/>
      <c r="I894" s="821"/>
      <c r="J894" s="821"/>
      <c r="K894" s="821"/>
      <c r="L894" s="821"/>
      <c r="M894" s="677"/>
      <c r="N894" s="821"/>
      <c r="O894" s="821"/>
      <c r="P894" s="677"/>
      <c r="Q894" s="677"/>
      <c r="R894" s="677"/>
      <c r="S894" s="677"/>
      <c r="T894" s="677"/>
      <c r="U894" s="677"/>
      <c r="V894" s="677"/>
      <c r="W894" s="677"/>
      <c r="X894" s="677"/>
      <c r="Y894" s="677"/>
      <c r="Z894" s="677"/>
      <c r="AA894" s="677"/>
      <c r="AB894" s="677"/>
      <c r="AC894" s="677"/>
      <c r="AD894" s="677"/>
    </row>
    <row r="895">
      <c r="A895" s="867"/>
      <c r="B895" s="674"/>
      <c r="C895" s="852"/>
      <c r="D895" s="656"/>
      <c r="E895" s="821"/>
      <c r="F895" s="821"/>
      <c r="G895" s="821"/>
      <c r="H895" s="821"/>
      <c r="I895" s="821"/>
      <c r="J895" s="821"/>
      <c r="K895" s="821"/>
      <c r="L895" s="821"/>
      <c r="M895" s="677"/>
      <c r="N895" s="821"/>
      <c r="O895" s="821"/>
      <c r="P895" s="677"/>
      <c r="Q895" s="677"/>
      <c r="R895" s="677"/>
      <c r="S895" s="677"/>
      <c r="T895" s="677"/>
      <c r="U895" s="677"/>
      <c r="V895" s="677"/>
      <c r="W895" s="677"/>
      <c r="X895" s="677"/>
      <c r="Y895" s="677"/>
      <c r="Z895" s="677"/>
      <c r="AA895" s="677"/>
      <c r="AB895" s="677"/>
      <c r="AC895" s="677"/>
      <c r="AD895" s="677"/>
    </row>
    <row r="896">
      <c r="A896" s="867"/>
      <c r="B896" s="674"/>
      <c r="C896" s="852"/>
      <c r="D896" s="656"/>
      <c r="E896" s="821"/>
      <c r="F896" s="821"/>
      <c r="G896" s="821"/>
      <c r="H896" s="821"/>
      <c r="I896" s="821"/>
      <c r="J896" s="821"/>
      <c r="K896" s="821"/>
      <c r="L896" s="821"/>
      <c r="M896" s="677"/>
      <c r="N896" s="821"/>
      <c r="O896" s="821"/>
      <c r="P896" s="677"/>
      <c r="Q896" s="677"/>
      <c r="R896" s="677"/>
      <c r="S896" s="677"/>
      <c r="T896" s="677"/>
      <c r="U896" s="677"/>
      <c r="V896" s="677"/>
      <c r="W896" s="677"/>
      <c r="X896" s="677"/>
      <c r="Y896" s="677"/>
      <c r="Z896" s="677"/>
      <c r="AA896" s="677"/>
      <c r="AB896" s="677"/>
      <c r="AC896" s="677"/>
      <c r="AD896" s="677"/>
    </row>
    <row r="897">
      <c r="A897" s="867"/>
      <c r="B897" s="674"/>
      <c r="C897" s="852"/>
      <c r="D897" s="656"/>
      <c r="E897" s="821"/>
      <c r="F897" s="821"/>
      <c r="G897" s="821"/>
      <c r="H897" s="821"/>
      <c r="I897" s="821"/>
      <c r="J897" s="821"/>
      <c r="K897" s="821"/>
      <c r="L897" s="821"/>
      <c r="M897" s="677"/>
      <c r="N897" s="821"/>
      <c r="O897" s="821"/>
      <c r="P897" s="677"/>
      <c r="Q897" s="677"/>
      <c r="R897" s="677"/>
      <c r="S897" s="677"/>
      <c r="T897" s="677"/>
      <c r="U897" s="677"/>
      <c r="V897" s="677"/>
      <c r="W897" s="677"/>
      <c r="X897" s="677"/>
      <c r="Y897" s="677"/>
      <c r="Z897" s="677"/>
      <c r="AA897" s="677"/>
      <c r="AB897" s="677"/>
      <c r="AC897" s="677"/>
      <c r="AD897" s="677"/>
    </row>
    <row r="898">
      <c r="A898" s="867"/>
      <c r="B898" s="674"/>
      <c r="C898" s="852"/>
      <c r="D898" s="656"/>
      <c r="E898" s="821"/>
      <c r="F898" s="821"/>
      <c r="G898" s="821"/>
      <c r="H898" s="821"/>
      <c r="I898" s="821"/>
      <c r="J898" s="821"/>
      <c r="K898" s="821"/>
      <c r="L898" s="821"/>
      <c r="M898" s="677"/>
      <c r="N898" s="821"/>
      <c r="O898" s="821"/>
      <c r="P898" s="677"/>
      <c r="Q898" s="677"/>
      <c r="R898" s="677"/>
      <c r="S898" s="677"/>
      <c r="T898" s="677"/>
      <c r="U898" s="677"/>
      <c r="V898" s="677"/>
      <c r="W898" s="677"/>
      <c r="X898" s="677"/>
      <c r="Y898" s="677"/>
      <c r="Z898" s="677"/>
      <c r="AA898" s="677"/>
      <c r="AB898" s="677"/>
      <c r="AC898" s="677"/>
      <c r="AD898" s="677"/>
    </row>
    <row r="899">
      <c r="A899" s="867"/>
      <c r="B899" s="674"/>
      <c r="C899" s="852"/>
      <c r="D899" s="656"/>
      <c r="E899" s="821"/>
      <c r="F899" s="821"/>
      <c r="G899" s="821"/>
      <c r="H899" s="821"/>
      <c r="I899" s="821"/>
      <c r="J899" s="821"/>
      <c r="K899" s="821"/>
      <c r="L899" s="821"/>
      <c r="M899" s="677"/>
      <c r="N899" s="821"/>
      <c r="O899" s="821"/>
      <c r="P899" s="677"/>
      <c r="Q899" s="677"/>
      <c r="R899" s="677"/>
      <c r="S899" s="677"/>
      <c r="T899" s="677"/>
      <c r="U899" s="677"/>
      <c r="V899" s="677"/>
      <c r="W899" s="677"/>
      <c r="X899" s="677"/>
      <c r="Y899" s="677"/>
      <c r="Z899" s="677"/>
      <c r="AA899" s="677"/>
      <c r="AB899" s="677"/>
      <c r="AC899" s="677"/>
      <c r="AD899" s="677"/>
    </row>
    <row r="900">
      <c r="A900" s="867"/>
      <c r="B900" s="674"/>
      <c r="C900" s="852"/>
      <c r="D900" s="656"/>
      <c r="E900" s="821"/>
      <c r="F900" s="821"/>
      <c r="G900" s="821"/>
      <c r="H900" s="821"/>
      <c r="I900" s="821"/>
      <c r="J900" s="821"/>
      <c r="K900" s="821"/>
      <c r="L900" s="821"/>
      <c r="M900" s="677"/>
      <c r="N900" s="821"/>
      <c r="O900" s="821"/>
      <c r="P900" s="677"/>
      <c r="Q900" s="677"/>
      <c r="R900" s="677"/>
      <c r="S900" s="677"/>
      <c r="T900" s="677"/>
      <c r="U900" s="677"/>
      <c r="V900" s="677"/>
      <c r="W900" s="677"/>
      <c r="X900" s="677"/>
      <c r="Y900" s="677"/>
      <c r="Z900" s="677"/>
      <c r="AA900" s="677"/>
      <c r="AB900" s="677"/>
      <c r="AC900" s="677"/>
      <c r="AD900" s="677"/>
    </row>
    <row r="901">
      <c r="A901" s="867"/>
      <c r="B901" s="674"/>
      <c r="C901" s="852"/>
      <c r="D901" s="656"/>
      <c r="E901" s="821"/>
      <c r="F901" s="821"/>
      <c r="G901" s="821"/>
      <c r="H901" s="821"/>
      <c r="I901" s="821"/>
      <c r="J901" s="821"/>
      <c r="K901" s="821"/>
      <c r="L901" s="821"/>
      <c r="M901" s="677"/>
      <c r="N901" s="821"/>
      <c r="O901" s="821"/>
      <c r="P901" s="677"/>
      <c r="Q901" s="677"/>
      <c r="R901" s="677"/>
      <c r="S901" s="677"/>
      <c r="T901" s="677"/>
      <c r="U901" s="677"/>
      <c r="V901" s="677"/>
      <c r="W901" s="677"/>
      <c r="X901" s="677"/>
      <c r="Y901" s="677"/>
      <c r="Z901" s="677"/>
      <c r="AA901" s="677"/>
      <c r="AB901" s="677"/>
      <c r="AC901" s="677"/>
      <c r="AD901" s="677"/>
    </row>
    <row r="902">
      <c r="A902" s="867"/>
      <c r="B902" s="674"/>
      <c r="C902" s="852"/>
      <c r="D902" s="656"/>
      <c r="E902" s="821"/>
      <c r="F902" s="821"/>
      <c r="G902" s="821"/>
      <c r="H902" s="821"/>
      <c r="I902" s="821"/>
      <c r="J902" s="821"/>
      <c r="K902" s="821"/>
      <c r="L902" s="821"/>
      <c r="M902" s="677"/>
      <c r="N902" s="821"/>
      <c r="O902" s="821"/>
      <c r="P902" s="677"/>
      <c r="Q902" s="677"/>
      <c r="R902" s="677"/>
      <c r="S902" s="677"/>
      <c r="T902" s="677"/>
      <c r="U902" s="677"/>
      <c r="V902" s="677"/>
      <c r="W902" s="677"/>
      <c r="X902" s="677"/>
      <c r="Y902" s="677"/>
      <c r="Z902" s="677"/>
      <c r="AA902" s="677"/>
      <c r="AB902" s="677"/>
      <c r="AC902" s="677"/>
      <c r="AD902" s="677"/>
    </row>
    <row r="903">
      <c r="A903" s="867"/>
      <c r="B903" s="674"/>
      <c r="C903" s="852"/>
      <c r="D903" s="656"/>
      <c r="E903" s="821"/>
      <c r="F903" s="821"/>
      <c r="G903" s="821"/>
      <c r="H903" s="821"/>
      <c r="I903" s="821"/>
      <c r="J903" s="821"/>
      <c r="K903" s="821"/>
      <c r="L903" s="821"/>
      <c r="M903" s="677"/>
      <c r="N903" s="821"/>
      <c r="O903" s="821"/>
      <c r="P903" s="677"/>
      <c r="Q903" s="677"/>
      <c r="R903" s="677"/>
      <c r="S903" s="677"/>
      <c r="T903" s="677"/>
      <c r="U903" s="677"/>
      <c r="V903" s="677"/>
      <c r="W903" s="677"/>
      <c r="X903" s="677"/>
      <c r="Y903" s="677"/>
      <c r="Z903" s="677"/>
      <c r="AA903" s="677"/>
      <c r="AB903" s="677"/>
      <c r="AC903" s="677"/>
      <c r="AD903" s="677"/>
    </row>
    <row r="904">
      <c r="A904" s="867"/>
      <c r="B904" s="674"/>
      <c r="C904" s="852"/>
      <c r="D904" s="656"/>
      <c r="E904" s="821"/>
      <c r="F904" s="821"/>
      <c r="G904" s="821"/>
      <c r="H904" s="821"/>
      <c r="I904" s="821"/>
      <c r="J904" s="821"/>
      <c r="K904" s="821"/>
      <c r="L904" s="821"/>
      <c r="M904" s="677"/>
      <c r="N904" s="821"/>
      <c r="O904" s="821"/>
      <c r="P904" s="677"/>
      <c r="Q904" s="677"/>
      <c r="R904" s="677"/>
      <c r="S904" s="677"/>
      <c r="T904" s="677"/>
      <c r="U904" s="677"/>
      <c r="V904" s="677"/>
      <c r="W904" s="677"/>
      <c r="X904" s="677"/>
      <c r="Y904" s="677"/>
      <c r="Z904" s="677"/>
      <c r="AA904" s="677"/>
      <c r="AB904" s="677"/>
      <c r="AC904" s="677"/>
      <c r="AD904" s="677"/>
    </row>
    <row r="905">
      <c r="A905" s="867"/>
      <c r="B905" s="674"/>
      <c r="C905" s="852"/>
      <c r="D905" s="656"/>
      <c r="E905" s="821"/>
      <c r="F905" s="821"/>
      <c r="G905" s="821"/>
      <c r="H905" s="821"/>
      <c r="I905" s="821"/>
      <c r="J905" s="821"/>
      <c r="K905" s="821"/>
      <c r="L905" s="821"/>
      <c r="M905" s="677"/>
      <c r="N905" s="821"/>
      <c r="O905" s="821"/>
      <c r="P905" s="677"/>
      <c r="Q905" s="677"/>
      <c r="R905" s="677"/>
      <c r="S905" s="677"/>
      <c r="T905" s="677"/>
      <c r="U905" s="677"/>
      <c r="V905" s="677"/>
      <c r="W905" s="677"/>
      <c r="X905" s="677"/>
      <c r="Y905" s="677"/>
      <c r="Z905" s="677"/>
      <c r="AA905" s="677"/>
      <c r="AB905" s="677"/>
      <c r="AC905" s="677"/>
      <c r="AD905" s="677"/>
    </row>
    <row r="906">
      <c r="A906" s="867"/>
      <c r="B906" s="674"/>
      <c r="C906" s="852"/>
      <c r="D906" s="656"/>
      <c r="E906" s="821"/>
      <c r="F906" s="821"/>
      <c r="G906" s="821"/>
      <c r="H906" s="821"/>
      <c r="I906" s="821"/>
      <c r="J906" s="821"/>
      <c r="K906" s="821"/>
      <c r="L906" s="821"/>
      <c r="M906" s="677"/>
      <c r="N906" s="821"/>
      <c r="O906" s="821"/>
      <c r="P906" s="677"/>
      <c r="Q906" s="677"/>
      <c r="R906" s="677"/>
      <c r="S906" s="677"/>
      <c r="T906" s="677"/>
      <c r="U906" s="677"/>
      <c r="V906" s="677"/>
      <c r="W906" s="677"/>
      <c r="X906" s="677"/>
      <c r="Y906" s="677"/>
      <c r="Z906" s="677"/>
      <c r="AA906" s="677"/>
      <c r="AB906" s="677"/>
      <c r="AC906" s="677"/>
      <c r="AD906" s="677"/>
    </row>
    <row r="907">
      <c r="A907" s="867"/>
      <c r="B907" s="674"/>
      <c r="C907" s="852"/>
      <c r="D907" s="656"/>
      <c r="E907" s="821"/>
      <c r="F907" s="821"/>
      <c r="G907" s="821"/>
      <c r="H907" s="821"/>
      <c r="I907" s="821"/>
      <c r="J907" s="821"/>
      <c r="K907" s="821"/>
      <c r="L907" s="821"/>
      <c r="M907" s="677"/>
      <c r="N907" s="821"/>
      <c r="O907" s="821"/>
      <c r="P907" s="677"/>
      <c r="Q907" s="677"/>
      <c r="R907" s="677"/>
      <c r="S907" s="677"/>
      <c r="T907" s="677"/>
      <c r="U907" s="677"/>
      <c r="V907" s="677"/>
      <c r="W907" s="677"/>
      <c r="X907" s="677"/>
      <c r="Y907" s="677"/>
      <c r="Z907" s="677"/>
      <c r="AA907" s="677"/>
      <c r="AB907" s="677"/>
      <c r="AC907" s="677"/>
      <c r="AD907" s="677"/>
    </row>
    <row r="908">
      <c r="A908" s="867"/>
      <c r="B908" s="674"/>
      <c r="C908" s="852"/>
      <c r="D908" s="656"/>
      <c r="E908" s="821"/>
      <c r="F908" s="821"/>
      <c r="G908" s="821"/>
      <c r="H908" s="821"/>
      <c r="I908" s="821"/>
      <c r="J908" s="821"/>
      <c r="K908" s="821"/>
      <c r="L908" s="821"/>
      <c r="M908" s="677"/>
      <c r="N908" s="821"/>
      <c r="O908" s="821"/>
      <c r="P908" s="677"/>
      <c r="Q908" s="677"/>
      <c r="R908" s="677"/>
      <c r="S908" s="677"/>
      <c r="T908" s="677"/>
      <c r="U908" s="677"/>
      <c r="V908" s="677"/>
      <c r="W908" s="677"/>
      <c r="X908" s="677"/>
      <c r="Y908" s="677"/>
      <c r="Z908" s="677"/>
      <c r="AA908" s="677"/>
      <c r="AB908" s="677"/>
      <c r="AC908" s="677"/>
      <c r="AD908" s="677"/>
    </row>
    <row r="909">
      <c r="A909" s="867"/>
      <c r="B909" s="674"/>
      <c r="C909" s="852"/>
      <c r="D909" s="656"/>
      <c r="E909" s="821"/>
      <c r="F909" s="821"/>
      <c r="G909" s="821"/>
      <c r="H909" s="821"/>
      <c r="I909" s="821"/>
      <c r="J909" s="821"/>
      <c r="K909" s="821"/>
      <c r="L909" s="821"/>
      <c r="M909" s="677"/>
      <c r="N909" s="821"/>
      <c r="O909" s="821"/>
      <c r="P909" s="677"/>
      <c r="Q909" s="677"/>
      <c r="R909" s="677"/>
      <c r="S909" s="677"/>
      <c r="T909" s="677"/>
      <c r="U909" s="677"/>
      <c r="V909" s="677"/>
      <c r="W909" s="677"/>
      <c r="X909" s="677"/>
      <c r="Y909" s="677"/>
      <c r="Z909" s="677"/>
      <c r="AA909" s="677"/>
      <c r="AB909" s="677"/>
      <c r="AC909" s="677"/>
      <c r="AD909" s="677"/>
    </row>
    <row r="910">
      <c r="A910" s="867"/>
      <c r="B910" s="708"/>
      <c r="C910" s="852"/>
      <c r="D910" s="656"/>
      <c r="E910" s="821"/>
      <c r="F910" s="821"/>
      <c r="G910" s="821"/>
      <c r="H910" s="821"/>
      <c r="I910" s="821"/>
      <c r="J910" s="821"/>
      <c r="K910" s="821"/>
      <c r="L910" s="821"/>
      <c r="M910" s="677"/>
      <c r="N910" s="821"/>
      <c r="O910" s="821"/>
      <c r="P910" s="677"/>
      <c r="Q910" s="677"/>
      <c r="R910" s="677"/>
      <c r="S910" s="677"/>
      <c r="T910" s="677"/>
      <c r="U910" s="677"/>
      <c r="V910" s="677"/>
      <c r="W910" s="677"/>
      <c r="X910" s="677"/>
      <c r="Y910" s="677"/>
      <c r="Z910" s="677"/>
      <c r="AA910" s="677"/>
      <c r="AB910" s="677"/>
      <c r="AC910" s="677"/>
      <c r="AD910" s="677"/>
    </row>
    <row r="911">
      <c r="A911" s="867"/>
      <c r="B911" s="708"/>
      <c r="C911" s="852"/>
      <c r="D911" s="656"/>
      <c r="E911" s="821"/>
      <c r="F911" s="821"/>
      <c r="G911" s="821"/>
      <c r="H911" s="821"/>
      <c r="I911" s="821"/>
      <c r="J911" s="821"/>
      <c r="K911" s="821"/>
      <c r="L911" s="821"/>
      <c r="M911" s="677"/>
      <c r="N911" s="821"/>
      <c r="O911" s="821"/>
      <c r="P911" s="677"/>
      <c r="Q911" s="677"/>
      <c r="R911" s="677"/>
      <c r="S911" s="677"/>
      <c r="T911" s="677"/>
      <c r="U911" s="677"/>
      <c r="V911" s="677"/>
      <c r="W911" s="677"/>
      <c r="X911" s="677"/>
      <c r="Y911" s="677"/>
      <c r="Z911" s="677"/>
      <c r="AA911" s="677"/>
      <c r="AB911" s="677"/>
      <c r="AC911" s="677"/>
      <c r="AD911" s="677"/>
    </row>
    <row r="912">
      <c r="A912" s="867"/>
      <c r="B912" s="674"/>
      <c r="C912" s="852"/>
      <c r="D912" s="656"/>
      <c r="E912" s="821"/>
      <c r="F912" s="821"/>
      <c r="G912" s="821"/>
      <c r="H912" s="821"/>
      <c r="I912" s="821"/>
      <c r="J912" s="821"/>
      <c r="K912" s="821"/>
      <c r="L912" s="821"/>
      <c r="M912" s="677"/>
      <c r="N912" s="821"/>
      <c r="O912" s="821"/>
      <c r="P912" s="677"/>
      <c r="Q912" s="677"/>
      <c r="R912" s="677"/>
      <c r="S912" s="677"/>
      <c r="T912" s="677"/>
      <c r="U912" s="677"/>
      <c r="V912" s="677"/>
      <c r="W912" s="677"/>
      <c r="X912" s="677"/>
      <c r="Y912" s="677"/>
      <c r="Z912" s="677"/>
      <c r="AA912" s="677"/>
      <c r="AB912" s="677"/>
      <c r="AC912" s="677"/>
      <c r="AD912" s="677"/>
    </row>
    <row r="913">
      <c r="A913" s="867"/>
      <c r="B913" s="674"/>
      <c r="C913" s="852"/>
      <c r="D913" s="656"/>
      <c r="E913" s="821"/>
      <c r="F913" s="821"/>
      <c r="G913" s="821"/>
      <c r="H913" s="821"/>
      <c r="I913" s="821"/>
      <c r="J913" s="821"/>
      <c r="K913" s="821"/>
      <c r="L913" s="821"/>
      <c r="M913" s="677"/>
      <c r="N913" s="821"/>
      <c r="O913" s="821"/>
      <c r="P913" s="677"/>
      <c r="Q913" s="677"/>
      <c r="R913" s="677"/>
      <c r="S913" s="677"/>
      <c r="T913" s="677"/>
      <c r="U913" s="677"/>
      <c r="V913" s="677"/>
      <c r="W913" s="677"/>
      <c r="X913" s="677"/>
      <c r="Y913" s="677"/>
      <c r="Z913" s="677"/>
      <c r="AA913" s="677"/>
      <c r="AB913" s="677"/>
      <c r="AC913" s="677"/>
      <c r="AD913" s="677"/>
    </row>
    <row r="914">
      <c r="A914" s="867"/>
      <c r="B914" s="674"/>
      <c r="C914" s="852"/>
      <c r="D914" s="656"/>
      <c r="E914" s="821"/>
      <c r="F914" s="821"/>
      <c r="G914" s="821"/>
      <c r="H914" s="821"/>
      <c r="I914" s="821"/>
      <c r="J914" s="821"/>
      <c r="K914" s="821"/>
      <c r="L914" s="821"/>
      <c r="M914" s="677"/>
      <c r="N914" s="821"/>
      <c r="O914" s="821"/>
      <c r="P914" s="677"/>
      <c r="Q914" s="677"/>
      <c r="R914" s="677"/>
      <c r="S914" s="677"/>
      <c r="T914" s="677"/>
      <c r="U914" s="677"/>
      <c r="V914" s="677"/>
      <c r="W914" s="677"/>
      <c r="X914" s="677"/>
      <c r="Y914" s="677"/>
      <c r="Z914" s="677"/>
      <c r="AA914" s="677"/>
      <c r="AB914" s="677"/>
      <c r="AC914" s="677"/>
      <c r="AD914" s="677"/>
    </row>
    <row r="915">
      <c r="A915" s="867"/>
      <c r="B915" s="674"/>
      <c r="C915" s="852"/>
      <c r="D915" s="656"/>
      <c r="E915" s="821"/>
      <c r="F915" s="821"/>
      <c r="G915" s="821"/>
      <c r="H915" s="821"/>
      <c r="I915" s="821"/>
      <c r="J915" s="821"/>
      <c r="K915" s="821"/>
      <c r="L915" s="821"/>
      <c r="M915" s="677"/>
      <c r="N915" s="821"/>
      <c r="O915" s="821"/>
      <c r="P915" s="677"/>
      <c r="Q915" s="677"/>
      <c r="R915" s="677"/>
      <c r="S915" s="677"/>
      <c r="T915" s="677"/>
      <c r="U915" s="677"/>
      <c r="V915" s="677"/>
      <c r="W915" s="677"/>
      <c r="X915" s="677"/>
      <c r="Y915" s="677"/>
      <c r="Z915" s="677"/>
      <c r="AA915" s="677"/>
      <c r="AB915" s="677"/>
      <c r="AC915" s="677"/>
      <c r="AD915" s="677"/>
    </row>
    <row r="916">
      <c r="A916" s="867"/>
      <c r="B916" s="674"/>
      <c r="C916" s="852"/>
      <c r="D916" s="656"/>
      <c r="E916" s="821"/>
      <c r="F916" s="821"/>
      <c r="G916" s="821"/>
      <c r="H916" s="821"/>
      <c r="I916" s="821"/>
      <c r="J916" s="821"/>
      <c r="K916" s="821"/>
      <c r="L916" s="821"/>
      <c r="M916" s="677"/>
      <c r="N916" s="821"/>
      <c r="O916" s="821"/>
      <c r="P916" s="677"/>
      <c r="Q916" s="677"/>
      <c r="R916" s="677"/>
      <c r="S916" s="677"/>
      <c r="T916" s="677"/>
      <c r="U916" s="677"/>
      <c r="V916" s="677"/>
      <c r="W916" s="677"/>
      <c r="X916" s="677"/>
      <c r="Y916" s="677"/>
      <c r="Z916" s="677"/>
      <c r="AA916" s="677"/>
      <c r="AB916" s="677"/>
      <c r="AC916" s="677"/>
      <c r="AD916" s="677"/>
    </row>
    <row r="917">
      <c r="A917" s="867"/>
      <c r="B917" s="674"/>
      <c r="C917" s="852"/>
      <c r="D917" s="656"/>
      <c r="E917" s="821"/>
      <c r="F917" s="821"/>
      <c r="G917" s="821"/>
      <c r="H917" s="821"/>
      <c r="I917" s="821"/>
      <c r="J917" s="821"/>
      <c r="K917" s="821"/>
      <c r="L917" s="821"/>
      <c r="M917" s="677"/>
      <c r="N917" s="821"/>
      <c r="O917" s="821"/>
      <c r="P917" s="677"/>
      <c r="Q917" s="677"/>
      <c r="R917" s="677"/>
      <c r="S917" s="677"/>
      <c r="T917" s="677"/>
      <c r="U917" s="677"/>
      <c r="V917" s="677"/>
      <c r="W917" s="677"/>
      <c r="X917" s="677"/>
      <c r="Y917" s="677"/>
      <c r="Z917" s="677"/>
      <c r="AA917" s="677"/>
      <c r="AB917" s="677"/>
      <c r="AC917" s="677"/>
      <c r="AD917" s="677"/>
    </row>
    <row r="918">
      <c r="A918" s="867"/>
      <c r="B918" s="674"/>
      <c r="C918" s="852"/>
      <c r="D918" s="656"/>
      <c r="E918" s="821"/>
      <c r="F918" s="821"/>
      <c r="G918" s="821"/>
      <c r="H918" s="821"/>
      <c r="I918" s="821"/>
      <c r="J918" s="821"/>
      <c r="K918" s="821"/>
      <c r="L918" s="821"/>
      <c r="M918" s="677"/>
      <c r="N918" s="821"/>
      <c r="O918" s="821"/>
      <c r="P918" s="677"/>
      <c r="Q918" s="677"/>
      <c r="R918" s="677"/>
      <c r="S918" s="677"/>
      <c r="T918" s="677"/>
      <c r="U918" s="677"/>
      <c r="V918" s="677"/>
      <c r="W918" s="677"/>
      <c r="X918" s="677"/>
      <c r="Y918" s="677"/>
      <c r="Z918" s="677"/>
      <c r="AA918" s="677"/>
      <c r="AB918" s="677"/>
      <c r="AC918" s="677"/>
      <c r="AD918" s="677"/>
    </row>
    <row r="919">
      <c r="A919" s="867"/>
      <c r="B919" s="674"/>
      <c r="C919" s="852"/>
      <c r="D919" s="656"/>
      <c r="E919" s="821"/>
      <c r="F919" s="821"/>
      <c r="G919" s="821"/>
      <c r="H919" s="821"/>
      <c r="I919" s="821"/>
      <c r="J919" s="821"/>
      <c r="K919" s="821"/>
      <c r="L919" s="821"/>
      <c r="M919" s="677"/>
      <c r="N919" s="821"/>
      <c r="O919" s="821"/>
      <c r="P919" s="677"/>
      <c r="Q919" s="677"/>
      <c r="R919" s="677"/>
      <c r="S919" s="677"/>
      <c r="T919" s="677"/>
      <c r="U919" s="677"/>
      <c r="V919" s="677"/>
      <c r="W919" s="677"/>
      <c r="X919" s="677"/>
      <c r="Y919" s="677"/>
      <c r="Z919" s="677"/>
      <c r="AA919" s="677"/>
      <c r="AB919" s="677"/>
      <c r="AC919" s="677"/>
      <c r="AD919" s="677"/>
    </row>
    <row r="920">
      <c r="A920" s="867"/>
      <c r="B920" s="902"/>
      <c r="C920" s="852"/>
      <c r="D920" s="656"/>
      <c r="E920" s="821"/>
      <c r="F920" s="821"/>
      <c r="G920" s="821"/>
      <c r="H920" s="821"/>
      <c r="I920" s="821"/>
      <c r="J920" s="821"/>
      <c r="K920" s="821"/>
      <c r="L920" s="821"/>
      <c r="M920" s="677"/>
      <c r="N920" s="821"/>
      <c r="O920" s="821"/>
      <c r="P920" s="677"/>
      <c r="Q920" s="677"/>
      <c r="R920" s="677"/>
      <c r="S920" s="677"/>
      <c r="T920" s="677"/>
      <c r="U920" s="677"/>
      <c r="V920" s="677"/>
      <c r="W920" s="677"/>
      <c r="X920" s="677"/>
      <c r="Y920" s="677"/>
      <c r="Z920" s="677"/>
      <c r="AA920" s="677"/>
      <c r="AB920" s="677"/>
      <c r="AC920" s="677"/>
      <c r="AD920" s="677"/>
    </row>
    <row r="921">
      <c r="A921" s="867"/>
      <c r="B921" s="674"/>
      <c r="C921" s="852"/>
      <c r="D921" s="656"/>
      <c r="E921" s="821"/>
      <c r="F921" s="821"/>
      <c r="G921" s="821"/>
      <c r="H921" s="821"/>
      <c r="I921" s="821"/>
      <c r="J921" s="821"/>
      <c r="K921" s="821"/>
      <c r="L921" s="821"/>
      <c r="M921" s="677"/>
      <c r="N921" s="821"/>
      <c r="O921" s="821"/>
      <c r="P921" s="677"/>
      <c r="Q921" s="677"/>
      <c r="R921" s="677"/>
      <c r="S921" s="677"/>
      <c r="T921" s="677"/>
      <c r="U921" s="677"/>
      <c r="V921" s="677"/>
      <c r="W921" s="677"/>
      <c r="X921" s="677"/>
      <c r="Y921" s="677"/>
      <c r="Z921" s="677"/>
      <c r="AA921" s="677"/>
      <c r="AB921" s="677"/>
      <c r="AC921" s="677"/>
      <c r="AD921" s="677"/>
    </row>
    <row r="922">
      <c r="A922" s="867"/>
      <c r="B922" s="674"/>
      <c r="C922" s="852"/>
      <c r="D922" s="656"/>
      <c r="E922" s="821"/>
      <c r="F922" s="821"/>
      <c r="G922" s="821"/>
      <c r="H922" s="821"/>
      <c r="I922" s="821"/>
      <c r="J922" s="821"/>
      <c r="K922" s="821"/>
      <c r="L922" s="821"/>
      <c r="M922" s="677"/>
      <c r="N922" s="821"/>
      <c r="O922" s="821"/>
      <c r="P922" s="677"/>
      <c r="Q922" s="677"/>
      <c r="R922" s="677"/>
      <c r="S922" s="677"/>
      <c r="T922" s="677"/>
      <c r="U922" s="677"/>
      <c r="V922" s="677"/>
      <c r="W922" s="677"/>
      <c r="X922" s="677"/>
      <c r="Y922" s="677"/>
      <c r="Z922" s="677"/>
      <c r="AA922" s="677"/>
      <c r="AB922" s="677"/>
      <c r="AC922" s="677"/>
      <c r="AD922" s="677"/>
    </row>
    <row r="923">
      <c r="A923" s="867"/>
      <c r="B923" s="674"/>
      <c r="C923" s="852"/>
      <c r="D923" s="656"/>
      <c r="E923" s="821"/>
      <c r="F923" s="821"/>
      <c r="G923" s="821"/>
      <c r="H923" s="821"/>
      <c r="I923" s="821"/>
      <c r="J923" s="821"/>
      <c r="K923" s="821"/>
      <c r="L923" s="821"/>
      <c r="M923" s="677"/>
      <c r="N923" s="821"/>
      <c r="O923" s="821"/>
      <c r="P923" s="677"/>
      <c r="Q923" s="677"/>
      <c r="R923" s="677"/>
      <c r="S923" s="677"/>
      <c r="T923" s="677"/>
      <c r="U923" s="677"/>
      <c r="V923" s="677"/>
      <c r="W923" s="677"/>
      <c r="X923" s="677"/>
      <c r="Y923" s="677"/>
      <c r="Z923" s="677"/>
      <c r="AA923" s="677"/>
      <c r="AB923" s="677"/>
      <c r="AC923" s="677"/>
      <c r="AD923" s="677"/>
    </row>
    <row r="924">
      <c r="A924" s="867"/>
      <c r="B924" s="674"/>
      <c r="C924" s="852"/>
      <c r="D924" s="656"/>
      <c r="E924" s="821"/>
      <c r="F924" s="821"/>
      <c r="G924" s="821"/>
      <c r="H924" s="821"/>
      <c r="I924" s="821"/>
      <c r="J924" s="821"/>
      <c r="K924" s="821"/>
      <c r="L924" s="821"/>
      <c r="M924" s="677"/>
      <c r="N924" s="821"/>
      <c r="O924" s="821"/>
      <c r="P924" s="677"/>
      <c r="Q924" s="677"/>
      <c r="R924" s="677"/>
      <c r="S924" s="677"/>
      <c r="T924" s="677"/>
      <c r="U924" s="677"/>
      <c r="V924" s="677"/>
      <c r="W924" s="677"/>
      <c r="X924" s="677"/>
      <c r="Y924" s="677"/>
      <c r="Z924" s="677"/>
      <c r="AA924" s="677"/>
      <c r="AB924" s="677"/>
      <c r="AC924" s="677"/>
      <c r="AD924" s="677"/>
    </row>
    <row r="925">
      <c r="A925" s="867"/>
      <c r="B925" s="708"/>
      <c r="C925" s="852"/>
      <c r="D925" s="656"/>
      <c r="E925" s="821"/>
      <c r="F925" s="821"/>
      <c r="G925" s="821"/>
      <c r="H925" s="821"/>
      <c r="I925" s="821"/>
      <c r="J925" s="821"/>
      <c r="K925" s="821"/>
      <c r="L925" s="821"/>
      <c r="M925" s="677"/>
      <c r="N925" s="821"/>
      <c r="O925" s="821"/>
      <c r="P925" s="677"/>
      <c r="Q925" s="677"/>
      <c r="R925" s="677"/>
      <c r="S925" s="677"/>
      <c r="T925" s="677"/>
      <c r="U925" s="677"/>
      <c r="V925" s="677"/>
      <c r="W925" s="677"/>
      <c r="X925" s="677"/>
      <c r="Y925" s="677"/>
      <c r="Z925" s="677"/>
      <c r="AA925" s="677"/>
      <c r="AB925" s="677"/>
      <c r="AC925" s="677"/>
      <c r="AD925" s="677"/>
    </row>
    <row r="926">
      <c r="A926" s="867"/>
      <c r="B926" s="674"/>
      <c r="C926" s="852"/>
      <c r="D926" s="656"/>
      <c r="E926" s="821"/>
      <c r="F926" s="821"/>
      <c r="G926" s="821"/>
      <c r="H926" s="821"/>
      <c r="I926" s="821"/>
      <c r="J926" s="821"/>
      <c r="K926" s="821"/>
      <c r="L926" s="821"/>
      <c r="M926" s="677"/>
      <c r="N926" s="821"/>
      <c r="O926" s="821"/>
      <c r="P926" s="677"/>
      <c r="Q926" s="677"/>
      <c r="R926" s="677"/>
      <c r="S926" s="677"/>
      <c r="T926" s="677"/>
      <c r="U926" s="677"/>
      <c r="V926" s="677"/>
      <c r="W926" s="677"/>
      <c r="X926" s="677"/>
      <c r="Y926" s="677"/>
      <c r="Z926" s="677"/>
      <c r="AA926" s="677"/>
      <c r="AB926" s="677"/>
      <c r="AC926" s="677"/>
      <c r="AD926" s="677"/>
    </row>
    <row r="927">
      <c r="A927" s="867"/>
      <c r="B927" s="674"/>
      <c r="C927" s="852"/>
      <c r="D927" s="656"/>
      <c r="E927" s="821"/>
      <c r="F927" s="821"/>
      <c r="G927" s="821"/>
      <c r="H927" s="821"/>
      <c r="I927" s="821"/>
      <c r="J927" s="821"/>
      <c r="K927" s="821"/>
      <c r="L927" s="821"/>
      <c r="M927" s="677"/>
      <c r="N927" s="821"/>
      <c r="O927" s="821"/>
      <c r="P927" s="677"/>
      <c r="Q927" s="677"/>
      <c r="R927" s="677"/>
      <c r="S927" s="677"/>
      <c r="T927" s="677"/>
      <c r="U927" s="677"/>
      <c r="V927" s="677"/>
      <c r="W927" s="677"/>
      <c r="X927" s="677"/>
      <c r="Y927" s="677"/>
      <c r="Z927" s="677"/>
      <c r="AA927" s="677"/>
      <c r="AB927" s="677"/>
      <c r="AC927" s="677"/>
      <c r="AD927" s="677"/>
    </row>
    <row r="928">
      <c r="A928" s="867"/>
      <c r="B928" s="674"/>
      <c r="C928" s="852"/>
      <c r="D928" s="656"/>
      <c r="E928" s="821"/>
      <c r="F928" s="821"/>
      <c r="G928" s="821"/>
      <c r="H928" s="821"/>
      <c r="I928" s="821"/>
      <c r="J928" s="821"/>
      <c r="K928" s="821"/>
      <c r="L928" s="821"/>
      <c r="M928" s="677"/>
      <c r="N928" s="821"/>
      <c r="O928" s="821"/>
      <c r="P928" s="677"/>
      <c r="Q928" s="677"/>
      <c r="R928" s="677"/>
      <c r="S928" s="677"/>
      <c r="T928" s="677"/>
      <c r="U928" s="677"/>
      <c r="V928" s="677"/>
      <c r="W928" s="677"/>
      <c r="X928" s="677"/>
      <c r="Y928" s="677"/>
      <c r="Z928" s="677"/>
      <c r="AA928" s="677"/>
      <c r="AB928" s="677"/>
      <c r="AC928" s="677"/>
      <c r="AD928" s="677"/>
    </row>
    <row r="929">
      <c r="A929" s="867"/>
      <c r="B929" s="674"/>
      <c r="C929" s="852"/>
      <c r="D929" s="656"/>
      <c r="E929" s="821"/>
      <c r="F929" s="821"/>
      <c r="G929" s="821"/>
      <c r="H929" s="821"/>
      <c r="I929" s="821"/>
      <c r="J929" s="821"/>
      <c r="K929" s="821"/>
      <c r="L929" s="821"/>
      <c r="M929" s="677"/>
      <c r="N929" s="821"/>
      <c r="O929" s="821"/>
      <c r="P929" s="677"/>
      <c r="Q929" s="677"/>
      <c r="R929" s="677"/>
      <c r="S929" s="677"/>
      <c r="T929" s="677"/>
      <c r="U929" s="677"/>
      <c r="V929" s="677"/>
      <c r="W929" s="677"/>
      <c r="X929" s="677"/>
      <c r="Y929" s="677"/>
      <c r="Z929" s="677"/>
      <c r="AA929" s="677"/>
      <c r="AB929" s="677"/>
      <c r="AC929" s="677"/>
      <c r="AD929" s="677"/>
    </row>
    <row r="930">
      <c r="A930" s="867"/>
      <c r="B930" s="674"/>
      <c r="C930" s="852"/>
      <c r="D930" s="656"/>
      <c r="E930" s="821"/>
      <c r="F930" s="821"/>
      <c r="G930" s="821"/>
      <c r="H930" s="821"/>
      <c r="I930" s="821"/>
      <c r="J930" s="821"/>
      <c r="K930" s="821"/>
      <c r="L930" s="821"/>
      <c r="M930" s="677"/>
      <c r="N930" s="821"/>
      <c r="O930" s="821"/>
      <c r="P930" s="677"/>
      <c r="Q930" s="677"/>
      <c r="R930" s="677"/>
      <c r="S930" s="677"/>
      <c r="T930" s="677"/>
      <c r="U930" s="677"/>
      <c r="V930" s="677"/>
      <c r="W930" s="677"/>
      <c r="X930" s="677"/>
      <c r="Y930" s="677"/>
      <c r="Z930" s="677"/>
      <c r="AA930" s="677"/>
      <c r="AB930" s="677"/>
      <c r="AC930" s="677"/>
      <c r="AD930" s="677"/>
    </row>
    <row r="931">
      <c r="A931" s="867"/>
      <c r="B931" s="674"/>
      <c r="C931" s="852"/>
      <c r="D931" s="656"/>
      <c r="E931" s="821"/>
      <c r="F931" s="821"/>
      <c r="G931" s="821"/>
      <c r="H931" s="821"/>
      <c r="I931" s="821"/>
      <c r="J931" s="821"/>
      <c r="K931" s="821"/>
      <c r="L931" s="821"/>
      <c r="M931" s="677"/>
      <c r="N931" s="821"/>
      <c r="O931" s="821"/>
      <c r="P931" s="677"/>
      <c r="Q931" s="677"/>
      <c r="R931" s="677"/>
      <c r="S931" s="677"/>
      <c r="T931" s="677"/>
      <c r="U931" s="677"/>
      <c r="V931" s="677"/>
      <c r="W931" s="677"/>
      <c r="X931" s="677"/>
      <c r="Y931" s="677"/>
      <c r="Z931" s="677"/>
      <c r="AA931" s="677"/>
      <c r="AB931" s="677"/>
      <c r="AC931" s="677"/>
      <c r="AD931" s="677"/>
    </row>
    <row r="932">
      <c r="A932" s="867"/>
      <c r="B932" s="674"/>
      <c r="C932" s="852"/>
      <c r="D932" s="656"/>
      <c r="E932" s="821"/>
      <c r="F932" s="821"/>
      <c r="G932" s="821"/>
      <c r="H932" s="821"/>
      <c r="I932" s="821"/>
      <c r="J932" s="821"/>
      <c r="K932" s="821"/>
      <c r="L932" s="821"/>
      <c r="M932" s="677"/>
      <c r="N932" s="821"/>
      <c r="O932" s="821"/>
      <c r="P932" s="677"/>
      <c r="Q932" s="677"/>
      <c r="R932" s="677"/>
      <c r="S932" s="677"/>
      <c r="T932" s="677"/>
      <c r="U932" s="677"/>
      <c r="V932" s="677"/>
      <c r="W932" s="677"/>
      <c r="X932" s="677"/>
      <c r="Y932" s="677"/>
      <c r="Z932" s="677"/>
      <c r="AA932" s="677"/>
      <c r="AB932" s="677"/>
      <c r="AC932" s="677"/>
      <c r="AD932" s="677"/>
    </row>
    <row r="933">
      <c r="A933" s="867"/>
      <c r="B933" s="674"/>
      <c r="C933" s="852"/>
      <c r="D933" s="656"/>
      <c r="E933" s="821"/>
      <c r="F933" s="821"/>
      <c r="G933" s="821"/>
      <c r="H933" s="821"/>
      <c r="I933" s="821"/>
      <c r="J933" s="821"/>
      <c r="K933" s="821"/>
      <c r="L933" s="821"/>
      <c r="M933" s="677"/>
      <c r="N933" s="821"/>
      <c r="O933" s="821"/>
      <c r="P933" s="677"/>
      <c r="Q933" s="677"/>
      <c r="R933" s="677"/>
      <c r="S933" s="677"/>
      <c r="T933" s="677"/>
      <c r="U933" s="677"/>
      <c r="V933" s="677"/>
      <c r="W933" s="677"/>
      <c r="X933" s="677"/>
      <c r="Y933" s="677"/>
      <c r="Z933" s="677"/>
      <c r="AA933" s="677"/>
      <c r="AB933" s="677"/>
      <c r="AC933" s="677"/>
      <c r="AD933" s="677"/>
    </row>
    <row r="934">
      <c r="A934" s="867"/>
      <c r="B934" s="674"/>
      <c r="C934" s="852"/>
      <c r="D934" s="656"/>
      <c r="E934" s="821"/>
      <c r="F934" s="821"/>
      <c r="G934" s="821"/>
      <c r="H934" s="821"/>
      <c r="I934" s="821"/>
      <c r="J934" s="821"/>
      <c r="K934" s="821"/>
      <c r="L934" s="821"/>
      <c r="M934" s="677"/>
      <c r="N934" s="821"/>
      <c r="O934" s="821"/>
      <c r="P934" s="677"/>
      <c r="Q934" s="677"/>
      <c r="R934" s="677"/>
      <c r="S934" s="677"/>
      <c r="T934" s="677"/>
      <c r="U934" s="677"/>
      <c r="V934" s="677"/>
      <c r="W934" s="677"/>
      <c r="X934" s="677"/>
      <c r="Y934" s="677"/>
      <c r="Z934" s="677"/>
      <c r="AA934" s="677"/>
      <c r="AB934" s="677"/>
      <c r="AC934" s="677"/>
      <c r="AD934" s="677"/>
    </row>
    <row r="935">
      <c r="A935" s="867"/>
      <c r="B935" s="674"/>
      <c r="C935" s="852"/>
      <c r="D935" s="656"/>
      <c r="E935" s="821"/>
      <c r="F935" s="821"/>
      <c r="G935" s="821"/>
      <c r="H935" s="821"/>
      <c r="I935" s="821"/>
      <c r="J935" s="821"/>
      <c r="K935" s="821"/>
      <c r="L935" s="821"/>
      <c r="M935" s="677"/>
      <c r="N935" s="821"/>
      <c r="O935" s="821"/>
      <c r="P935" s="677"/>
      <c r="Q935" s="677"/>
      <c r="R935" s="677"/>
      <c r="S935" s="677"/>
      <c r="T935" s="677"/>
      <c r="U935" s="677"/>
      <c r="V935" s="677"/>
      <c r="W935" s="677"/>
      <c r="X935" s="677"/>
      <c r="Y935" s="677"/>
      <c r="Z935" s="677"/>
      <c r="AA935" s="677"/>
      <c r="AB935" s="677"/>
      <c r="AC935" s="677"/>
      <c r="AD935" s="677"/>
    </row>
    <row r="936">
      <c r="A936" s="867"/>
      <c r="B936" s="674"/>
      <c r="C936" s="852"/>
      <c r="D936" s="656"/>
      <c r="E936" s="821"/>
      <c r="F936" s="821"/>
      <c r="G936" s="821"/>
      <c r="H936" s="821"/>
      <c r="I936" s="821"/>
      <c r="J936" s="821"/>
      <c r="K936" s="821"/>
      <c r="L936" s="821"/>
      <c r="M936" s="677"/>
      <c r="N936" s="821"/>
      <c r="O936" s="821"/>
      <c r="P936" s="677"/>
      <c r="Q936" s="677"/>
      <c r="R936" s="677"/>
      <c r="S936" s="677"/>
      <c r="T936" s="677"/>
      <c r="U936" s="677"/>
      <c r="V936" s="677"/>
      <c r="W936" s="677"/>
      <c r="X936" s="677"/>
      <c r="Y936" s="677"/>
      <c r="Z936" s="677"/>
      <c r="AA936" s="677"/>
      <c r="AB936" s="677"/>
      <c r="AC936" s="677"/>
      <c r="AD936" s="677"/>
    </row>
    <row r="937">
      <c r="A937" s="867"/>
      <c r="B937" s="674"/>
      <c r="C937" s="852"/>
      <c r="D937" s="656"/>
      <c r="E937" s="821"/>
      <c r="F937" s="821"/>
      <c r="G937" s="821"/>
      <c r="H937" s="821"/>
      <c r="I937" s="821"/>
      <c r="J937" s="821"/>
      <c r="K937" s="821"/>
      <c r="L937" s="821"/>
      <c r="M937" s="677"/>
      <c r="N937" s="821"/>
      <c r="O937" s="821"/>
      <c r="P937" s="677"/>
      <c r="Q937" s="677"/>
      <c r="R937" s="677"/>
      <c r="S937" s="677"/>
      <c r="T937" s="677"/>
      <c r="U937" s="677"/>
      <c r="V937" s="677"/>
      <c r="W937" s="677"/>
      <c r="X937" s="677"/>
      <c r="Y937" s="677"/>
      <c r="Z937" s="677"/>
      <c r="AA937" s="677"/>
      <c r="AB937" s="677"/>
      <c r="AC937" s="677"/>
      <c r="AD937" s="677"/>
    </row>
    <row r="938">
      <c r="A938" s="867"/>
      <c r="B938" s="674"/>
      <c r="C938" s="852"/>
      <c r="D938" s="656"/>
      <c r="E938" s="821"/>
      <c r="F938" s="821"/>
      <c r="G938" s="821"/>
      <c r="H938" s="821"/>
      <c r="I938" s="821"/>
      <c r="J938" s="821"/>
      <c r="K938" s="821"/>
      <c r="L938" s="821"/>
      <c r="M938" s="677"/>
      <c r="N938" s="821"/>
      <c r="O938" s="821"/>
      <c r="P938" s="677"/>
      <c r="Q938" s="677"/>
      <c r="R938" s="677"/>
      <c r="S938" s="677"/>
      <c r="T938" s="677"/>
      <c r="U938" s="677"/>
      <c r="V938" s="677"/>
      <c r="W938" s="677"/>
      <c r="X938" s="677"/>
      <c r="Y938" s="677"/>
      <c r="Z938" s="677"/>
      <c r="AA938" s="677"/>
      <c r="AB938" s="677"/>
      <c r="AC938" s="677"/>
      <c r="AD938" s="677"/>
    </row>
    <row r="939">
      <c r="A939" s="867"/>
      <c r="B939" s="708"/>
      <c r="C939" s="852"/>
      <c r="D939" s="656"/>
      <c r="E939" s="821"/>
      <c r="F939" s="821"/>
      <c r="G939" s="821"/>
      <c r="H939" s="821"/>
      <c r="I939" s="821"/>
      <c r="J939" s="821"/>
      <c r="K939" s="821"/>
      <c r="L939" s="821"/>
      <c r="M939" s="677"/>
      <c r="N939" s="821"/>
      <c r="O939" s="821"/>
      <c r="P939" s="677"/>
      <c r="Q939" s="677"/>
      <c r="R939" s="677"/>
      <c r="S939" s="677"/>
      <c r="T939" s="677"/>
      <c r="U939" s="677"/>
      <c r="V939" s="677"/>
      <c r="W939" s="677"/>
      <c r="X939" s="677"/>
      <c r="Y939" s="677"/>
      <c r="Z939" s="677"/>
      <c r="AA939" s="677"/>
      <c r="AB939" s="677"/>
      <c r="AC939" s="677"/>
      <c r="AD939" s="677"/>
    </row>
    <row r="940">
      <c r="A940" s="867"/>
      <c r="B940" s="674"/>
      <c r="C940" s="852"/>
      <c r="D940" s="656"/>
      <c r="E940" s="821"/>
      <c r="F940" s="821"/>
      <c r="G940" s="821"/>
      <c r="H940" s="821"/>
      <c r="I940" s="821"/>
      <c r="J940" s="821"/>
      <c r="K940" s="821"/>
      <c r="L940" s="821"/>
      <c r="M940" s="677"/>
      <c r="N940" s="821"/>
      <c r="O940" s="821"/>
      <c r="P940" s="677"/>
      <c r="Q940" s="677"/>
      <c r="R940" s="677"/>
      <c r="S940" s="677"/>
      <c r="T940" s="677"/>
      <c r="U940" s="677"/>
      <c r="V940" s="677"/>
      <c r="W940" s="677"/>
      <c r="X940" s="677"/>
      <c r="Y940" s="677"/>
      <c r="Z940" s="677"/>
      <c r="AA940" s="677"/>
      <c r="AB940" s="677"/>
      <c r="AC940" s="677"/>
      <c r="AD940" s="677"/>
    </row>
    <row r="941">
      <c r="A941" s="867"/>
      <c r="B941" s="674"/>
      <c r="C941" s="852"/>
      <c r="D941" s="656"/>
      <c r="E941" s="821"/>
      <c r="F941" s="821"/>
      <c r="G941" s="821"/>
      <c r="H941" s="821"/>
      <c r="I941" s="821"/>
      <c r="J941" s="821"/>
      <c r="K941" s="821"/>
      <c r="L941" s="821"/>
      <c r="M941" s="677"/>
      <c r="N941" s="821"/>
      <c r="O941" s="821"/>
      <c r="P941" s="677"/>
      <c r="Q941" s="677"/>
      <c r="R941" s="677"/>
      <c r="S941" s="677"/>
      <c r="T941" s="677"/>
      <c r="U941" s="677"/>
      <c r="V941" s="677"/>
      <c r="W941" s="677"/>
      <c r="X941" s="677"/>
      <c r="Y941" s="677"/>
      <c r="Z941" s="677"/>
      <c r="AA941" s="677"/>
      <c r="AB941" s="677"/>
      <c r="AC941" s="677"/>
      <c r="AD941" s="677"/>
    </row>
    <row r="942">
      <c r="A942" s="867"/>
      <c r="B942" s="674"/>
      <c r="C942" s="852"/>
      <c r="D942" s="656"/>
      <c r="E942" s="821"/>
      <c r="F942" s="821"/>
      <c r="G942" s="821"/>
      <c r="H942" s="821"/>
      <c r="I942" s="821"/>
      <c r="J942" s="821"/>
      <c r="K942" s="821"/>
      <c r="L942" s="821"/>
      <c r="M942" s="677"/>
      <c r="N942" s="821"/>
      <c r="O942" s="821"/>
      <c r="P942" s="677"/>
      <c r="Q942" s="677"/>
      <c r="R942" s="677"/>
      <c r="S942" s="677"/>
      <c r="T942" s="677"/>
      <c r="U942" s="677"/>
      <c r="V942" s="677"/>
      <c r="W942" s="677"/>
      <c r="X942" s="677"/>
      <c r="Y942" s="677"/>
      <c r="Z942" s="677"/>
      <c r="AA942" s="677"/>
      <c r="AB942" s="677"/>
      <c r="AC942" s="677"/>
      <c r="AD942" s="677"/>
    </row>
    <row r="943">
      <c r="A943" s="867"/>
      <c r="B943" s="674"/>
      <c r="C943" s="852"/>
      <c r="D943" s="656"/>
      <c r="E943" s="821"/>
      <c r="F943" s="821"/>
      <c r="G943" s="821"/>
      <c r="H943" s="821"/>
      <c r="I943" s="821"/>
      <c r="J943" s="821"/>
      <c r="K943" s="821"/>
      <c r="L943" s="821"/>
      <c r="M943" s="677"/>
      <c r="N943" s="821"/>
      <c r="O943" s="821"/>
      <c r="P943" s="677"/>
      <c r="Q943" s="677"/>
      <c r="R943" s="677"/>
      <c r="S943" s="677"/>
      <c r="T943" s="677"/>
      <c r="U943" s="677"/>
      <c r="V943" s="677"/>
      <c r="W943" s="677"/>
      <c r="X943" s="677"/>
      <c r="Y943" s="677"/>
      <c r="Z943" s="677"/>
      <c r="AA943" s="677"/>
      <c r="AB943" s="677"/>
      <c r="AC943" s="677"/>
      <c r="AD943" s="677"/>
    </row>
    <row r="944">
      <c r="A944" s="867"/>
      <c r="B944" s="674"/>
      <c r="C944" s="852"/>
      <c r="D944" s="656"/>
      <c r="E944" s="821"/>
      <c r="F944" s="821"/>
      <c r="G944" s="821"/>
      <c r="H944" s="821"/>
      <c r="I944" s="821"/>
      <c r="J944" s="821"/>
      <c r="K944" s="821"/>
      <c r="L944" s="821"/>
      <c r="M944" s="677"/>
      <c r="N944" s="821"/>
      <c r="O944" s="821"/>
      <c r="P944" s="677"/>
      <c r="Q944" s="677"/>
      <c r="R944" s="677"/>
      <c r="S944" s="677"/>
      <c r="T944" s="677"/>
      <c r="U944" s="677"/>
      <c r="V944" s="677"/>
      <c r="W944" s="677"/>
      <c r="X944" s="677"/>
      <c r="Y944" s="677"/>
      <c r="Z944" s="677"/>
      <c r="AA944" s="677"/>
      <c r="AB944" s="677"/>
      <c r="AC944" s="677"/>
      <c r="AD944" s="677"/>
    </row>
    <row r="945">
      <c r="A945" s="867"/>
      <c r="B945" s="674"/>
      <c r="C945" s="852"/>
      <c r="D945" s="656"/>
      <c r="E945" s="821"/>
      <c r="F945" s="821"/>
      <c r="G945" s="821"/>
      <c r="H945" s="821"/>
      <c r="I945" s="821"/>
      <c r="J945" s="821"/>
      <c r="K945" s="821"/>
      <c r="L945" s="821"/>
      <c r="M945" s="677"/>
      <c r="N945" s="821"/>
      <c r="O945" s="821"/>
      <c r="P945" s="677"/>
      <c r="Q945" s="677"/>
      <c r="R945" s="677"/>
      <c r="S945" s="677"/>
      <c r="T945" s="677"/>
      <c r="U945" s="677"/>
      <c r="V945" s="677"/>
      <c r="W945" s="677"/>
      <c r="X945" s="677"/>
      <c r="Y945" s="677"/>
      <c r="Z945" s="677"/>
      <c r="AA945" s="677"/>
      <c r="AB945" s="677"/>
      <c r="AC945" s="677"/>
      <c r="AD945" s="677"/>
    </row>
    <row r="946">
      <c r="A946" s="867"/>
      <c r="B946" s="674"/>
      <c r="C946" s="852"/>
      <c r="D946" s="656"/>
      <c r="E946" s="821"/>
      <c r="F946" s="821"/>
      <c r="G946" s="821"/>
      <c r="H946" s="821"/>
      <c r="I946" s="821"/>
      <c r="J946" s="821"/>
      <c r="K946" s="821"/>
      <c r="L946" s="821"/>
      <c r="M946" s="677"/>
      <c r="N946" s="821"/>
      <c r="O946" s="821"/>
      <c r="P946" s="677"/>
      <c r="Q946" s="677"/>
      <c r="R946" s="677"/>
      <c r="S946" s="677"/>
      <c r="T946" s="677"/>
      <c r="U946" s="677"/>
      <c r="V946" s="677"/>
      <c r="W946" s="677"/>
      <c r="X946" s="677"/>
      <c r="Y946" s="677"/>
      <c r="Z946" s="677"/>
      <c r="AA946" s="677"/>
      <c r="AB946" s="677"/>
      <c r="AC946" s="677"/>
      <c r="AD946" s="677"/>
    </row>
    <row r="947">
      <c r="A947" s="867"/>
      <c r="B947" s="674"/>
      <c r="C947" s="852"/>
      <c r="D947" s="656"/>
      <c r="E947" s="821"/>
      <c r="F947" s="821"/>
      <c r="G947" s="821"/>
      <c r="H947" s="821"/>
      <c r="I947" s="821"/>
      <c r="J947" s="821"/>
      <c r="K947" s="821"/>
      <c r="L947" s="821"/>
      <c r="M947" s="677"/>
      <c r="N947" s="821"/>
      <c r="O947" s="821"/>
      <c r="P947" s="677"/>
      <c r="Q947" s="677"/>
      <c r="R947" s="677"/>
      <c r="S947" s="677"/>
      <c r="T947" s="677"/>
      <c r="U947" s="677"/>
      <c r="V947" s="677"/>
      <c r="W947" s="677"/>
      <c r="X947" s="677"/>
      <c r="Y947" s="677"/>
      <c r="Z947" s="677"/>
      <c r="AA947" s="677"/>
      <c r="AB947" s="677"/>
      <c r="AC947" s="677"/>
      <c r="AD947" s="677"/>
    </row>
    <row r="948">
      <c r="A948" s="867"/>
      <c r="B948" s="674"/>
      <c r="C948" s="852"/>
      <c r="D948" s="656"/>
      <c r="E948" s="821"/>
      <c r="F948" s="821"/>
      <c r="G948" s="821"/>
      <c r="H948" s="821"/>
      <c r="I948" s="821"/>
      <c r="J948" s="821"/>
      <c r="K948" s="821"/>
      <c r="L948" s="821"/>
      <c r="M948" s="677"/>
      <c r="N948" s="821"/>
      <c r="O948" s="821"/>
      <c r="P948" s="677"/>
      <c r="Q948" s="677"/>
      <c r="R948" s="677"/>
      <c r="S948" s="677"/>
      <c r="T948" s="677"/>
      <c r="U948" s="677"/>
      <c r="V948" s="677"/>
      <c r="W948" s="677"/>
      <c r="X948" s="677"/>
      <c r="Y948" s="677"/>
      <c r="Z948" s="677"/>
      <c r="AA948" s="677"/>
      <c r="AB948" s="677"/>
      <c r="AC948" s="677"/>
      <c r="AD948" s="677"/>
    </row>
    <row r="949">
      <c r="A949" s="867"/>
      <c r="B949" s="674"/>
      <c r="C949" s="852"/>
      <c r="D949" s="656"/>
      <c r="E949" s="821"/>
      <c r="F949" s="821"/>
      <c r="G949" s="821"/>
      <c r="H949" s="821"/>
      <c r="I949" s="821"/>
      <c r="J949" s="821"/>
      <c r="K949" s="821"/>
      <c r="L949" s="821"/>
      <c r="M949" s="677"/>
      <c r="N949" s="821"/>
      <c r="O949" s="821"/>
      <c r="P949" s="677"/>
      <c r="Q949" s="677"/>
      <c r="R949" s="677"/>
      <c r="S949" s="677"/>
      <c r="T949" s="677"/>
      <c r="U949" s="677"/>
      <c r="V949" s="677"/>
      <c r="W949" s="677"/>
      <c r="X949" s="677"/>
      <c r="Y949" s="677"/>
      <c r="Z949" s="677"/>
      <c r="AA949" s="677"/>
      <c r="AB949" s="677"/>
      <c r="AC949" s="677"/>
      <c r="AD949" s="677"/>
    </row>
    <row r="950">
      <c r="A950" s="867"/>
      <c r="B950" s="674"/>
      <c r="C950" s="852"/>
      <c r="D950" s="656"/>
      <c r="E950" s="821"/>
      <c r="F950" s="821"/>
      <c r="G950" s="821"/>
      <c r="H950" s="821"/>
      <c r="I950" s="821"/>
      <c r="J950" s="821"/>
      <c r="K950" s="821"/>
      <c r="L950" s="821"/>
      <c r="M950" s="677"/>
      <c r="N950" s="821"/>
      <c r="O950" s="821"/>
      <c r="P950" s="677"/>
      <c r="Q950" s="677"/>
      <c r="R950" s="677"/>
      <c r="S950" s="677"/>
      <c r="T950" s="677"/>
      <c r="U950" s="677"/>
      <c r="V950" s="677"/>
      <c r="W950" s="677"/>
      <c r="X950" s="677"/>
      <c r="Y950" s="677"/>
      <c r="Z950" s="677"/>
      <c r="AA950" s="677"/>
      <c r="AB950" s="677"/>
      <c r="AC950" s="677"/>
      <c r="AD950" s="677"/>
    </row>
    <row r="951">
      <c r="A951" s="867"/>
      <c r="B951" s="674"/>
      <c r="C951" s="852"/>
      <c r="D951" s="656"/>
      <c r="E951" s="821"/>
      <c r="F951" s="821"/>
      <c r="G951" s="821"/>
      <c r="H951" s="821"/>
      <c r="I951" s="821"/>
      <c r="J951" s="821"/>
      <c r="K951" s="821"/>
      <c r="L951" s="821"/>
      <c r="M951" s="677"/>
      <c r="N951" s="821"/>
      <c r="O951" s="821"/>
      <c r="P951" s="677"/>
      <c r="Q951" s="677"/>
      <c r="R951" s="677"/>
      <c r="S951" s="677"/>
      <c r="T951" s="677"/>
      <c r="U951" s="677"/>
      <c r="V951" s="677"/>
      <c r="W951" s="677"/>
      <c r="X951" s="677"/>
      <c r="Y951" s="677"/>
      <c r="Z951" s="677"/>
      <c r="AA951" s="677"/>
      <c r="AB951" s="677"/>
      <c r="AC951" s="677"/>
      <c r="AD951" s="677"/>
    </row>
    <row r="952">
      <c r="A952" s="867"/>
      <c r="B952" s="674"/>
      <c r="C952" s="852"/>
      <c r="D952" s="656"/>
      <c r="E952" s="821"/>
      <c r="F952" s="821"/>
      <c r="G952" s="821"/>
      <c r="H952" s="821"/>
      <c r="I952" s="821"/>
      <c r="J952" s="821"/>
      <c r="K952" s="821"/>
      <c r="L952" s="821"/>
      <c r="M952" s="677"/>
      <c r="N952" s="821"/>
      <c r="O952" s="821"/>
      <c r="P952" s="677"/>
      <c r="Q952" s="677"/>
      <c r="R952" s="677"/>
      <c r="S952" s="677"/>
      <c r="T952" s="677"/>
      <c r="U952" s="677"/>
      <c r="V952" s="677"/>
      <c r="W952" s="677"/>
      <c r="X952" s="677"/>
      <c r="Y952" s="677"/>
      <c r="Z952" s="677"/>
      <c r="AA952" s="677"/>
      <c r="AB952" s="677"/>
      <c r="AC952" s="677"/>
      <c r="AD952" s="677"/>
    </row>
    <row r="953">
      <c r="A953" s="867"/>
      <c r="B953" s="674"/>
      <c r="C953" s="852"/>
      <c r="D953" s="656"/>
      <c r="E953" s="821"/>
      <c r="F953" s="821"/>
      <c r="G953" s="821"/>
      <c r="H953" s="821"/>
      <c r="I953" s="821"/>
      <c r="J953" s="821"/>
      <c r="K953" s="821"/>
      <c r="L953" s="821"/>
      <c r="M953" s="677"/>
      <c r="N953" s="821"/>
      <c r="O953" s="821"/>
      <c r="P953" s="677"/>
      <c r="Q953" s="677"/>
      <c r="R953" s="677"/>
      <c r="S953" s="677"/>
      <c r="T953" s="677"/>
      <c r="U953" s="677"/>
      <c r="V953" s="677"/>
      <c r="W953" s="677"/>
      <c r="X953" s="677"/>
      <c r="Y953" s="677"/>
      <c r="Z953" s="677"/>
      <c r="AA953" s="677"/>
      <c r="AB953" s="677"/>
      <c r="AC953" s="677"/>
      <c r="AD953" s="677"/>
    </row>
    <row r="954">
      <c r="A954" s="867"/>
      <c r="B954" s="674"/>
      <c r="C954" s="852"/>
      <c r="D954" s="656"/>
      <c r="E954" s="821"/>
      <c r="F954" s="821"/>
      <c r="G954" s="821"/>
      <c r="H954" s="821"/>
      <c r="I954" s="821"/>
      <c r="J954" s="821"/>
      <c r="K954" s="821"/>
      <c r="L954" s="821"/>
      <c r="M954" s="677"/>
      <c r="N954" s="821"/>
      <c r="O954" s="821"/>
      <c r="P954" s="677"/>
      <c r="Q954" s="677"/>
      <c r="R954" s="677"/>
      <c r="S954" s="677"/>
      <c r="T954" s="677"/>
      <c r="U954" s="677"/>
      <c r="V954" s="677"/>
      <c r="W954" s="677"/>
      <c r="X954" s="677"/>
      <c r="Y954" s="677"/>
      <c r="Z954" s="677"/>
      <c r="AA954" s="677"/>
      <c r="AB954" s="677"/>
      <c r="AC954" s="677"/>
      <c r="AD954" s="677"/>
    </row>
    <row r="955">
      <c r="A955" s="867"/>
      <c r="B955" s="674"/>
      <c r="C955" s="852"/>
      <c r="D955" s="656"/>
      <c r="E955" s="821"/>
      <c r="F955" s="821"/>
      <c r="G955" s="821"/>
      <c r="H955" s="821"/>
      <c r="I955" s="821"/>
      <c r="J955" s="821"/>
      <c r="K955" s="821"/>
      <c r="L955" s="821"/>
      <c r="M955" s="677"/>
      <c r="N955" s="821"/>
      <c r="O955" s="821"/>
      <c r="P955" s="677"/>
      <c r="Q955" s="677"/>
      <c r="R955" s="677"/>
      <c r="S955" s="677"/>
      <c r="T955" s="677"/>
      <c r="U955" s="677"/>
      <c r="V955" s="677"/>
      <c r="W955" s="677"/>
      <c r="X955" s="677"/>
      <c r="Y955" s="677"/>
      <c r="Z955" s="677"/>
      <c r="AA955" s="677"/>
      <c r="AB955" s="677"/>
      <c r="AC955" s="677"/>
      <c r="AD955" s="677"/>
    </row>
    <row r="956">
      <c r="A956" s="867"/>
      <c r="B956" s="708"/>
      <c r="C956" s="852"/>
      <c r="D956" s="656"/>
      <c r="E956" s="821"/>
      <c r="F956" s="821"/>
      <c r="G956" s="821"/>
      <c r="H956" s="821"/>
      <c r="I956" s="821"/>
      <c r="J956" s="821"/>
      <c r="K956" s="821"/>
      <c r="L956" s="821"/>
      <c r="M956" s="677"/>
      <c r="N956" s="821"/>
      <c r="O956" s="821"/>
      <c r="P956" s="677"/>
      <c r="Q956" s="677"/>
      <c r="R956" s="677"/>
      <c r="S956" s="677"/>
      <c r="T956" s="677"/>
      <c r="U956" s="677"/>
      <c r="V956" s="677"/>
      <c r="W956" s="677"/>
      <c r="X956" s="677"/>
      <c r="Y956" s="677"/>
      <c r="Z956" s="677"/>
      <c r="AA956" s="677"/>
      <c r="AB956" s="677"/>
      <c r="AC956" s="677"/>
      <c r="AD956" s="677"/>
    </row>
    <row r="957">
      <c r="A957" s="907"/>
      <c r="B957" s="674"/>
      <c r="C957" s="852"/>
      <c r="D957" s="656"/>
      <c r="E957" s="821"/>
      <c r="F957" s="821"/>
      <c r="G957" s="821"/>
      <c r="H957" s="821"/>
      <c r="I957" s="821"/>
      <c r="J957" s="821"/>
      <c r="K957" s="821"/>
      <c r="L957" s="821"/>
      <c r="M957" s="677"/>
      <c r="N957" s="821"/>
      <c r="O957" s="821"/>
      <c r="P957" s="677"/>
      <c r="Q957" s="677"/>
      <c r="R957" s="677"/>
      <c r="S957" s="677"/>
      <c r="T957" s="677"/>
      <c r="U957" s="677"/>
      <c r="V957" s="677"/>
      <c r="W957" s="677"/>
      <c r="X957" s="677"/>
      <c r="Y957" s="677"/>
      <c r="Z957" s="677"/>
      <c r="AA957" s="677"/>
      <c r="AB957" s="677"/>
      <c r="AC957" s="677"/>
      <c r="AD957" s="677"/>
    </row>
    <row r="958">
      <c r="A958" s="908"/>
      <c r="B958" s="674"/>
      <c r="C958" s="852"/>
      <c r="D958" s="656"/>
      <c r="E958" s="821"/>
      <c r="F958" s="821"/>
      <c r="G958" s="821"/>
      <c r="H958" s="821"/>
      <c r="I958" s="821"/>
      <c r="J958" s="821"/>
      <c r="K958" s="821"/>
      <c r="L958" s="821"/>
      <c r="M958" s="677"/>
      <c r="N958" s="821"/>
      <c r="O958" s="821"/>
      <c r="P958" s="677"/>
      <c r="Q958" s="677"/>
      <c r="R958" s="677"/>
      <c r="S958" s="677"/>
      <c r="T958" s="677"/>
      <c r="U958" s="677"/>
      <c r="V958" s="677"/>
      <c r="W958" s="677"/>
      <c r="X958" s="677"/>
      <c r="Y958" s="677"/>
      <c r="Z958" s="677"/>
      <c r="AA958" s="677"/>
      <c r="AB958" s="677"/>
      <c r="AC958" s="677"/>
      <c r="AD958" s="677"/>
    </row>
    <row r="959">
      <c r="A959" s="909"/>
      <c r="B959" s="674"/>
      <c r="C959" s="852"/>
      <c r="D959" s="656"/>
      <c r="E959" s="821"/>
      <c r="F959" s="821"/>
      <c r="G959" s="821"/>
      <c r="H959" s="821"/>
      <c r="I959" s="821"/>
      <c r="J959" s="821"/>
      <c r="K959" s="821"/>
      <c r="L959" s="821"/>
      <c r="M959" s="677"/>
      <c r="N959" s="821"/>
      <c r="O959" s="821"/>
      <c r="P959" s="677"/>
      <c r="Q959" s="677"/>
      <c r="R959" s="677"/>
      <c r="S959" s="677"/>
      <c r="T959" s="677"/>
      <c r="U959" s="677"/>
      <c r="V959" s="677"/>
      <c r="W959" s="677"/>
      <c r="X959" s="677"/>
      <c r="Y959" s="677"/>
      <c r="Z959" s="677"/>
      <c r="AA959" s="677"/>
      <c r="AB959" s="677"/>
      <c r="AC959" s="677"/>
      <c r="AD959" s="677"/>
    </row>
    <row r="960">
      <c r="A960" s="704"/>
      <c r="B960" s="674"/>
      <c r="C960" s="852"/>
      <c r="D960" s="656"/>
      <c r="E960" s="821"/>
      <c r="F960" s="821"/>
      <c r="G960" s="821"/>
      <c r="H960" s="821"/>
      <c r="I960" s="821"/>
      <c r="J960" s="821"/>
      <c r="K960" s="821"/>
      <c r="L960" s="821"/>
      <c r="M960" s="677"/>
      <c r="N960" s="821"/>
      <c r="O960" s="821"/>
      <c r="P960" s="677"/>
      <c r="Q960" s="677"/>
      <c r="R960" s="677"/>
      <c r="S960" s="677"/>
      <c r="T960" s="677"/>
      <c r="U960" s="677"/>
      <c r="V960" s="677"/>
      <c r="W960" s="677"/>
      <c r="X960" s="677"/>
      <c r="Y960" s="677"/>
      <c r="Z960" s="677"/>
      <c r="AA960" s="677"/>
      <c r="AB960" s="677"/>
      <c r="AC960" s="677"/>
      <c r="AD960" s="677"/>
    </row>
    <row r="961">
      <c r="A961" s="704"/>
      <c r="B961" s="708"/>
      <c r="C961" s="852"/>
      <c r="D961" s="656"/>
      <c r="E961" s="821"/>
      <c r="F961" s="821"/>
      <c r="G961" s="821"/>
      <c r="H961" s="821"/>
      <c r="I961" s="821"/>
      <c r="J961" s="821"/>
      <c r="K961" s="821"/>
      <c r="L961" s="821"/>
      <c r="M961" s="677"/>
      <c r="N961" s="821"/>
      <c r="O961" s="821"/>
      <c r="P961" s="677"/>
      <c r="Q961" s="677"/>
      <c r="R961" s="677"/>
      <c r="S961" s="677"/>
      <c r="T961" s="677"/>
      <c r="U961" s="677"/>
      <c r="V961" s="677"/>
      <c r="W961" s="677"/>
      <c r="X961" s="677"/>
      <c r="Y961" s="677"/>
      <c r="Z961" s="677"/>
      <c r="AA961" s="677"/>
      <c r="AB961" s="677"/>
      <c r="AC961" s="677"/>
      <c r="AD961" s="677"/>
    </row>
    <row r="962">
      <c r="A962" s="704"/>
      <c r="B962" s="674"/>
      <c r="C962" s="852"/>
      <c r="D962" s="656"/>
      <c r="E962" s="821"/>
      <c r="F962" s="821"/>
      <c r="G962" s="821"/>
      <c r="H962" s="821"/>
      <c r="I962" s="821"/>
      <c r="J962" s="821"/>
      <c r="K962" s="821"/>
      <c r="L962" s="821"/>
      <c r="M962" s="677"/>
      <c r="N962" s="821"/>
      <c r="O962" s="821"/>
      <c r="P962" s="677"/>
      <c r="Q962" s="677"/>
      <c r="R962" s="677"/>
      <c r="S962" s="677"/>
      <c r="T962" s="677"/>
      <c r="U962" s="677"/>
      <c r="V962" s="677"/>
      <c r="W962" s="677"/>
      <c r="X962" s="677"/>
      <c r="Y962" s="677"/>
      <c r="Z962" s="677"/>
      <c r="AA962" s="677"/>
      <c r="AB962" s="677"/>
      <c r="AC962" s="677"/>
      <c r="AD962" s="677"/>
    </row>
    <row r="963">
      <c r="A963" s="704"/>
      <c r="B963" s="674"/>
      <c r="C963" s="852"/>
      <c r="D963" s="656"/>
      <c r="E963" s="821"/>
      <c r="F963" s="821"/>
      <c r="G963" s="821"/>
      <c r="H963" s="821"/>
      <c r="I963" s="821"/>
      <c r="J963" s="821"/>
      <c r="K963" s="821"/>
      <c r="L963" s="821"/>
      <c r="M963" s="677"/>
      <c r="N963" s="821"/>
      <c r="O963" s="821"/>
      <c r="P963" s="677"/>
      <c r="Q963" s="677"/>
      <c r="R963" s="677"/>
      <c r="S963" s="677"/>
      <c r="T963" s="677"/>
      <c r="U963" s="677"/>
      <c r="V963" s="677"/>
      <c r="W963" s="677"/>
      <c r="X963" s="677"/>
      <c r="Y963" s="677"/>
      <c r="Z963" s="677"/>
      <c r="AA963" s="677"/>
      <c r="AB963" s="677"/>
      <c r="AC963" s="677"/>
      <c r="AD963" s="677"/>
    </row>
    <row r="964">
      <c r="A964" s="704"/>
      <c r="B964" s="674"/>
      <c r="C964" s="852"/>
      <c r="D964" s="656"/>
      <c r="E964" s="821"/>
      <c r="F964" s="821"/>
      <c r="G964" s="821"/>
      <c r="H964" s="821"/>
      <c r="I964" s="821"/>
      <c r="J964" s="821"/>
      <c r="K964" s="821"/>
      <c r="L964" s="821"/>
      <c r="M964" s="677"/>
      <c r="N964" s="821"/>
      <c r="O964" s="821"/>
      <c r="P964" s="677"/>
      <c r="Q964" s="677"/>
      <c r="R964" s="677"/>
      <c r="S964" s="677"/>
      <c r="T964" s="677"/>
      <c r="U964" s="677"/>
      <c r="V964" s="677"/>
      <c r="W964" s="677"/>
      <c r="X964" s="677"/>
      <c r="Y964" s="677"/>
      <c r="Z964" s="677"/>
      <c r="AA964" s="677"/>
      <c r="AB964" s="677"/>
      <c r="AC964" s="677"/>
      <c r="AD964" s="677"/>
    </row>
    <row r="965">
      <c r="A965" s="704"/>
      <c r="B965" s="674"/>
      <c r="C965" s="852"/>
      <c r="D965" s="656"/>
      <c r="E965" s="821"/>
      <c r="F965" s="821"/>
      <c r="G965" s="821"/>
      <c r="H965" s="821"/>
      <c r="I965" s="821"/>
      <c r="J965" s="821"/>
      <c r="K965" s="821"/>
      <c r="L965" s="821"/>
      <c r="M965" s="677"/>
      <c r="N965" s="821"/>
      <c r="O965" s="821"/>
      <c r="P965" s="677"/>
      <c r="Q965" s="677"/>
      <c r="R965" s="677"/>
      <c r="S965" s="677"/>
      <c r="T965" s="677"/>
      <c r="U965" s="677"/>
      <c r="V965" s="677"/>
      <c r="W965" s="677"/>
      <c r="X965" s="677"/>
      <c r="Y965" s="677"/>
      <c r="Z965" s="677"/>
      <c r="AA965" s="677"/>
      <c r="AB965" s="677"/>
      <c r="AC965" s="677"/>
      <c r="AD965" s="677"/>
    </row>
    <row r="966">
      <c r="A966" s="704"/>
      <c r="B966" s="674"/>
      <c r="C966" s="852"/>
      <c r="D966" s="656"/>
      <c r="E966" s="821"/>
      <c r="F966" s="821"/>
      <c r="G966" s="821"/>
      <c r="H966" s="821"/>
      <c r="I966" s="821"/>
      <c r="J966" s="821"/>
      <c r="K966" s="821"/>
      <c r="L966" s="821"/>
      <c r="M966" s="677"/>
      <c r="N966" s="821"/>
      <c r="O966" s="821"/>
      <c r="P966" s="677"/>
      <c r="Q966" s="677"/>
      <c r="R966" s="677"/>
      <c r="S966" s="677"/>
      <c r="T966" s="677"/>
      <c r="U966" s="677"/>
      <c r="V966" s="677"/>
      <c r="W966" s="677"/>
      <c r="X966" s="677"/>
      <c r="Y966" s="677"/>
      <c r="Z966" s="677"/>
      <c r="AA966" s="677"/>
      <c r="AB966" s="677"/>
      <c r="AC966" s="677"/>
      <c r="AD966" s="677"/>
    </row>
    <row r="967">
      <c r="A967" s="704"/>
      <c r="B967" s="674"/>
      <c r="C967" s="852"/>
      <c r="D967" s="656"/>
      <c r="E967" s="821"/>
      <c r="F967" s="821"/>
      <c r="G967" s="821"/>
      <c r="H967" s="821"/>
      <c r="I967" s="821"/>
      <c r="J967" s="821"/>
      <c r="K967" s="821"/>
      <c r="L967" s="821"/>
      <c r="M967" s="677"/>
      <c r="N967" s="821"/>
      <c r="O967" s="821"/>
      <c r="P967" s="677"/>
      <c r="Q967" s="677"/>
      <c r="R967" s="677"/>
      <c r="S967" s="677"/>
      <c r="T967" s="677"/>
      <c r="U967" s="677"/>
      <c r="V967" s="677"/>
      <c r="W967" s="677"/>
      <c r="X967" s="677"/>
      <c r="Y967" s="677"/>
      <c r="Z967" s="677"/>
      <c r="AA967" s="677"/>
      <c r="AB967" s="677"/>
      <c r="AC967" s="677"/>
      <c r="AD967" s="677"/>
    </row>
    <row r="968">
      <c r="A968" s="704"/>
      <c r="B968" s="674"/>
      <c r="C968" s="852"/>
      <c r="D968" s="656"/>
      <c r="E968" s="821"/>
      <c r="F968" s="821"/>
      <c r="G968" s="821"/>
      <c r="H968" s="821"/>
      <c r="I968" s="821"/>
      <c r="J968" s="821"/>
      <c r="K968" s="821"/>
      <c r="L968" s="821"/>
      <c r="M968" s="677"/>
      <c r="N968" s="821"/>
      <c r="O968" s="821"/>
      <c r="P968" s="677"/>
      <c r="Q968" s="677"/>
      <c r="R968" s="677"/>
      <c r="S968" s="677"/>
      <c r="T968" s="677"/>
      <c r="U968" s="677"/>
      <c r="V968" s="677"/>
      <c r="W968" s="677"/>
      <c r="X968" s="677"/>
      <c r="Y968" s="677"/>
      <c r="Z968" s="677"/>
      <c r="AA968" s="677"/>
      <c r="AB968" s="677"/>
      <c r="AC968" s="677"/>
      <c r="AD968" s="677"/>
    </row>
    <row r="969">
      <c r="A969" s="704"/>
      <c r="B969" s="708"/>
      <c r="C969" s="852"/>
      <c r="D969" s="656"/>
      <c r="E969" s="821"/>
      <c r="F969" s="821"/>
      <c r="G969" s="821"/>
      <c r="H969" s="821"/>
      <c r="I969" s="821"/>
      <c r="J969" s="821"/>
      <c r="K969" s="821"/>
      <c r="L969" s="821"/>
      <c r="M969" s="677"/>
      <c r="N969" s="821"/>
      <c r="O969" s="821"/>
      <c r="P969" s="677"/>
      <c r="Q969" s="677"/>
      <c r="R969" s="677"/>
      <c r="S969" s="677"/>
      <c r="T969" s="677"/>
      <c r="U969" s="677"/>
      <c r="V969" s="677"/>
      <c r="W969" s="677"/>
      <c r="X969" s="677"/>
      <c r="Y969" s="677"/>
      <c r="Z969" s="677"/>
      <c r="AA969" s="677"/>
      <c r="AB969" s="677"/>
      <c r="AC969" s="677"/>
      <c r="AD969" s="677"/>
    </row>
    <row r="970">
      <c r="A970" s="704"/>
      <c r="B970" s="708"/>
      <c r="C970" s="852"/>
      <c r="D970" s="656"/>
      <c r="E970" s="821"/>
      <c r="F970" s="821"/>
      <c r="G970" s="821"/>
      <c r="H970" s="821"/>
      <c r="I970" s="821"/>
      <c r="J970" s="821"/>
      <c r="K970" s="821"/>
      <c r="L970" s="821"/>
      <c r="M970" s="677"/>
      <c r="N970" s="821"/>
      <c r="O970" s="821"/>
      <c r="P970" s="677"/>
      <c r="Q970" s="677"/>
      <c r="R970" s="677"/>
      <c r="S970" s="677"/>
      <c r="T970" s="677"/>
      <c r="U970" s="677"/>
      <c r="V970" s="677"/>
      <c r="W970" s="677"/>
      <c r="X970" s="677"/>
      <c r="Y970" s="677"/>
      <c r="Z970" s="677"/>
      <c r="AA970" s="677"/>
      <c r="AB970" s="677"/>
      <c r="AC970" s="677"/>
      <c r="AD970" s="677"/>
    </row>
    <row r="971">
      <c r="A971" s="704"/>
      <c r="B971" s="674"/>
      <c r="C971" s="852"/>
      <c r="D971" s="656"/>
      <c r="E971" s="821"/>
      <c r="F971" s="821"/>
      <c r="G971" s="821"/>
      <c r="H971" s="821"/>
      <c r="I971" s="821"/>
      <c r="J971" s="821"/>
      <c r="K971" s="821"/>
      <c r="L971" s="821"/>
      <c r="M971" s="677"/>
      <c r="N971" s="821"/>
      <c r="O971" s="821"/>
      <c r="P971" s="677"/>
      <c r="Q971" s="677"/>
      <c r="R971" s="677"/>
      <c r="S971" s="677"/>
      <c r="T971" s="677"/>
      <c r="U971" s="677"/>
      <c r="V971" s="677"/>
      <c r="W971" s="677"/>
      <c r="X971" s="677"/>
      <c r="Y971" s="677"/>
      <c r="Z971" s="677"/>
      <c r="AA971" s="677"/>
      <c r="AB971" s="677"/>
      <c r="AC971" s="677"/>
      <c r="AD971" s="677"/>
    </row>
    <row r="972">
      <c r="A972" s="704"/>
      <c r="B972" s="708"/>
      <c r="C972" s="852"/>
      <c r="D972" s="656"/>
      <c r="E972" s="821"/>
      <c r="F972" s="821"/>
      <c r="G972" s="821"/>
      <c r="H972" s="821"/>
      <c r="I972" s="821"/>
      <c r="J972" s="821"/>
      <c r="K972" s="821"/>
      <c r="L972" s="821"/>
      <c r="M972" s="677"/>
      <c r="N972" s="821"/>
      <c r="O972" s="821"/>
      <c r="P972" s="677"/>
      <c r="Q972" s="677"/>
      <c r="R972" s="677"/>
      <c r="S972" s="677"/>
      <c r="T972" s="677"/>
      <c r="U972" s="677"/>
      <c r="V972" s="677"/>
      <c r="W972" s="677"/>
      <c r="X972" s="677"/>
      <c r="Y972" s="677"/>
      <c r="Z972" s="677"/>
      <c r="AA972" s="677"/>
      <c r="AB972" s="677"/>
      <c r="AC972" s="677"/>
      <c r="AD972" s="677"/>
    </row>
    <row r="973">
      <c r="A973" s="704"/>
      <c r="B973" s="674"/>
      <c r="C973" s="852"/>
      <c r="D973" s="656"/>
      <c r="E973" s="821"/>
      <c r="F973" s="821"/>
      <c r="G973" s="821"/>
      <c r="H973" s="821"/>
      <c r="I973" s="821"/>
      <c r="J973" s="821"/>
      <c r="K973" s="821"/>
      <c r="L973" s="821"/>
      <c r="M973" s="677"/>
      <c r="N973" s="821"/>
      <c r="O973" s="821"/>
      <c r="P973" s="677"/>
      <c r="Q973" s="677"/>
      <c r="R973" s="677"/>
      <c r="S973" s="677"/>
      <c r="T973" s="677"/>
      <c r="U973" s="677"/>
      <c r="V973" s="677"/>
      <c r="W973" s="677"/>
      <c r="X973" s="677"/>
      <c r="Y973" s="677"/>
      <c r="Z973" s="677"/>
      <c r="AA973" s="677"/>
      <c r="AB973" s="677"/>
      <c r="AC973" s="677"/>
      <c r="AD973" s="677"/>
    </row>
    <row r="974">
      <c r="A974" s="704"/>
      <c r="B974" s="708"/>
      <c r="C974" s="852"/>
      <c r="D974" s="656"/>
      <c r="E974" s="821"/>
      <c r="F974" s="821"/>
      <c r="G974" s="821"/>
      <c r="H974" s="821"/>
      <c r="I974" s="821"/>
      <c r="J974" s="821"/>
      <c r="K974" s="821"/>
      <c r="L974" s="821"/>
      <c r="M974" s="677"/>
      <c r="N974" s="821"/>
      <c r="O974" s="821"/>
      <c r="P974" s="677"/>
      <c r="Q974" s="677"/>
      <c r="R974" s="677"/>
      <c r="S974" s="677"/>
      <c r="T974" s="677"/>
      <c r="U974" s="677"/>
      <c r="V974" s="677"/>
      <c r="W974" s="677"/>
      <c r="X974" s="677"/>
      <c r="Y974" s="677"/>
      <c r="Z974" s="677"/>
      <c r="AA974" s="677"/>
      <c r="AB974" s="677"/>
      <c r="AC974" s="677"/>
      <c r="AD974" s="677"/>
    </row>
    <row r="975">
      <c r="A975" s="704"/>
      <c r="B975" s="708"/>
      <c r="C975" s="852"/>
      <c r="D975" s="656"/>
      <c r="E975" s="821"/>
      <c r="F975" s="821"/>
      <c r="G975" s="821"/>
      <c r="H975" s="821"/>
      <c r="I975" s="821"/>
      <c r="J975" s="821"/>
      <c r="K975" s="821"/>
      <c r="L975" s="821"/>
      <c r="M975" s="677"/>
      <c r="N975" s="821"/>
      <c r="O975" s="821"/>
      <c r="P975" s="677"/>
      <c r="Q975" s="677"/>
      <c r="R975" s="677"/>
      <c r="S975" s="677"/>
      <c r="T975" s="677"/>
      <c r="U975" s="677"/>
      <c r="V975" s="677"/>
      <c r="W975" s="677"/>
      <c r="X975" s="677"/>
      <c r="Y975" s="677"/>
      <c r="Z975" s="677"/>
      <c r="AA975" s="677"/>
      <c r="AB975" s="677"/>
      <c r="AC975" s="677"/>
      <c r="AD975" s="677"/>
    </row>
    <row r="976">
      <c r="A976" s="704"/>
      <c r="B976" s="674"/>
      <c r="C976" s="852"/>
      <c r="D976" s="656"/>
      <c r="E976" s="821"/>
      <c r="F976" s="821"/>
      <c r="G976" s="821"/>
      <c r="H976" s="821"/>
      <c r="I976" s="821"/>
      <c r="J976" s="821"/>
      <c r="K976" s="821"/>
      <c r="L976" s="821"/>
      <c r="M976" s="677"/>
      <c r="N976" s="821"/>
      <c r="O976" s="821"/>
      <c r="P976" s="677"/>
      <c r="Q976" s="677"/>
      <c r="R976" s="677"/>
      <c r="S976" s="677"/>
      <c r="T976" s="677"/>
      <c r="U976" s="677"/>
      <c r="V976" s="677"/>
      <c r="W976" s="677"/>
      <c r="X976" s="677"/>
      <c r="Y976" s="677"/>
      <c r="Z976" s="677"/>
      <c r="AA976" s="677"/>
      <c r="AB976" s="677"/>
      <c r="AC976" s="677"/>
      <c r="AD976" s="677"/>
    </row>
    <row r="977">
      <c r="A977" s="704"/>
      <c r="B977" s="708"/>
      <c r="C977" s="852"/>
      <c r="D977" s="656"/>
      <c r="E977" s="821"/>
      <c r="F977" s="821"/>
      <c r="G977" s="821"/>
      <c r="H977" s="821"/>
      <c r="I977" s="821"/>
      <c r="J977" s="821"/>
      <c r="K977" s="821"/>
      <c r="L977" s="821"/>
      <c r="M977" s="677"/>
      <c r="N977" s="821"/>
      <c r="O977" s="821"/>
      <c r="P977" s="677"/>
      <c r="Q977" s="677"/>
      <c r="R977" s="677"/>
      <c r="S977" s="677"/>
      <c r="T977" s="677"/>
      <c r="U977" s="677"/>
      <c r="V977" s="677"/>
      <c r="W977" s="677"/>
      <c r="X977" s="677"/>
      <c r="Y977" s="677"/>
      <c r="Z977" s="677"/>
      <c r="AA977" s="677"/>
      <c r="AB977" s="677"/>
      <c r="AC977" s="677"/>
      <c r="AD977" s="677"/>
    </row>
    <row r="978">
      <c r="A978" s="704"/>
      <c r="B978" s="674"/>
      <c r="C978" s="852"/>
      <c r="D978" s="656"/>
      <c r="E978" s="821"/>
      <c r="F978" s="821"/>
      <c r="G978" s="821"/>
      <c r="H978" s="821"/>
      <c r="I978" s="821"/>
      <c r="J978" s="821"/>
      <c r="K978" s="821"/>
      <c r="L978" s="821"/>
      <c r="M978" s="677"/>
      <c r="N978" s="821"/>
      <c r="O978" s="821"/>
      <c r="P978" s="677"/>
      <c r="Q978" s="677"/>
      <c r="R978" s="677"/>
      <c r="S978" s="677"/>
      <c r="T978" s="677"/>
      <c r="U978" s="677"/>
      <c r="V978" s="677"/>
      <c r="W978" s="677"/>
      <c r="X978" s="677"/>
      <c r="Y978" s="677"/>
      <c r="Z978" s="677"/>
      <c r="AA978" s="677"/>
      <c r="AB978" s="677"/>
      <c r="AC978" s="677"/>
      <c r="AD978" s="677"/>
    </row>
    <row r="979">
      <c r="A979" s="704"/>
      <c r="B979" s="674"/>
      <c r="C979" s="852"/>
      <c r="D979" s="656"/>
      <c r="E979" s="821"/>
      <c r="F979" s="821"/>
      <c r="G979" s="821"/>
      <c r="H979" s="821"/>
      <c r="I979" s="821"/>
      <c r="J979" s="821"/>
      <c r="K979" s="821"/>
      <c r="L979" s="821"/>
      <c r="M979" s="677"/>
      <c r="N979" s="821"/>
      <c r="O979" s="821"/>
      <c r="P979" s="677"/>
      <c r="Q979" s="677"/>
      <c r="R979" s="677"/>
      <c r="S979" s="677"/>
      <c r="T979" s="677"/>
      <c r="U979" s="677"/>
      <c r="V979" s="677"/>
      <c r="W979" s="677"/>
      <c r="X979" s="677"/>
      <c r="Y979" s="677"/>
      <c r="Z979" s="677"/>
      <c r="AA979" s="677"/>
      <c r="AB979" s="677"/>
      <c r="AC979" s="677"/>
      <c r="AD979" s="677"/>
    </row>
    <row r="980">
      <c r="A980" s="704"/>
      <c r="B980" s="674"/>
      <c r="C980" s="852"/>
      <c r="D980" s="656"/>
      <c r="E980" s="821"/>
      <c r="F980" s="821"/>
      <c r="G980" s="821"/>
      <c r="H980" s="821"/>
      <c r="I980" s="821"/>
      <c r="J980" s="821"/>
      <c r="K980" s="821"/>
      <c r="L980" s="821"/>
      <c r="M980" s="677"/>
      <c r="N980" s="821"/>
      <c r="O980" s="821"/>
      <c r="P980" s="677"/>
      <c r="Q980" s="677"/>
      <c r="R980" s="677"/>
      <c r="S980" s="677"/>
      <c r="T980" s="677"/>
      <c r="U980" s="677"/>
      <c r="V980" s="677"/>
      <c r="W980" s="677"/>
      <c r="X980" s="677"/>
      <c r="Y980" s="677"/>
      <c r="Z980" s="677"/>
      <c r="AA980" s="677"/>
      <c r="AB980" s="677"/>
      <c r="AC980" s="677"/>
      <c r="AD980" s="677"/>
    </row>
    <row r="981">
      <c r="A981" s="704"/>
      <c r="B981" s="674"/>
      <c r="C981" s="852"/>
      <c r="D981" s="656"/>
      <c r="E981" s="821"/>
      <c r="F981" s="821"/>
      <c r="G981" s="821"/>
      <c r="H981" s="821"/>
      <c r="I981" s="821"/>
      <c r="J981" s="821"/>
      <c r="K981" s="821"/>
      <c r="L981" s="821"/>
      <c r="M981" s="677"/>
      <c r="N981" s="821"/>
      <c r="O981" s="821"/>
      <c r="P981" s="677"/>
      <c r="Q981" s="677"/>
      <c r="R981" s="677"/>
      <c r="S981" s="677"/>
      <c r="T981" s="677"/>
      <c r="U981" s="677"/>
      <c r="V981" s="677"/>
      <c r="W981" s="677"/>
      <c r="X981" s="677"/>
      <c r="Y981" s="677"/>
      <c r="Z981" s="677"/>
      <c r="AA981" s="677"/>
      <c r="AB981" s="677"/>
      <c r="AC981" s="677"/>
      <c r="AD981" s="677"/>
    </row>
    <row r="982">
      <c r="A982" s="704"/>
      <c r="B982" s="674"/>
      <c r="C982" s="852"/>
      <c r="D982" s="656"/>
      <c r="E982" s="821"/>
      <c r="F982" s="821"/>
      <c r="G982" s="821"/>
      <c r="H982" s="821"/>
      <c r="I982" s="821"/>
      <c r="J982" s="821"/>
      <c r="K982" s="821"/>
      <c r="L982" s="821"/>
      <c r="M982" s="677"/>
      <c r="N982" s="821"/>
      <c r="O982" s="821"/>
      <c r="P982" s="677"/>
      <c r="Q982" s="677"/>
      <c r="R982" s="677"/>
      <c r="S982" s="677"/>
      <c r="T982" s="677"/>
      <c r="U982" s="677"/>
      <c r="V982" s="677"/>
      <c r="W982" s="677"/>
      <c r="X982" s="677"/>
      <c r="Y982" s="677"/>
      <c r="Z982" s="677"/>
      <c r="AA982" s="677"/>
      <c r="AB982" s="677"/>
      <c r="AC982" s="677"/>
      <c r="AD982" s="677"/>
    </row>
    <row r="983">
      <c r="A983" s="704"/>
      <c r="B983" s="674"/>
      <c r="C983" s="852"/>
      <c r="D983" s="656"/>
      <c r="E983" s="821"/>
      <c r="F983" s="821"/>
      <c r="G983" s="821"/>
      <c r="H983" s="821"/>
      <c r="I983" s="821"/>
      <c r="J983" s="821"/>
      <c r="K983" s="821"/>
      <c r="L983" s="821"/>
      <c r="M983" s="677"/>
      <c r="N983" s="821"/>
      <c r="O983" s="821"/>
      <c r="P983" s="677"/>
      <c r="Q983" s="677"/>
      <c r="R983" s="677"/>
      <c r="S983" s="677"/>
      <c r="T983" s="677"/>
      <c r="U983" s="677"/>
      <c r="V983" s="677"/>
      <c r="W983" s="677"/>
      <c r="X983" s="677"/>
      <c r="Y983" s="677"/>
      <c r="Z983" s="677"/>
      <c r="AA983" s="677"/>
      <c r="AB983" s="677"/>
      <c r="AC983" s="677"/>
      <c r="AD983" s="677"/>
    </row>
    <row r="984">
      <c r="A984" s="704"/>
      <c r="B984" s="674"/>
      <c r="C984" s="852"/>
      <c r="D984" s="656"/>
      <c r="E984" s="821"/>
      <c r="F984" s="821"/>
      <c r="G984" s="821"/>
      <c r="H984" s="821"/>
      <c r="I984" s="821"/>
      <c r="J984" s="821"/>
      <c r="K984" s="821"/>
      <c r="L984" s="821"/>
      <c r="M984" s="677"/>
      <c r="N984" s="821"/>
      <c r="O984" s="821"/>
      <c r="P984" s="677"/>
      <c r="Q984" s="677"/>
      <c r="R984" s="677"/>
      <c r="S984" s="677"/>
      <c r="T984" s="677"/>
      <c r="U984" s="677"/>
      <c r="V984" s="677"/>
      <c r="W984" s="677"/>
      <c r="X984" s="677"/>
      <c r="Y984" s="677"/>
      <c r="Z984" s="677"/>
      <c r="AA984" s="677"/>
      <c r="AB984" s="677"/>
      <c r="AC984" s="677"/>
      <c r="AD984" s="677"/>
    </row>
    <row r="985">
      <c r="A985" s="704"/>
      <c r="B985" s="902"/>
      <c r="C985" s="852"/>
      <c r="D985" s="656"/>
      <c r="E985" s="821"/>
      <c r="F985" s="821"/>
      <c r="G985" s="821"/>
      <c r="H985" s="821"/>
      <c r="I985" s="821"/>
      <c r="J985" s="821"/>
      <c r="K985" s="821"/>
      <c r="L985" s="821"/>
      <c r="M985" s="677"/>
      <c r="N985" s="821"/>
      <c r="O985" s="821"/>
      <c r="P985" s="677"/>
      <c r="Q985" s="677"/>
      <c r="R985" s="677"/>
      <c r="S985" s="677"/>
      <c r="T985" s="677"/>
      <c r="U985" s="677"/>
      <c r="V985" s="677"/>
      <c r="W985" s="677"/>
      <c r="X985" s="677"/>
      <c r="Y985" s="677"/>
      <c r="Z985" s="677"/>
      <c r="AA985" s="677"/>
      <c r="AB985" s="677"/>
      <c r="AC985" s="677"/>
      <c r="AD985" s="677"/>
    </row>
    <row r="986">
      <c r="A986" s="704"/>
      <c r="B986" s="708"/>
      <c r="C986" s="852"/>
      <c r="D986" s="656"/>
      <c r="E986" s="821"/>
      <c r="F986" s="821"/>
      <c r="G986" s="821"/>
      <c r="H986" s="821"/>
      <c r="I986" s="821"/>
      <c r="J986" s="821"/>
      <c r="K986" s="821"/>
      <c r="L986" s="821"/>
      <c r="M986" s="677"/>
      <c r="N986" s="821"/>
      <c r="O986" s="821"/>
      <c r="P986" s="677"/>
      <c r="Q986" s="677"/>
      <c r="R986" s="677"/>
      <c r="S986" s="677"/>
      <c r="T986" s="677"/>
      <c r="U986" s="677"/>
      <c r="V986" s="677"/>
      <c r="W986" s="677"/>
      <c r="X986" s="677"/>
      <c r="Y986" s="677"/>
      <c r="Z986" s="677"/>
      <c r="AA986" s="677"/>
      <c r="AB986" s="677"/>
      <c r="AC986" s="677"/>
      <c r="AD986" s="677"/>
    </row>
    <row r="987">
      <c r="A987" s="704"/>
      <c r="B987" s="708"/>
      <c r="C987" s="852"/>
      <c r="D987" s="656"/>
      <c r="E987" s="821"/>
      <c r="F987" s="821"/>
      <c r="G987" s="821"/>
      <c r="H987" s="821"/>
      <c r="I987" s="821"/>
      <c r="J987" s="821"/>
      <c r="K987" s="821"/>
      <c r="L987" s="821"/>
      <c r="M987" s="677"/>
      <c r="N987" s="821"/>
      <c r="O987" s="821"/>
      <c r="P987" s="677"/>
      <c r="Q987" s="677"/>
      <c r="R987" s="677"/>
      <c r="S987" s="677"/>
      <c r="T987" s="677"/>
      <c r="U987" s="677"/>
      <c r="V987" s="677"/>
      <c r="W987" s="677"/>
      <c r="X987" s="677"/>
      <c r="Y987" s="677"/>
      <c r="Z987" s="677"/>
      <c r="AA987" s="677"/>
      <c r="AB987" s="677"/>
      <c r="AC987" s="677"/>
      <c r="AD987" s="677"/>
    </row>
    <row r="988">
      <c r="A988" s="704"/>
      <c r="B988" s="674"/>
      <c r="C988" s="852"/>
      <c r="D988" s="656"/>
      <c r="E988" s="821"/>
      <c r="F988" s="821"/>
      <c r="G988" s="821"/>
      <c r="H988" s="821"/>
      <c r="I988" s="821"/>
      <c r="J988" s="821"/>
      <c r="K988" s="821"/>
      <c r="L988" s="821"/>
      <c r="M988" s="677"/>
      <c r="N988" s="821"/>
      <c r="O988" s="821"/>
      <c r="P988" s="677"/>
      <c r="Q988" s="677"/>
      <c r="R988" s="677"/>
      <c r="S988" s="677"/>
      <c r="T988" s="677"/>
      <c r="U988" s="677"/>
      <c r="V988" s="677"/>
      <c r="W988" s="677"/>
      <c r="X988" s="677"/>
      <c r="Y988" s="677"/>
      <c r="Z988" s="677"/>
      <c r="AA988" s="677"/>
      <c r="AB988" s="677"/>
      <c r="AC988" s="677"/>
      <c r="AD988" s="677"/>
    </row>
    <row r="989">
      <c r="A989" s="704"/>
      <c r="B989" s="674"/>
      <c r="C989" s="852"/>
      <c r="D989" s="656"/>
      <c r="E989" s="821"/>
      <c r="F989" s="821"/>
      <c r="G989" s="821"/>
      <c r="H989" s="821"/>
      <c r="I989" s="821"/>
      <c r="J989" s="821"/>
      <c r="K989" s="821"/>
      <c r="L989" s="821"/>
      <c r="M989" s="677"/>
      <c r="N989" s="821"/>
      <c r="O989" s="821"/>
      <c r="P989" s="677"/>
      <c r="Q989" s="677"/>
      <c r="R989" s="677"/>
      <c r="S989" s="677"/>
      <c r="T989" s="677"/>
      <c r="U989" s="677"/>
      <c r="V989" s="677"/>
      <c r="W989" s="677"/>
      <c r="X989" s="677"/>
      <c r="Y989" s="677"/>
      <c r="Z989" s="677"/>
      <c r="AA989" s="677"/>
      <c r="AB989" s="677"/>
      <c r="AC989" s="677"/>
      <c r="AD989" s="677"/>
    </row>
    <row r="990">
      <c r="A990" s="704"/>
      <c r="B990" s="674"/>
      <c r="C990" s="852"/>
      <c r="D990" s="656"/>
      <c r="E990" s="821"/>
      <c r="F990" s="821"/>
      <c r="G990" s="821"/>
      <c r="H990" s="821"/>
      <c r="I990" s="821"/>
      <c r="J990" s="821"/>
      <c r="K990" s="821"/>
      <c r="L990" s="821"/>
      <c r="M990" s="677"/>
      <c r="N990" s="821"/>
      <c r="O990" s="821"/>
      <c r="P990" s="677"/>
      <c r="Q990" s="677"/>
      <c r="R990" s="677"/>
      <c r="S990" s="677"/>
      <c r="T990" s="677"/>
      <c r="U990" s="677"/>
      <c r="V990" s="677"/>
      <c r="W990" s="677"/>
      <c r="X990" s="677"/>
      <c r="Y990" s="677"/>
      <c r="Z990" s="677"/>
      <c r="AA990" s="677"/>
      <c r="AB990" s="677"/>
      <c r="AC990" s="677"/>
      <c r="AD990" s="677"/>
    </row>
    <row r="991">
      <c r="A991" s="704"/>
      <c r="B991" s="674"/>
      <c r="C991" s="852"/>
      <c r="D991" s="656"/>
      <c r="E991" s="821"/>
      <c r="F991" s="821"/>
      <c r="G991" s="821"/>
      <c r="H991" s="821"/>
      <c r="I991" s="821"/>
      <c r="J991" s="821"/>
      <c r="K991" s="821"/>
      <c r="L991" s="821"/>
      <c r="M991" s="677"/>
      <c r="N991" s="821"/>
      <c r="O991" s="821"/>
      <c r="P991" s="677"/>
      <c r="Q991" s="677"/>
      <c r="R991" s="677"/>
      <c r="S991" s="677"/>
      <c r="T991" s="677"/>
      <c r="U991" s="677"/>
      <c r="V991" s="677"/>
      <c r="W991" s="677"/>
      <c r="X991" s="677"/>
      <c r="Y991" s="677"/>
      <c r="Z991" s="677"/>
      <c r="AA991" s="677"/>
      <c r="AB991" s="677"/>
      <c r="AC991" s="677"/>
      <c r="AD991" s="677"/>
    </row>
    <row r="992">
      <c r="A992" s="704"/>
      <c r="B992" s="674"/>
      <c r="C992" s="852"/>
      <c r="D992" s="656"/>
      <c r="E992" s="821"/>
      <c r="F992" s="821"/>
      <c r="G992" s="821"/>
      <c r="H992" s="821"/>
      <c r="I992" s="821"/>
      <c r="J992" s="821"/>
      <c r="K992" s="821"/>
      <c r="L992" s="821"/>
      <c r="M992" s="677"/>
      <c r="N992" s="821"/>
      <c r="O992" s="821"/>
      <c r="P992" s="677"/>
      <c r="Q992" s="677"/>
      <c r="R992" s="677"/>
      <c r="S992" s="677"/>
      <c r="T992" s="677"/>
      <c r="U992" s="677"/>
      <c r="V992" s="677"/>
      <c r="W992" s="677"/>
      <c r="X992" s="677"/>
      <c r="Y992" s="677"/>
      <c r="Z992" s="677"/>
      <c r="AA992" s="677"/>
      <c r="AB992" s="677"/>
      <c r="AC992" s="677"/>
      <c r="AD992" s="677"/>
    </row>
    <row r="993">
      <c r="A993" s="704"/>
      <c r="B993" s="674"/>
      <c r="C993" s="852"/>
      <c r="D993" s="656"/>
      <c r="E993" s="821"/>
      <c r="F993" s="821"/>
      <c r="G993" s="821"/>
      <c r="H993" s="821"/>
      <c r="I993" s="821"/>
      <c r="J993" s="821"/>
      <c r="K993" s="821"/>
      <c r="L993" s="821"/>
      <c r="M993" s="677"/>
      <c r="N993" s="821"/>
      <c r="O993" s="821"/>
      <c r="P993" s="677"/>
      <c r="Q993" s="677"/>
      <c r="R993" s="677"/>
      <c r="S993" s="677"/>
      <c r="T993" s="677"/>
      <c r="U993" s="677"/>
      <c r="V993" s="677"/>
      <c r="W993" s="677"/>
      <c r="X993" s="677"/>
      <c r="Y993" s="677"/>
      <c r="Z993" s="677"/>
      <c r="AA993" s="677"/>
      <c r="AB993" s="677"/>
      <c r="AC993" s="677"/>
      <c r="AD993" s="677"/>
    </row>
    <row r="994">
      <c r="A994" s="704"/>
      <c r="B994" s="674"/>
      <c r="C994" s="852"/>
      <c r="D994" s="656"/>
      <c r="E994" s="821"/>
      <c r="F994" s="821"/>
      <c r="G994" s="821"/>
      <c r="H994" s="821"/>
      <c r="I994" s="821"/>
      <c r="J994" s="821"/>
      <c r="K994" s="821"/>
      <c r="L994" s="821"/>
      <c r="M994" s="677"/>
      <c r="N994" s="821"/>
      <c r="O994" s="821"/>
      <c r="P994" s="677"/>
      <c r="Q994" s="677"/>
      <c r="R994" s="677"/>
      <c r="S994" s="677"/>
      <c r="T994" s="677"/>
      <c r="U994" s="677"/>
      <c r="V994" s="677"/>
      <c r="W994" s="677"/>
      <c r="X994" s="677"/>
      <c r="Y994" s="677"/>
      <c r="Z994" s="677"/>
      <c r="AA994" s="677"/>
      <c r="AB994" s="677"/>
      <c r="AC994" s="677"/>
      <c r="AD994" s="677"/>
    </row>
    <row r="995">
      <c r="A995" s="704"/>
      <c r="B995" s="708"/>
      <c r="C995" s="852"/>
      <c r="D995" s="656"/>
      <c r="E995" s="821"/>
      <c r="F995" s="821"/>
      <c r="G995" s="821"/>
      <c r="H995" s="821"/>
      <c r="I995" s="821"/>
      <c r="J995" s="821"/>
      <c r="K995" s="821"/>
      <c r="L995" s="821"/>
      <c r="M995" s="677"/>
      <c r="N995" s="821"/>
      <c r="O995" s="821"/>
      <c r="P995" s="677"/>
      <c r="Q995" s="677"/>
      <c r="R995" s="677"/>
      <c r="S995" s="677"/>
      <c r="T995" s="677"/>
      <c r="U995" s="677"/>
      <c r="V995" s="677"/>
      <c r="W995" s="677"/>
      <c r="X995" s="677"/>
      <c r="Y995" s="677"/>
      <c r="Z995" s="677"/>
      <c r="AA995" s="677"/>
      <c r="AB995" s="677"/>
      <c r="AC995" s="677"/>
      <c r="AD995" s="677"/>
    </row>
    <row r="996">
      <c r="A996" s="704"/>
      <c r="B996" s="674"/>
      <c r="C996" s="852"/>
      <c r="D996" s="656"/>
      <c r="E996" s="821"/>
      <c r="F996" s="821"/>
      <c r="G996" s="821"/>
      <c r="H996" s="821"/>
      <c r="I996" s="821"/>
      <c r="J996" s="821"/>
      <c r="K996" s="821"/>
      <c r="L996" s="821"/>
      <c r="M996" s="677"/>
      <c r="N996" s="821"/>
      <c r="O996" s="821"/>
      <c r="P996" s="677"/>
      <c r="Q996" s="677"/>
      <c r="R996" s="677"/>
      <c r="S996" s="677"/>
      <c r="T996" s="677"/>
      <c r="U996" s="677"/>
      <c r="V996" s="677"/>
      <c r="W996" s="677"/>
      <c r="X996" s="677"/>
      <c r="Y996" s="677"/>
      <c r="Z996" s="677"/>
      <c r="AA996" s="677"/>
      <c r="AB996" s="677"/>
      <c r="AC996" s="677"/>
      <c r="AD996" s="677"/>
    </row>
    <row r="997">
      <c r="A997" s="704"/>
      <c r="B997" s="674"/>
      <c r="C997" s="852"/>
      <c r="D997" s="656"/>
      <c r="E997" s="821"/>
      <c r="F997" s="821"/>
      <c r="G997" s="821"/>
      <c r="H997" s="821"/>
      <c r="I997" s="821"/>
      <c r="J997" s="821"/>
      <c r="K997" s="821"/>
      <c r="L997" s="821"/>
      <c r="M997" s="677"/>
      <c r="N997" s="821"/>
      <c r="O997" s="821"/>
      <c r="P997" s="677"/>
      <c r="Q997" s="677"/>
      <c r="R997" s="677"/>
      <c r="S997" s="677"/>
      <c r="T997" s="677"/>
      <c r="U997" s="677"/>
      <c r="V997" s="677"/>
      <c r="W997" s="677"/>
      <c r="X997" s="677"/>
      <c r="Y997" s="677"/>
      <c r="Z997" s="677"/>
      <c r="AA997" s="677"/>
      <c r="AB997" s="677"/>
      <c r="AC997" s="677"/>
      <c r="AD997" s="677"/>
    </row>
    <row r="998">
      <c r="A998" s="704"/>
      <c r="B998" s="674"/>
      <c r="C998" s="852"/>
      <c r="D998" s="656"/>
      <c r="E998" s="821"/>
      <c r="F998" s="821"/>
      <c r="G998" s="821"/>
      <c r="H998" s="821"/>
      <c r="I998" s="821"/>
      <c r="J998" s="821"/>
      <c r="K998" s="821"/>
      <c r="L998" s="821"/>
      <c r="M998" s="677"/>
      <c r="N998" s="821"/>
      <c r="O998" s="821"/>
      <c r="P998" s="677"/>
      <c r="Q998" s="677"/>
      <c r="R998" s="677"/>
      <c r="S998" s="677"/>
      <c r="T998" s="677"/>
      <c r="U998" s="677"/>
      <c r="V998" s="677"/>
      <c r="W998" s="677"/>
      <c r="X998" s="677"/>
      <c r="Y998" s="677"/>
      <c r="Z998" s="677"/>
      <c r="AA998" s="677"/>
      <c r="AB998" s="677"/>
      <c r="AC998" s="677"/>
      <c r="AD998" s="677"/>
    </row>
    <row r="999">
      <c r="A999" s="704"/>
      <c r="B999" s="674"/>
      <c r="C999" s="852"/>
      <c r="D999" s="656"/>
      <c r="E999" s="821"/>
      <c r="F999" s="821"/>
      <c r="G999" s="821"/>
      <c r="H999" s="821"/>
      <c r="I999" s="821"/>
      <c r="J999" s="821"/>
      <c r="K999" s="821"/>
      <c r="L999" s="821"/>
      <c r="M999" s="677"/>
      <c r="N999" s="821"/>
      <c r="O999" s="821"/>
      <c r="P999" s="677"/>
      <c r="Q999" s="677"/>
      <c r="R999" s="677"/>
      <c r="S999" s="677"/>
      <c r="T999" s="677"/>
      <c r="U999" s="677"/>
      <c r="V999" s="677"/>
      <c r="W999" s="677"/>
      <c r="X999" s="677"/>
      <c r="Y999" s="677"/>
      <c r="Z999" s="677"/>
      <c r="AA999" s="677"/>
      <c r="AB999" s="677"/>
      <c r="AC999" s="677"/>
      <c r="AD999" s="677"/>
    </row>
    <row r="1000">
      <c r="A1000" s="704"/>
      <c r="B1000" s="674"/>
      <c r="C1000" s="852"/>
      <c r="D1000" s="656"/>
      <c r="E1000" s="821"/>
      <c r="F1000" s="821"/>
      <c r="G1000" s="821"/>
      <c r="H1000" s="821"/>
      <c r="I1000" s="821"/>
      <c r="J1000" s="821"/>
      <c r="K1000" s="821"/>
      <c r="L1000" s="821"/>
      <c r="M1000" s="677"/>
      <c r="N1000" s="821"/>
      <c r="O1000" s="821"/>
      <c r="P1000" s="677"/>
      <c r="Q1000" s="677"/>
      <c r="R1000" s="677"/>
      <c r="S1000" s="677"/>
      <c r="T1000" s="677"/>
      <c r="U1000" s="677"/>
      <c r="V1000" s="677"/>
      <c r="W1000" s="677"/>
      <c r="X1000" s="677"/>
      <c r="Y1000" s="677"/>
      <c r="Z1000" s="677"/>
      <c r="AA1000" s="677"/>
      <c r="AB1000" s="677"/>
      <c r="AC1000" s="677"/>
      <c r="AD1000" s="677"/>
    </row>
    <row r="1001">
      <c r="A1001" s="704"/>
      <c r="B1001" s="708"/>
      <c r="C1001" s="852"/>
      <c r="D1001" s="656"/>
      <c r="E1001" s="821"/>
      <c r="F1001" s="821"/>
      <c r="G1001" s="821"/>
      <c r="H1001" s="821"/>
      <c r="I1001" s="821"/>
      <c r="J1001" s="821"/>
      <c r="K1001" s="821"/>
      <c r="L1001" s="821"/>
      <c r="M1001" s="677"/>
      <c r="N1001" s="821"/>
      <c r="O1001" s="821"/>
      <c r="P1001" s="677"/>
      <c r="Q1001" s="677"/>
      <c r="R1001" s="677"/>
      <c r="S1001" s="677"/>
      <c r="T1001" s="677"/>
      <c r="U1001" s="677"/>
      <c r="V1001" s="677"/>
      <c r="W1001" s="677"/>
      <c r="X1001" s="677"/>
      <c r="Y1001" s="677"/>
      <c r="Z1001" s="677"/>
      <c r="AA1001" s="677"/>
      <c r="AB1001" s="677"/>
      <c r="AC1001" s="677"/>
      <c r="AD1001" s="677"/>
    </row>
    <row r="1002">
      <c r="A1002" s="704"/>
      <c r="B1002" s="674"/>
      <c r="C1002" s="852"/>
      <c r="D1002" s="656"/>
      <c r="E1002" s="821"/>
      <c r="F1002" s="821"/>
      <c r="G1002" s="821"/>
      <c r="H1002" s="821"/>
      <c r="I1002" s="821"/>
      <c r="J1002" s="821"/>
      <c r="K1002" s="821"/>
      <c r="L1002" s="821"/>
      <c r="M1002" s="677"/>
      <c r="N1002" s="821"/>
      <c r="O1002" s="821"/>
      <c r="P1002" s="677"/>
      <c r="Q1002" s="677"/>
      <c r="R1002" s="677"/>
      <c r="S1002" s="677"/>
      <c r="T1002" s="677"/>
      <c r="U1002" s="677"/>
      <c r="V1002" s="677"/>
      <c r="W1002" s="677"/>
      <c r="X1002" s="677"/>
      <c r="Y1002" s="677"/>
      <c r="Z1002" s="677"/>
      <c r="AA1002" s="677"/>
      <c r="AB1002" s="677"/>
      <c r="AC1002" s="677"/>
      <c r="AD1002" s="677"/>
    </row>
    <row r="1003">
      <c r="A1003" s="704"/>
      <c r="B1003" s="674"/>
      <c r="C1003" s="852"/>
      <c r="D1003" s="656"/>
      <c r="E1003" s="821"/>
      <c r="F1003" s="821"/>
      <c r="G1003" s="821"/>
      <c r="H1003" s="821"/>
      <c r="I1003" s="821"/>
      <c r="J1003" s="821"/>
      <c r="K1003" s="821"/>
      <c r="L1003" s="821"/>
      <c r="M1003" s="677"/>
      <c r="N1003" s="821"/>
      <c r="O1003" s="821"/>
      <c r="P1003" s="677"/>
      <c r="Q1003" s="677"/>
      <c r="R1003" s="677"/>
      <c r="S1003" s="677"/>
      <c r="T1003" s="677"/>
      <c r="U1003" s="677"/>
      <c r="V1003" s="677"/>
      <c r="W1003" s="677"/>
      <c r="X1003" s="677"/>
      <c r="Y1003" s="677"/>
      <c r="Z1003" s="677"/>
      <c r="AA1003" s="677"/>
      <c r="AB1003" s="677"/>
      <c r="AC1003" s="677"/>
      <c r="AD1003" s="677"/>
    </row>
    <row r="1004">
      <c r="A1004" s="704"/>
      <c r="B1004" s="708"/>
      <c r="C1004" s="852"/>
      <c r="D1004" s="656"/>
      <c r="E1004" s="821"/>
      <c r="F1004" s="821"/>
      <c r="G1004" s="821"/>
      <c r="H1004" s="821"/>
      <c r="I1004" s="821"/>
      <c r="J1004" s="821"/>
      <c r="K1004" s="821"/>
      <c r="L1004" s="821"/>
      <c r="M1004" s="677"/>
      <c r="N1004" s="821"/>
      <c r="O1004" s="821"/>
      <c r="P1004" s="677"/>
      <c r="Q1004" s="677"/>
      <c r="R1004" s="677"/>
      <c r="S1004" s="677"/>
      <c r="T1004" s="677"/>
      <c r="U1004" s="677"/>
      <c r="V1004" s="677"/>
      <c r="W1004" s="677"/>
      <c r="X1004" s="677"/>
      <c r="Y1004" s="677"/>
      <c r="Z1004" s="677"/>
      <c r="AA1004" s="677"/>
      <c r="AB1004" s="677"/>
      <c r="AC1004" s="677"/>
      <c r="AD1004" s="677"/>
    </row>
    <row r="1005">
      <c r="A1005" s="704"/>
      <c r="B1005" s="708"/>
      <c r="C1005" s="852"/>
      <c r="D1005" s="656"/>
      <c r="E1005" s="821"/>
      <c r="F1005" s="821"/>
      <c r="G1005" s="821"/>
      <c r="H1005" s="821"/>
      <c r="I1005" s="821"/>
      <c r="J1005" s="821"/>
      <c r="K1005" s="821"/>
      <c r="L1005" s="821"/>
      <c r="M1005" s="677"/>
      <c r="N1005" s="821"/>
      <c r="O1005" s="821"/>
      <c r="P1005" s="677"/>
      <c r="Q1005" s="677"/>
      <c r="R1005" s="677"/>
      <c r="S1005" s="677"/>
      <c r="T1005" s="677"/>
      <c r="U1005" s="677"/>
      <c r="V1005" s="677"/>
      <c r="W1005" s="677"/>
      <c r="X1005" s="677"/>
      <c r="Y1005" s="677"/>
      <c r="Z1005" s="677"/>
      <c r="AA1005" s="677"/>
      <c r="AB1005" s="677"/>
      <c r="AC1005" s="677"/>
      <c r="AD1005" s="677"/>
    </row>
    <row r="1006">
      <c r="A1006" s="704"/>
      <c r="B1006" s="674"/>
      <c r="C1006" s="852"/>
      <c r="D1006" s="656"/>
      <c r="E1006" s="821"/>
      <c r="F1006" s="821"/>
      <c r="G1006" s="821"/>
      <c r="H1006" s="821"/>
      <c r="I1006" s="821"/>
      <c r="J1006" s="821"/>
      <c r="K1006" s="821"/>
      <c r="L1006" s="821"/>
      <c r="M1006" s="677"/>
      <c r="N1006" s="821"/>
      <c r="O1006" s="821"/>
      <c r="P1006" s="677"/>
      <c r="Q1006" s="677"/>
      <c r="R1006" s="677"/>
      <c r="S1006" s="677"/>
      <c r="T1006" s="677"/>
      <c r="U1006" s="677"/>
      <c r="V1006" s="677"/>
      <c r="W1006" s="677"/>
      <c r="X1006" s="677"/>
      <c r="Y1006" s="677"/>
      <c r="Z1006" s="677"/>
      <c r="AA1006" s="677"/>
      <c r="AB1006" s="677"/>
      <c r="AC1006" s="677"/>
      <c r="AD1006" s="677"/>
    </row>
    <row r="1007">
      <c r="A1007" s="704"/>
      <c r="B1007" s="674"/>
      <c r="C1007" s="852"/>
      <c r="D1007" s="656"/>
      <c r="E1007" s="821"/>
      <c r="F1007" s="821"/>
      <c r="G1007" s="821"/>
      <c r="H1007" s="821"/>
      <c r="I1007" s="821"/>
      <c r="J1007" s="821"/>
      <c r="K1007" s="821"/>
      <c r="L1007" s="821"/>
      <c r="M1007" s="677"/>
      <c r="N1007" s="821"/>
      <c r="O1007" s="821"/>
      <c r="P1007" s="677"/>
      <c r="Q1007" s="677"/>
      <c r="R1007" s="677"/>
      <c r="S1007" s="677"/>
      <c r="T1007" s="677"/>
      <c r="U1007" s="677"/>
      <c r="V1007" s="677"/>
      <c r="W1007" s="677"/>
      <c r="X1007" s="677"/>
      <c r="Y1007" s="677"/>
      <c r="Z1007" s="677"/>
      <c r="AA1007" s="677"/>
      <c r="AB1007" s="677"/>
      <c r="AC1007" s="677"/>
      <c r="AD1007" s="677"/>
    </row>
    <row r="1008">
      <c r="A1008" s="704"/>
      <c r="B1008" s="708"/>
      <c r="C1008" s="852"/>
      <c r="D1008" s="656"/>
      <c r="E1008" s="821"/>
      <c r="F1008" s="821"/>
      <c r="G1008" s="821"/>
      <c r="H1008" s="821"/>
      <c r="I1008" s="821"/>
      <c r="J1008" s="821"/>
      <c r="K1008" s="821"/>
      <c r="L1008" s="821"/>
      <c r="M1008" s="677"/>
      <c r="N1008" s="821"/>
      <c r="O1008" s="821"/>
      <c r="P1008" s="677"/>
      <c r="Q1008" s="677"/>
      <c r="R1008" s="677"/>
      <c r="S1008" s="677"/>
      <c r="T1008" s="677"/>
      <c r="U1008" s="677"/>
      <c r="V1008" s="677"/>
      <c r="W1008" s="677"/>
      <c r="X1008" s="677"/>
      <c r="Y1008" s="677"/>
      <c r="Z1008" s="677"/>
      <c r="AA1008" s="677"/>
      <c r="AB1008" s="677"/>
      <c r="AC1008" s="677"/>
      <c r="AD1008" s="677"/>
    </row>
    <row r="1009">
      <c r="A1009" s="704"/>
      <c r="B1009" s="674"/>
      <c r="C1009" s="852"/>
      <c r="D1009" s="656"/>
      <c r="E1009" s="821"/>
      <c r="F1009" s="821"/>
      <c r="G1009" s="821"/>
      <c r="H1009" s="821"/>
      <c r="I1009" s="821"/>
      <c r="J1009" s="821"/>
      <c r="K1009" s="821"/>
      <c r="L1009" s="821"/>
      <c r="M1009" s="677"/>
      <c r="N1009" s="821"/>
      <c r="O1009" s="821"/>
      <c r="P1009" s="677"/>
      <c r="Q1009" s="677"/>
      <c r="R1009" s="677"/>
      <c r="S1009" s="677"/>
      <c r="T1009" s="677"/>
      <c r="U1009" s="677"/>
      <c r="V1009" s="677"/>
      <c r="W1009" s="677"/>
      <c r="X1009" s="677"/>
      <c r="Y1009" s="677"/>
      <c r="Z1009" s="677"/>
      <c r="AA1009" s="677"/>
      <c r="AB1009" s="677"/>
      <c r="AC1009" s="677"/>
      <c r="AD1009" s="677"/>
    </row>
    <row r="1010">
      <c r="A1010" s="704"/>
      <c r="B1010" s="674"/>
      <c r="C1010" s="852"/>
      <c r="D1010" s="656"/>
      <c r="E1010" s="821"/>
      <c r="F1010" s="821"/>
      <c r="G1010" s="821"/>
      <c r="H1010" s="821"/>
      <c r="I1010" s="821"/>
      <c r="J1010" s="821"/>
      <c r="K1010" s="821"/>
      <c r="L1010" s="821"/>
      <c r="M1010" s="677"/>
      <c r="N1010" s="821"/>
      <c r="O1010" s="821"/>
      <c r="P1010" s="677"/>
      <c r="Q1010" s="677"/>
      <c r="R1010" s="677"/>
      <c r="S1010" s="677"/>
      <c r="T1010" s="677"/>
      <c r="U1010" s="677"/>
      <c r="V1010" s="677"/>
      <c r="W1010" s="677"/>
      <c r="X1010" s="677"/>
      <c r="Y1010" s="677"/>
      <c r="Z1010" s="677"/>
      <c r="AA1010" s="677"/>
      <c r="AB1010" s="677"/>
      <c r="AC1010" s="677"/>
      <c r="AD1010" s="677"/>
    </row>
    <row r="1011">
      <c r="A1011" s="704"/>
      <c r="B1011" s="674"/>
      <c r="C1011" s="852"/>
      <c r="D1011" s="656"/>
      <c r="E1011" s="821"/>
      <c r="F1011" s="821"/>
      <c r="G1011" s="821"/>
      <c r="H1011" s="821"/>
      <c r="I1011" s="821"/>
      <c r="J1011" s="821"/>
      <c r="K1011" s="821"/>
      <c r="L1011" s="821"/>
      <c r="M1011" s="677"/>
      <c r="N1011" s="821"/>
      <c r="O1011" s="821"/>
      <c r="P1011" s="677"/>
      <c r="Q1011" s="677"/>
      <c r="R1011" s="677"/>
      <c r="S1011" s="677"/>
      <c r="T1011" s="677"/>
      <c r="U1011" s="677"/>
      <c r="V1011" s="677"/>
      <c r="W1011" s="677"/>
      <c r="X1011" s="677"/>
      <c r="Y1011" s="677"/>
      <c r="Z1011" s="677"/>
      <c r="AA1011" s="677"/>
      <c r="AB1011" s="677"/>
      <c r="AC1011" s="677"/>
      <c r="AD1011" s="677"/>
    </row>
    <row r="1012">
      <c r="A1012" s="704"/>
      <c r="B1012" s="674"/>
      <c r="C1012" s="852"/>
      <c r="D1012" s="656"/>
      <c r="E1012" s="821"/>
      <c r="F1012" s="821"/>
      <c r="G1012" s="821"/>
      <c r="H1012" s="821"/>
      <c r="I1012" s="821"/>
      <c r="J1012" s="821"/>
      <c r="K1012" s="821"/>
      <c r="L1012" s="821"/>
      <c r="M1012" s="677"/>
      <c r="N1012" s="821"/>
      <c r="O1012" s="821"/>
      <c r="P1012" s="677"/>
      <c r="Q1012" s="677"/>
      <c r="R1012" s="677"/>
      <c r="S1012" s="677"/>
      <c r="T1012" s="677"/>
      <c r="U1012" s="677"/>
      <c r="V1012" s="677"/>
      <c r="W1012" s="677"/>
      <c r="X1012" s="677"/>
      <c r="Y1012" s="677"/>
      <c r="Z1012" s="677"/>
      <c r="AA1012" s="677"/>
      <c r="AB1012" s="677"/>
      <c r="AC1012" s="677"/>
      <c r="AD1012" s="677"/>
    </row>
    <row r="1013">
      <c r="A1013" s="704"/>
      <c r="B1013" s="674"/>
      <c r="C1013" s="852"/>
      <c r="D1013" s="656"/>
      <c r="E1013" s="821"/>
      <c r="F1013" s="821"/>
      <c r="G1013" s="821"/>
      <c r="H1013" s="821"/>
      <c r="I1013" s="821"/>
      <c r="J1013" s="821"/>
      <c r="K1013" s="821"/>
      <c r="L1013" s="821"/>
      <c r="M1013" s="677"/>
      <c r="N1013" s="821"/>
      <c r="O1013" s="821"/>
      <c r="P1013" s="677"/>
      <c r="Q1013" s="677"/>
      <c r="R1013" s="677"/>
      <c r="S1013" s="677"/>
      <c r="T1013" s="677"/>
      <c r="U1013" s="677"/>
      <c r="V1013" s="677"/>
      <c r="W1013" s="677"/>
      <c r="X1013" s="677"/>
      <c r="Y1013" s="677"/>
      <c r="Z1013" s="677"/>
      <c r="AA1013" s="677"/>
      <c r="AB1013" s="677"/>
      <c r="AC1013" s="677"/>
      <c r="AD1013" s="677"/>
    </row>
    <row r="1014">
      <c r="A1014" s="704"/>
      <c r="B1014" s="708"/>
      <c r="C1014" s="852"/>
      <c r="D1014" s="656"/>
      <c r="E1014" s="821"/>
      <c r="F1014" s="821"/>
      <c r="G1014" s="821"/>
      <c r="H1014" s="821"/>
      <c r="I1014" s="821"/>
      <c r="J1014" s="821"/>
      <c r="K1014" s="821"/>
      <c r="L1014" s="821"/>
      <c r="M1014" s="677"/>
      <c r="N1014" s="821"/>
      <c r="O1014" s="821"/>
      <c r="P1014" s="677"/>
      <c r="Q1014" s="677"/>
      <c r="R1014" s="677"/>
      <c r="S1014" s="677"/>
      <c r="T1014" s="677"/>
      <c r="U1014" s="677"/>
      <c r="V1014" s="677"/>
      <c r="W1014" s="677"/>
      <c r="X1014" s="677"/>
      <c r="Y1014" s="677"/>
      <c r="Z1014" s="677"/>
      <c r="AA1014" s="677"/>
      <c r="AB1014" s="677"/>
      <c r="AC1014" s="677"/>
      <c r="AD1014" s="677"/>
    </row>
    <row r="1015">
      <c r="A1015" s="704"/>
      <c r="B1015" s="708"/>
      <c r="C1015" s="852"/>
      <c r="D1015" s="656"/>
      <c r="E1015" s="821"/>
      <c r="F1015" s="821"/>
      <c r="G1015" s="821"/>
      <c r="H1015" s="821"/>
      <c r="I1015" s="821"/>
      <c r="J1015" s="821"/>
      <c r="K1015" s="821"/>
      <c r="L1015" s="821"/>
      <c r="M1015" s="677"/>
      <c r="N1015" s="821"/>
      <c r="O1015" s="821"/>
      <c r="P1015" s="677"/>
      <c r="Q1015" s="677"/>
      <c r="R1015" s="677"/>
      <c r="S1015" s="677"/>
      <c r="T1015" s="677"/>
      <c r="U1015" s="677"/>
      <c r="V1015" s="677"/>
      <c r="W1015" s="677"/>
      <c r="X1015" s="677"/>
      <c r="Y1015" s="677"/>
      <c r="Z1015" s="677"/>
      <c r="AA1015" s="677"/>
      <c r="AB1015" s="677"/>
      <c r="AC1015" s="677"/>
      <c r="AD1015" s="677"/>
    </row>
    <row r="1016">
      <c r="A1016" s="704"/>
      <c r="B1016" s="674"/>
      <c r="C1016" s="852"/>
      <c r="D1016" s="656"/>
      <c r="E1016" s="821"/>
      <c r="F1016" s="821"/>
      <c r="G1016" s="821"/>
      <c r="H1016" s="821"/>
      <c r="I1016" s="821"/>
      <c r="J1016" s="821"/>
      <c r="K1016" s="821"/>
      <c r="L1016" s="821"/>
      <c r="M1016" s="677"/>
      <c r="N1016" s="821"/>
      <c r="O1016" s="821"/>
      <c r="P1016" s="677"/>
      <c r="Q1016" s="677"/>
      <c r="R1016" s="677"/>
      <c r="S1016" s="677"/>
      <c r="T1016" s="677"/>
      <c r="U1016" s="677"/>
      <c r="V1016" s="677"/>
      <c r="W1016" s="677"/>
      <c r="X1016" s="677"/>
      <c r="Y1016" s="677"/>
      <c r="Z1016" s="677"/>
      <c r="AA1016" s="677"/>
      <c r="AB1016" s="677"/>
      <c r="AC1016" s="677"/>
      <c r="AD1016" s="677"/>
    </row>
    <row r="1017">
      <c r="A1017" s="704"/>
      <c r="B1017" s="708"/>
      <c r="C1017" s="852"/>
      <c r="D1017" s="656"/>
      <c r="E1017" s="821"/>
      <c r="F1017" s="821"/>
      <c r="G1017" s="821"/>
      <c r="H1017" s="821"/>
      <c r="I1017" s="821"/>
      <c r="J1017" s="821"/>
      <c r="K1017" s="821"/>
      <c r="L1017" s="821"/>
      <c r="M1017" s="677"/>
      <c r="N1017" s="821"/>
      <c r="O1017" s="821"/>
      <c r="P1017" s="677"/>
      <c r="Q1017" s="677"/>
      <c r="R1017" s="677"/>
      <c r="S1017" s="677"/>
      <c r="T1017" s="677"/>
      <c r="U1017" s="677"/>
      <c r="V1017" s="677"/>
      <c r="W1017" s="677"/>
      <c r="X1017" s="677"/>
      <c r="Y1017" s="677"/>
      <c r="Z1017" s="677"/>
      <c r="AA1017" s="677"/>
      <c r="AB1017" s="677"/>
      <c r="AC1017" s="677"/>
      <c r="AD1017" s="677"/>
    </row>
    <row r="1018">
      <c r="A1018" s="704"/>
      <c r="B1018" s="674"/>
      <c r="C1018" s="852"/>
      <c r="D1018" s="656"/>
      <c r="E1018" s="821"/>
      <c r="F1018" s="821"/>
      <c r="G1018" s="821"/>
      <c r="H1018" s="821"/>
      <c r="I1018" s="821"/>
      <c r="J1018" s="821"/>
      <c r="K1018" s="821"/>
      <c r="L1018" s="821"/>
      <c r="M1018" s="677"/>
      <c r="N1018" s="821"/>
      <c r="O1018" s="821"/>
      <c r="P1018" s="677"/>
      <c r="Q1018" s="677"/>
      <c r="R1018" s="677"/>
      <c r="S1018" s="677"/>
      <c r="T1018" s="677"/>
      <c r="U1018" s="677"/>
      <c r="V1018" s="677"/>
      <c r="W1018" s="677"/>
      <c r="X1018" s="677"/>
      <c r="Y1018" s="677"/>
      <c r="Z1018" s="677"/>
      <c r="AA1018" s="677"/>
      <c r="AB1018" s="677"/>
      <c r="AC1018" s="677"/>
      <c r="AD1018" s="677"/>
    </row>
    <row r="1019">
      <c r="A1019" s="704"/>
      <c r="B1019" s="674"/>
      <c r="C1019" s="852"/>
      <c r="D1019" s="656"/>
      <c r="E1019" s="821"/>
      <c r="F1019" s="821"/>
      <c r="G1019" s="821"/>
      <c r="H1019" s="821"/>
      <c r="I1019" s="821"/>
      <c r="J1019" s="821"/>
      <c r="K1019" s="821"/>
      <c r="L1019" s="821"/>
      <c r="M1019" s="677"/>
      <c r="N1019" s="821"/>
      <c r="O1019" s="821"/>
      <c r="P1019" s="677"/>
      <c r="Q1019" s="677"/>
      <c r="R1019" s="677"/>
      <c r="S1019" s="677"/>
      <c r="T1019" s="677"/>
      <c r="U1019" s="677"/>
      <c r="V1019" s="677"/>
      <c r="W1019" s="677"/>
      <c r="X1019" s="677"/>
      <c r="Y1019" s="677"/>
      <c r="Z1019" s="677"/>
      <c r="AA1019" s="677"/>
      <c r="AB1019" s="677"/>
      <c r="AC1019" s="677"/>
      <c r="AD1019" s="677"/>
    </row>
    <row r="1020">
      <c r="A1020" s="704"/>
      <c r="B1020" s="674"/>
      <c r="C1020" s="852"/>
      <c r="D1020" s="656"/>
      <c r="E1020" s="821"/>
      <c r="F1020" s="821"/>
      <c r="G1020" s="821"/>
      <c r="H1020" s="821"/>
      <c r="I1020" s="821"/>
      <c r="J1020" s="821"/>
      <c r="K1020" s="821"/>
      <c r="L1020" s="821"/>
      <c r="M1020" s="677"/>
      <c r="N1020" s="821"/>
      <c r="O1020" s="821"/>
      <c r="P1020" s="677"/>
      <c r="Q1020" s="677"/>
      <c r="R1020" s="677"/>
      <c r="S1020" s="677"/>
      <c r="T1020" s="677"/>
      <c r="U1020" s="677"/>
      <c r="V1020" s="677"/>
      <c r="W1020" s="677"/>
      <c r="X1020" s="677"/>
      <c r="Y1020" s="677"/>
      <c r="Z1020" s="677"/>
      <c r="AA1020" s="677"/>
      <c r="AB1020" s="677"/>
      <c r="AC1020" s="677"/>
      <c r="AD1020" s="677"/>
    </row>
    <row r="1021">
      <c r="A1021" s="704"/>
      <c r="B1021" s="674"/>
      <c r="C1021" s="852"/>
      <c r="D1021" s="656"/>
      <c r="E1021" s="821"/>
      <c r="F1021" s="821"/>
      <c r="G1021" s="821"/>
      <c r="H1021" s="821"/>
      <c r="I1021" s="821"/>
      <c r="J1021" s="821"/>
      <c r="K1021" s="821"/>
      <c r="L1021" s="821"/>
      <c r="M1021" s="677"/>
      <c r="N1021" s="821"/>
      <c r="O1021" s="821"/>
      <c r="P1021" s="677"/>
      <c r="Q1021" s="677"/>
      <c r="R1021" s="677"/>
      <c r="S1021" s="677"/>
      <c r="T1021" s="677"/>
      <c r="U1021" s="677"/>
      <c r="V1021" s="677"/>
      <c r="W1021" s="677"/>
      <c r="X1021" s="677"/>
      <c r="Y1021" s="677"/>
      <c r="Z1021" s="677"/>
      <c r="AA1021" s="677"/>
      <c r="AB1021" s="677"/>
      <c r="AC1021" s="677"/>
      <c r="AD1021" s="677"/>
    </row>
    <row r="1022">
      <c r="A1022" s="704"/>
      <c r="B1022" s="708"/>
      <c r="C1022" s="852"/>
      <c r="D1022" s="656"/>
      <c r="E1022" s="821"/>
      <c r="F1022" s="821"/>
      <c r="G1022" s="821"/>
      <c r="H1022" s="821"/>
      <c r="I1022" s="821"/>
      <c r="J1022" s="821"/>
      <c r="K1022" s="821"/>
      <c r="L1022" s="821"/>
      <c r="M1022" s="677"/>
      <c r="N1022" s="821"/>
      <c r="O1022" s="821"/>
      <c r="P1022" s="677"/>
      <c r="Q1022" s="677"/>
      <c r="R1022" s="677"/>
      <c r="S1022" s="677"/>
      <c r="T1022" s="677"/>
      <c r="U1022" s="677"/>
      <c r="V1022" s="677"/>
      <c r="W1022" s="677"/>
      <c r="X1022" s="677"/>
      <c r="Y1022" s="677"/>
      <c r="Z1022" s="677"/>
      <c r="AA1022" s="677"/>
      <c r="AB1022" s="677"/>
      <c r="AC1022" s="677"/>
      <c r="AD1022" s="677"/>
    </row>
    <row r="1023">
      <c r="A1023" s="704"/>
      <c r="B1023" s="708"/>
      <c r="C1023" s="852"/>
      <c r="D1023" s="656"/>
      <c r="E1023" s="821"/>
      <c r="F1023" s="821"/>
      <c r="G1023" s="821"/>
      <c r="H1023" s="821"/>
      <c r="I1023" s="821"/>
      <c r="J1023" s="821"/>
      <c r="K1023" s="821"/>
      <c r="L1023" s="821"/>
      <c r="M1023" s="677"/>
      <c r="N1023" s="821"/>
      <c r="O1023" s="821"/>
      <c r="P1023" s="677"/>
      <c r="Q1023" s="677"/>
      <c r="R1023" s="677"/>
      <c r="S1023" s="677"/>
      <c r="T1023" s="677"/>
      <c r="U1023" s="677"/>
      <c r="V1023" s="677"/>
      <c r="W1023" s="677"/>
      <c r="X1023" s="677"/>
      <c r="Y1023" s="677"/>
      <c r="Z1023" s="677"/>
      <c r="AA1023" s="677"/>
      <c r="AB1023" s="677"/>
      <c r="AC1023" s="677"/>
      <c r="AD1023" s="677"/>
    </row>
    <row r="1024">
      <c r="A1024" s="704"/>
      <c r="B1024" s="674"/>
      <c r="C1024" s="852"/>
      <c r="D1024" s="656"/>
      <c r="E1024" s="821"/>
      <c r="F1024" s="821"/>
      <c r="G1024" s="821"/>
      <c r="H1024" s="821"/>
      <c r="I1024" s="821"/>
      <c r="J1024" s="821"/>
      <c r="K1024" s="821"/>
      <c r="L1024" s="821"/>
      <c r="M1024" s="677"/>
      <c r="N1024" s="821"/>
      <c r="O1024" s="821"/>
      <c r="P1024" s="677"/>
      <c r="Q1024" s="677"/>
      <c r="R1024" s="677"/>
      <c r="S1024" s="677"/>
      <c r="T1024" s="677"/>
      <c r="U1024" s="677"/>
      <c r="V1024" s="677"/>
      <c r="W1024" s="677"/>
      <c r="X1024" s="677"/>
      <c r="Y1024" s="677"/>
      <c r="Z1024" s="677"/>
      <c r="AA1024" s="677"/>
      <c r="AB1024" s="677"/>
      <c r="AC1024" s="677"/>
      <c r="AD1024" s="677"/>
    </row>
    <row r="1025">
      <c r="A1025" s="704"/>
      <c r="B1025" s="674"/>
      <c r="C1025" s="852"/>
      <c r="D1025" s="656"/>
      <c r="E1025" s="821"/>
      <c r="F1025" s="821"/>
      <c r="G1025" s="821"/>
      <c r="H1025" s="821"/>
      <c r="I1025" s="821"/>
      <c r="J1025" s="821"/>
      <c r="K1025" s="821"/>
      <c r="L1025" s="821"/>
      <c r="M1025" s="677"/>
      <c r="N1025" s="821"/>
      <c r="O1025" s="821"/>
      <c r="P1025" s="677"/>
      <c r="Q1025" s="677"/>
      <c r="R1025" s="677"/>
      <c r="S1025" s="677"/>
      <c r="T1025" s="677"/>
      <c r="U1025" s="677"/>
      <c r="V1025" s="677"/>
      <c r="W1025" s="677"/>
      <c r="X1025" s="677"/>
      <c r="Y1025" s="677"/>
      <c r="Z1025" s="677"/>
      <c r="AA1025" s="677"/>
      <c r="AB1025" s="677"/>
      <c r="AC1025" s="677"/>
      <c r="AD1025" s="677"/>
    </row>
    <row r="1026">
      <c r="A1026" s="704"/>
      <c r="B1026" s="674"/>
      <c r="C1026" s="852"/>
      <c r="D1026" s="656"/>
      <c r="E1026" s="821"/>
      <c r="F1026" s="821"/>
      <c r="G1026" s="821"/>
      <c r="H1026" s="821"/>
      <c r="I1026" s="821"/>
      <c r="J1026" s="821"/>
      <c r="K1026" s="821"/>
      <c r="L1026" s="821"/>
      <c r="M1026" s="677"/>
      <c r="N1026" s="821"/>
      <c r="O1026" s="821"/>
      <c r="P1026" s="677"/>
      <c r="Q1026" s="677"/>
      <c r="R1026" s="677"/>
      <c r="S1026" s="677"/>
      <c r="T1026" s="677"/>
      <c r="U1026" s="677"/>
      <c r="V1026" s="677"/>
      <c r="W1026" s="677"/>
      <c r="X1026" s="677"/>
      <c r="Y1026" s="677"/>
      <c r="Z1026" s="677"/>
      <c r="AA1026" s="677"/>
      <c r="AB1026" s="677"/>
      <c r="AC1026" s="677"/>
      <c r="AD1026" s="677"/>
    </row>
    <row r="1027">
      <c r="A1027" s="704"/>
      <c r="B1027" s="674"/>
      <c r="C1027" s="852"/>
      <c r="D1027" s="656"/>
      <c r="E1027" s="821"/>
      <c r="F1027" s="821"/>
      <c r="G1027" s="821"/>
      <c r="H1027" s="821"/>
      <c r="I1027" s="821"/>
      <c r="J1027" s="821"/>
      <c r="K1027" s="821"/>
      <c r="L1027" s="821"/>
      <c r="M1027" s="677"/>
      <c r="N1027" s="821"/>
      <c r="O1027" s="821"/>
      <c r="P1027" s="677"/>
      <c r="Q1027" s="677"/>
      <c r="R1027" s="677"/>
      <c r="S1027" s="677"/>
      <c r="T1027" s="677"/>
      <c r="U1027" s="677"/>
      <c r="V1027" s="677"/>
      <c r="W1027" s="677"/>
      <c r="X1027" s="677"/>
      <c r="Y1027" s="677"/>
      <c r="Z1027" s="677"/>
      <c r="AA1027" s="677"/>
      <c r="AB1027" s="677"/>
      <c r="AC1027" s="677"/>
      <c r="AD1027" s="677"/>
    </row>
    <row r="1028">
      <c r="A1028" s="704"/>
      <c r="B1028" s="708"/>
      <c r="C1028" s="852"/>
      <c r="D1028" s="656"/>
      <c r="E1028" s="821"/>
      <c r="F1028" s="821"/>
      <c r="G1028" s="821"/>
      <c r="H1028" s="821"/>
      <c r="I1028" s="821"/>
      <c r="J1028" s="821"/>
      <c r="K1028" s="821"/>
      <c r="L1028" s="821"/>
      <c r="M1028" s="677"/>
      <c r="N1028" s="821"/>
      <c r="O1028" s="821"/>
      <c r="P1028" s="677"/>
      <c r="Q1028" s="677"/>
      <c r="R1028" s="677"/>
      <c r="S1028" s="677"/>
      <c r="T1028" s="677"/>
      <c r="U1028" s="677"/>
      <c r="V1028" s="677"/>
      <c r="W1028" s="677"/>
      <c r="X1028" s="677"/>
      <c r="Y1028" s="677"/>
      <c r="Z1028" s="677"/>
      <c r="AA1028" s="677"/>
      <c r="AB1028" s="677"/>
      <c r="AC1028" s="677"/>
      <c r="AD1028" s="677"/>
    </row>
    <row r="1029">
      <c r="A1029" s="704"/>
      <c r="B1029" s="674"/>
      <c r="C1029" s="852"/>
      <c r="D1029" s="656"/>
      <c r="E1029" s="821"/>
      <c r="F1029" s="821"/>
      <c r="G1029" s="821"/>
      <c r="H1029" s="821"/>
      <c r="I1029" s="821"/>
      <c r="J1029" s="821"/>
      <c r="K1029" s="821"/>
      <c r="L1029" s="821"/>
      <c r="M1029" s="677"/>
      <c r="N1029" s="821"/>
      <c r="O1029" s="821"/>
      <c r="P1029" s="677"/>
      <c r="Q1029" s="677"/>
      <c r="R1029" s="677"/>
      <c r="S1029" s="677"/>
      <c r="T1029" s="677"/>
      <c r="U1029" s="677"/>
      <c r="V1029" s="677"/>
      <c r="W1029" s="677"/>
      <c r="X1029" s="677"/>
      <c r="Y1029" s="677"/>
      <c r="Z1029" s="677"/>
      <c r="AA1029" s="677"/>
      <c r="AB1029" s="677"/>
      <c r="AC1029" s="677"/>
      <c r="AD1029" s="677"/>
    </row>
    <row r="1030">
      <c r="A1030" s="704"/>
      <c r="B1030" s="708"/>
      <c r="C1030" s="852"/>
      <c r="D1030" s="656"/>
      <c r="E1030" s="821"/>
      <c r="F1030" s="821"/>
      <c r="G1030" s="821"/>
      <c r="H1030" s="821"/>
      <c r="I1030" s="821"/>
      <c r="J1030" s="821"/>
      <c r="K1030" s="821"/>
      <c r="L1030" s="821"/>
      <c r="M1030" s="677"/>
      <c r="N1030" s="821"/>
      <c r="O1030" s="821"/>
      <c r="P1030" s="677"/>
      <c r="Q1030" s="677"/>
      <c r="R1030" s="677"/>
      <c r="S1030" s="677"/>
      <c r="T1030" s="677"/>
      <c r="U1030" s="677"/>
      <c r="V1030" s="677"/>
      <c r="W1030" s="677"/>
      <c r="X1030" s="677"/>
      <c r="Y1030" s="677"/>
      <c r="Z1030" s="677"/>
      <c r="AA1030" s="677"/>
      <c r="AB1030" s="677"/>
      <c r="AC1030" s="677"/>
      <c r="AD1030" s="677"/>
    </row>
    <row r="1031">
      <c r="A1031" s="704"/>
      <c r="B1031" s="674"/>
      <c r="C1031" s="852"/>
      <c r="D1031" s="656"/>
      <c r="E1031" s="821"/>
      <c r="F1031" s="821"/>
      <c r="G1031" s="821"/>
      <c r="H1031" s="821"/>
      <c r="I1031" s="821"/>
      <c r="J1031" s="821"/>
      <c r="K1031" s="821"/>
      <c r="L1031" s="821"/>
      <c r="M1031" s="677"/>
      <c r="N1031" s="821"/>
      <c r="O1031" s="821"/>
      <c r="P1031" s="677"/>
      <c r="Q1031" s="677"/>
      <c r="R1031" s="677"/>
      <c r="S1031" s="677"/>
      <c r="T1031" s="677"/>
      <c r="U1031" s="677"/>
      <c r="V1031" s="677"/>
      <c r="W1031" s="677"/>
      <c r="X1031" s="677"/>
      <c r="Y1031" s="677"/>
      <c r="Z1031" s="677"/>
      <c r="AA1031" s="677"/>
      <c r="AB1031" s="677"/>
      <c r="AC1031" s="677"/>
      <c r="AD1031" s="677"/>
    </row>
    <row r="1032">
      <c r="A1032" s="704"/>
      <c r="B1032" s="674"/>
      <c r="C1032" s="852"/>
      <c r="D1032" s="656"/>
      <c r="E1032" s="821"/>
      <c r="F1032" s="821"/>
      <c r="G1032" s="821"/>
      <c r="H1032" s="821"/>
      <c r="I1032" s="821"/>
      <c r="J1032" s="821"/>
      <c r="K1032" s="821"/>
      <c r="L1032" s="821"/>
      <c r="M1032" s="677"/>
      <c r="N1032" s="821"/>
      <c r="O1032" s="821"/>
      <c r="P1032" s="677"/>
      <c r="Q1032" s="677"/>
      <c r="R1032" s="677"/>
      <c r="S1032" s="677"/>
      <c r="T1032" s="677"/>
      <c r="U1032" s="677"/>
      <c r="V1032" s="677"/>
      <c r="W1032" s="677"/>
      <c r="X1032" s="677"/>
      <c r="Y1032" s="677"/>
      <c r="Z1032" s="677"/>
      <c r="AA1032" s="677"/>
      <c r="AB1032" s="677"/>
      <c r="AC1032" s="677"/>
      <c r="AD1032" s="677"/>
    </row>
    <row r="1033">
      <c r="A1033" s="704"/>
      <c r="B1033" s="708"/>
      <c r="C1033" s="852"/>
      <c r="D1033" s="656"/>
      <c r="E1033" s="821"/>
      <c r="F1033" s="821"/>
      <c r="G1033" s="821"/>
      <c r="H1033" s="821"/>
      <c r="I1033" s="821"/>
      <c r="J1033" s="821"/>
      <c r="K1033" s="821"/>
      <c r="L1033" s="821"/>
      <c r="M1033" s="677"/>
      <c r="N1033" s="821"/>
      <c r="O1033" s="821"/>
      <c r="P1033" s="677"/>
      <c r="Q1033" s="677"/>
      <c r="R1033" s="677"/>
      <c r="S1033" s="677"/>
      <c r="T1033" s="677"/>
      <c r="U1033" s="677"/>
      <c r="V1033" s="677"/>
      <c r="W1033" s="677"/>
      <c r="X1033" s="677"/>
      <c r="Y1033" s="677"/>
      <c r="Z1033" s="677"/>
      <c r="AA1033" s="677"/>
      <c r="AB1033" s="677"/>
      <c r="AC1033" s="677"/>
      <c r="AD1033" s="677"/>
    </row>
    <row r="1034">
      <c r="A1034" s="704"/>
      <c r="B1034" s="674"/>
      <c r="C1034" s="852"/>
      <c r="D1034" s="656"/>
      <c r="E1034" s="821"/>
      <c r="F1034" s="821"/>
      <c r="G1034" s="821"/>
      <c r="H1034" s="821"/>
      <c r="I1034" s="821"/>
      <c r="J1034" s="821"/>
      <c r="K1034" s="821"/>
      <c r="L1034" s="821"/>
      <c r="M1034" s="677"/>
      <c r="N1034" s="821"/>
      <c r="O1034" s="821"/>
      <c r="P1034" s="677"/>
      <c r="Q1034" s="677"/>
      <c r="R1034" s="677"/>
      <c r="S1034" s="677"/>
      <c r="T1034" s="677"/>
      <c r="U1034" s="677"/>
      <c r="V1034" s="677"/>
      <c r="W1034" s="677"/>
      <c r="X1034" s="677"/>
      <c r="Y1034" s="677"/>
      <c r="Z1034" s="677"/>
      <c r="AA1034" s="677"/>
      <c r="AB1034" s="677"/>
      <c r="AC1034" s="677"/>
      <c r="AD1034" s="677"/>
    </row>
    <row r="1035">
      <c r="A1035" s="704"/>
      <c r="B1035" s="674"/>
      <c r="C1035" s="852"/>
      <c r="D1035" s="656"/>
      <c r="E1035" s="821"/>
      <c r="F1035" s="821"/>
      <c r="G1035" s="821"/>
      <c r="H1035" s="821"/>
      <c r="I1035" s="821"/>
      <c r="J1035" s="821"/>
      <c r="K1035" s="821"/>
      <c r="L1035" s="821"/>
      <c r="M1035" s="677"/>
      <c r="N1035" s="821"/>
      <c r="O1035" s="821"/>
      <c r="P1035" s="677"/>
      <c r="Q1035" s="677"/>
      <c r="R1035" s="677"/>
      <c r="S1035" s="677"/>
      <c r="T1035" s="677"/>
      <c r="U1035" s="677"/>
      <c r="V1035" s="677"/>
      <c r="W1035" s="677"/>
      <c r="X1035" s="677"/>
      <c r="Y1035" s="677"/>
      <c r="Z1035" s="677"/>
      <c r="AA1035" s="677"/>
      <c r="AB1035" s="677"/>
      <c r="AC1035" s="677"/>
      <c r="AD1035" s="677"/>
    </row>
    <row r="1036">
      <c r="A1036" s="704"/>
      <c r="B1036" s="674"/>
      <c r="C1036" s="852"/>
      <c r="D1036" s="656"/>
      <c r="E1036" s="821"/>
      <c r="F1036" s="821"/>
      <c r="G1036" s="821"/>
      <c r="H1036" s="821"/>
      <c r="I1036" s="821"/>
      <c r="J1036" s="821"/>
      <c r="K1036" s="821"/>
      <c r="L1036" s="821"/>
      <c r="M1036" s="677"/>
      <c r="N1036" s="821"/>
      <c r="O1036" s="821"/>
      <c r="P1036" s="677"/>
      <c r="Q1036" s="677"/>
      <c r="R1036" s="677"/>
      <c r="S1036" s="677"/>
      <c r="T1036" s="677"/>
      <c r="U1036" s="677"/>
      <c r="V1036" s="677"/>
      <c r="W1036" s="677"/>
      <c r="X1036" s="677"/>
      <c r="Y1036" s="677"/>
      <c r="Z1036" s="677"/>
      <c r="AA1036" s="677"/>
      <c r="AB1036" s="677"/>
      <c r="AC1036" s="677"/>
      <c r="AD1036" s="677"/>
    </row>
    <row r="1037">
      <c r="A1037" s="704"/>
      <c r="B1037" s="674"/>
      <c r="C1037" s="852"/>
      <c r="D1037" s="656"/>
      <c r="E1037" s="821"/>
      <c r="F1037" s="821"/>
      <c r="G1037" s="821"/>
      <c r="H1037" s="821"/>
      <c r="I1037" s="821"/>
      <c r="J1037" s="821"/>
      <c r="K1037" s="821"/>
      <c r="L1037" s="821"/>
      <c r="M1037" s="677"/>
      <c r="N1037" s="821"/>
      <c r="O1037" s="821"/>
      <c r="P1037" s="677"/>
      <c r="Q1037" s="677"/>
      <c r="R1037" s="677"/>
      <c r="S1037" s="677"/>
      <c r="T1037" s="677"/>
      <c r="U1037" s="677"/>
      <c r="V1037" s="677"/>
      <c r="W1037" s="677"/>
      <c r="X1037" s="677"/>
      <c r="Y1037" s="677"/>
      <c r="Z1037" s="677"/>
      <c r="AA1037" s="677"/>
      <c r="AB1037" s="677"/>
      <c r="AC1037" s="677"/>
      <c r="AD1037" s="677"/>
    </row>
    <row r="1038">
      <c r="A1038" s="704"/>
      <c r="B1038" s="674"/>
      <c r="C1038" s="852"/>
      <c r="D1038" s="656"/>
      <c r="E1038" s="821"/>
      <c r="F1038" s="821"/>
      <c r="G1038" s="821"/>
      <c r="H1038" s="821"/>
      <c r="I1038" s="821"/>
      <c r="J1038" s="821"/>
      <c r="K1038" s="821"/>
      <c r="L1038" s="821"/>
      <c r="M1038" s="677"/>
      <c r="N1038" s="821"/>
      <c r="O1038" s="821"/>
      <c r="P1038" s="677"/>
      <c r="Q1038" s="677"/>
      <c r="R1038" s="677"/>
      <c r="S1038" s="677"/>
      <c r="T1038" s="677"/>
      <c r="U1038" s="677"/>
      <c r="V1038" s="677"/>
      <c r="W1038" s="677"/>
      <c r="X1038" s="677"/>
      <c r="Y1038" s="677"/>
      <c r="Z1038" s="677"/>
      <c r="AA1038" s="677"/>
      <c r="AB1038" s="677"/>
      <c r="AC1038" s="677"/>
      <c r="AD1038" s="677"/>
    </row>
    <row r="1039">
      <c r="A1039" s="704"/>
      <c r="B1039" s="674"/>
      <c r="C1039" s="852"/>
      <c r="D1039" s="656"/>
      <c r="E1039" s="821"/>
      <c r="F1039" s="821"/>
      <c r="G1039" s="821"/>
      <c r="H1039" s="821"/>
      <c r="I1039" s="821"/>
      <c r="J1039" s="821"/>
      <c r="K1039" s="821"/>
      <c r="L1039" s="821"/>
      <c r="M1039" s="677"/>
      <c r="N1039" s="821"/>
      <c r="O1039" s="821"/>
      <c r="P1039" s="677"/>
      <c r="Q1039" s="677"/>
      <c r="R1039" s="677"/>
      <c r="S1039" s="677"/>
      <c r="T1039" s="677"/>
      <c r="U1039" s="677"/>
      <c r="V1039" s="677"/>
      <c r="W1039" s="677"/>
      <c r="X1039" s="677"/>
      <c r="Y1039" s="677"/>
      <c r="Z1039" s="677"/>
      <c r="AA1039" s="677"/>
      <c r="AB1039" s="677"/>
      <c r="AC1039" s="677"/>
      <c r="AD1039" s="677"/>
    </row>
    <row r="1040">
      <c r="A1040" s="704"/>
      <c r="B1040" s="674"/>
      <c r="C1040" s="852"/>
      <c r="D1040" s="656"/>
      <c r="E1040" s="821"/>
      <c r="F1040" s="821"/>
      <c r="G1040" s="821"/>
      <c r="H1040" s="821"/>
      <c r="I1040" s="821"/>
      <c r="J1040" s="821"/>
      <c r="K1040" s="821"/>
      <c r="L1040" s="821"/>
      <c r="M1040" s="677"/>
      <c r="N1040" s="821"/>
      <c r="O1040" s="821"/>
      <c r="P1040" s="677"/>
      <c r="Q1040" s="677"/>
      <c r="R1040" s="677"/>
      <c r="S1040" s="677"/>
      <c r="T1040" s="677"/>
      <c r="U1040" s="677"/>
      <c r="V1040" s="677"/>
      <c r="W1040" s="677"/>
      <c r="X1040" s="677"/>
      <c r="Y1040" s="677"/>
      <c r="Z1040" s="677"/>
      <c r="AA1040" s="677"/>
      <c r="AB1040" s="677"/>
      <c r="AC1040" s="677"/>
      <c r="AD1040" s="677"/>
    </row>
    <row r="1041">
      <c r="A1041" s="704"/>
      <c r="B1041" s="674"/>
      <c r="C1041" s="852"/>
      <c r="D1041" s="656"/>
      <c r="E1041" s="821"/>
      <c r="F1041" s="821"/>
      <c r="G1041" s="821"/>
      <c r="H1041" s="821"/>
      <c r="I1041" s="821"/>
      <c r="J1041" s="821"/>
      <c r="K1041" s="821"/>
      <c r="L1041" s="821"/>
      <c r="M1041" s="677"/>
      <c r="N1041" s="821"/>
      <c r="O1041" s="821"/>
      <c r="P1041" s="677"/>
      <c r="Q1041" s="677"/>
      <c r="R1041" s="677"/>
      <c r="S1041" s="677"/>
      <c r="T1041" s="677"/>
      <c r="U1041" s="677"/>
      <c r="V1041" s="677"/>
      <c r="W1041" s="677"/>
      <c r="X1041" s="677"/>
      <c r="Y1041" s="677"/>
      <c r="Z1041" s="677"/>
      <c r="AA1041" s="677"/>
      <c r="AB1041" s="677"/>
      <c r="AC1041" s="677"/>
      <c r="AD1041" s="677"/>
    </row>
    <row r="1042">
      <c r="A1042" s="704"/>
      <c r="B1042" s="674"/>
      <c r="C1042" s="852"/>
      <c r="D1042" s="656"/>
      <c r="E1042" s="821"/>
      <c r="F1042" s="821"/>
      <c r="G1042" s="821"/>
      <c r="H1042" s="821"/>
      <c r="I1042" s="821"/>
      <c r="J1042" s="821"/>
      <c r="K1042" s="821"/>
      <c r="L1042" s="821"/>
      <c r="M1042" s="677"/>
      <c r="N1042" s="821"/>
      <c r="O1042" s="821"/>
      <c r="P1042" s="677"/>
      <c r="Q1042" s="677"/>
      <c r="R1042" s="677"/>
      <c r="S1042" s="677"/>
      <c r="T1042" s="677"/>
      <c r="U1042" s="677"/>
      <c r="V1042" s="677"/>
      <c r="W1042" s="677"/>
      <c r="X1042" s="677"/>
      <c r="Y1042" s="677"/>
      <c r="Z1042" s="677"/>
      <c r="AA1042" s="677"/>
      <c r="AB1042" s="677"/>
      <c r="AC1042" s="677"/>
      <c r="AD1042" s="677"/>
    </row>
    <row r="1043">
      <c r="A1043" s="704"/>
      <c r="B1043" s="674"/>
      <c r="C1043" s="852"/>
      <c r="D1043" s="656"/>
      <c r="E1043" s="821"/>
      <c r="F1043" s="821"/>
      <c r="G1043" s="821"/>
      <c r="H1043" s="821"/>
      <c r="I1043" s="821"/>
      <c r="J1043" s="821"/>
      <c r="K1043" s="821"/>
      <c r="L1043" s="821"/>
      <c r="M1043" s="677"/>
      <c r="N1043" s="821"/>
      <c r="O1043" s="821"/>
      <c r="P1043" s="677"/>
      <c r="Q1043" s="677"/>
      <c r="R1043" s="677"/>
      <c r="S1043" s="677"/>
      <c r="T1043" s="677"/>
      <c r="U1043" s="677"/>
      <c r="V1043" s="677"/>
      <c r="W1043" s="677"/>
      <c r="X1043" s="677"/>
      <c r="Y1043" s="677"/>
      <c r="Z1043" s="677"/>
      <c r="AA1043" s="677"/>
      <c r="AB1043" s="677"/>
      <c r="AC1043" s="677"/>
      <c r="AD1043" s="677"/>
    </row>
    <row r="1044">
      <c r="A1044" s="704"/>
      <c r="B1044" s="708"/>
      <c r="C1044" s="852"/>
      <c r="D1044" s="656"/>
      <c r="E1044" s="821"/>
      <c r="F1044" s="821"/>
      <c r="G1044" s="821"/>
      <c r="H1044" s="821"/>
      <c r="I1044" s="821"/>
      <c r="J1044" s="821"/>
      <c r="K1044" s="821"/>
      <c r="L1044" s="821"/>
      <c r="M1044" s="677"/>
      <c r="N1044" s="821"/>
      <c r="O1044" s="821"/>
      <c r="P1044" s="677"/>
      <c r="Q1044" s="677"/>
      <c r="R1044" s="677"/>
      <c r="S1044" s="677"/>
      <c r="T1044" s="677"/>
      <c r="U1044" s="677"/>
      <c r="V1044" s="677"/>
      <c r="W1044" s="677"/>
      <c r="X1044" s="677"/>
      <c r="Y1044" s="677"/>
      <c r="Z1044" s="677"/>
      <c r="AA1044" s="677"/>
      <c r="AB1044" s="677"/>
      <c r="AC1044" s="677"/>
      <c r="AD1044" s="677"/>
    </row>
    <row r="1045">
      <c r="A1045" s="704"/>
      <c r="B1045" s="674"/>
      <c r="C1045" s="852"/>
      <c r="D1045" s="656"/>
      <c r="E1045" s="821"/>
      <c r="F1045" s="821"/>
      <c r="G1045" s="821"/>
      <c r="H1045" s="821"/>
      <c r="I1045" s="821"/>
      <c r="J1045" s="821"/>
      <c r="K1045" s="821"/>
      <c r="L1045" s="821"/>
      <c r="M1045" s="677"/>
      <c r="N1045" s="821"/>
      <c r="O1045" s="821"/>
      <c r="P1045" s="677"/>
      <c r="Q1045" s="677"/>
      <c r="R1045" s="677"/>
      <c r="S1045" s="677"/>
      <c r="T1045" s="677"/>
      <c r="U1045" s="677"/>
      <c r="V1045" s="677"/>
      <c r="W1045" s="677"/>
      <c r="X1045" s="677"/>
      <c r="Y1045" s="677"/>
      <c r="Z1045" s="677"/>
      <c r="AA1045" s="677"/>
      <c r="AB1045" s="677"/>
      <c r="AC1045" s="677"/>
      <c r="AD1045" s="677"/>
    </row>
    <row r="1046">
      <c r="A1046" s="704"/>
      <c r="B1046" s="674"/>
      <c r="C1046" s="852"/>
      <c r="D1046" s="656"/>
      <c r="E1046" s="821"/>
      <c r="F1046" s="821"/>
      <c r="G1046" s="821"/>
      <c r="H1046" s="821"/>
      <c r="I1046" s="821"/>
      <c r="J1046" s="821"/>
      <c r="K1046" s="821"/>
      <c r="L1046" s="821"/>
      <c r="M1046" s="677"/>
      <c r="N1046" s="821"/>
      <c r="O1046" s="821"/>
      <c r="P1046" s="677"/>
      <c r="Q1046" s="677"/>
      <c r="R1046" s="677"/>
      <c r="S1046" s="677"/>
      <c r="T1046" s="677"/>
      <c r="U1046" s="677"/>
      <c r="V1046" s="677"/>
      <c r="W1046" s="677"/>
      <c r="X1046" s="677"/>
      <c r="Y1046" s="677"/>
      <c r="Z1046" s="677"/>
      <c r="AA1046" s="677"/>
      <c r="AB1046" s="677"/>
      <c r="AC1046" s="677"/>
      <c r="AD1046" s="677"/>
    </row>
    <row r="1047">
      <c r="A1047" s="704"/>
      <c r="B1047" s="674"/>
      <c r="C1047" s="852"/>
      <c r="D1047" s="656"/>
      <c r="E1047" s="821"/>
      <c r="F1047" s="821"/>
      <c r="G1047" s="821"/>
      <c r="H1047" s="821"/>
      <c r="I1047" s="821"/>
      <c r="J1047" s="821"/>
      <c r="K1047" s="821"/>
      <c r="L1047" s="821"/>
      <c r="M1047" s="677"/>
      <c r="N1047" s="821"/>
      <c r="O1047" s="821"/>
      <c r="P1047" s="677"/>
      <c r="Q1047" s="677"/>
      <c r="R1047" s="677"/>
      <c r="S1047" s="677"/>
      <c r="T1047" s="677"/>
      <c r="U1047" s="677"/>
      <c r="V1047" s="677"/>
      <c r="W1047" s="677"/>
      <c r="X1047" s="677"/>
      <c r="Y1047" s="677"/>
      <c r="Z1047" s="677"/>
      <c r="AA1047" s="677"/>
      <c r="AB1047" s="677"/>
      <c r="AC1047" s="677"/>
      <c r="AD1047" s="677"/>
    </row>
    <row r="1048">
      <c r="A1048" s="704"/>
      <c r="B1048" s="674"/>
      <c r="C1048" s="852"/>
      <c r="D1048" s="656"/>
      <c r="E1048" s="821"/>
      <c r="F1048" s="821"/>
      <c r="G1048" s="821"/>
      <c r="H1048" s="821"/>
      <c r="I1048" s="821"/>
      <c r="J1048" s="821"/>
      <c r="K1048" s="821"/>
      <c r="L1048" s="821"/>
      <c r="M1048" s="677"/>
      <c r="N1048" s="821"/>
      <c r="O1048" s="821"/>
      <c r="P1048" s="677"/>
      <c r="Q1048" s="677"/>
      <c r="R1048" s="677"/>
      <c r="S1048" s="677"/>
      <c r="T1048" s="677"/>
      <c r="U1048" s="677"/>
      <c r="V1048" s="677"/>
      <c r="W1048" s="677"/>
      <c r="X1048" s="677"/>
      <c r="Y1048" s="677"/>
      <c r="Z1048" s="677"/>
      <c r="AA1048" s="677"/>
      <c r="AB1048" s="677"/>
      <c r="AC1048" s="677"/>
      <c r="AD1048" s="677"/>
    </row>
    <row r="1049">
      <c r="A1049" s="704"/>
      <c r="B1049" s="674"/>
      <c r="C1049" s="852"/>
      <c r="D1049" s="656"/>
      <c r="E1049" s="821"/>
      <c r="F1049" s="821"/>
      <c r="G1049" s="821"/>
      <c r="H1049" s="821"/>
      <c r="I1049" s="821"/>
      <c r="J1049" s="821"/>
      <c r="K1049" s="821"/>
      <c r="L1049" s="821"/>
      <c r="M1049" s="677"/>
      <c r="N1049" s="821"/>
      <c r="O1049" s="821"/>
      <c r="P1049" s="677"/>
      <c r="Q1049" s="677"/>
      <c r="R1049" s="677"/>
      <c r="S1049" s="677"/>
      <c r="T1049" s="677"/>
      <c r="U1049" s="677"/>
      <c r="V1049" s="677"/>
      <c r="W1049" s="677"/>
      <c r="X1049" s="677"/>
      <c r="Y1049" s="677"/>
      <c r="Z1049" s="677"/>
      <c r="AA1049" s="677"/>
      <c r="AB1049" s="677"/>
      <c r="AC1049" s="677"/>
      <c r="AD1049" s="677"/>
    </row>
    <row r="1050">
      <c r="A1050" s="704"/>
      <c r="B1050" s="708"/>
      <c r="C1050" s="852"/>
      <c r="D1050" s="656"/>
      <c r="E1050" s="821"/>
      <c r="F1050" s="821"/>
      <c r="G1050" s="821"/>
      <c r="H1050" s="821"/>
      <c r="I1050" s="821"/>
      <c r="J1050" s="821"/>
      <c r="K1050" s="821"/>
      <c r="L1050" s="821"/>
      <c r="M1050" s="677"/>
      <c r="N1050" s="821"/>
      <c r="O1050" s="821"/>
      <c r="P1050" s="677"/>
      <c r="Q1050" s="677"/>
      <c r="R1050" s="677"/>
      <c r="S1050" s="677"/>
      <c r="T1050" s="677"/>
      <c r="U1050" s="677"/>
      <c r="V1050" s="677"/>
      <c r="W1050" s="677"/>
      <c r="X1050" s="677"/>
      <c r="Y1050" s="677"/>
      <c r="Z1050" s="677"/>
      <c r="AA1050" s="677"/>
      <c r="AB1050" s="677"/>
      <c r="AC1050" s="677"/>
      <c r="AD1050" s="677"/>
    </row>
    <row r="1051">
      <c r="A1051" s="704"/>
      <c r="B1051" s="674"/>
      <c r="C1051" s="852"/>
      <c r="D1051" s="656"/>
      <c r="E1051" s="821"/>
      <c r="F1051" s="821"/>
      <c r="G1051" s="821"/>
      <c r="H1051" s="821"/>
      <c r="I1051" s="821"/>
      <c r="J1051" s="821"/>
      <c r="K1051" s="821"/>
      <c r="L1051" s="821"/>
      <c r="M1051" s="677"/>
      <c r="N1051" s="821"/>
      <c r="O1051" s="821"/>
      <c r="P1051" s="677"/>
      <c r="Q1051" s="677"/>
      <c r="R1051" s="677"/>
      <c r="S1051" s="677"/>
      <c r="T1051" s="677"/>
      <c r="U1051" s="677"/>
      <c r="V1051" s="677"/>
      <c r="W1051" s="677"/>
      <c r="X1051" s="677"/>
      <c r="Y1051" s="677"/>
      <c r="Z1051" s="677"/>
      <c r="AA1051" s="677"/>
      <c r="AB1051" s="677"/>
      <c r="AC1051" s="677"/>
      <c r="AD1051" s="677"/>
    </row>
    <row r="1052">
      <c r="A1052" s="704"/>
      <c r="B1052" s="674"/>
      <c r="C1052" s="852"/>
      <c r="D1052" s="656"/>
      <c r="E1052" s="821"/>
      <c r="F1052" s="821"/>
      <c r="G1052" s="821"/>
      <c r="H1052" s="821"/>
      <c r="I1052" s="821"/>
      <c r="J1052" s="821"/>
      <c r="K1052" s="821"/>
      <c r="L1052" s="821"/>
      <c r="M1052" s="677"/>
      <c r="N1052" s="821"/>
      <c r="O1052" s="821"/>
      <c r="P1052" s="677"/>
      <c r="Q1052" s="677"/>
      <c r="R1052" s="677"/>
      <c r="S1052" s="677"/>
      <c r="T1052" s="677"/>
      <c r="U1052" s="677"/>
      <c r="V1052" s="677"/>
      <c r="W1052" s="677"/>
      <c r="X1052" s="677"/>
      <c r="Y1052" s="677"/>
      <c r="Z1052" s="677"/>
      <c r="AA1052" s="677"/>
      <c r="AB1052" s="677"/>
      <c r="AC1052" s="677"/>
      <c r="AD1052" s="677"/>
    </row>
    <row r="1053">
      <c r="A1053" s="704"/>
      <c r="B1053" s="674"/>
      <c r="C1053" s="852"/>
      <c r="D1053" s="656"/>
      <c r="E1053" s="821"/>
      <c r="F1053" s="821"/>
      <c r="G1053" s="821"/>
      <c r="H1053" s="821"/>
      <c r="I1053" s="821"/>
      <c r="J1053" s="821"/>
      <c r="K1053" s="821"/>
      <c r="L1053" s="821"/>
      <c r="M1053" s="677"/>
      <c r="N1053" s="821"/>
      <c r="O1053" s="821"/>
      <c r="P1053" s="677"/>
      <c r="Q1053" s="677"/>
      <c r="R1053" s="677"/>
      <c r="S1053" s="677"/>
      <c r="T1053" s="677"/>
      <c r="U1053" s="677"/>
      <c r="V1053" s="677"/>
      <c r="W1053" s="677"/>
      <c r="X1053" s="677"/>
      <c r="Y1053" s="677"/>
      <c r="Z1053" s="677"/>
      <c r="AA1053" s="677"/>
      <c r="AB1053" s="677"/>
      <c r="AC1053" s="677"/>
      <c r="AD1053" s="677"/>
    </row>
    <row r="1054">
      <c r="A1054" s="704"/>
      <c r="B1054" s="674"/>
      <c r="C1054" s="852"/>
      <c r="D1054" s="656"/>
      <c r="E1054" s="821"/>
      <c r="F1054" s="821"/>
      <c r="G1054" s="821"/>
      <c r="H1054" s="821"/>
      <c r="I1054" s="821"/>
      <c r="J1054" s="821"/>
      <c r="K1054" s="821"/>
      <c r="L1054" s="821"/>
      <c r="M1054" s="677"/>
      <c r="N1054" s="821"/>
      <c r="O1054" s="821"/>
      <c r="P1054" s="677"/>
      <c r="Q1054" s="677"/>
      <c r="R1054" s="677"/>
      <c r="S1054" s="677"/>
      <c r="T1054" s="677"/>
      <c r="U1054" s="677"/>
      <c r="V1054" s="677"/>
      <c r="W1054" s="677"/>
      <c r="X1054" s="677"/>
      <c r="Y1054" s="677"/>
      <c r="Z1054" s="677"/>
      <c r="AA1054" s="677"/>
      <c r="AB1054" s="677"/>
      <c r="AC1054" s="677"/>
      <c r="AD1054" s="677"/>
    </row>
    <row r="1055">
      <c r="A1055" s="704"/>
      <c r="B1055" s="674"/>
      <c r="C1055" s="852"/>
      <c r="D1055" s="656"/>
      <c r="E1055" s="821"/>
      <c r="F1055" s="821"/>
      <c r="G1055" s="821"/>
      <c r="H1055" s="821"/>
      <c r="I1055" s="821"/>
      <c r="J1055" s="821"/>
      <c r="K1055" s="821"/>
      <c r="L1055" s="821"/>
      <c r="M1055" s="677"/>
      <c r="N1055" s="821"/>
      <c r="O1055" s="821"/>
      <c r="P1055" s="677"/>
      <c r="Q1055" s="677"/>
      <c r="R1055" s="677"/>
      <c r="S1055" s="677"/>
      <c r="T1055" s="677"/>
      <c r="U1055" s="677"/>
      <c r="V1055" s="677"/>
      <c r="W1055" s="677"/>
      <c r="X1055" s="677"/>
      <c r="Y1055" s="677"/>
      <c r="Z1055" s="677"/>
      <c r="AA1055" s="677"/>
      <c r="AB1055" s="677"/>
      <c r="AC1055" s="677"/>
      <c r="AD1055" s="677"/>
    </row>
    <row r="1056">
      <c r="A1056" s="704"/>
      <c r="B1056" s="674"/>
      <c r="C1056" s="852"/>
      <c r="D1056" s="656"/>
      <c r="E1056" s="821"/>
      <c r="F1056" s="821"/>
      <c r="G1056" s="821"/>
      <c r="H1056" s="821"/>
      <c r="I1056" s="821"/>
      <c r="J1056" s="821"/>
      <c r="K1056" s="821"/>
      <c r="L1056" s="821"/>
      <c r="M1056" s="677"/>
      <c r="N1056" s="821"/>
      <c r="O1056" s="821"/>
      <c r="P1056" s="677"/>
      <c r="Q1056" s="677"/>
      <c r="R1056" s="677"/>
      <c r="S1056" s="677"/>
      <c r="T1056" s="677"/>
      <c r="U1056" s="677"/>
      <c r="V1056" s="677"/>
      <c r="W1056" s="677"/>
      <c r="X1056" s="677"/>
      <c r="Y1056" s="677"/>
      <c r="Z1056" s="677"/>
      <c r="AA1056" s="677"/>
      <c r="AB1056" s="677"/>
      <c r="AC1056" s="677"/>
      <c r="AD1056" s="677"/>
    </row>
    <row r="1057">
      <c r="A1057" s="704"/>
      <c r="B1057" s="674"/>
      <c r="C1057" s="852"/>
      <c r="D1057" s="656"/>
      <c r="E1057" s="821"/>
      <c r="F1057" s="821"/>
      <c r="G1057" s="821"/>
      <c r="H1057" s="821"/>
      <c r="I1057" s="821"/>
      <c r="J1057" s="821"/>
      <c r="K1057" s="821"/>
      <c r="L1057" s="821"/>
      <c r="M1057" s="677"/>
      <c r="N1057" s="821"/>
      <c r="O1057" s="821"/>
      <c r="P1057" s="677"/>
      <c r="Q1057" s="677"/>
      <c r="R1057" s="677"/>
      <c r="S1057" s="677"/>
      <c r="T1057" s="677"/>
      <c r="U1057" s="677"/>
      <c r="V1057" s="677"/>
      <c r="W1057" s="677"/>
      <c r="X1057" s="677"/>
      <c r="Y1057" s="677"/>
      <c r="Z1057" s="677"/>
      <c r="AA1057" s="677"/>
      <c r="AB1057" s="677"/>
      <c r="AC1057" s="677"/>
      <c r="AD1057" s="677"/>
    </row>
    <row r="1058">
      <c r="A1058" s="704"/>
      <c r="B1058" s="708"/>
      <c r="C1058" s="852"/>
      <c r="D1058" s="656"/>
      <c r="E1058" s="821"/>
      <c r="F1058" s="821"/>
      <c r="G1058" s="821"/>
      <c r="H1058" s="821"/>
      <c r="I1058" s="821"/>
      <c r="J1058" s="821"/>
      <c r="K1058" s="821"/>
      <c r="L1058" s="821"/>
      <c r="M1058" s="677"/>
      <c r="N1058" s="821"/>
      <c r="O1058" s="821"/>
      <c r="P1058" s="677"/>
      <c r="Q1058" s="677"/>
      <c r="R1058" s="677"/>
      <c r="S1058" s="677"/>
      <c r="T1058" s="677"/>
      <c r="U1058" s="677"/>
      <c r="V1058" s="677"/>
      <c r="W1058" s="677"/>
      <c r="X1058" s="677"/>
      <c r="Y1058" s="677"/>
      <c r="Z1058" s="677"/>
      <c r="AA1058" s="677"/>
      <c r="AB1058" s="677"/>
      <c r="AC1058" s="677"/>
      <c r="AD1058" s="677"/>
    </row>
    <row r="1059">
      <c r="A1059" s="704"/>
      <c r="B1059" s="674"/>
      <c r="C1059" s="852"/>
      <c r="D1059" s="656"/>
      <c r="E1059" s="821"/>
      <c r="F1059" s="821"/>
      <c r="G1059" s="821"/>
      <c r="H1059" s="821"/>
      <c r="I1059" s="821"/>
      <c r="J1059" s="821"/>
      <c r="K1059" s="821"/>
      <c r="L1059" s="821"/>
      <c r="M1059" s="677"/>
      <c r="N1059" s="821"/>
      <c r="O1059" s="821"/>
      <c r="P1059" s="677"/>
      <c r="Q1059" s="677"/>
      <c r="R1059" s="677"/>
      <c r="S1059" s="677"/>
      <c r="T1059" s="677"/>
      <c r="U1059" s="677"/>
      <c r="V1059" s="677"/>
      <c r="W1059" s="677"/>
      <c r="X1059" s="677"/>
      <c r="Y1059" s="677"/>
      <c r="Z1059" s="677"/>
      <c r="AA1059" s="677"/>
      <c r="AB1059" s="677"/>
      <c r="AC1059" s="677"/>
      <c r="AD1059" s="677"/>
    </row>
    <row r="1060">
      <c r="A1060" s="704"/>
      <c r="B1060" s="674"/>
      <c r="C1060" s="852"/>
      <c r="D1060" s="656"/>
      <c r="E1060" s="821"/>
      <c r="F1060" s="821"/>
      <c r="G1060" s="821"/>
      <c r="H1060" s="821"/>
      <c r="I1060" s="821"/>
      <c r="J1060" s="821"/>
      <c r="K1060" s="821"/>
      <c r="L1060" s="821"/>
      <c r="M1060" s="677"/>
      <c r="N1060" s="821"/>
      <c r="O1060" s="821"/>
      <c r="P1060" s="677"/>
      <c r="Q1060" s="677"/>
      <c r="R1060" s="677"/>
      <c r="S1060" s="677"/>
      <c r="T1060" s="677"/>
      <c r="U1060" s="677"/>
      <c r="V1060" s="677"/>
      <c r="W1060" s="677"/>
      <c r="X1060" s="677"/>
      <c r="Y1060" s="677"/>
      <c r="Z1060" s="677"/>
      <c r="AA1060" s="677"/>
      <c r="AB1060" s="677"/>
      <c r="AC1060" s="677"/>
      <c r="AD1060" s="677"/>
    </row>
    <row r="1061">
      <c r="A1061" s="704"/>
      <c r="B1061" s="674"/>
      <c r="C1061" s="852"/>
      <c r="D1061" s="656"/>
      <c r="E1061" s="821"/>
      <c r="F1061" s="821"/>
      <c r="G1061" s="821"/>
      <c r="H1061" s="821"/>
      <c r="I1061" s="821"/>
      <c r="J1061" s="821"/>
      <c r="K1061" s="821"/>
      <c r="L1061" s="821"/>
      <c r="M1061" s="677"/>
      <c r="N1061" s="821"/>
      <c r="O1061" s="821"/>
      <c r="P1061" s="677"/>
      <c r="Q1061" s="677"/>
      <c r="R1061" s="677"/>
      <c r="S1061" s="677"/>
      <c r="T1061" s="677"/>
      <c r="U1061" s="677"/>
      <c r="V1061" s="677"/>
      <c r="W1061" s="677"/>
      <c r="X1061" s="677"/>
      <c r="Y1061" s="677"/>
      <c r="Z1061" s="677"/>
      <c r="AA1061" s="677"/>
      <c r="AB1061" s="677"/>
      <c r="AC1061" s="677"/>
      <c r="AD1061" s="677"/>
    </row>
    <row r="1062">
      <c r="A1062" s="704"/>
      <c r="B1062" s="674"/>
      <c r="C1062" s="852"/>
      <c r="D1062" s="656"/>
      <c r="E1062" s="821"/>
      <c r="F1062" s="821"/>
      <c r="G1062" s="821"/>
      <c r="H1062" s="821"/>
      <c r="I1062" s="821"/>
      <c r="J1062" s="821"/>
      <c r="K1062" s="821"/>
      <c r="L1062" s="821"/>
      <c r="M1062" s="677"/>
      <c r="N1062" s="821"/>
      <c r="O1062" s="821"/>
      <c r="P1062" s="677"/>
      <c r="Q1062" s="677"/>
      <c r="R1062" s="677"/>
      <c r="S1062" s="677"/>
      <c r="T1062" s="677"/>
      <c r="U1062" s="677"/>
      <c r="V1062" s="677"/>
      <c r="W1062" s="677"/>
      <c r="X1062" s="677"/>
      <c r="Y1062" s="677"/>
      <c r="Z1062" s="677"/>
      <c r="AA1062" s="677"/>
      <c r="AB1062" s="677"/>
      <c r="AC1062" s="677"/>
      <c r="AD1062" s="677"/>
    </row>
    <row r="1063">
      <c r="A1063" s="704"/>
      <c r="B1063" s="674"/>
      <c r="C1063" s="852"/>
      <c r="D1063" s="656"/>
      <c r="E1063" s="821"/>
      <c r="F1063" s="821"/>
      <c r="G1063" s="821"/>
      <c r="H1063" s="821"/>
      <c r="I1063" s="821"/>
      <c r="J1063" s="821"/>
      <c r="K1063" s="821"/>
      <c r="L1063" s="821"/>
      <c r="M1063" s="677"/>
      <c r="N1063" s="821"/>
      <c r="O1063" s="821"/>
      <c r="P1063" s="677"/>
      <c r="Q1063" s="677"/>
      <c r="R1063" s="677"/>
      <c r="S1063" s="677"/>
      <c r="T1063" s="677"/>
      <c r="U1063" s="677"/>
      <c r="V1063" s="677"/>
      <c r="W1063" s="677"/>
      <c r="X1063" s="677"/>
      <c r="Y1063" s="677"/>
      <c r="Z1063" s="677"/>
      <c r="AA1063" s="677"/>
      <c r="AB1063" s="677"/>
      <c r="AC1063" s="677"/>
      <c r="AD1063" s="677"/>
    </row>
    <row r="1064">
      <c r="A1064" s="704"/>
      <c r="B1064" s="708"/>
      <c r="C1064" s="852"/>
      <c r="D1064" s="656"/>
      <c r="E1064" s="821"/>
      <c r="F1064" s="821"/>
      <c r="G1064" s="821"/>
      <c r="H1064" s="821"/>
      <c r="I1064" s="821"/>
      <c r="J1064" s="821"/>
      <c r="K1064" s="821"/>
      <c r="L1064" s="821"/>
      <c r="M1064" s="677"/>
      <c r="N1064" s="821"/>
      <c r="O1064" s="821"/>
      <c r="P1064" s="677"/>
      <c r="Q1064" s="677"/>
      <c r="R1064" s="677"/>
      <c r="S1064" s="677"/>
      <c r="T1064" s="677"/>
      <c r="U1064" s="677"/>
      <c r="V1064" s="677"/>
      <c r="W1064" s="677"/>
      <c r="X1064" s="677"/>
      <c r="Y1064" s="677"/>
      <c r="Z1064" s="677"/>
      <c r="AA1064" s="677"/>
      <c r="AB1064" s="677"/>
      <c r="AC1064" s="677"/>
      <c r="AD1064" s="677"/>
    </row>
    <row r="1065">
      <c r="A1065" s="704"/>
      <c r="B1065" s="674"/>
      <c r="C1065" s="852"/>
      <c r="D1065" s="656"/>
      <c r="E1065" s="821"/>
      <c r="F1065" s="821"/>
      <c r="G1065" s="821"/>
      <c r="H1065" s="821"/>
      <c r="I1065" s="821"/>
      <c r="J1065" s="821"/>
      <c r="K1065" s="821"/>
      <c r="L1065" s="821"/>
      <c r="M1065" s="677"/>
      <c r="N1065" s="821"/>
      <c r="O1065" s="821"/>
      <c r="P1065" s="677"/>
      <c r="Q1065" s="677"/>
      <c r="R1065" s="677"/>
      <c r="S1065" s="677"/>
      <c r="T1065" s="677"/>
      <c r="U1065" s="677"/>
      <c r="V1065" s="677"/>
      <c r="W1065" s="677"/>
      <c r="X1065" s="677"/>
      <c r="Y1065" s="677"/>
      <c r="Z1065" s="677"/>
      <c r="AA1065" s="677"/>
      <c r="AB1065" s="677"/>
      <c r="AC1065" s="677"/>
      <c r="AD1065" s="677"/>
    </row>
    <row r="1066">
      <c r="A1066" s="704"/>
      <c r="B1066" s="674"/>
      <c r="C1066" s="852"/>
      <c r="D1066" s="656"/>
      <c r="E1066" s="821"/>
      <c r="F1066" s="821"/>
      <c r="G1066" s="821"/>
      <c r="H1066" s="821"/>
      <c r="I1066" s="821"/>
      <c r="J1066" s="821"/>
      <c r="K1066" s="821"/>
      <c r="L1066" s="821"/>
      <c r="M1066" s="677"/>
      <c r="N1066" s="821"/>
      <c r="O1066" s="821"/>
      <c r="P1066" s="677"/>
      <c r="Q1066" s="677"/>
      <c r="R1066" s="677"/>
      <c r="S1066" s="677"/>
      <c r="T1066" s="677"/>
      <c r="U1066" s="677"/>
      <c r="V1066" s="677"/>
      <c r="W1066" s="677"/>
      <c r="X1066" s="677"/>
      <c r="Y1066" s="677"/>
      <c r="Z1066" s="677"/>
      <c r="AA1066" s="677"/>
      <c r="AB1066" s="677"/>
      <c r="AC1066" s="677"/>
      <c r="AD1066" s="677"/>
    </row>
    <row r="1067">
      <c r="A1067" s="704"/>
      <c r="B1067" s="674"/>
      <c r="C1067" s="852"/>
      <c r="D1067" s="656"/>
      <c r="E1067" s="821"/>
      <c r="F1067" s="821"/>
      <c r="G1067" s="821"/>
      <c r="H1067" s="821"/>
      <c r="I1067" s="821"/>
      <c r="J1067" s="821"/>
      <c r="K1067" s="821"/>
      <c r="L1067" s="821"/>
      <c r="M1067" s="677"/>
      <c r="N1067" s="821"/>
      <c r="O1067" s="821"/>
      <c r="P1067" s="677"/>
      <c r="Q1067" s="677"/>
      <c r="R1067" s="677"/>
      <c r="S1067" s="677"/>
      <c r="T1067" s="677"/>
      <c r="U1067" s="677"/>
      <c r="V1067" s="677"/>
      <c r="W1067" s="677"/>
      <c r="X1067" s="677"/>
      <c r="Y1067" s="677"/>
      <c r="Z1067" s="677"/>
      <c r="AA1067" s="677"/>
      <c r="AB1067" s="677"/>
      <c r="AC1067" s="677"/>
      <c r="AD1067" s="677"/>
    </row>
    <row r="1068">
      <c r="A1068" s="704"/>
      <c r="B1068" s="674"/>
      <c r="C1068" s="852"/>
      <c r="D1068" s="656"/>
      <c r="E1068" s="821"/>
      <c r="F1068" s="821"/>
      <c r="G1068" s="821"/>
      <c r="H1068" s="821"/>
      <c r="I1068" s="821"/>
      <c r="J1068" s="821"/>
      <c r="K1068" s="821"/>
      <c r="L1068" s="821"/>
      <c r="M1068" s="677"/>
      <c r="N1068" s="821"/>
      <c r="O1068" s="821"/>
      <c r="P1068" s="677"/>
      <c r="Q1068" s="677"/>
      <c r="R1068" s="677"/>
      <c r="S1068" s="677"/>
      <c r="T1068" s="677"/>
      <c r="U1068" s="677"/>
      <c r="V1068" s="677"/>
      <c r="W1068" s="677"/>
      <c r="X1068" s="677"/>
      <c r="Y1068" s="677"/>
      <c r="Z1068" s="677"/>
      <c r="AA1068" s="677"/>
      <c r="AB1068" s="677"/>
      <c r="AC1068" s="677"/>
      <c r="AD1068" s="677"/>
    </row>
    <row r="1069">
      <c r="A1069" s="704"/>
      <c r="B1069" s="674"/>
      <c r="C1069" s="852"/>
      <c r="D1069" s="656"/>
      <c r="E1069" s="821"/>
      <c r="F1069" s="821"/>
      <c r="G1069" s="821"/>
      <c r="H1069" s="821"/>
      <c r="I1069" s="821"/>
      <c r="J1069" s="821"/>
      <c r="K1069" s="821"/>
      <c r="L1069" s="821"/>
      <c r="M1069" s="677"/>
      <c r="N1069" s="821"/>
      <c r="O1069" s="821"/>
      <c r="P1069" s="677"/>
      <c r="Q1069" s="677"/>
      <c r="R1069" s="677"/>
      <c r="S1069" s="677"/>
      <c r="T1069" s="677"/>
      <c r="U1069" s="677"/>
      <c r="V1069" s="677"/>
      <c r="W1069" s="677"/>
      <c r="X1069" s="677"/>
      <c r="Y1069" s="677"/>
      <c r="Z1069" s="677"/>
      <c r="AA1069" s="677"/>
      <c r="AB1069" s="677"/>
      <c r="AC1069" s="677"/>
      <c r="AD1069" s="677"/>
    </row>
    <row r="1070">
      <c r="A1070" s="704"/>
      <c r="B1070" s="674"/>
      <c r="C1070" s="852"/>
      <c r="D1070" s="656"/>
      <c r="E1070" s="821"/>
      <c r="F1070" s="821"/>
      <c r="G1070" s="821"/>
      <c r="H1070" s="821"/>
      <c r="I1070" s="821"/>
      <c r="J1070" s="821"/>
      <c r="K1070" s="821"/>
      <c r="L1070" s="821"/>
      <c r="M1070" s="677"/>
      <c r="N1070" s="821"/>
      <c r="O1070" s="821"/>
      <c r="P1070" s="677"/>
      <c r="Q1070" s="677"/>
      <c r="R1070" s="677"/>
      <c r="S1070" s="677"/>
      <c r="T1070" s="677"/>
      <c r="U1070" s="677"/>
      <c r="V1070" s="677"/>
      <c r="W1070" s="677"/>
      <c r="X1070" s="677"/>
      <c r="Y1070" s="677"/>
      <c r="Z1070" s="677"/>
      <c r="AA1070" s="677"/>
      <c r="AB1070" s="677"/>
      <c r="AC1070" s="677"/>
      <c r="AD1070" s="677"/>
    </row>
    <row r="1071">
      <c r="A1071" s="704"/>
      <c r="B1071" s="674"/>
      <c r="C1071" s="852"/>
      <c r="D1071" s="656"/>
      <c r="E1071" s="821"/>
      <c r="F1071" s="821"/>
      <c r="G1071" s="821"/>
      <c r="H1071" s="821"/>
      <c r="I1071" s="821"/>
      <c r="J1071" s="821"/>
      <c r="K1071" s="821"/>
      <c r="L1071" s="821"/>
      <c r="M1071" s="677"/>
      <c r="N1071" s="821"/>
      <c r="O1071" s="821"/>
      <c r="P1071" s="677"/>
      <c r="Q1071" s="677"/>
      <c r="R1071" s="677"/>
      <c r="S1071" s="677"/>
      <c r="T1071" s="677"/>
      <c r="U1071" s="677"/>
      <c r="V1071" s="677"/>
      <c r="W1071" s="677"/>
      <c r="X1071" s="677"/>
      <c r="Y1071" s="677"/>
      <c r="Z1071" s="677"/>
      <c r="AA1071" s="677"/>
      <c r="AB1071" s="677"/>
      <c r="AC1071" s="677"/>
      <c r="AD1071" s="677"/>
    </row>
    <row r="1072">
      <c r="A1072" s="704"/>
      <c r="B1072" s="674"/>
      <c r="C1072" s="852"/>
      <c r="D1072" s="656"/>
      <c r="E1072" s="821"/>
      <c r="F1072" s="821"/>
      <c r="G1072" s="821"/>
      <c r="H1072" s="821"/>
      <c r="I1072" s="821"/>
      <c r="J1072" s="821"/>
      <c r="K1072" s="821"/>
      <c r="L1072" s="821"/>
      <c r="M1072" s="677"/>
      <c r="N1072" s="821"/>
      <c r="O1072" s="821"/>
      <c r="P1072" s="677"/>
      <c r="Q1072" s="677"/>
      <c r="R1072" s="677"/>
      <c r="S1072" s="677"/>
      <c r="T1072" s="677"/>
      <c r="U1072" s="677"/>
      <c r="V1072" s="677"/>
      <c r="W1072" s="677"/>
      <c r="X1072" s="677"/>
      <c r="Y1072" s="677"/>
      <c r="Z1072" s="677"/>
      <c r="AA1072" s="677"/>
      <c r="AB1072" s="677"/>
      <c r="AC1072" s="677"/>
      <c r="AD1072" s="677"/>
    </row>
    <row r="1073">
      <c r="A1073" s="704"/>
      <c r="B1073" s="674"/>
      <c r="C1073" s="852"/>
      <c r="D1073" s="656"/>
      <c r="E1073" s="821"/>
      <c r="F1073" s="821"/>
      <c r="G1073" s="821"/>
      <c r="H1073" s="821"/>
      <c r="I1073" s="821"/>
      <c r="J1073" s="821"/>
      <c r="K1073" s="821"/>
      <c r="L1073" s="821"/>
      <c r="M1073" s="677"/>
      <c r="N1073" s="821"/>
      <c r="O1073" s="821"/>
      <c r="P1073" s="677"/>
      <c r="Q1073" s="677"/>
      <c r="R1073" s="677"/>
      <c r="S1073" s="677"/>
      <c r="T1073" s="677"/>
      <c r="U1073" s="677"/>
      <c r="V1073" s="677"/>
      <c r="W1073" s="677"/>
      <c r="X1073" s="677"/>
      <c r="Y1073" s="677"/>
      <c r="Z1073" s="677"/>
      <c r="AA1073" s="677"/>
      <c r="AB1073" s="677"/>
      <c r="AC1073" s="677"/>
      <c r="AD1073" s="677"/>
    </row>
    <row r="1074">
      <c r="A1074" s="704"/>
      <c r="B1074" s="674"/>
      <c r="C1074" s="852"/>
      <c r="D1074" s="656"/>
      <c r="E1074" s="821"/>
      <c r="F1074" s="821"/>
      <c r="G1074" s="821"/>
      <c r="H1074" s="821"/>
      <c r="I1074" s="821"/>
      <c r="J1074" s="821"/>
      <c r="K1074" s="821"/>
      <c r="L1074" s="821"/>
      <c r="M1074" s="677"/>
      <c r="N1074" s="821"/>
      <c r="O1074" s="821"/>
      <c r="P1074" s="677"/>
      <c r="Q1074" s="677"/>
      <c r="R1074" s="677"/>
      <c r="S1074" s="677"/>
      <c r="T1074" s="677"/>
      <c r="U1074" s="677"/>
      <c r="V1074" s="677"/>
      <c r="W1074" s="677"/>
      <c r="X1074" s="677"/>
      <c r="Y1074" s="677"/>
      <c r="Z1074" s="677"/>
      <c r="AA1074" s="677"/>
      <c r="AB1074" s="677"/>
      <c r="AC1074" s="677"/>
      <c r="AD1074" s="677"/>
    </row>
    <row r="1075">
      <c r="A1075" s="704"/>
      <c r="B1075" s="674"/>
      <c r="C1075" s="852"/>
      <c r="D1075" s="656"/>
      <c r="E1075" s="821"/>
      <c r="F1075" s="821"/>
      <c r="G1075" s="821"/>
      <c r="H1075" s="821"/>
      <c r="I1075" s="821"/>
      <c r="J1075" s="821"/>
      <c r="K1075" s="821"/>
      <c r="L1075" s="821"/>
      <c r="M1075" s="677"/>
      <c r="N1075" s="821"/>
      <c r="O1075" s="821"/>
      <c r="P1075" s="677"/>
      <c r="Q1075" s="677"/>
      <c r="R1075" s="677"/>
      <c r="S1075" s="677"/>
      <c r="T1075" s="677"/>
      <c r="U1075" s="677"/>
      <c r="V1075" s="677"/>
      <c r="W1075" s="677"/>
      <c r="X1075" s="677"/>
      <c r="Y1075" s="677"/>
      <c r="Z1075" s="677"/>
      <c r="AA1075" s="677"/>
      <c r="AB1075" s="677"/>
      <c r="AC1075" s="677"/>
      <c r="AD1075" s="677"/>
    </row>
    <row r="1076">
      <c r="A1076" s="704"/>
      <c r="B1076" s="708"/>
      <c r="C1076" s="852"/>
      <c r="D1076" s="656"/>
      <c r="E1076" s="821"/>
      <c r="F1076" s="821"/>
      <c r="G1076" s="821"/>
      <c r="H1076" s="821"/>
      <c r="I1076" s="821"/>
      <c r="J1076" s="821"/>
      <c r="K1076" s="821"/>
      <c r="L1076" s="821"/>
      <c r="M1076" s="677"/>
      <c r="N1076" s="821"/>
      <c r="O1076" s="821"/>
      <c r="P1076" s="677"/>
      <c r="Q1076" s="677"/>
      <c r="R1076" s="677"/>
      <c r="S1076" s="677"/>
      <c r="T1076" s="677"/>
      <c r="U1076" s="677"/>
      <c r="V1076" s="677"/>
      <c r="W1076" s="677"/>
      <c r="X1076" s="677"/>
      <c r="Y1076" s="677"/>
      <c r="Z1076" s="677"/>
      <c r="AA1076" s="677"/>
      <c r="AB1076" s="677"/>
      <c r="AC1076" s="677"/>
      <c r="AD1076" s="677"/>
    </row>
    <row r="1077">
      <c r="A1077" s="704"/>
      <c r="B1077" s="674"/>
      <c r="C1077" s="852"/>
      <c r="D1077" s="656"/>
      <c r="E1077" s="821"/>
      <c r="F1077" s="821"/>
      <c r="G1077" s="821"/>
      <c r="H1077" s="821"/>
      <c r="I1077" s="821"/>
      <c r="J1077" s="821"/>
      <c r="K1077" s="821"/>
      <c r="L1077" s="821"/>
      <c r="M1077" s="677"/>
      <c r="N1077" s="821"/>
      <c r="O1077" s="821"/>
      <c r="P1077" s="677"/>
      <c r="Q1077" s="677"/>
      <c r="R1077" s="677"/>
      <c r="S1077" s="677"/>
      <c r="T1077" s="677"/>
      <c r="U1077" s="677"/>
      <c r="V1077" s="677"/>
      <c r="W1077" s="677"/>
      <c r="X1077" s="677"/>
      <c r="Y1077" s="677"/>
      <c r="Z1077" s="677"/>
      <c r="AA1077" s="677"/>
      <c r="AB1077" s="677"/>
      <c r="AC1077" s="677"/>
      <c r="AD1077" s="677"/>
    </row>
    <row r="1078">
      <c r="A1078" s="704"/>
      <c r="B1078" s="674"/>
      <c r="C1078" s="852"/>
      <c r="D1078" s="656"/>
      <c r="E1078" s="821"/>
      <c r="F1078" s="821"/>
      <c r="G1078" s="821"/>
      <c r="H1078" s="821"/>
      <c r="I1078" s="821"/>
      <c r="J1078" s="821"/>
      <c r="K1078" s="821"/>
      <c r="L1078" s="821"/>
      <c r="M1078" s="677"/>
      <c r="N1078" s="821"/>
      <c r="O1078" s="821"/>
      <c r="P1078" s="677"/>
      <c r="Q1078" s="677"/>
      <c r="R1078" s="677"/>
      <c r="S1078" s="677"/>
      <c r="T1078" s="677"/>
      <c r="U1078" s="677"/>
      <c r="V1078" s="677"/>
      <c r="W1078" s="677"/>
      <c r="X1078" s="677"/>
      <c r="Y1078" s="677"/>
      <c r="Z1078" s="677"/>
      <c r="AA1078" s="677"/>
      <c r="AB1078" s="677"/>
      <c r="AC1078" s="677"/>
      <c r="AD1078" s="677"/>
    </row>
    <row r="1079">
      <c r="A1079" s="704"/>
      <c r="B1079" s="674"/>
      <c r="C1079" s="852"/>
      <c r="D1079" s="656"/>
      <c r="E1079" s="821"/>
      <c r="F1079" s="821"/>
      <c r="G1079" s="821"/>
      <c r="H1079" s="821"/>
      <c r="I1079" s="821"/>
      <c r="J1079" s="821"/>
      <c r="K1079" s="821"/>
      <c r="L1079" s="821"/>
      <c r="M1079" s="677"/>
      <c r="N1079" s="821"/>
      <c r="O1079" s="821"/>
      <c r="P1079" s="677"/>
      <c r="Q1079" s="677"/>
      <c r="R1079" s="677"/>
      <c r="S1079" s="677"/>
      <c r="T1079" s="677"/>
      <c r="U1079" s="677"/>
      <c r="V1079" s="677"/>
      <c r="W1079" s="677"/>
      <c r="X1079" s="677"/>
      <c r="Y1079" s="677"/>
      <c r="Z1079" s="677"/>
      <c r="AA1079" s="677"/>
      <c r="AB1079" s="677"/>
      <c r="AC1079" s="677"/>
      <c r="AD1079" s="677"/>
    </row>
    <row r="1080">
      <c r="A1080" s="704"/>
      <c r="B1080" s="674"/>
      <c r="C1080" s="852"/>
      <c r="D1080" s="656"/>
      <c r="E1080" s="821"/>
      <c r="F1080" s="821"/>
      <c r="G1080" s="821"/>
      <c r="H1080" s="821"/>
      <c r="I1080" s="821"/>
      <c r="J1080" s="821"/>
      <c r="K1080" s="821"/>
      <c r="L1080" s="821"/>
      <c r="M1080" s="677"/>
      <c r="N1080" s="821"/>
      <c r="O1080" s="821"/>
      <c r="P1080" s="677"/>
      <c r="Q1080" s="677"/>
      <c r="R1080" s="677"/>
      <c r="S1080" s="677"/>
      <c r="T1080" s="677"/>
      <c r="U1080" s="677"/>
      <c r="V1080" s="677"/>
      <c r="W1080" s="677"/>
      <c r="X1080" s="677"/>
      <c r="Y1080" s="677"/>
      <c r="Z1080" s="677"/>
      <c r="AA1080" s="677"/>
      <c r="AB1080" s="677"/>
      <c r="AC1080" s="677"/>
      <c r="AD1080" s="677"/>
    </row>
    <row r="1081">
      <c r="A1081" s="704"/>
      <c r="B1081" s="674"/>
      <c r="C1081" s="852"/>
      <c r="D1081" s="656"/>
      <c r="E1081" s="821"/>
      <c r="F1081" s="821"/>
      <c r="G1081" s="821"/>
      <c r="H1081" s="821"/>
      <c r="I1081" s="821"/>
      <c r="J1081" s="821"/>
      <c r="K1081" s="821"/>
      <c r="L1081" s="821"/>
      <c r="M1081" s="677"/>
      <c r="N1081" s="821"/>
      <c r="O1081" s="821"/>
      <c r="P1081" s="677"/>
      <c r="Q1081" s="677"/>
      <c r="R1081" s="677"/>
      <c r="S1081" s="677"/>
      <c r="T1081" s="677"/>
      <c r="U1081" s="677"/>
      <c r="V1081" s="677"/>
      <c r="W1081" s="677"/>
      <c r="X1081" s="677"/>
      <c r="Y1081" s="677"/>
      <c r="Z1081" s="677"/>
      <c r="AA1081" s="677"/>
      <c r="AB1081" s="677"/>
      <c r="AC1081" s="677"/>
      <c r="AD1081" s="677"/>
    </row>
    <row r="1082">
      <c r="A1082" s="704"/>
      <c r="B1082" s="674"/>
      <c r="C1082" s="852"/>
      <c r="D1082" s="656"/>
      <c r="E1082" s="821"/>
      <c r="F1082" s="821"/>
      <c r="G1082" s="821"/>
      <c r="H1082" s="821"/>
      <c r="I1082" s="821"/>
      <c r="J1082" s="821"/>
      <c r="K1082" s="821"/>
      <c r="L1082" s="821"/>
      <c r="M1082" s="677"/>
      <c r="N1082" s="821"/>
      <c r="O1082" s="821"/>
      <c r="P1082" s="677"/>
      <c r="Q1082" s="677"/>
      <c r="R1082" s="677"/>
      <c r="S1082" s="677"/>
      <c r="T1082" s="677"/>
      <c r="U1082" s="677"/>
      <c r="V1082" s="677"/>
      <c r="W1082" s="677"/>
      <c r="X1082" s="677"/>
      <c r="Y1082" s="677"/>
      <c r="Z1082" s="677"/>
      <c r="AA1082" s="677"/>
      <c r="AB1082" s="677"/>
      <c r="AC1082" s="677"/>
      <c r="AD1082" s="677"/>
    </row>
    <row r="1083">
      <c r="A1083" s="704"/>
      <c r="B1083" s="674"/>
      <c r="C1083" s="852"/>
      <c r="D1083" s="656"/>
      <c r="E1083" s="821"/>
      <c r="F1083" s="821"/>
      <c r="G1083" s="821"/>
      <c r="H1083" s="821"/>
      <c r="I1083" s="821"/>
      <c r="J1083" s="821"/>
      <c r="K1083" s="821"/>
      <c r="L1083" s="821"/>
      <c r="M1083" s="677"/>
      <c r="N1083" s="821"/>
      <c r="O1083" s="821"/>
      <c r="P1083" s="677"/>
      <c r="Q1083" s="677"/>
      <c r="R1083" s="677"/>
      <c r="S1083" s="677"/>
      <c r="T1083" s="677"/>
      <c r="U1083" s="677"/>
      <c r="V1083" s="677"/>
      <c r="W1083" s="677"/>
      <c r="X1083" s="677"/>
      <c r="Y1083" s="677"/>
      <c r="Z1083" s="677"/>
      <c r="AA1083" s="677"/>
      <c r="AB1083" s="677"/>
      <c r="AC1083" s="677"/>
      <c r="AD1083" s="677"/>
    </row>
    <row r="1084">
      <c r="A1084" s="704"/>
      <c r="B1084" s="674"/>
      <c r="C1084" s="852"/>
      <c r="D1084" s="656"/>
      <c r="E1084" s="821"/>
      <c r="F1084" s="821"/>
      <c r="G1084" s="821"/>
      <c r="H1084" s="821"/>
      <c r="I1084" s="821"/>
      <c r="J1084" s="821"/>
      <c r="K1084" s="821"/>
      <c r="L1084" s="821"/>
      <c r="M1084" s="677"/>
      <c r="N1084" s="821"/>
      <c r="O1084" s="821"/>
      <c r="P1084" s="677"/>
      <c r="Q1084" s="677"/>
      <c r="R1084" s="677"/>
      <c r="S1084" s="677"/>
      <c r="T1084" s="677"/>
      <c r="U1084" s="677"/>
      <c r="V1084" s="677"/>
      <c r="W1084" s="677"/>
      <c r="X1084" s="677"/>
      <c r="Y1084" s="677"/>
      <c r="Z1084" s="677"/>
      <c r="AA1084" s="677"/>
      <c r="AB1084" s="677"/>
      <c r="AC1084" s="677"/>
      <c r="AD1084" s="677"/>
    </row>
    <row r="1085">
      <c r="A1085" s="704"/>
      <c r="B1085" s="674"/>
      <c r="C1085" s="852"/>
      <c r="D1085" s="656"/>
      <c r="E1085" s="821"/>
      <c r="F1085" s="821"/>
      <c r="G1085" s="821"/>
      <c r="H1085" s="821"/>
      <c r="I1085" s="821"/>
      <c r="J1085" s="821"/>
      <c r="K1085" s="821"/>
      <c r="L1085" s="821"/>
      <c r="M1085" s="677"/>
      <c r="N1085" s="821"/>
      <c r="O1085" s="821"/>
      <c r="P1085" s="677"/>
      <c r="Q1085" s="677"/>
      <c r="R1085" s="677"/>
      <c r="S1085" s="677"/>
      <c r="T1085" s="677"/>
      <c r="U1085" s="677"/>
      <c r="V1085" s="677"/>
      <c r="W1085" s="677"/>
      <c r="X1085" s="677"/>
      <c r="Y1085" s="677"/>
      <c r="Z1085" s="677"/>
      <c r="AA1085" s="677"/>
      <c r="AB1085" s="677"/>
      <c r="AC1085" s="677"/>
      <c r="AD1085" s="677"/>
    </row>
    <row r="1086">
      <c r="A1086" s="704"/>
      <c r="B1086" s="674"/>
      <c r="C1086" s="852"/>
      <c r="D1086" s="656"/>
      <c r="E1086" s="821"/>
      <c r="F1086" s="821"/>
      <c r="G1086" s="821"/>
      <c r="H1086" s="821"/>
      <c r="I1086" s="821"/>
      <c r="J1086" s="821"/>
      <c r="K1086" s="821"/>
      <c r="L1086" s="821"/>
      <c r="M1086" s="677"/>
      <c r="N1086" s="821"/>
      <c r="O1086" s="821"/>
      <c r="P1086" s="677"/>
      <c r="Q1086" s="677"/>
      <c r="R1086" s="677"/>
      <c r="S1086" s="677"/>
      <c r="T1086" s="677"/>
      <c r="U1086" s="677"/>
      <c r="V1086" s="677"/>
      <c r="W1086" s="677"/>
      <c r="X1086" s="677"/>
      <c r="Y1086" s="677"/>
      <c r="Z1086" s="677"/>
      <c r="AA1086" s="677"/>
      <c r="AB1086" s="677"/>
      <c r="AC1086" s="677"/>
      <c r="AD1086" s="677"/>
    </row>
    <row r="1087">
      <c r="A1087" s="704"/>
      <c r="B1087" s="674"/>
      <c r="C1087" s="852"/>
      <c r="D1087" s="656"/>
      <c r="E1087" s="821"/>
      <c r="F1087" s="821"/>
      <c r="G1087" s="821"/>
      <c r="H1087" s="821"/>
      <c r="I1087" s="821"/>
      <c r="J1087" s="821"/>
      <c r="K1087" s="821"/>
      <c r="L1087" s="821"/>
      <c r="M1087" s="677"/>
      <c r="N1087" s="821"/>
      <c r="O1087" s="821"/>
      <c r="P1087" s="677"/>
      <c r="Q1087" s="677"/>
      <c r="R1087" s="677"/>
      <c r="S1087" s="677"/>
      <c r="T1087" s="677"/>
      <c r="U1087" s="677"/>
      <c r="V1087" s="677"/>
      <c r="W1087" s="677"/>
      <c r="X1087" s="677"/>
      <c r="Y1087" s="677"/>
      <c r="Z1087" s="677"/>
      <c r="AA1087" s="677"/>
      <c r="AB1087" s="677"/>
      <c r="AC1087" s="677"/>
      <c r="AD1087" s="677"/>
    </row>
    <row r="1088">
      <c r="A1088" s="704"/>
      <c r="B1088" s="674"/>
      <c r="C1088" s="852"/>
      <c r="D1088" s="656"/>
      <c r="E1088" s="821"/>
      <c r="F1088" s="821"/>
      <c r="G1088" s="821"/>
      <c r="H1088" s="821"/>
      <c r="I1088" s="821"/>
      <c r="J1088" s="821"/>
      <c r="K1088" s="821"/>
      <c r="L1088" s="821"/>
      <c r="M1088" s="677"/>
      <c r="N1088" s="821"/>
      <c r="O1088" s="821"/>
      <c r="P1088" s="677"/>
      <c r="Q1088" s="677"/>
      <c r="R1088" s="677"/>
      <c r="S1088" s="677"/>
      <c r="T1088" s="677"/>
      <c r="U1088" s="677"/>
      <c r="V1088" s="677"/>
      <c r="W1088" s="677"/>
      <c r="X1088" s="677"/>
      <c r="Y1088" s="677"/>
      <c r="Z1088" s="677"/>
      <c r="AA1088" s="677"/>
      <c r="AB1088" s="677"/>
      <c r="AC1088" s="677"/>
      <c r="AD1088" s="677"/>
    </row>
    <row r="1089">
      <c r="A1089" s="704"/>
      <c r="B1089" s="708"/>
      <c r="C1089" s="852"/>
      <c r="D1089" s="656"/>
      <c r="E1089" s="821"/>
      <c r="F1089" s="821"/>
      <c r="G1089" s="821"/>
      <c r="H1089" s="821"/>
      <c r="I1089" s="821"/>
      <c r="J1089" s="821"/>
      <c r="K1089" s="821"/>
      <c r="L1089" s="821"/>
      <c r="M1089" s="677"/>
      <c r="N1089" s="821"/>
      <c r="O1089" s="821"/>
      <c r="P1089" s="677"/>
      <c r="Q1089" s="677"/>
      <c r="R1089" s="677"/>
      <c r="S1089" s="677"/>
      <c r="T1089" s="677"/>
      <c r="U1089" s="677"/>
      <c r="V1089" s="677"/>
      <c r="W1089" s="677"/>
      <c r="X1089" s="677"/>
      <c r="Y1089" s="677"/>
      <c r="Z1089" s="677"/>
      <c r="AA1089" s="677"/>
      <c r="AB1089" s="677"/>
      <c r="AC1089" s="677"/>
      <c r="AD1089" s="677"/>
    </row>
    <row r="1090">
      <c r="A1090" s="704"/>
      <c r="B1090" s="674"/>
      <c r="C1090" s="852"/>
      <c r="D1090" s="656"/>
      <c r="E1090" s="821"/>
      <c r="F1090" s="821"/>
      <c r="G1090" s="821"/>
      <c r="H1090" s="821"/>
      <c r="I1090" s="821"/>
      <c r="J1090" s="821"/>
      <c r="K1090" s="821"/>
      <c r="L1090" s="821"/>
      <c r="M1090" s="677"/>
      <c r="N1090" s="821"/>
      <c r="O1090" s="821"/>
      <c r="P1090" s="677"/>
      <c r="Q1090" s="677"/>
      <c r="R1090" s="677"/>
      <c r="S1090" s="677"/>
      <c r="T1090" s="677"/>
      <c r="U1090" s="677"/>
      <c r="V1090" s="677"/>
      <c r="W1090" s="677"/>
      <c r="X1090" s="677"/>
      <c r="Y1090" s="677"/>
      <c r="Z1090" s="677"/>
      <c r="AA1090" s="677"/>
      <c r="AB1090" s="677"/>
      <c r="AC1090" s="677"/>
      <c r="AD1090" s="677"/>
    </row>
    <row r="1091">
      <c r="A1091" s="704"/>
      <c r="B1091" s="674"/>
      <c r="C1091" s="852"/>
      <c r="D1091" s="656"/>
      <c r="E1091" s="821"/>
      <c r="F1091" s="821"/>
      <c r="G1091" s="821"/>
      <c r="H1091" s="821"/>
      <c r="I1091" s="821"/>
      <c r="J1091" s="821"/>
      <c r="K1091" s="821"/>
      <c r="L1091" s="821"/>
      <c r="M1091" s="677"/>
      <c r="N1091" s="821"/>
      <c r="O1091" s="821"/>
      <c r="P1091" s="677"/>
      <c r="Q1091" s="677"/>
      <c r="R1091" s="677"/>
      <c r="S1091" s="677"/>
      <c r="T1091" s="677"/>
      <c r="U1091" s="677"/>
      <c r="V1091" s="677"/>
      <c r="W1091" s="677"/>
      <c r="X1091" s="677"/>
      <c r="Y1091" s="677"/>
      <c r="Z1091" s="677"/>
      <c r="AA1091" s="677"/>
      <c r="AB1091" s="677"/>
      <c r="AC1091" s="677"/>
      <c r="AD1091" s="677"/>
    </row>
    <row r="1092">
      <c r="A1092" s="704"/>
      <c r="B1092" s="708"/>
      <c r="C1092" s="852"/>
      <c r="D1092" s="656"/>
      <c r="E1092" s="821"/>
      <c r="F1092" s="821"/>
      <c r="G1092" s="821"/>
      <c r="H1092" s="821"/>
      <c r="I1092" s="821"/>
      <c r="J1092" s="821"/>
      <c r="K1092" s="821"/>
      <c r="L1092" s="821"/>
      <c r="M1092" s="677"/>
      <c r="N1092" s="821"/>
      <c r="O1092" s="821"/>
      <c r="P1092" s="677"/>
      <c r="Q1092" s="677"/>
      <c r="R1092" s="677"/>
      <c r="S1092" s="677"/>
      <c r="T1092" s="677"/>
      <c r="U1092" s="677"/>
      <c r="V1092" s="677"/>
      <c r="W1092" s="677"/>
      <c r="X1092" s="677"/>
      <c r="Y1092" s="677"/>
      <c r="Z1092" s="677"/>
      <c r="AA1092" s="677"/>
      <c r="AB1092" s="677"/>
      <c r="AC1092" s="677"/>
      <c r="AD1092" s="677"/>
    </row>
    <row r="1093">
      <c r="A1093" s="704"/>
      <c r="B1093" s="708"/>
      <c r="C1093" s="852"/>
      <c r="D1093" s="656"/>
      <c r="E1093" s="821"/>
      <c r="F1093" s="821"/>
      <c r="G1093" s="821"/>
      <c r="H1093" s="821"/>
      <c r="I1093" s="821"/>
      <c r="J1093" s="821"/>
      <c r="K1093" s="821"/>
      <c r="L1093" s="821"/>
      <c r="M1093" s="677"/>
      <c r="N1093" s="821"/>
      <c r="O1093" s="821"/>
      <c r="P1093" s="677"/>
      <c r="Q1093" s="677"/>
      <c r="R1093" s="677"/>
      <c r="S1093" s="677"/>
      <c r="T1093" s="677"/>
      <c r="U1093" s="677"/>
      <c r="V1093" s="677"/>
      <c r="W1093" s="677"/>
      <c r="X1093" s="677"/>
      <c r="Y1093" s="677"/>
      <c r="Z1093" s="677"/>
      <c r="AA1093" s="677"/>
      <c r="AB1093" s="677"/>
      <c r="AC1093" s="677"/>
      <c r="AD1093" s="677"/>
    </row>
    <row r="1094">
      <c r="A1094" s="704"/>
      <c r="B1094" s="674"/>
      <c r="C1094" s="852"/>
      <c r="D1094" s="656"/>
      <c r="E1094" s="821"/>
      <c r="F1094" s="821"/>
      <c r="G1094" s="821"/>
      <c r="H1094" s="821"/>
      <c r="I1094" s="821"/>
      <c r="J1094" s="821"/>
      <c r="K1094" s="821"/>
      <c r="L1094" s="821"/>
      <c r="M1094" s="677"/>
      <c r="N1094" s="821"/>
      <c r="O1094" s="821"/>
      <c r="P1094" s="677"/>
      <c r="Q1094" s="677"/>
      <c r="R1094" s="677"/>
      <c r="S1094" s="677"/>
      <c r="T1094" s="677"/>
      <c r="U1094" s="677"/>
      <c r="V1094" s="677"/>
      <c r="W1094" s="677"/>
      <c r="X1094" s="677"/>
      <c r="Y1094" s="677"/>
      <c r="Z1094" s="677"/>
      <c r="AA1094" s="677"/>
      <c r="AB1094" s="677"/>
      <c r="AC1094" s="677"/>
      <c r="AD1094" s="677"/>
    </row>
    <row r="1095">
      <c r="A1095" s="704"/>
      <c r="B1095" s="674"/>
      <c r="C1095" s="852"/>
      <c r="D1095" s="656"/>
      <c r="E1095" s="821"/>
      <c r="F1095" s="821"/>
      <c r="G1095" s="821"/>
      <c r="H1095" s="821"/>
      <c r="I1095" s="821"/>
      <c r="J1095" s="821"/>
      <c r="K1095" s="821"/>
      <c r="L1095" s="821"/>
      <c r="M1095" s="677"/>
      <c r="N1095" s="821"/>
      <c r="O1095" s="821"/>
      <c r="P1095" s="677"/>
      <c r="Q1095" s="677"/>
      <c r="R1095" s="677"/>
      <c r="S1095" s="677"/>
      <c r="T1095" s="677"/>
      <c r="U1095" s="677"/>
      <c r="V1095" s="677"/>
      <c r="W1095" s="677"/>
      <c r="X1095" s="677"/>
      <c r="Y1095" s="677"/>
      <c r="Z1095" s="677"/>
      <c r="AA1095" s="677"/>
      <c r="AB1095" s="677"/>
      <c r="AC1095" s="677"/>
      <c r="AD1095" s="677"/>
    </row>
    <row r="1096">
      <c r="A1096" s="704"/>
      <c r="B1096" s="708"/>
      <c r="C1096" s="852"/>
      <c r="D1096" s="656"/>
      <c r="E1096" s="821"/>
      <c r="F1096" s="821"/>
      <c r="G1096" s="821"/>
      <c r="H1096" s="821"/>
      <c r="I1096" s="821"/>
      <c r="J1096" s="821"/>
      <c r="K1096" s="821"/>
      <c r="L1096" s="821"/>
      <c r="M1096" s="677"/>
      <c r="N1096" s="821"/>
      <c r="O1096" s="821"/>
      <c r="P1096" s="677"/>
      <c r="Q1096" s="677"/>
      <c r="R1096" s="677"/>
      <c r="S1096" s="677"/>
      <c r="T1096" s="677"/>
      <c r="U1096" s="677"/>
      <c r="V1096" s="677"/>
      <c r="W1096" s="677"/>
      <c r="X1096" s="677"/>
      <c r="Y1096" s="677"/>
      <c r="Z1096" s="677"/>
      <c r="AA1096" s="677"/>
      <c r="AB1096" s="677"/>
      <c r="AC1096" s="677"/>
      <c r="AD1096" s="677"/>
    </row>
    <row r="1097">
      <c r="A1097" s="704"/>
      <c r="B1097" s="674"/>
      <c r="C1097" s="852"/>
      <c r="D1097" s="656"/>
      <c r="E1097" s="821"/>
      <c r="F1097" s="821"/>
      <c r="G1097" s="821"/>
      <c r="H1097" s="821"/>
      <c r="I1097" s="821"/>
      <c r="J1097" s="821"/>
      <c r="K1097" s="821"/>
      <c r="L1097" s="821"/>
      <c r="M1097" s="677"/>
      <c r="N1097" s="821"/>
      <c r="O1097" s="821"/>
      <c r="P1097" s="677"/>
      <c r="Q1097" s="677"/>
      <c r="R1097" s="677"/>
      <c r="S1097" s="677"/>
      <c r="T1097" s="677"/>
      <c r="U1097" s="677"/>
      <c r="V1097" s="677"/>
      <c r="W1097" s="677"/>
      <c r="X1097" s="677"/>
      <c r="Y1097" s="677"/>
      <c r="Z1097" s="677"/>
      <c r="AA1097" s="677"/>
      <c r="AB1097" s="677"/>
      <c r="AC1097" s="677"/>
      <c r="AD1097" s="677"/>
    </row>
    <row r="1098">
      <c r="A1098" s="704"/>
      <c r="B1098" s="674"/>
      <c r="C1098" s="852"/>
      <c r="D1098" s="656"/>
      <c r="E1098" s="821"/>
      <c r="F1098" s="821"/>
      <c r="G1098" s="821"/>
      <c r="H1098" s="821"/>
      <c r="I1098" s="821"/>
      <c r="J1098" s="821"/>
      <c r="K1098" s="821"/>
      <c r="L1098" s="821"/>
      <c r="M1098" s="677"/>
      <c r="N1098" s="821"/>
      <c r="O1098" s="821"/>
      <c r="P1098" s="677"/>
      <c r="Q1098" s="677"/>
      <c r="R1098" s="677"/>
      <c r="S1098" s="677"/>
      <c r="T1098" s="677"/>
      <c r="U1098" s="677"/>
      <c r="V1098" s="677"/>
      <c r="W1098" s="677"/>
      <c r="X1098" s="677"/>
      <c r="Y1098" s="677"/>
      <c r="Z1098" s="677"/>
      <c r="AA1098" s="677"/>
      <c r="AB1098" s="677"/>
      <c r="AC1098" s="677"/>
      <c r="AD1098" s="677"/>
    </row>
    <row r="1099">
      <c r="A1099" s="704"/>
      <c r="B1099" s="674"/>
      <c r="C1099" s="852"/>
      <c r="D1099" s="656"/>
      <c r="E1099" s="821"/>
      <c r="F1099" s="821"/>
      <c r="G1099" s="821"/>
      <c r="H1099" s="821"/>
      <c r="I1099" s="821"/>
      <c r="J1099" s="821"/>
      <c r="K1099" s="821"/>
      <c r="L1099" s="821"/>
      <c r="M1099" s="677"/>
      <c r="N1099" s="821"/>
      <c r="O1099" s="821"/>
      <c r="P1099" s="677"/>
      <c r="Q1099" s="677"/>
      <c r="R1099" s="677"/>
      <c r="S1099" s="677"/>
      <c r="T1099" s="677"/>
      <c r="U1099" s="677"/>
      <c r="V1099" s="677"/>
      <c r="W1099" s="677"/>
      <c r="X1099" s="677"/>
      <c r="Y1099" s="677"/>
      <c r="Z1099" s="677"/>
      <c r="AA1099" s="677"/>
      <c r="AB1099" s="677"/>
      <c r="AC1099" s="677"/>
      <c r="AD1099" s="677"/>
    </row>
    <row r="1100">
      <c r="A1100" s="704"/>
      <c r="B1100" s="674"/>
      <c r="C1100" s="852"/>
      <c r="D1100" s="656"/>
      <c r="E1100" s="821"/>
      <c r="F1100" s="821"/>
      <c r="G1100" s="821"/>
      <c r="H1100" s="821"/>
      <c r="I1100" s="821"/>
      <c r="J1100" s="821"/>
      <c r="K1100" s="821"/>
      <c r="L1100" s="821"/>
      <c r="M1100" s="677"/>
      <c r="N1100" s="821"/>
      <c r="O1100" s="821"/>
      <c r="P1100" s="677"/>
      <c r="Q1100" s="677"/>
      <c r="R1100" s="677"/>
      <c r="S1100" s="677"/>
      <c r="T1100" s="677"/>
      <c r="U1100" s="677"/>
      <c r="V1100" s="677"/>
      <c r="W1100" s="677"/>
      <c r="X1100" s="677"/>
      <c r="Y1100" s="677"/>
      <c r="Z1100" s="677"/>
      <c r="AA1100" s="677"/>
      <c r="AB1100" s="677"/>
      <c r="AC1100" s="677"/>
      <c r="AD1100" s="677"/>
    </row>
    <row r="1101">
      <c r="A1101" s="704"/>
      <c r="B1101" s="674"/>
      <c r="C1101" s="852"/>
      <c r="D1101" s="656"/>
      <c r="E1101" s="821"/>
      <c r="F1101" s="821"/>
      <c r="G1101" s="821"/>
      <c r="H1101" s="821"/>
      <c r="I1101" s="821"/>
      <c r="J1101" s="821"/>
      <c r="K1101" s="821"/>
      <c r="L1101" s="821"/>
      <c r="M1101" s="677"/>
      <c r="N1101" s="821"/>
      <c r="O1101" s="821"/>
      <c r="P1101" s="677"/>
      <c r="Q1101" s="677"/>
      <c r="R1101" s="677"/>
      <c r="S1101" s="677"/>
      <c r="T1101" s="677"/>
      <c r="U1101" s="677"/>
      <c r="V1101" s="677"/>
      <c r="W1101" s="677"/>
      <c r="X1101" s="677"/>
      <c r="Y1101" s="677"/>
      <c r="Z1101" s="677"/>
      <c r="AA1101" s="677"/>
      <c r="AB1101" s="677"/>
      <c r="AC1101" s="677"/>
      <c r="AD1101" s="677"/>
    </row>
    <row r="1102">
      <c r="A1102" s="704"/>
      <c r="B1102" s="674"/>
      <c r="C1102" s="852"/>
      <c r="D1102" s="656"/>
      <c r="E1102" s="821"/>
      <c r="F1102" s="821"/>
      <c r="G1102" s="821"/>
      <c r="H1102" s="821"/>
      <c r="I1102" s="821"/>
      <c r="J1102" s="821"/>
      <c r="K1102" s="821"/>
      <c r="L1102" s="821"/>
      <c r="M1102" s="677"/>
      <c r="N1102" s="821"/>
      <c r="O1102" s="821"/>
      <c r="P1102" s="677"/>
      <c r="Q1102" s="677"/>
      <c r="R1102" s="677"/>
      <c r="S1102" s="677"/>
      <c r="T1102" s="677"/>
      <c r="U1102" s="677"/>
      <c r="V1102" s="677"/>
      <c r="W1102" s="677"/>
      <c r="X1102" s="677"/>
      <c r="Y1102" s="677"/>
      <c r="Z1102" s="677"/>
      <c r="AA1102" s="677"/>
      <c r="AB1102" s="677"/>
      <c r="AC1102" s="677"/>
      <c r="AD1102" s="677"/>
    </row>
    <row r="1103">
      <c r="A1103" s="704"/>
      <c r="B1103" s="674"/>
      <c r="C1103" s="852"/>
      <c r="D1103" s="656"/>
      <c r="E1103" s="821"/>
      <c r="F1103" s="821"/>
      <c r="G1103" s="821"/>
      <c r="H1103" s="821"/>
      <c r="I1103" s="821"/>
      <c r="J1103" s="821"/>
      <c r="K1103" s="821"/>
      <c r="L1103" s="821"/>
      <c r="M1103" s="677"/>
      <c r="N1103" s="821"/>
      <c r="O1103" s="821"/>
      <c r="P1103" s="677"/>
      <c r="Q1103" s="677"/>
      <c r="R1103" s="677"/>
      <c r="S1103" s="677"/>
      <c r="T1103" s="677"/>
      <c r="U1103" s="677"/>
      <c r="V1103" s="677"/>
      <c r="W1103" s="677"/>
      <c r="X1103" s="677"/>
      <c r="Y1103" s="677"/>
      <c r="Z1103" s="677"/>
      <c r="AA1103" s="677"/>
      <c r="AB1103" s="677"/>
      <c r="AC1103" s="677"/>
      <c r="AD1103" s="677"/>
    </row>
    <row r="1104">
      <c r="A1104" s="704"/>
      <c r="B1104" s="674"/>
      <c r="C1104" s="852"/>
      <c r="D1104" s="656"/>
      <c r="E1104" s="821"/>
      <c r="F1104" s="821"/>
      <c r="G1104" s="821"/>
      <c r="H1104" s="821"/>
      <c r="I1104" s="821"/>
      <c r="J1104" s="821"/>
      <c r="K1104" s="821"/>
      <c r="L1104" s="821"/>
      <c r="M1104" s="677"/>
      <c r="N1104" s="821"/>
      <c r="O1104" s="821"/>
      <c r="P1104" s="677"/>
      <c r="Q1104" s="677"/>
      <c r="R1104" s="677"/>
      <c r="S1104" s="677"/>
      <c r="T1104" s="677"/>
      <c r="U1104" s="677"/>
      <c r="V1104" s="677"/>
      <c r="W1104" s="677"/>
      <c r="X1104" s="677"/>
      <c r="Y1104" s="677"/>
      <c r="Z1104" s="677"/>
      <c r="AA1104" s="677"/>
      <c r="AB1104" s="677"/>
      <c r="AC1104" s="677"/>
      <c r="AD1104" s="677"/>
    </row>
    <row r="1105">
      <c r="A1105" s="704"/>
      <c r="B1105" s="674"/>
      <c r="C1105" s="852"/>
      <c r="D1105" s="656"/>
      <c r="E1105" s="821"/>
      <c r="F1105" s="821"/>
      <c r="G1105" s="821"/>
      <c r="H1105" s="821"/>
      <c r="I1105" s="821"/>
      <c r="J1105" s="821"/>
      <c r="K1105" s="821"/>
      <c r="L1105" s="821"/>
      <c r="M1105" s="677"/>
      <c r="N1105" s="821"/>
      <c r="O1105" s="821"/>
      <c r="P1105" s="677"/>
      <c r="Q1105" s="677"/>
      <c r="R1105" s="677"/>
      <c r="S1105" s="677"/>
      <c r="T1105" s="677"/>
      <c r="U1105" s="677"/>
      <c r="V1105" s="677"/>
      <c r="W1105" s="677"/>
      <c r="X1105" s="677"/>
      <c r="Y1105" s="677"/>
      <c r="Z1105" s="677"/>
      <c r="AA1105" s="677"/>
      <c r="AB1105" s="677"/>
      <c r="AC1105" s="677"/>
      <c r="AD1105" s="677"/>
    </row>
    <row r="1106">
      <c r="A1106" s="704"/>
      <c r="B1106" s="674"/>
      <c r="C1106" s="852"/>
      <c r="D1106" s="656"/>
      <c r="E1106" s="821"/>
      <c r="F1106" s="821"/>
      <c r="G1106" s="821"/>
      <c r="H1106" s="821"/>
      <c r="I1106" s="821"/>
      <c r="J1106" s="821"/>
      <c r="K1106" s="821"/>
      <c r="L1106" s="821"/>
      <c r="M1106" s="677"/>
      <c r="N1106" s="821"/>
      <c r="O1106" s="821"/>
      <c r="P1106" s="677"/>
      <c r="Q1106" s="677"/>
      <c r="R1106" s="677"/>
      <c r="S1106" s="677"/>
      <c r="T1106" s="677"/>
      <c r="U1106" s="677"/>
      <c r="V1106" s="677"/>
      <c r="W1106" s="677"/>
      <c r="X1106" s="677"/>
      <c r="Y1106" s="677"/>
      <c r="Z1106" s="677"/>
      <c r="AA1106" s="677"/>
      <c r="AB1106" s="677"/>
      <c r="AC1106" s="677"/>
      <c r="AD1106" s="677"/>
    </row>
    <row r="1107">
      <c r="A1107" s="704"/>
      <c r="B1107" s="674"/>
      <c r="C1107" s="852"/>
      <c r="D1107" s="656"/>
      <c r="E1107" s="821"/>
      <c r="F1107" s="821"/>
      <c r="G1107" s="821"/>
      <c r="H1107" s="821"/>
      <c r="I1107" s="821"/>
      <c r="J1107" s="821"/>
      <c r="K1107" s="821"/>
      <c r="L1107" s="821"/>
      <c r="M1107" s="677"/>
      <c r="N1107" s="821"/>
      <c r="O1107" s="821"/>
      <c r="P1107" s="677"/>
      <c r="Q1107" s="677"/>
      <c r="R1107" s="677"/>
      <c r="S1107" s="677"/>
      <c r="T1107" s="677"/>
      <c r="U1107" s="677"/>
      <c r="V1107" s="677"/>
      <c r="W1107" s="677"/>
      <c r="X1107" s="677"/>
      <c r="Y1107" s="677"/>
      <c r="Z1107" s="677"/>
      <c r="AA1107" s="677"/>
      <c r="AB1107" s="677"/>
      <c r="AC1107" s="677"/>
      <c r="AD1107" s="677"/>
    </row>
    <row r="1108">
      <c r="A1108" s="704"/>
      <c r="B1108" s="674"/>
      <c r="C1108" s="852"/>
      <c r="D1108" s="656"/>
      <c r="E1108" s="821"/>
      <c r="F1108" s="821"/>
      <c r="G1108" s="821"/>
      <c r="H1108" s="821"/>
      <c r="I1108" s="821"/>
      <c r="J1108" s="821"/>
      <c r="K1108" s="821"/>
      <c r="L1108" s="821"/>
      <c r="M1108" s="677"/>
      <c r="N1108" s="821"/>
      <c r="O1108" s="821"/>
      <c r="P1108" s="677"/>
      <c r="Q1108" s="677"/>
      <c r="R1108" s="677"/>
      <c r="S1108" s="677"/>
      <c r="T1108" s="677"/>
      <c r="U1108" s="677"/>
      <c r="V1108" s="677"/>
      <c r="W1108" s="677"/>
      <c r="X1108" s="677"/>
      <c r="Y1108" s="677"/>
      <c r="Z1108" s="677"/>
      <c r="AA1108" s="677"/>
      <c r="AB1108" s="677"/>
      <c r="AC1108" s="677"/>
      <c r="AD1108" s="677"/>
    </row>
    <row r="1109">
      <c r="A1109" s="704"/>
      <c r="B1109" s="674"/>
      <c r="C1109" s="852"/>
      <c r="D1109" s="656"/>
      <c r="E1109" s="821"/>
      <c r="F1109" s="821"/>
      <c r="G1109" s="821"/>
      <c r="H1109" s="821"/>
      <c r="I1109" s="821"/>
      <c r="J1109" s="821"/>
      <c r="K1109" s="821"/>
      <c r="L1109" s="821"/>
      <c r="M1109" s="677"/>
      <c r="N1109" s="821"/>
      <c r="O1109" s="821"/>
      <c r="P1109" s="677"/>
      <c r="Q1109" s="677"/>
      <c r="R1109" s="677"/>
      <c r="S1109" s="677"/>
      <c r="T1109" s="677"/>
      <c r="U1109" s="677"/>
      <c r="V1109" s="677"/>
      <c r="W1109" s="677"/>
      <c r="X1109" s="677"/>
      <c r="Y1109" s="677"/>
      <c r="Z1109" s="677"/>
      <c r="AA1109" s="677"/>
      <c r="AB1109" s="677"/>
      <c r="AC1109" s="677"/>
      <c r="AD1109" s="677"/>
    </row>
    <row r="1110">
      <c r="A1110" s="704"/>
      <c r="B1110" s="674"/>
      <c r="C1110" s="852"/>
      <c r="D1110" s="656"/>
      <c r="E1110" s="821"/>
      <c r="F1110" s="821"/>
      <c r="G1110" s="821"/>
      <c r="H1110" s="821"/>
      <c r="I1110" s="821"/>
      <c r="J1110" s="821"/>
      <c r="K1110" s="821"/>
      <c r="L1110" s="821"/>
      <c r="M1110" s="677"/>
      <c r="N1110" s="821"/>
      <c r="O1110" s="821"/>
      <c r="P1110" s="677"/>
      <c r="Q1110" s="677"/>
      <c r="R1110" s="677"/>
      <c r="S1110" s="677"/>
      <c r="T1110" s="677"/>
      <c r="U1110" s="677"/>
      <c r="V1110" s="677"/>
      <c r="W1110" s="677"/>
      <c r="X1110" s="677"/>
      <c r="Y1110" s="677"/>
      <c r="Z1110" s="677"/>
      <c r="AA1110" s="677"/>
      <c r="AB1110" s="677"/>
      <c r="AC1110" s="677"/>
      <c r="AD1110" s="677"/>
    </row>
    <row r="1111">
      <c r="A1111" s="704"/>
      <c r="B1111" s="674"/>
      <c r="C1111" s="852"/>
      <c r="D1111" s="656"/>
      <c r="E1111" s="821"/>
      <c r="F1111" s="821"/>
      <c r="G1111" s="821"/>
      <c r="H1111" s="821"/>
      <c r="I1111" s="821"/>
      <c r="J1111" s="821"/>
      <c r="K1111" s="821"/>
      <c r="L1111" s="821"/>
      <c r="M1111" s="677"/>
      <c r="N1111" s="821"/>
      <c r="O1111" s="821"/>
      <c r="P1111" s="677"/>
      <c r="Q1111" s="677"/>
      <c r="R1111" s="677"/>
      <c r="S1111" s="677"/>
      <c r="T1111" s="677"/>
      <c r="U1111" s="677"/>
      <c r="V1111" s="677"/>
      <c r="W1111" s="677"/>
      <c r="X1111" s="677"/>
      <c r="Y1111" s="677"/>
      <c r="Z1111" s="677"/>
      <c r="AA1111" s="677"/>
      <c r="AB1111" s="677"/>
      <c r="AC1111" s="677"/>
      <c r="AD1111" s="677"/>
    </row>
    <row r="1112">
      <c r="A1112" s="704"/>
      <c r="B1112" s="674"/>
      <c r="C1112" s="852"/>
      <c r="D1112" s="656"/>
      <c r="E1112" s="821"/>
      <c r="F1112" s="821"/>
      <c r="G1112" s="821"/>
      <c r="H1112" s="821"/>
      <c r="I1112" s="821"/>
      <c r="J1112" s="821"/>
      <c r="K1112" s="821"/>
      <c r="L1112" s="821"/>
      <c r="M1112" s="677"/>
      <c r="N1112" s="821"/>
      <c r="O1112" s="821"/>
      <c r="P1112" s="677"/>
      <c r="Q1112" s="677"/>
      <c r="R1112" s="677"/>
      <c r="S1112" s="677"/>
      <c r="T1112" s="677"/>
      <c r="U1112" s="677"/>
      <c r="V1112" s="677"/>
      <c r="W1112" s="677"/>
      <c r="X1112" s="677"/>
      <c r="Y1112" s="677"/>
      <c r="Z1112" s="677"/>
      <c r="AA1112" s="677"/>
      <c r="AB1112" s="677"/>
      <c r="AC1112" s="677"/>
      <c r="AD1112" s="677"/>
    </row>
    <row r="1113">
      <c r="A1113" s="704"/>
      <c r="B1113" s="674"/>
      <c r="C1113" s="852"/>
      <c r="D1113" s="656"/>
      <c r="E1113" s="821"/>
      <c r="F1113" s="821"/>
      <c r="G1113" s="821"/>
      <c r="H1113" s="821"/>
      <c r="I1113" s="821"/>
      <c r="J1113" s="821"/>
      <c r="K1113" s="821"/>
      <c r="L1113" s="821"/>
      <c r="M1113" s="677"/>
      <c r="N1113" s="821"/>
      <c r="O1113" s="821"/>
      <c r="P1113" s="677"/>
      <c r="Q1113" s="677"/>
      <c r="R1113" s="677"/>
      <c r="S1113" s="677"/>
      <c r="T1113" s="677"/>
      <c r="U1113" s="677"/>
      <c r="V1113" s="677"/>
      <c r="W1113" s="677"/>
      <c r="X1113" s="677"/>
      <c r="Y1113" s="677"/>
      <c r="Z1113" s="677"/>
      <c r="AA1113" s="677"/>
      <c r="AB1113" s="677"/>
      <c r="AC1113" s="677"/>
      <c r="AD1113" s="677"/>
    </row>
    <row r="1114">
      <c r="A1114" s="704"/>
      <c r="B1114" s="674"/>
      <c r="C1114" s="852"/>
      <c r="D1114" s="656"/>
      <c r="E1114" s="821"/>
      <c r="F1114" s="821"/>
      <c r="G1114" s="821"/>
      <c r="H1114" s="821"/>
      <c r="I1114" s="821"/>
      <c r="J1114" s="821"/>
      <c r="K1114" s="821"/>
      <c r="L1114" s="821"/>
      <c r="M1114" s="677"/>
      <c r="N1114" s="821"/>
      <c r="O1114" s="821"/>
      <c r="P1114" s="677"/>
      <c r="Q1114" s="677"/>
      <c r="R1114" s="677"/>
      <c r="S1114" s="677"/>
      <c r="T1114" s="677"/>
      <c r="U1114" s="677"/>
      <c r="V1114" s="677"/>
      <c r="W1114" s="677"/>
      <c r="X1114" s="677"/>
      <c r="Y1114" s="677"/>
      <c r="Z1114" s="677"/>
      <c r="AA1114" s="677"/>
      <c r="AB1114" s="677"/>
      <c r="AC1114" s="677"/>
      <c r="AD1114" s="677"/>
    </row>
    <row r="1115">
      <c r="A1115" s="704"/>
      <c r="B1115" s="674"/>
      <c r="C1115" s="852"/>
      <c r="D1115" s="656"/>
      <c r="E1115" s="821"/>
      <c r="F1115" s="821"/>
      <c r="G1115" s="821"/>
      <c r="H1115" s="821"/>
      <c r="I1115" s="821"/>
      <c r="J1115" s="821"/>
      <c r="K1115" s="821"/>
      <c r="L1115" s="821"/>
      <c r="M1115" s="677"/>
      <c r="N1115" s="821"/>
      <c r="O1115" s="821"/>
      <c r="P1115" s="677"/>
      <c r="Q1115" s="677"/>
      <c r="R1115" s="677"/>
      <c r="S1115" s="677"/>
      <c r="T1115" s="677"/>
      <c r="U1115" s="677"/>
      <c r="V1115" s="677"/>
      <c r="W1115" s="677"/>
      <c r="X1115" s="677"/>
      <c r="Y1115" s="677"/>
      <c r="Z1115" s="677"/>
      <c r="AA1115" s="677"/>
      <c r="AB1115" s="677"/>
      <c r="AC1115" s="677"/>
      <c r="AD1115" s="677"/>
    </row>
    <row r="1116">
      <c r="A1116" s="704"/>
      <c r="B1116" s="674"/>
      <c r="C1116" s="852"/>
      <c r="D1116" s="656"/>
      <c r="E1116" s="821"/>
      <c r="F1116" s="821"/>
      <c r="G1116" s="821"/>
      <c r="H1116" s="821"/>
      <c r="I1116" s="821"/>
      <c r="J1116" s="821"/>
      <c r="K1116" s="821"/>
      <c r="L1116" s="821"/>
      <c r="M1116" s="677"/>
      <c r="N1116" s="821"/>
      <c r="O1116" s="821"/>
      <c r="P1116" s="677"/>
      <c r="Q1116" s="677"/>
      <c r="R1116" s="677"/>
      <c r="S1116" s="677"/>
      <c r="T1116" s="677"/>
      <c r="U1116" s="677"/>
      <c r="V1116" s="677"/>
      <c r="W1116" s="677"/>
      <c r="X1116" s="677"/>
      <c r="Y1116" s="677"/>
      <c r="Z1116" s="677"/>
      <c r="AA1116" s="677"/>
      <c r="AB1116" s="677"/>
      <c r="AC1116" s="677"/>
      <c r="AD1116" s="677"/>
    </row>
    <row r="1117">
      <c r="A1117" s="704"/>
      <c r="B1117" s="674"/>
      <c r="C1117" s="852"/>
      <c r="D1117" s="656"/>
      <c r="E1117" s="821"/>
      <c r="F1117" s="821"/>
      <c r="G1117" s="821"/>
      <c r="H1117" s="821"/>
      <c r="I1117" s="821"/>
      <c r="J1117" s="821"/>
      <c r="K1117" s="821"/>
      <c r="L1117" s="821"/>
      <c r="M1117" s="677"/>
      <c r="N1117" s="821"/>
      <c r="O1117" s="821"/>
      <c r="P1117" s="677"/>
      <c r="Q1117" s="677"/>
      <c r="R1117" s="677"/>
      <c r="S1117" s="677"/>
      <c r="T1117" s="677"/>
      <c r="U1117" s="677"/>
      <c r="V1117" s="677"/>
      <c r="W1117" s="677"/>
      <c r="X1117" s="677"/>
      <c r="Y1117" s="677"/>
      <c r="Z1117" s="677"/>
      <c r="AA1117" s="677"/>
      <c r="AB1117" s="677"/>
      <c r="AC1117" s="677"/>
      <c r="AD1117" s="677"/>
    </row>
    <row r="1118">
      <c r="A1118" s="704"/>
      <c r="B1118" s="674"/>
      <c r="C1118" s="852"/>
      <c r="D1118" s="656"/>
      <c r="E1118" s="821"/>
      <c r="F1118" s="821"/>
      <c r="G1118" s="821"/>
      <c r="H1118" s="821"/>
      <c r="I1118" s="821"/>
      <c r="J1118" s="821"/>
      <c r="K1118" s="821"/>
      <c r="L1118" s="821"/>
      <c r="M1118" s="677"/>
      <c r="N1118" s="821"/>
      <c r="O1118" s="821"/>
      <c r="P1118" s="677"/>
      <c r="Q1118" s="677"/>
      <c r="R1118" s="677"/>
      <c r="S1118" s="677"/>
      <c r="T1118" s="677"/>
      <c r="U1118" s="677"/>
      <c r="V1118" s="677"/>
      <c r="W1118" s="677"/>
      <c r="X1118" s="677"/>
      <c r="Y1118" s="677"/>
      <c r="Z1118" s="677"/>
      <c r="AA1118" s="677"/>
      <c r="AB1118" s="677"/>
      <c r="AC1118" s="677"/>
      <c r="AD1118" s="677"/>
    </row>
    <row r="1119">
      <c r="A1119" s="704"/>
      <c r="B1119" s="674"/>
      <c r="C1119" s="852"/>
      <c r="D1119" s="656"/>
      <c r="E1119" s="821"/>
      <c r="F1119" s="821"/>
      <c r="G1119" s="821"/>
      <c r="H1119" s="821"/>
      <c r="I1119" s="821"/>
      <c r="J1119" s="821"/>
      <c r="K1119" s="821"/>
      <c r="L1119" s="821"/>
      <c r="M1119" s="677"/>
      <c r="N1119" s="821"/>
      <c r="O1119" s="821"/>
      <c r="P1119" s="677"/>
      <c r="Q1119" s="677"/>
      <c r="R1119" s="677"/>
      <c r="S1119" s="677"/>
      <c r="T1119" s="677"/>
      <c r="U1119" s="677"/>
      <c r="V1119" s="677"/>
      <c r="W1119" s="677"/>
      <c r="X1119" s="677"/>
      <c r="Y1119" s="677"/>
      <c r="Z1119" s="677"/>
      <c r="AA1119" s="677"/>
      <c r="AB1119" s="677"/>
      <c r="AC1119" s="677"/>
      <c r="AD1119" s="677"/>
    </row>
    <row r="1120">
      <c r="A1120" s="704"/>
      <c r="B1120" s="674"/>
      <c r="C1120" s="852"/>
      <c r="D1120" s="656"/>
      <c r="E1120" s="821"/>
      <c r="F1120" s="821"/>
      <c r="G1120" s="821"/>
      <c r="H1120" s="821"/>
      <c r="I1120" s="821"/>
      <c r="J1120" s="821"/>
      <c r="K1120" s="821"/>
      <c r="L1120" s="821"/>
      <c r="M1120" s="677"/>
      <c r="N1120" s="821"/>
      <c r="O1120" s="821"/>
      <c r="P1120" s="677"/>
      <c r="Q1120" s="677"/>
      <c r="R1120" s="677"/>
      <c r="S1120" s="677"/>
      <c r="T1120" s="677"/>
      <c r="U1120" s="677"/>
      <c r="V1120" s="677"/>
      <c r="W1120" s="677"/>
      <c r="X1120" s="677"/>
      <c r="Y1120" s="677"/>
      <c r="Z1120" s="677"/>
      <c r="AA1120" s="677"/>
      <c r="AB1120" s="677"/>
      <c r="AC1120" s="677"/>
      <c r="AD1120" s="677"/>
    </row>
    <row r="1121">
      <c r="A1121" s="704"/>
      <c r="B1121" s="674"/>
      <c r="C1121" s="852"/>
      <c r="D1121" s="656"/>
      <c r="E1121" s="821"/>
      <c r="F1121" s="821"/>
      <c r="G1121" s="821"/>
      <c r="H1121" s="821"/>
      <c r="I1121" s="821"/>
      <c r="J1121" s="821"/>
      <c r="K1121" s="821"/>
      <c r="L1121" s="821"/>
      <c r="M1121" s="677"/>
      <c r="N1121" s="821"/>
      <c r="O1121" s="821"/>
      <c r="P1121" s="677"/>
      <c r="Q1121" s="677"/>
      <c r="R1121" s="677"/>
      <c r="S1121" s="677"/>
      <c r="T1121" s="677"/>
      <c r="U1121" s="677"/>
      <c r="V1121" s="677"/>
      <c r="W1121" s="677"/>
      <c r="X1121" s="677"/>
      <c r="Y1121" s="677"/>
      <c r="Z1121" s="677"/>
      <c r="AA1121" s="677"/>
      <c r="AB1121" s="677"/>
      <c r="AC1121" s="677"/>
      <c r="AD1121" s="677"/>
    </row>
    <row r="1122">
      <c r="A1122" s="704"/>
      <c r="B1122" s="674"/>
      <c r="C1122" s="852"/>
      <c r="D1122" s="656"/>
      <c r="E1122" s="821"/>
      <c r="F1122" s="821"/>
      <c r="G1122" s="821"/>
      <c r="H1122" s="821"/>
      <c r="I1122" s="821"/>
      <c r="J1122" s="821"/>
      <c r="K1122" s="821"/>
      <c r="L1122" s="821"/>
      <c r="M1122" s="677"/>
      <c r="N1122" s="821"/>
      <c r="O1122" s="821"/>
      <c r="P1122" s="677"/>
      <c r="Q1122" s="677"/>
      <c r="R1122" s="677"/>
      <c r="S1122" s="677"/>
      <c r="T1122" s="677"/>
      <c r="U1122" s="677"/>
      <c r="V1122" s="677"/>
      <c r="W1122" s="677"/>
      <c r="X1122" s="677"/>
      <c r="Y1122" s="677"/>
      <c r="Z1122" s="677"/>
      <c r="AA1122" s="677"/>
      <c r="AB1122" s="677"/>
      <c r="AC1122" s="677"/>
      <c r="AD1122" s="677"/>
    </row>
    <row r="1123">
      <c r="A1123" s="704"/>
      <c r="B1123" s="674"/>
      <c r="C1123" s="852"/>
      <c r="D1123" s="656"/>
      <c r="E1123" s="821"/>
      <c r="F1123" s="821"/>
      <c r="G1123" s="821"/>
      <c r="H1123" s="821"/>
      <c r="I1123" s="821"/>
      <c r="J1123" s="821"/>
      <c r="K1123" s="821"/>
      <c r="L1123" s="821"/>
      <c r="M1123" s="677"/>
      <c r="N1123" s="821"/>
      <c r="O1123" s="821"/>
      <c r="P1123" s="677"/>
      <c r="Q1123" s="677"/>
      <c r="R1123" s="677"/>
      <c r="S1123" s="677"/>
      <c r="T1123" s="677"/>
      <c r="U1123" s="677"/>
      <c r="V1123" s="677"/>
      <c r="W1123" s="677"/>
      <c r="X1123" s="677"/>
      <c r="Y1123" s="677"/>
      <c r="Z1123" s="677"/>
      <c r="AA1123" s="677"/>
      <c r="AB1123" s="677"/>
      <c r="AC1123" s="677"/>
      <c r="AD1123" s="677"/>
    </row>
    <row r="1124">
      <c r="A1124" s="704"/>
      <c r="B1124" s="674"/>
      <c r="C1124" s="852"/>
      <c r="D1124" s="656"/>
      <c r="E1124" s="821"/>
      <c r="F1124" s="821"/>
      <c r="G1124" s="821"/>
      <c r="H1124" s="821"/>
      <c r="I1124" s="821"/>
      <c r="J1124" s="821"/>
      <c r="K1124" s="821"/>
      <c r="L1124" s="821"/>
      <c r="M1124" s="677"/>
      <c r="N1124" s="821"/>
      <c r="O1124" s="821"/>
      <c r="P1124" s="677"/>
      <c r="Q1124" s="677"/>
      <c r="R1124" s="677"/>
      <c r="S1124" s="677"/>
      <c r="T1124" s="677"/>
      <c r="U1124" s="677"/>
      <c r="V1124" s="677"/>
      <c r="W1124" s="677"/>
      <c r="X1124" s="677"/>
      <c r="Y1124" s="677"/>
      <c r="Z1124" s="677"/>
      <c r="AA1124" s="677"/>
      <c r="AB1124" s="677"/>
      <c r="AC1124" s="677"/>
      <c r="AD1124" s="677"/>
    </row>
    <row r="1125">
      <c r="A1125" s="704"/>
      <c r="B1125" s="674"/>
      <c r="C1125" s="852"/>
      <c r="D1125" s="656"/>
      <c r="E1125" s="821"/>
      <c r="F1125" s="821"/>
      <c r="G1125" s="821"/>
      <c r="H1125" s="821"/>
      <c r="I1125" s="821"/>
      <c r="J1125" s="821"/>
      <c r="K1125" s="821"/>
      <c r="L1125" s="821"/>
      <c r="M1125" s="677"/>
      <c r="N1125" s="821"/>
      <c r="O1125" s="821"/>
      <c r="P1125" s="677"/>
      <c r="Q1125" s="677"/>
      <c r="R1125" s="677"/>
      <c r="S1125" s="677"/>
      <c r="T1125" s="677"/>
      <c r="U1125" s="677"/>
      <c r="V1125" s="677"/>
      <c r="W1125" s="677"/>
      <c r="X1125" s="677"/>
      <c r="Y1125" s="677"/>
      <c r="Z1125" s="677"/>
      <c r="AA1125" s="677"/>
      <c r="AB1125" s="677"/>
      <c r="AC1125" s="677"/>
      <c r="AD1125" s="677"/>
    </row>
    <row r="1126">
      <c r="A1126" s="704"/>
      <c r="B1126" s="674"/>
      <c r="C1126" s="852"/>
      <c r="D1126" s="656"/>
      <c r="E1126" s="821"/>
      <c r="F1126" s="821"/>
      <c r="G1126" s="821"/>
      <c r="H1126" s="821"/>
      <c r="I1126" s="821"/>
      <c r="J1126" s="821"/>
      <c r="K1126" s="821"/>
      <c r="L1126" s="821"/>
      <c r="M1126" s="677"/>
      <c r="N1126" s="821"/>
      <c r="O1126" s="821"/>
      <c r="P1126" s="677"/>
      <c r="Q1126" s="677"/>
      <c r="R1126" s="677"/>
      <c r="S1126" s="677"/>
      <c r="T1126" s="677"/>
      <c r="U1126" s="677"/>
      <c r="V1126" s="677"/>
      <c r="W1126" s="677"/>
      <c r="X1126" s="677"/>
      <c r="Y1126" s="677"/>
      <c r="Z1126" s="677"/>
      <c r="AA1126" s="677"/>
      <c r="AB1126" s="677"/>
      <c r="AC1126" s="677"/>
      <c r="AD1126" s="677"/>
    </row>
    <row r="1127">
      <c r="A1127" s="704"/>
      <c r="B1127" s="674"/>
      <c r="C1127" s="852"/>
      <c r="D1127" s="656"/>
      <c r="E1127" s="821"/>
      <c r="F1127" s="821"/>
      <c r="G1127" s="821"/>
      <c r="H1127" s="821"/>
      <c r="I1127" s="821"/>
      <c r="J1127" s="821"/>
      <c r="K1127" s="821"/>
      <c r="L1127" s="821"/>
      <c r="M1127" s="677"/>
      <c r="N1127" s="821"/>
      <c r="O1127" s="821"/>
      <c r="P1127" s="677"/>
      <c r="Q1127" s="677"/>
      <c r="R1127" s="677"/>
      <c r="S1127" s="677"/>
      <c r="T1127" s="677"/>
      <c r="U1127" s="677"/>
      <c r="V1127" s="677"/>
      <c r="W1127" s="677"/>
      <c r="X1127" s="677"/>
      <c r="Y1127" s="677"/>
      <c r="Z1127" s="677"/>
      <c r="AA1127" s="677"/>
      <c r="AB1127" s="677"/>
      <c r="AC1127" s="677"/>
      <c r="AD1127" s="677"/>
    </row>
    <row r="1128">
      <c r="A1128" s="704"/>
      <c r="B1128" s="674"/>
      <c r="C1128" s="852"/>
      <c r="D1128" s="656"/>
      <c r="E1128" s="821"/>
      <c r="F1128" s="821"/>
      <c r="G1128" s="821"/>
      <c r="H1128" s="821"/>
      <c r="I1128" s="821"/>
      <c r="J1128" s="821"/>
      <c r="K1128" s="821"/>
      <c r="L1128" s="821"/>
      <c r="M1128" s="677"/>
      <c r="N1128" s="821"/>
      <c r="O1128" s="821"/>
      <c r="P1128" s="677"/>
      <c r="Q1128" s="677"/>
      <c r="R1128" s="677"/>
      <c r="S1128" s="677"/>
      <c r="T1128" s="677"/>
      <c r="U1128" s="677"/>
      <c r="V1128" s="677"/>
      <c r="W1128" s="677"/>
      <c r="X1128" s="677"/>
      <c r="Y1128" s="677"/>
      <c r="Z1128" s="677"/>
      <c r="AA1128" s="677"/>
      <c r="AB1128" s="677"/>
      <c r="AC1128" s="677"/>
      <c r="AD1128" s="677"/>
    </row>
    <row r="1129">
      <c r="A1129" s="704"/>
      <c r="B1129" s="674"/>
      <c r="C1129" s="852"/>
      <c r="D1129" s="656"/>
      <c r="E1129" s="821"/>
      <c r="F1129" s="821"/>
      <c r="G1129" s="821"/>
      <c r="H1129" s="821"/>
      <c r="I1129" s="821"/>
      <c r="J1129" s="821"/>
      <c r="K1129" s="821"/>
      <c r="L1129" s="821"/>
      <c r="M1129" s="677"/>
      <c r="N1129" s="821"/>
      <c r="O1129" s="821"/>
      <c r="P1129" s="677"/>
      <c r="Q1129" s="677"/>
      <c r="R1129" s="677"/>
      <c r="S1129" s="677"/>
      <c r="T1129" s="677"/>
      <c r="U1129" s="677"/>
      <c r="V1129" s="677"/>
      <c r="W1129" s="677"/>
      <c r="X1129" s="677"/>
      <c r="Y1129" s="677"/>
      <c r="Z1129" s="677"/>
      <c r="AA1129" s="677"/>
      <c r="AB1129" s="677"/>
      <c r="AC1129" s="677"/>
      <c r="AD1129" s="677"/>
    </row>
    <row r="1130">
      <c r="A1130" s="704"/>
      <c r="B1130" s="674"/>
      <c r="C1130" s="852"/>
      <c r="D1130" s="656"/>
      <c r="E1130" s="821"/>
      <c r="F1130" s="821"/>
      <c r="G1130" s="821"/>
      <c r="H1130" s="821"/>
      <c r="I1130" s="821"/>
      <c r="J1130" s="821"/>
      <c r="K1130" s="821"/>
      <c r="L1130" s="821"/>
      <c r="M1130" s="677"/>
      <c r="N1130" s="821"/>
      <c r="O1130" s="821"/>
      <c r="P1130" s="677"/>
      <c r="Q1130" s="677"/>
      <c r="R1130" s="677"/>
      <c r="S1130" s="677"/>
      <c r="T1130" s="677"/>
      <c r="U1130" s="677"/>
      <c r="V1130" s="677"/>
      <c r="W1130" s="677"/>
      <c r="X1130" s="677"/>
      <c r="Y1130" s="677"/>
      <c r="Z1130" s="677"/>
      <c r="AA1130" s="677"/>
      <c r="AB1130" s="677"/>
      <c r="AC1130" s="677"/>
      <c r="AD1130" s="677"/>
    </row>
    <row r="1131">
      <c r="A1131" s="704"/>
      <c r="B1131" s="674"/>
      <c r="C1131" s="852"/>
      <c r="D1131" s="656"/>
      <c r="E1131" s="821"/>
      <c r="F1131" s="821"/>
      <c r="G1131" s="821"/>
      <c r="H1131" s="821"/>
      <c r="I1131" s="821"/>
      <c r="J1131" s="821"/>
      <c r="K1131" s="821"/>
      <c r="L1131" s="821"/>
      <c r="M1131" s="677"/>
      <c r="N1131" s="821"/>
      <c r="O1131" s="821"/>
      <c r="P1131" s="677"/>
      <c r="Q1131" s="677"/>
      <c r="R1131" s="677"/>
      <c r="S1131" s="677"/>
      <c r="T1131" s="677"/>
      <c r="U1131" s="677"/>
      <c r="V1131" s="677"/>
      <c r="W1131" s="677"/>
      <c r="X1131" s="677"/>
      <c r="Y1131" s="677"/>
      <c r="Z1131" s="677"/>
      <c r="AA1131" s="677"/>
      <c r="AB1131" s="677"/>
      <c r="AC1131" s="677"/>
      <c r="AD1131" s="677"/>
    </row>
    <row r="1132">
      <c r="A1132" s="704"/>
      <c r="B1132" s="674"/>
      <c r="C1132" s="852"/>
      <c r="D1132" s="656"/>
      <c r="E1132" s="821"/>
      <c r="F1132" s="821"/>
      <c r="G1132" s="821"/>
      <c r="H1132" s="821"/>
      <c r="I1132" s="821"/>
      <c r="J1132" s="821"/>
      <c r="K1132" s="821"/>
      <c r="L1132" s="821"/>
      <c r="M1132" s="677"/>
      <c r="N1132" s="821"/>
      <c r="O1132" s="821"/>
      <c r="P1132" s="677"/>
      <c r="Q1132" s="677"/>
      <c r="R1132" s="677"/>
      <c r="S1132" s="677"/>
      <c r="T1132" s="677"/>
      <c r="U1132" s="677"/>
      <c r="V1132" s="677"/>
      <c r="W1132" s="677"/>
      <c r="X1132" s="677"/>
      <c r="Y1132" s="677"/>
      <c r="Z1132" s="677"/>
      <c r="AA1132" s="677"/>
      <c r="AB1132" s="677"/>
      <c r="AC1132" s="677"/>
      <c r="AD1132" s="677"/>
    </row>
    <row r="1133">
      <c r="A1133" s="704"/>
      <c r="B1133" s="674"/>
      <c r="C1133" s="852"/>
      <c r="D1133" s="656"/>
      <c r="E1133" s="821"/>
      <c r="F1133" s="821"/>
      <c r="G1133" s="821"/>
      <c r="H1133" s="821"/>
      <c r="I1133" s="821"/>
      <c r="J1133" s="821"/>
      <c r="K1133" s="821"/>
      <c r="L1133" s="821"/>
      <c r="M1133" s="677"/>
      <c r="N1133" s="821"/>
      <c r="O1133" s="821"/>
      <c r="P1133" s="677"/>
      <c r="Q1133" s="677"/>
      <c r="R1133" s="677"/>
      <c r="S1133" s="677"/>
      <c r="T1133" s="677"/>
      <c r="U1133" s="677"/>
      <c r="V1133" s="677"/>
      <c r="W1133" s="677"/>
      <c r="X1133" s="677"/>
      <c r="Y1133" s="677"/>
      <c r="Z1133" s="677"/>
      <c r="AA1133" s="677"/>
      <c r="AB1133" s="677"/>
      <c r="AC1133" s="677"/>
      <c r="AD1133" s="677"/>
    </row>
    <row r="1134">
      <c r="A1134" s="704"/>
      <c r="B1134" s="674"/>
      <c r="C1134" s="852"/>
      <c r="D1134" s="656"/>
      <c r="E1134" s="821"/>
      <c r="F1134" s="821"/>
      <c r="G1134" s="821"/>
      <c r="H1134" s="821"/>
      <c r="I1134" s="821"/>
      <c r="J1134" s="821"/>
      <c r="K1134" s="821"/>
      <c r="L1134" s="821"/>
      <c r="M1134" s="677"/>
      <c r="N1134" s="821"/>
      <c r="O1134" s="821"/>
      <c r="P1134" s="677"/>
      <c r="Q1134" s="677"/>
      <c r="R1134" s="677"/>
      <c r="S1134" s="677"/>
      <c r="T1134" s="677"/>
      <c r="U1134" s="677"/>
      <c r="V1134" s="677"/>
      <c r="W1134" s="677"/>
      <c r="X1134" s="677"/>
      <c r="Y1134" s="677"/>
      <c r="Z1134" s="677"/>
      <c r="AA1134" s="677"/>
      <c r="AB1134" s="677"/>
      <c r="AC1134" s="677"/>
      <c r="AD1134" s="677"/>
    </row>
    <row r="1135">
      <c r="A1135" s="704"/>
      <c r="B1135" s="674"/>
      <c r="C1135" s="852"/>
      <c r="D1135" s="656"/>
      <c r="E1135" s="821"/>
      <c r="F1135" s="821"/>
      <c r="G1135" s="821"/>
      <c r="H1135" s="821"/>
      <c r="I1135" s="821"/>
      <c r="J1135" s="821"/>
      <c r="K1135" s="821"/>
      <c r="L1135" s="821"/>
      <c r="M1135" s="677"/>
      <c r="N1135" s="821"/>
      <c r="O1135" s="821"/>
      <c r="P1135" s="677"/>
      <c r="Q1135" s="677"/>
      <c r="R1135" s="677"/>
      <c r="S1135" s="677"/>
      <c r="T1135" s="677"/>
      <c r="U1135" s="677"/>
      <c r="V1135" s="677"/>
      <c r="W1135" s="677"/>
      <c r="X1135" s="677"/>
      <c r="Y1135" s="677"/>
      <c r="Z1135" s="677"/>
      <c r="AA1135" s="677"/>
      <c r="AB1135" s="677"/>
      <c r="AC1135" s="677"/>
      <c r="AD1135" s="677"/>
    </row>
    <row r="1136">
      <c r="A1136" s="704"/>
      <c r="B1136" s="674"/>
      <c r="C1136" s="852"/>
      <c r="D1136" s="656"/>
      <c r="E1136" s="821"/>
      <c r="F1136" s="821"/>
      <c r="G1136" s="821"/>
      <c r="H1136" s="821"/>
      <c r="I1136" s="821"/>
      <c r="J1136" s="821"/>
      <c r="K1136" s="821"/>
      <c r="L1136" s="821"/>
      <c r="M1136" s="677"/>
      <c r="N1136" s="821"/>
      <c r="O1136" s="821"/>
      <c r="P1136" s="677"/>
      <c r="Q1136" s="677"/>
      <c r="R1136" s="677"/>
      <c r="S1136" s="677"/>
      <c r="T1136" s="677"/>
      <c r="U1136" s="677"/>
      <c r="V1136" s="677"/>
      <c r="W1136" s="677"/>
      <c r="X1136" s="677"/>
      <c r="Y1136" s="677"/>
      <c r="Z1136" s="677"/>
      <c r="AA1136" s="677"/>
      <c r="AB1136" s="677"/>
      <c r="AC1136" s="677"/>
      <c r="AD1136" s="677"/>
    </row>
    <row r="1137">
      <c r="A1137" s="704"/>
      <c r="B1137" s="674"/>
      <c r="C1137" s="852"/>
      <c r="D1137" s="656"/>
      <c r="E1137" s="821"/>
      <c r="F1137" s="821"/>
      <c r="G1137" s="821"/>
      <c r="H1137" s="821"/>
      <c r="I1137" s="821"/>
      <c r="J1137" s="821"/>
      <c r="K1137" s="821"/>
      <c r="L1137" s="821"/>
      <c r="M1137" s="677"/>
      <c r="N1137" s="821"/>
      <c r="O1137" s="821"/>
      <c r="P1137" s="677"/>
      <c r="Q1137" s="677"/>
      <c r="R1137" s="677"/>
      <c r="S1137" s="677"/>
      <c r="T1137" s="677"/>
      <c r="U1137" s="677"/>
      <c r="V1137" s="677"/>
      <c r="W1137" s="677"/>
      <c r="X1137" s="677"/>
      <c r="Y1137" s="677"/>
      <c r="Z1137" s="677"/>
      <c r="AA1137" s="677"/>
      <c r="AB1137" s="677"/>
      <c r="AC1137" s="677"/>
      <c r="AD1137" s="677"/>
    </row>
    <row r="1138">
      <c r="A1138" s="704"/>
      <c r="B1138" s="674"/>
      <c r="C1138" s="852"/>
      <c r="D1138" s="656"/>
      <c r="E1138" s="821"/>
      <c r="F1138" s="821"/>
      <c r="G1138" s="821"/>
      <c r="H1138" s="821"/>
      <c r="I1138" s="821"/>
      <c r="J1138" s="821"/>
      <c r="K1138" s="821"/>
      <c r="L1138" s="821"/>
      <c r="M1138" s="677"/>
      <c r="N1138" s="821"/>
      <c r="O1138" s="821"/>
      <c r="P1138" s="677"/>
      <c r="Q1138" s="677"/>
      <c r="R1138" s="677"/>
      <c r="S1138" s="677"/>
      <c r="T1138" s="677"/>
      <c r="U1138" s="677"/>
      <c r="V1138" s="677"/>
      <c r="W1138" s="677"/>
      <c r="X1138" s="677"/>
      <c r="Y1138" s="677"/>
      <c r="Z1138" s="677"/>
      <c r="AA1138" s="677"/>
      <c r="AB1138" s="677"/>
      <c r="AC1138" s="677"/>
      <c r="AD1138" s="677"/>
    </row>
    <row r="1139">
      <c r="A1139" s="704"/>
      <c r="B1139" s="674"/>
      <c r="C1139" s="852"/>
      <c r="D1139" s="656"/>
      <c r="E1139" s="821"/>
      <c r="F1139" s="821"/>
      <c r="G1139" s="821"/>
      <c r="H1139" s="821"/>
      <c r="I1139" s="821"/>
      <c r="J1139" s="821"/>
      <c r="K1139" s="821"/>
      <c r="L1139" s="821"/>
      <c r="M1139" s="677"/>
      <c r="N1139" s="821"/>
      <c r="O1139" s="821"/>
      <c r="P1139" s="677"/>
      <c r="Q1139" s="677"/>
      <c r="R1139" s="677"/>
      <c r="S1139" s="677"/>
      <c r="T1139" s="677"/>
      <c r="U1139" s="677"/>
      <c r="V1139" s="677"/>
      <c r="W1139" s="677"/>
      <c r="X1139" s="677"/>
      <c r="Y1139" s="677"/>
      <c r="Z1139" s="677"/>
      <c r="AA1139" s="677"/>
      <c r="AB1139" s="677"/>
      <c r="AC1139" s="677"/>
      <c r="AD1139" s="677"/>
    </row>
    <row r="1140">
      <c r="A1140" s="704"/>
      <c r="B1140" s="674"/>
      <c r="C1140" s="852"/>
      <c r="D1140" s="656"/>
      <c r="E1140" s="821"/>
      <c r="F1140" s="821"/>
      <c r="G1140" s="821"/>
      <c r="H1140" s="821"/>
      <c r="I1140" s="821"/>
      <c r="J1140" s="821"/>
      <c r="K1140" s="821"/>
      <c r="L1140" s="821"/>
      <c r="M1140" s="677"/>
      <c r="N1140" s="821"/>
      <c r="O1140" s="821"/>
      <c r="P1140" s="677"/>
      <c r="Q1140" s="677"/>
      <c r="R1140" s="677"/>
      <c r="S1140" s="677"/>
      <c r="T1140" s="677"/>
      <c r="U1140" s="677"/>
      <c r="V1140" s="677"/>
      <c r="W1140" s="677"/>
      <c r="X1140" s="677"/>
      <c r="Y1140" s="677"/>
      <c r="Z1140" s="677"/>
      <c r="AA1140" s="677"/>
      <c r="AB1140" s="677"/>
      <c r="AC1140" s="677"/>
      <c r="AD1140" s="677"/>
    </row>
    <row r="1141">
      <c r="A1141" s="704"/>
      <c r="B1141" s="674"/>
      <c r="C1141" s="852"/>
      <c r="D1141" s="656"/>
      <c r="E1141" s="821"/>
      <c r="F1141" s="821"/>
      <c r="G1141" s="821"/>
      <c r="H1141" s="821"/>
      <c r="I1141" s="821"/>
      <c r="J1141" s="821"/>
      <c r="K1141" s="821"/>
      <c r="L1141" s="821"/>
      <c r="M1141" s="677"/>
      <c r="N1141" s="821"/>
      <c r="O1141" s="821"/>
      <c r="P1141" s="677"/>
      <c r="Q1141" s="677"/>
      <c r="R1141" s="677"/>
      <c r="S1141" s="677"/>
      <c r="T1141" s="677"/>
      <c r="U1141" s="677"/>
      <c r="V1141" s="677"/>
      <c r="W1141" s="677"/>
      <c r="X1141" s="677"/>
      <c r="Y1141" s="677"/>
      <c r="Z1141" s="677"/>
      <c r="AA1141" s="677"/>
      <c r="AB1141" s="677"/>
      <c r="AC1141" s="677"/>
      <c r="AD1141" s="677"/>
    </row>
    <row r="1142">
      <c r="A1142" s="704"/>
      <c r="B1142" s="674"/>
      <c r="C1142" s="852"/>
      <c r="D1142" s="656"/>
      <c r="E1142" s="821"/>
      <c r="F1142" s="821"/>
      <c r="G1142" s="821"/>
      <c r="H1142" s="821"/>
      <c r="I1142" s="821"/>
      <c r="J1142" s="821"/>
      <c r="K1142" s="821"/>
      <c r="L1142" s="821"/>
      <c r="M1142" s="677"/>
      <c r="N1142" s="821"/>
      <c r="O1142" s="821"/>
      <c r="P1142" s="677"/>
      <c r="Q1142" s="677"/>
      <c r="R1142" s="677"/>
      <c r="S1142" s="677"/>
      <c r="T1142" s="677"/>
      <c r="U1142" s="677"/>
      <c r="V1142" s="677"/>
      <c r="W1142" s="677"/>
      <c r="X1142" s="677"/>
      <c r="Y1142" s="677"/>
      <c r="Z1142" s="677"/>
      <c r="AA1142" s="677"/>
      <c r="AB1142" s="677"/>
      <c r="AC1142" s="677"/>
      <c r="AD1142" s="677"/>
    </row>
    <row r="1143">
      <c r="A1143" s="704"/>
      <c r="B1143" s="674"/>
      <c r="C1143" s="852"/>
      <c r="D1143" s="656"/>
      <c r="E1143" s="821"/>
      <c r="F1143" s="821"/>
      <c r="G1143" s="821"/>
      <c r="H1143" s="821"/>
      <c r="I1143" s="821"/>
      <c r="J1143" s="821"/>
      <c r="K1143" s="821"/>
      <c r="L1143" s="821"/>
      <c r="M1143" s="677"/>
      <c r="N1143" s="821"/>
      <c r="O1143" s="821"/>
      <c r="P1143" s="677"/>
      <c r="Q1143" s="677"/>
      <c r="R1143" s="677"/>
      <c r="S1143" s="677"/>
      <c r="T1143" s="677"/>
      <c r="U1143" s="677"/>
      <c r="V1143" s="677"/>
      <c r="W1143" s="677"/>
      <c r="X1143" s="677"/>
      <c r="Y1143" s="677"/>
      <c r="Z1143" s="677"/>
      <c r="AA1143" s="677"/>
      <c r="AB1143" s="677"/>
      <c r="AC1143" s="677"/>
      <c r="AD1143" s="677"/>
    </row>
    <row r="1144">
      <c r="A1144" s="704"/>
      <c r="B1144" s="674"/>
      <c r="C1144" s="852"/>
      <c r="D1144" s="656"/>
      <c r="E1144" s="821"/>
      <c r="F1144" s="821"/>
      <c r="G1144" s="821"/>
      <c r="H1144" s="821"/>
      <c r="I1144" s="821"/>
      <c r="J1144" s="821"/>
      <c r="K1144" s="821"/>
      <c r="L1144" s="821"/>
      <c r="M1144" s="677"/>
      <c r="N1144" s="821"/>
      <c r="O1144" s="821"/>
      <c r="P1144" s="677"/>
      <c r="Q1144" s="677"/>
      <c r="R1144" s="677"/>
      <c r="S1144" s="677"/>
      <c r="T1144" s="677"/>
      <c r="U1144" s="677"/>
      <c r="V1144" s="677"/>
      <c r="W1144" s="677"/>
      <c r="X1144" s="677"/>
      <c r="Y1144" s="677"/>
      <c r="Z1144" s="677"/>
      <c r="AA1144" s="677"/>
      <c r="AB1144" s="677"/>
      <c r="AC1144" s="677"/>
      <c r="AD1144" s="677"/>
    </row>
    <row r="1145">
      <c r="A1145" s="704"/>
      <c r="B1145" s="674"/>
      <c r="C1145" s="852"/>
      <c r="D1145" s="656"/>
      <c r="E1145" s="821"/>
      <c r="F1145" s="821"/>
      <c r="G1145" s="821"/>
      <c r="H1145" s="821"/>
      <c r="I1145" s="821"/>
      <c r="J1145" s="821"/>
      <c r="K1145" s="821"/>
      <c r="L1145" s="821"/>
      <c r="M1145" s="677"/>
      <c r="N1145" s="821"/>
      <c r="O1145" s="821"/>
      <c r="P1145" s="677"/>
      <c r="Q1145" s="677"/>
      <c r="R1145" s="677"/>
      <c r="S1145" s="677"/>
      <c r="T1145" s="677"/>
      <c r="U1145" s="677"/>
      <c r="V1145" s="677"/>
      <c r="W1145" s="677"/>
      <c r="X1145" s="677"/>
      <c r="Y1145" s="677"/>
      <c r="Z1145" s="677"/>
      <c r="AA1145" s="677"/>
      <c r="AB1145" s="677"/>
      <c r="AC1145" s="677"/>
      <c r="AD1145" s="677"/>
    </row>
    <row r="1146">
      <c r="A1146" s="704"/>
      <c r="B1146" s="674"/>
      <c r="C1146" s="852"/>
      <c r="D1146" s="656"/>
      <c r="E1146" s="821"/>
      <c r="F1146" s="821"/>
      <c r="G1146" s="821"/>
      <c r="H1146" s="821"/>
      <c r="I1146" s="821"/>
      <c r="J1146" s="821"/>
      <c r="K1146" s="821"/>
      <c r="L1146" s="821"/>
      <c r="M1146" s="677"/>
      <c r="N1146" s="821"/>
      <c r="O1146" s="821"/>
      <c r="P1146" s="677"/>
      <c r="Q1146" s="677"/>
      <c r="R1146" s="677"/>
      <c r="S1146" s="677"/>
      <c r="T1146" s="677"/>
      <c r="U1146" s="677"/>
      <c r="V1146" s="677"/>
      <c r="W1146" s="677"/>
      <c r="X1146" s="677"/>
      <c r="Y1146" s="677"/>
      <c r="Z1146" s="677"/>
      <c r="AA1146" s="677"/>
      <c r="AB1146" s="677"/>
      <c r="AC1146" s="677"/>
      <c r="AD1146" s="677"/>
    </row>
    <row r="1147">
      <c r="A1147" s="704"/>
      <c r="B1147" s="674"/>
      <c r="C1147" s="852"/>
      <c r="D1147" s="656"/>
      <c r="E1147" s="821"/>
      <c r="F1147" s="821"/>
      <c r="G1147" s="821"/>
      <c r="H1147" s="821"/>
      <c r="I1147" s="821"/>
      <c r="J1147" s="821"/>
      <c r="K1147" s="821"/>
      <c r="L1147" s="821"/>
      <c r="M1147" s="677"/>
      <c r="N1147" s="821"/>
      <c r="O1147" s="821"/>
      <c r="P1147" s="677"/>
      <c r="Q1147" s="677"/>
      <c r="R1147" s="677"/>
      <c r="S1147" s="677"/>
      <c r="T1147" s="677"/>
      <c r="U1147" s="677"/>
      <c r="V1147" s="677"/>
      <c r="W1147" s="677"/>
      <c r="X1147" s="677"/>
      <c r="Y1147" s="677"/>
      <c r="Z1147" s="677"/>
      <c r="AA1147" s="677"/>
      <c r="AB1147" s="677"/>
      <c r="AC1147" s="677"/>
      <c r="AD1147" s="677"/>
    </row>
    <row r="1148">
      <c r="A1148" s="704"/>
      <c r="B1148" s="674"/>
      <c r="C1148" s="852"/>
      <c r="D1148" s="656"/>
      <c r="E1148" s="821"/>
      <c r="F1148" s="821"/>
      <c r="G1148" s="821"/>
      <c r="H1148" s="821"/>
      <c r="I1148" s="821"/>
      <c r="J1148" s="821"/>
      <c r="K1148" s="821"/>
      <c r="L1148" s="821"/>
      <c r="M1148" s="677"/>
      <c r="N1148" s="821"/>
      <c r="O1148" s="821"/>
      <c r="P1148" s="677"/>
      <c r="Q1148" s="677"/>
      <c r="R1148" s="677"/>
      <c r="S1148" s="677"/>
      <c r="T1148" s="677"/>
      <c r="U1148" s="677"/>
      <c r="V1148" s="677"/>
      <c r="W1148" s="677"/>
      <c r="X1148" s="677"/>
      <c r="Y1148" s="677"/>
      <c r="Z1148" s="677"/>
      <c r="AA1148" s="677"/>
      <c r="AB1148" s="677"/>
      <c r="AC1148" s="677"/>
      <c r="AD1148" s="677"/>
    </row>
    <row r="1149">
      <c r="A1149" s="704"/>
      <c r="B1149" s="674"/>
      <c r="C1149" s="852"/>
      <c r="D1149" s="656"/>
      <c r="E1149" s="821"/>
      <c r="F1149" s="821"/>
      <c r="G1149" s="821"/>
      <c r="H1149" s="821"/>
      <c r="I1149" s="821"/>
      <c r="J1149" s="821"/>
      <c r="K1149" s="821"/>
      <c r="L1149" s="821"/>
      <c r="M1149" s="677"/>
      <c r="N1149" s="821"/>
      <c r="O1149" s="821"/>
      <c r="P1149" s="677"/>
      <c r="Q1149" s="677"/>
      <c r="R1149" s="677"/>
      <c r="S1149" s="677"/>
      <c r="T1149" s="677"/>
      <c r="U1149" s="677"/>
      <c r="V1149" s="677"/>
      <c r="W1149" s="677"/>
      <c r="X1149" s="677"/>
      <c r="Y1149" s="677"/>
      <c r="Z1149" s="677"/>
      <c r="AA1149" s="677"/>
      <c r="AB1149" s="677"/>
      <c r="AC1149" s="677"/>
      <c r="AD1149" s="677"/>
    </row>
    <row r="1150">
      <c r="A1150" s="704"/>
      <c r="B1150" s="674"/>
      <c r="C1150" s="852"/>
      <c r="D1150" s="656"/>
      <c r="E1150" s="821"/>
      <c r="F1150" s="821"/>
      <c r="G1150" s="821"/>
      <c r="H1150" s="821"/>
      <c r="I1150" s="821"/>
      <c r="J1150" s="821"/>
      <c r="K1150" s="821"/>
      <c r="L1150" s="821"/>
      <c r="M1150" s="677"/>
      <c r="N1150" s="821"/>
      <c r="O1150" s="821"/>
      <c r="P1150" s="677"/>
      <c r="Q1150" s="677"/>
      <c r="R1150" s="677"/>
      <c r="S1150" s="677"/>
      <c r="T1150" s="677"/>
      <c r="U1150" s="677"/>
      <c r="V1150" s="677"/>
      <c r="W1150" s="677"/>
      <c r="X1150" s="677"/>
      <c r="Y1150" s="677"/>
      <c r="Z1150" s="677"/>
      <c r="AA1150" s="677"/>
      <c r="AB1150" s="677"/>
      <c r="AC1150" s="677"/>
      <c r="AD1150" s="677"/>
    </row>
    <row r="1151">
      <c r="A1151" s="704"/>
      <c r="B1151" s="674"/>
      <c r="C1151" s="852"/>
      <c r="D1151" s="656"/>
      <c r="E1151" s="821"/>
      <c r="F1151" s="821"/>
      <c r="G1151" s="821"/>
      <c r="H1151" s="821"/>
      <c r="I1151" s="821"/>
      <c r="J1151" s="821"/>
      <c r="K1151" s="821"/>
      <c r="L1151" s="821"/>
      <c r="M1151" s="677"/>
      <c r="N1151" s="821"/>
      <c r="O1151" s="821"/>
      <c r="P1151" s="677"/>
      <c r="Q1151" s="677"/>
      <c r="R1151" s="677"/>
      <c r="S1151" s="677"/>
      <c r="T1151" s="677"/>
      <c r="U1151" s="677"/>
      <c r="V1151" s="677"/>
      <c r="W1151" s="677"/>
      <c r="X1151" s="677"/>
      <c r="Y1151" s="677"/>
      <c r="Z1151" s="677"/>
      <c r="AA1151" s="677"/>
      <c r="AB1151" s="677"/>
      <c r="AC1151" s="677"/>
      <c r="AD1151" s="677"/>
    </row>
    <row r="1152">
      <c r="A1152" s="704"/>
      <c r="B1152" s="674"/>
      <c r="C1152" s="852"/>
      <c r="D1152" s="656"/>
      <c r="E1152" s="821"/>
      <c r="F1152" s="821"/>
      <c r="G1152" s="821"/>
      <c r="H1152" s="821"/>
      <c r="I1152" s="821"/>
      <c r="J1152" s="821"/>
      <c r="K1152" s="821"/>
      <c r="L1152" s="821"/>
      <c r="M1152" s="677"/>
      <c r="N1152" s="821"/>
      <c r="O1152" s="821"/>
      <c r="P1152" s="677"/>
      <c r="Q1152" s="677"/>
      <c r="R1152" s="677"/>
      <c r="S1152" s="677"/>
      <c r="T1152" s="677"/>
      <c r="U1152" s="677"/>
      <c r="V1152" s="677"/>
      <c r="W1152" s="677"/>
      <c r="X1152" s="677"/>
      <c r="Y1152" s="677"/>
      <c r="Z1152" s="677"/>
      <c r="AA1152" s="677"/>
      <c r="AB1152" s="677"/>
      <c r="AC1152" s="677"/>
      <c r="AD1152" s="677"/>
    </row>
    <row r="1153">
      <c r="A1153" s="704"/>
      <c r="B1153" s="902"/>
      <c r="C1153" s="852"/>
      <c r="D1153" s="656"/>
      <c r="E1153" s="821"/>
      <c r="F1153" s="821"/>
      <c r="G1153" s="821"/>
      <c r="H1153" s="821"/>
      <c r="I1153" s="821"/>
      <c r="J1153" s="821"/>
      <c r="K1153" s="821"/>
      <c r="L1153" s="821"/>
      <c r="M1153" s="677"/>
      <c r="N1153" s="821"/>
      <c r="O1153" s="821"/>
      <c r="P1153" s="677"/>
      <c r="Q1153" s="677"/>
      <c r="R1153" s="677"/>
      <c r="S1153" s="677"/>
      <c r="T1153" s="677"/>
      <c r="U1153" s="677"/>
      <c r="V1153" s="677"/>
      <c r="W1153" s="677"/>
      <c r="X1153" s="677"/>
      <c r="Y1153" s="677"/>
      <c r="Z1153" s="677"/>
      <c r="AA1153" s="677"/>
      <c r="AB1153" s="677"/>
      <c r="AC1153" s="677"/>
      <c r="AD1153" s="677"/>
    </row>
    <row r="1154">
      <c r="A1154" s="704"/>
      <c r="B1154" s="902"/>
      <c r="C1154" s="852"/>
      <c r="D1154" s="656"/>
      <c r="E1154" s="821"/>
      <c r="F1154" s="821"/>
      <c r="G1154" s="821"/>
      <c r="H1154" s="821"/>
      <c r="I1154" s="821"/>
      <c r="J1154" s="821"/>
      <c r="K1154" s="821"/>
      <c r="L1154" s="821"/>
      <c r="M1154" s="677"/>
      <c r="N1154" s="821"/>
      <c r="O1154" s="821"/>
      <c r="P1154" s="677"/>
      <c r="Q1154" s="677"/>
      <c r="R1154" s="677"/>
      <c r="S1154" s="677"/>
      <c r="T1154" s="677"/>
      <c r="U1154" s="677"/>
      <c r="V1154" s="677"/>
      <c r="W1154" s="677"/>
      <c r="X1154" s="677"/>
      <c r="Y1154" s="677"/>
      <c r="Z1154" s="677"/>
      <c r="AA1154" s="677"/>
      <c r="AB1154" s="677"/>
      <c r="AC1154" s="677"/>
      <c r="AD1154" s="677"/>
    </row>
    <row r="1155">
      <c r="A1155" s="704"/>
      <c r="B1155" s="674"/>
      <c r="C1155" s="852"/>
      <c r="D1155" s="656"/>
      <c r="E1155" s="821"/>
      <c r="F1155" s="821"/>
      <c r="G1155" s="821"/>
      <c r="H1155" s="821"/>
      <c r="I1155" s="821"/>
      <c r="J1155" s="821"/>
      <c r="K1155" s="821"/>
      <c r="L1155" s="821"/>
      <c r="M1155" s="677"/>
      <c r="N1155" s="821"/>
      <c r="O1155" s="821"/>
      <c r="P1155" s="677"/>
      <c r="Q1155" s="677"/>
      <c r="R1155" s="677"/>
      <c r="S1155" s="677"/>
      <c r="T1155" s="677"/>
      <c r="U1155" s="677"/>
      <c r="V1155" s="677"/>
      <c r="W1155" s="677"/>
      <c r="X1155" s="677"/>
      <c r="Y1155" s="677"/>
      <c r="Z1155" s="677"/>
      <c r="AA1155" s="677"/>
      <c r="AB1155" s="677"/>
      <c r="AC1155" s="677"/>
      <c r="AD1155" s="677"/>
    </row>
    <row r="1156">
      <c r="A1156" s="704"/>
      <c r="B1156" s="674"/>
      <c r="C1156" s="852"/>
      <c r="D1156" s="656"/>
      <c r="E1156" s="821"/>
      <c r="F1156" s="821"/>
      <c r="G1156" s="821"/>
      <c r="H1156" s="821"/>
      <c r="I1156" s="821"/>
      <c r="J1156" s="821"/>
      <c r="K1156" s="821"/>
      <c r="L1156" s="821"/>
      <c r="M1156" s="677"/>
      <c r="N1156" s="821"/>
      <c r="O1156" s="821"/>
      <c r="P1156" s="677"/>
      <c r="Q1156" s="677"/>
      <c r="R1156" s="677"/>
      <c r="S1156" s="677"/>
      <c r="T1156" s="677"/>
      <c r="U1156" s="677"/>
      <c r="V1156" s="677"/>
      <c r="W1156" s="677"/>
      <c r="X1156" s="677"/>
      <c r="Y1156" s="677"/>
      <c r="Z1156" s="677"/>
      <c r="AA1156" s="677"/>
      <c r="AB1156" s="677"/>
      <c r="AC1156" s="677"/>
      <c r="AD1156" s="677"/>
    </row>
    <row r="1157">
      <c r="A1157" s="704"/>
      <c r="B1157" s="674"/>
      <c r="C1157" s="852"/>
      <c r="D1157" s="656"/>
      <c r="E1157" s="821"/>
      <c r="F1157" s="821"/>
      <c r="G1157" s="821"/>
      <c r="H1157" s="821"/>
      <c r="I1157" s="821"/>
      <c r="J1157" s="821"/>
      <c r="K1157" s="821"/>
      <c r="L1157" s="821"/>
      <c r="M1157" s="677"/>
      <c r="N1157" s="821"/>
      <c r="O1157" s="821"/>
      <c r="P1157" s="677"/>
      <c r="Q1157" s="677"/>
      <c r="R1157" s="677"/>
      <c r="S1157" s="677"/>
      <c r="T1157" s="677"/>
      <c r="U1157" s="677"/>
      <c r="V1157" s="677"/>
      <c r="W1157" s="677"/>
      <c r="X1157" s="677"/>
      <c r="Y1157" s="677"/>
      <c r="Z1157" s="677"/>
      <c r="AA1157" s="677"/>
      <c r="AB1157" s="677"/>
      <c r="AC1157" s="677"/>
      <c r="AD1157" s="677"/>
    </row>
    <row r="1158">
      <c r="A1158" s="704"/>
      <c r="B1158" s="674"/>
      <c r="C1158" s="852"/>
      <c r="D1158" s="656"/>
      <c r="E1158" s="821"/>
      <c r="F1158" s="821"/>
      <c r="G1158" s="821"/>
      <c r="H1158" s="821"/>
      <c r="I1158" s="821"/>
      <c r="J1158" s="821"/>
      <c r="K1158" s="821"/>
      <c r="L1158" s="821"/>
      <c r="M1158" s="677"/>
      <c r="N1158" s="821"/>
      <c r="O1158" s="821"/>
      <c r="P1158" s="677"/>
      <c r="Q1158" s="677"/>
      <c r="R1158" s="677"/>
      <c r="S1158" s="677"/>
      <c r="T1158" s="677"/>
      <c r="U1158" s="677"/>
      <c r="V1158" s="677"/>
      <c r="W1158" s="677"/>
      <c r="X1158" s="677"/>
      <c r="Y1158" s="677"/>
      <c r="Z1158" s="677"/>
      <c r="AA1158" s="677"/>
      <c r="AB1158" s="677"/>
      <c r="AC1158" s="677"/>
      <c r="AD1158" s="677"/>
    </row>
    <row r="1159">
      <c r="A1159" s="704"/>
      <c r="B1159" s="674"/>
      <c r="C1159" s="852"/>
      <c r="D1159" s="656"/>
      <c r="E1159" s="821"/>
      <c r="F1159" s="821"/>
      <c r="G1159" s="821"/>
      <c r="H1159" s="821"/>
      <c r="I1159" s="821"/>
      <c r="J1159" s="821"/>
      <c r="K1159" s="821"/>
      <c r="L1159" s="821"/>
      <c r="M1159" s="677"/>
      <c r="N1159" s="821"/>
      <c r="O1159" s="821"/>
      <c r="P1159" s="677"/>
      <c r="Q1159" s="677"/>
      <c r="R1159" s="677"/>
      <c r="S1159" s="677"/>
      <c r="T1159" s="677"/>
      <c r="U1159" s="677"/>
      <c r="V1159" s="677"/>
      <c r="W1159" s="677"/>
      <c r="X1159" s="677"/>
      <c r="Y1159" s="677"/>
      <c r="Z1159" s="677"/>
      <c r="AA1159" s="677"/>
      <c r="AB1159" s="677"/>
      <c r="AC1159" s="677"/>
      <c r="AD1159" s="677"/>
    </row>
    <row r="1160">
      <c r="A1160" s="704"/>
      <c r="B1160" s="674"/>
      <c r="C1160" s="852"/>
      <c r="D1160" s="656"/>
      <c r="E1160" s="821"/>
      <c r="F1160" s="821"/>
      <c r="G1160" s="821"/>
      <c r="H1160" s="821"/>
      <c r="I1160" s="821"/>
      <c r="J1160" s="821"/>
      <c r="K1160" s="821"/>
      <c r="L1160" s="821"/>
      <c r="M1160" s="677"/>
      <c r="N1160" s="821"/>
      <c r="O1160" s="821"/>
      <c r="P1160" s="677"/>
      <c r="Q1160" s="677"/>
      <c r="R1160" s="677"/>
      <c r="S1160" s="677"/>
      <c r="T1160" s="677"/>
      <c r="U1160" s="677"/>
      <c r="V1160" s="677"/>
      <c r="W1160" s="677"/>
      <c r="X1160" s="677"/>
      <c r="Y1160" s="677"/>
      <c r="Z1160" s="677"/>
      <c r="AA1160" s="677"/>
      <c r="AB1160" s="677"/>
      <c r="AC1160" s="677"/>
      <c r="AD1160" s="677"/>
    </row>
    <row r="1161">
      <c r="A1161" s="704"/>
      <c r="B1161" s="674"/>
      <c r="C1161" s="852"/>
      <c r="D1161" s="656"/>
      <c r="E1161" s="821"/>
      <c r="F1161" s="821"/>
      <c r="G1161" s="821"/>
      <c r="H1161" s="821"/>
      <c r="I1161" s="821"/>
      <c r="J1161" s="821"/>
      <c r="K1161" s="821"/>
      <c r="L1161" s="821"/>
      <c r="M1161" s="677"/>
      <c r="N1161" s="821"/>
      <c r="O1161" s="821"/>
      <c r="P1161" s="677"/>
      <c r="Q1161" s="677"/>
      <c r="R1161" s="677"/>
      <c r="S1161" s="677"/>
      <c r="T1161" s="677"/>
      <c r="U1161" s="677"/>
      <c r="V1161" s="677"/>
      <c r="W1161" s="677"/>
      <c r="X1161" s="677"/>
      <c r="Y1161" s="677"/>
      <c r="Z1161" s="677"/>
      <c r="AA1161" s="677"/>
      <c r="AB1161" s="677"/>
      <c r="AC1161" s="677"/>
      <c r="AD1161" s="677"/>
    </row>
    <row r="1162">
      <c r="A1162" s="704"/>
      <c r="B1162" s="674"/>
      <c r="C1162" s="852"/>
      <c r="D1162" s="656"/>
      <c r="E1162" s="821"/>
      <c r="F1162" s="821"/>
      <c r="G1162" s="821"/>
      <c r="H1162" s="821"/>
      <c r="I1162" s="821"/>
      <c r="J1162" s="821"/>
      <c r="K1162" s="821"/>
      <c r="L1162" s="821"/>
      <c r="M1162" s="677"/>
      <c r="N1162" s="821"/>
      <c r="O1162" s="821"/>
      <c r="P1162" s="677"/>
      <c r="Q1162" s="677"/>
      <c r="R1162" s="677"/>
      <c r="S1162" s="677"/>
      <c r="T1162" s="677"/>
      <c r="U1162" s="677"/>
      <c r="V1162" s="677"/>
      <c r="W1162" s="677"/>
      <c r="X1162" s="677"/>
      <c r="Y1162" s="677"/>
      <c r="Z1162" s="677"/>
      <c r="AA1162" s="677"/>
      <c r="AB1162" s="677"/>
      <c r="AC1162" s="677"/>
      <c r="AD1162" s="677"/>
    </row>
    <row r="1163">
      <c r="A1163" s="704"/>
      <c r="B1163" s="674"/>
      <c r="C1163" s="852"/>
      <c r="D1163" s="656"/>
      <c r="E1163" s="821"/>
      <c r="F1163" s="821"/>
      <c r="G1163" s="821"/>
      <c r="H1163" s="821"/>
      <c r="I1163" s="821"/>
      <c r="J1163" s="821"/>
      <c r="K1163" s="821"/>
      <c r="L1163" s="821"/>
      <c r="M1163" s="677"/>
      <c r="N1163" s="821"/>
      <c r="O1163" s="821"/>
      <c r="P1163" s="677"/>
      <c r="Q1163" s="677"/>
      <c r="R1163" s="677"/>
      <c r="S1163" s="677"/>
      <c r="T1163" s="677"/>
      <c r="U1163" s="677"/>
      <c r="V1163" s="677"/>
      <c r="W1163" s="677"/>
      <c r="X1163" s="677"/>
      <c r="Y1163" s="677"/>
      <c r="Z1163" s="677"/>
      <c r="AA1163" s="677"/>
      <c r="AB1163" s="677"/>
      <c r="AC1163" s="677"/>
      <c r="AD1163" s="677"/>
    </row>
    <row r="1164">
      <c r="A1164" s="704"/>
      <c r="B1164" s="674"/>
      <c r="C1164" s="852"/>
      <c r="D1164" s="656"/>
      <c r="E1164" s="821"/>
      <c r="F1164" s="821"/>
      <c r="G1164" s="821"/>
      <c r="H1164" s="821"/>
      <c r="I1164" s="821"/>
      <c r="J1164" s="821"/>
      <c r="K1164" s="821"/>
      <c r="L1164" s="821"/>
      <c r="M1164" s="677"/>
      <c r="N1164" s="821"/>
      <c r="O1164" s="821"/>
      <c r="P1164" s="677"/>
      <c r="Q1164" s="677"/>
      <c r="R1164" s="677"/>
      <c r="S1164" s="677"/>
      <c r="T1164" s="677"/>
      <c r="U1164" s="677"/>
      <c r="V1164" s="677"/>
      <c r="W1164" s="677"/>
      <c r="X1164" s="677"/>
      <c r="Y1164" s="677"/>
      <c r="Z1164" s="677"/>
      <c r="AA1164" s="677"/>
      <c r="AB1164" s="677"/>
      <c r="AC1164" s="677"/>
      <c r="AD1164" s="677"/>
    </row>
    <row r="1165">
      <c r="A1165" s="704"/>
      <c r="B1165" s="674"/>
      <c r="C1165" s="852"/>
      <c r="D1165" s="656"/>
      <c r="E1165" s="821"/>
      <c r="F1165" s="821"/>
      <c r="G1165" s="821"/>
      <c r="H1165" s="821"/>
      <c r="I1165" s="821"/>
      <c r="J1165" s="821"/>
      <c r="K1165" s="821"/>
      <c r="L1165" s="821"/>
      <c r="M1165" s="677"/>
      <c r="N1165" s="821"/>
      <c r="O1165" s="821"/>
      <c r="P1165" s="677"/>
      <c r="Q1165" s="677"/>
      <c r="R1165" s="677"/>
      <c r="S1165" s="677"/>
      <c r="T1165" s="677"/>
      <c r="U1165" s="677"/>
      <c r="V1165" s="677"/>
      <c r="W1165" s="677"/>
      <c r="X1165" s="677"/>
      <c r="Y1165" s="677"/>
      <c r="Z1165" s="677"/>
      <c r="AA1165" s="677"/>
      <c r="AB1165" s="677"/>
      <c r="AC1165" s="677"/>
      <c r="AD1165" s="677"/>
    </row>
    <row r="1166">
      <c r="A1166" s="704"/>
      <c r="B1166" s="674"/>
      <c r="C1166" s="852"/>
      <c r="D1166" s="656"/>
      <c r="E1166" s="821"/>
      <c r="F1166" s="821"/>
      <c r="G1166" s="821"/>
      <c r="H1166" s="821"/>
      <c r="I1166" s="821"/>
      <c r="J1166" s="821"/>
      <c r="K1166" s="821"/>
      <c r="L1166" s="821"/>
      <c r="M1166" s="677"/>
      <c r="N1166" s="821"/>
      <c r="O1166" s="821"/>
      <c r="P1166" s="677"/>
      <c r="Q1166" s="677"/>
      <c r="R1166" s="677"/>
      <c r="S1166" s="677"/>
      <c r="T1166" s="677"/>
      <c r="U1166" s="677"/>
      <c r="V1166" s="677"/>
      <c r="W1166" s="677"/>
      <c r="X1166" s="677"/>
      <c r="Y1166" s="677"/>
      <c r="Z1166" s="677"/>
      <c r="AA1166" s="677"/>
      <c r="AB1166" s="677"/>
      <c r="AC1166" s="677"/>
      <c r="AD1166" s="677"/>
    </row>
    <row r="1167">
      <c r="A1167" s="704"/>
      <c r="B1167" s="674"/>
      <c r="C1167" s="852"/>
      <c r="D1167" s="656"/>
      <c r="E1167" s="821"/>
      <c r="F1167" s="821"/>
      <c r="G1167" s="821"/>
      <c r="H1167" s="821"/>
      <c r="I1167" s="821"/>
      <c r="J1167" s="821"/>
      <c r="K1167" s="821"/>
      <c r="L1167" s="821"/>
      <c r="M1167" s="677"/>
      <c r="N1167" s="821"/>
      <c r="O1167" s="821"/>
      <c r="P1167" s="677"/>
      <c r="Q1167" s="677"/>
      <c r="R1167" s="677"/>
      <c r="S1167" s="677"/>
      <c r="T1167" s="677"/>
      <c r="U1167" s="677"/>
      <c r="V1167" s="677"/>
      <c r="W1167" s="677"/>
      <c r="X1167" s="677"/>
      <c r="Y1167" s="677"/>
      <c r="Z1167" s="677"/>
      <c r="AA1167" s="677"/>
      <c r="AB1167" s="677"/>
      <c r="AC1167" s="677"/>
      <c r="AD1167" s="677"/>
    </row>
    <row r="1168">
      <c r="A1168" s="704"/>
      <c r="B1168" s="674"/>
      <c r="C1168" s="852"/>
      <c r="D1168" s="656"/>
      <c r="E1168" s="821"/>
      <c r="F1168" s="821"/>
      <c r="G1168" s="821"/>
      <c r="H1168" s="821"/>
      <c r="I1168" s="821"/>
      <c r="J1168" s="821"/>
      <c r="K1168" s="821"/>
      <c r="L1168" s="821"/>
      <c r="M1168" s="677"/>
      <c r="N1168" s="821"/>
      <c r="O1168" s="821"/>
      <c r="P1168" s="677"/>
      <c r="Q1168" s="677"/>
      <c r="R1168" s="677"/>
      <c r="S1168" s="677"/>
      <c r="T1168" s="677"/>
      <c r="U1168" s="677"/>
      <c r="V1168" s="677"/>
      <c r="W1168" s="677"/>
      <c r="X1168" s="677"/>
      <c r="Y1168" s="677"/>
      <c r="Z1168" s="677"/>
      <c r="AA1168" s="677"/>
      <c r="AB1168" s="677"/>
      <c r="AC1168" s="677"/>
      <c r="AD1168" s="677"/>
    </row>
    <row r="1169">
      <c r="A1169" s="704"/>
      <c r="B1169" s="674"/>
      <c r="C1169" s="852"/>
      <c r="D1169" s="656"/>
      <c r="E1169" s="821"/>
      <c r="F1169" s="821"/>
      <c r="G1169" s="821"/>
      <c r="H1169" s="821"/>
      <c r="I1169" s="821"/>
      <c r="J1169" s="821"/>
      <c r="K1169" s="821"/>
      <c r="L1169" s="821"/>
      <c r="M1169" s="677"/>
      <c r="N1169" s="821"/>
      <c r="O1169" s="821"/>
      <c r="P1169" s="677"/>
      <c r="Q1169" s="677"/>
      <c r="R1169" s="677"/>
      <c r="S1169" s="677"/>
      <c r="T1169" s="677"/>
      <c r="U1169" s="677"/>
      <c r="V1169" s="677"/>
      <c r="W1169" s="677"/>
      <c r="X1169" s="677"/>
      <c r="Y1169" s="677"/>
      <c r="Z1169" s="677"/>
      <c r="AA1169" s="677"/>
      <c r="AB1169" s="677"/>
      <c r="AC1169" s="677"/>
      <c r="AD1169" s="677"/>
    </row>
    <row r="1170">
      <c r="A1170" s="704"/>
      <c r="B1170" s="674"/>
      <c r="C1170" s="852"/>
      <c r="D1170" s="656"/>
      <c r="E1170" s="821"/>
      <c r="F1170" s="821"/>
      <c r="G1170" s="821"/>
      <c r="H1170" s="821"/>
      <c r="I1170" s="821"/>
      <c r="J1170" s="821"/>
      <c r="K1170" s="821"/>
      <c r="L1170" s="821"/>
      <c r="M1170" s="677"/>
      <c r="N1170" s="821"/>
      <c r="O1170" s="821"/>
      <c r="P1170" s="677"/>
      <c r="Q1170" s="677"/>
      <c r="R1170" s="677"/>
      <c r="S1170" s="677"/>
      <c r="T1170" s="677"/>
      <c r="U1170" s="677"/>
      <c r="V1170" s="677"/>
      <c r="W1170" s="677"/>
      <c r="X1170" s="677"/>
      <c r="Y1170" s="677"/>
      <c r="Z1170" s="677"/>
      <c r="AA1170" s="677"/>
      <c r="AB1170" s="677"/>
      <c r="AC1170" s="677"/>
      <c r="AD1170" s="677"/>
    </row>
    <row r="1171">
      <c r="A1171" s="704"/>
      <c r="B1171" s="674"/>
      <c r="C1171" s="852"/>
      <c r="D1171" s="656"/>
      <c r="E1171" s="821"/>
      <c r="F1171" s="821"/>
      <c r="G1171" s="821"/>
      <c r="H1171" s="821"/>
      <c r="I1171" s="821"/>
      <c r="J1171" s="821"/>
      <c r="K1171" s="821"/>
      <c r="L1171" s="821"/>
      <c r="M1171" s="677"/>
      <c r="N1171" s="821"/>
      <c r="O1171" s="821"/>
      <c r="P1171" s="677"/>
      <c r="Q1171" s="677"/>
      <c r="R1171" s="677"/>
      <c r="S1171" s="677"/>
      <c r="T1171" s="677"/>
      <c r="U1171" s="677"/>
      <c r="V1171" s="677"/>
      <c r="W1171" s="677"/>
      <c r="X1171" s="677"/>
      <c r="Y1171" s="677"/>
      <c r="Z1171" s="677"/>
      <c r="AA1171" s="677"/>
      <c r="AB1171" s="677"/>
      <c r="AC1171" s="677"/>
      <c r="AD1171" s="677"/>
    </row>
    <row r="1172">
      <c r="A1172" s="704"/>
      <c r="B1172" s="674"/>
      <c r="C1172" s="852"/>
      <c r="D1172" s="656"/>
      <c r="E1172" s="821"/>
      <c r="F1172" s="821"/>
      <c r="G1172" s="821"/>
      <c r="H1172" s="821"/>
      <c r="I1172" s="821"/>
      <c r="J1172" s="821"/>
      <c r="K1172" s="821"/>
      <c r="L1172" s="821"/>
      <c r="M1172" s="677"/>
      <c r="N1172" s="821"/>
      <c r="O1172" s="821"/>
      <c r="P1172" s="677"/>
      <c r="Q1172" s="677"/>
      <c r="R1172" s="677"/>
      <c r="S1172" s="677"/>
      <c r="T1172" s="677"/>
      <c r="U1172" s="677"/>
      <c r="V1172" s="677"/>
      <c r="W1172" s="677"/>
      <c r="X1172" s="677"/>
      <c r="Y1172" s="677"/>
      <c r="Z1172" s="677"/>
      <c r="AA1172" s="677"/>
      <c r="AB1172" s="677"/>
      <c r="AC1172" s="677"/>
      <c r="AD1172" s="677"/>
    </row>
    <row r="1173">
      <c r="A1173" s="704"/>
      <c r="B1173" s="674"/>
      <c r="C1173" s="852"/>
      <c r="D1173" s="656"/>
      <c r="E1173" s="821"/>
      <c r="F1173" s="821"/>
      <c r="G1173" s="821"/>
      <c r="H1173" s="821"/>
      <c r="I1173" s="821"/>
      <c r="J1173" s="821"/>
      <c r="K1173" s="821"/>
      <c r="L1173" s="821"/>
      <c r="M1173" s="677"/>
      <c r="N1173" s="821"/>
      <c r="O1173" s="821"/>
      <c r="P1173" s="677"/>
      <c r="Q1173" s="677"/>
      <c r="R1173" s="677"/>
      <c r="S1173" s="677"/>
      <c r="T1173" s="677"/>
      <c r="U1173" s="677"/>
      <c r="V1173" s="677"/>
      <c r="W1173" s="677"/>
      <c r="X1173" s="677"/>
      <c r="Y1173" s="677"/>
      <c r="Z1173" s="677"/>
      <c r="AA1173" s="677"/>
      <c r="AB1173" s="677"/>
      <c r="AC1173" s="677"/>
      <c r="AD1173" s="677"/>
    </row>
    <row r="1174">
      <c r="A1174" s="704"/>
      <c r="B1174" s="674"/>
      <c r="C1174" s="852"/>
      <c r="D1174" s="656"/>
      <c r="E1174" s="821"/>
      <c r="F1174" s="821"/>
      <c r="G1174" s="821"/>
      <c r="H1174" s="821"/>
      <c r="I1174" s="821"/>
      <c r="J1174" s="821"/>
      <c r="K1174" s="821"/>
      <c r="L1174" s="821"/>
      <c r="M1174" s="677"/>
      <c r="N1174" s="821"/>
      <c r="O1174" s="821"/>
      <c r="P1174" s="677"/>
      <c r="Q1174" s="677"/>
      <c r="R1174" s="677"/>
      <c r="S1174" s="677"/>
      <c r="T1174" s="677"/>
      <c r="U1174" s="677"/>
      <c r="V1174" s="677"/>
      <c r="W1174" s="677"/>
      <c r="X1174" s="677"/>
      <c r="Y1174" s="677"/>
      <c r="Z1174" s="677"/>
      <c r="AA1174" s="677"/>
      <c r="AB1174" s="677"/>
      <c r="AC1174" s="677"/>
      <c r="AD1174" s="677"/>
    </row>
    <row r="1175">
      <c r="A1175" s="704"/>
      <c r="B1175" s="674"/>
      <c r="C1175" s="852"/>
      <c r="D1175" s="656"/>
      <c r="E1175" s="821"/>
      <c r="F1175" s="821"/>
      <c r="G1175" s="821"/>
      <c r="H1175" s="821"/>
      <c r="I1175" s="821"/>
      <c r="J1175" s="821"/>
      <c r="K1175" s="821"/>
      <c r="L1175" s="821"/>
      <c r="M1175" s="677"/>
      <c r="N1175" s="821"/>
      <c r="O1175" s="821"/>
      <c r="P1175" s="677"/>
      <c r="Q1175" s="677"/>
      <c r="R1175" s="677"/>
      <c r="S1175" s="677"/>
      <c r="T1175" s="677"/>
      <c r="U1175" s="677"/>
      <c r="V1175" s="677"/>
      <c r="W1175" s="677"/>
      <c r="X1175" s="677"/>
      <c r="Y1175" s="677"/>
      <c r="Z1175" s="677"/>
      <c r="AA1175" s="677"/>
      <c r="AB1175" s="677"/>
      <c r="AC1175" s="677"/>
      <c r="AD1175" s="677"/>
    </row>
    <row r="1176">
      <c r="A1176" s="704"/>
      <c r="B1176" s="674"/>
      <c r="C1176" s="852"/>
      <c r="D1176" s="656"/>
      <c r="E1176" s="821"/>
      <c r="F1176" s="821"/>
      <c r="G1176" s="821"/>
      <c r="H1176" s="821"/>
      <c r="I1176" s="821"/>
      <c r="J1176" s="821"/>
      <c r="K1176" s="821"/>
      <c r="L1176" s="821"/>
      <c r="M1176" s="677"/>
      <c r="N1176" s="821"/>
      <c r="O1176" s="821"/>
      <c r="P1176" s="677"/>
      <c r="Q1176" s="677"/>
      <c r="R1176" s="677"/>
      <c r="S1176" s="677"/>
      <c r="T1176" s="677"/>
      <c r="U1176" s="677"/>
      <c r="V1176" s="677"/>
      <c r="W1176" s="677"/>
      <c r="X1176" s="677"/>
      <c r="Y1176" s="677"/>
      <c r="Z1176" s="677"/>
      <c r="AA1176" s="677"/>
      <c r="AB1176" s="677"/>
      <c r="AC1176" s="677"/>
      <c r="AD1176" s="677"/>
    </row>
    <row r="1177">
      <c r="A1177" s="704"/>
      <c r="B1177" s="674"/>
      <c r="C1177" s="852"/>
      <c r="D1177" s="656"/>
      <c r="E1177" s="821"/>
      <c r="F1177" s="821"/>
      <c r="G1177" s="821"/>
      <c r="H1177" s="821"/>
      <c r="I1177" s="821"/>
      <c r="J1177" s="821"/>
      <c r="K1177" s="821"/>
      <c r="L1177" s="821"/>
      <c r="M1177" s="677"/>
      <c r="N1177" s="821"/>
      <c r="O1177" s="821"/>
      <c r="P1177" s="677"/>
      <c r="Q1177" s="677"/>
      <c r="R1177" s="677"/>
      <c r="S1177" s="677"/>
      <c r="T1177" s="677"/>
      <c r="U1177" s="677"/>
      <c r="V1177" s="677"/>
      <c r="W1177" s="677"/>
      <c r="X1177" s="677"/>
      <c r="Y1177" s="677"/>
      <c r="Z1177" s="677"/>
      <c r="AA1177" s="677"/>
      <c r="AB1177" s="677"/>
      <c r="AC1177" s="677"/>
      <c r="AD1177" s="677"/>
    </row>
    <row r="1178">
      <c r="A1178" s="704"/>
      <c r="B1178" s="674"/>
      <c r="C1178" s="852"/>
      <c r="D1178" s="656"/>
      <c r="E1178" s="821"/>
      <c r="F1178" s="821"/>
      <c r="G1178" s="821"/>
      <c r="H1178" s="821"/>
      <c r="I1178" s="821"/>
      <c r="J1178" s="821"/>
      <c r="K1178" s="821"/>
      <c r="L1178" s="821"/>
      <c r="M1178" s="677"/>
      <c r="N1178" s="821"/>
      <c r="O1178" s="821"/>
      <c r="P1178" s="677"/>
      <c r="Q1178" s="677"/>
      <c r="R1178" s="677"/>
      <c r="S1178" s="677"/>
      <c r="T1178" s="677"/>
      <c r="U1178" s="677"/>
      <c r="V1178" s="677"/>
      <c r="W1178" s="677"/>
      <c r="X1178" s="677"/>
      <c r="Y1178" s="677"/>
      <c r="Z1178" s="677"/>
      <c r="AA1178" s="677"/>
      <c r="AB1178" s="677"/>
      <c r="AC1178" s="677"/>
      <c r="AD1178" s="677"/>
    </row>
    <row r="1179">
      <c r="A1179" s="704"/>
      <c r="B1179" s="674"/>
      <c r="C1179" s="852"/>
      <c r="D1179" s="656"/>
      <c r="E1179" s="821"/>
      <c r="F1179" s="821"/>
      <c r="G1179" s="821"/>
      <c r="H1179" s="821"/>
      <c r="I1179" s="821"/>
      <c r="J1179" s="821"/>
      <c r="K1179" s="821"/>
      <c r="L1179" s="821"/>
      <c r="M1179" s="677"/>
      <c r="N1179" s="821"/>
      <c r="O1179" s="821"/>
      <c r="P1179" s="677"/>
      <c r="Q1179" s="677"/>
      <c r="R1179" s="677"/>
      <c r="S1179" s="677"/>
      <c r="T1179" s="677"/>
      <c r="U1179" s="677"/>
      <c r="V1179" s="677"/>
      <c r="W1179" s="677"/>
      <c r="X1179" s="677"/>
      <c r="Y1179" s="677"/>
      <c r="Z1179" s="677"/>
      <c r="AA1179" s="677"/>
      <c r="AB1179" s="677"/>
      <c r="AC1179" s="677"/>
      <c r="AD1179" s="677"/>
    </row>
    <row r="1180">
      <c r="A1180" s="704"/>
      <c r="B1180" s="674"/>
      <c r="C1180" s="852"/>
      <c r="D1180" s="656"/>
      <c r="E1180" s="821"/>
      <c r="F1180" s="821"/>
      <c r="G1180" s="821"/>
      <c r="H1180" s="821"/>
      <c r="I1180" s="821"/>
      <c r="J1180" s="821"/>
      <c r="K1180" s="821"/>
      <c r="L1180" s="821"/>
      <c r="M1180" s="677"/>
      <c r="N1180" s="821"/>
      <c r="O1180" s="821"/>
      <c r="P1180" s="677"/>
      <c r="Q1180" s="677"/>
      <c r="R1180" s="677"/>
      <c r="S1180" s="677"/>
      <c r="T1180" s="677"/>
      <c r="U1180" s="677"/>
      <c r="V1180" s="677"/>
      <c r="W1180" s="677"/>
      <c r="X1180" s="677"/>
      <c r="Y1180" s="677"/>
      <c r="Z1180" s="677"/>
      <c r="AA1180" s="677"/>
      <c r="AB1180" s="677"/>
      <c r="AC1180" s="677"/>
      <c r="AD1180" s="677"/>
    </row>
    <row r="1181">
      <c r="A1181" s="704"/>
      <c r="B1181" s="674"/>
      <c r="C1181" s="852"/>
      <c r="D1181" s="656"/>
      <c r="E1181" s="821"/>
      <c r="F1181" s="821"/>
      <c r="G1181" s="821"/>
      <c r="H1181" s="821"/>
      <c r="I1181" s="821"/>
      <c r="J1181" s="821"/>
      <c r="K1181" s="821"/>
      <c r="L1181" s="821"/>
      <c r="M1181" s="677"/>
      <c r="N1181" s="821"/>
      <c r="O1181" s="821"/>
      <c r="P1181" s="677"/>
      <c r="Q1181" s="677"/>
      <c r="R1181" s="677"/>
      <c r="S1181" s="677"/>
      <c r="T1181" s="677"/>
      <c r="U1181" s="677"/>
      <c r="V1181" s="677"/>
      <c r="W1181" s="677"/>
      <c r="X1181" s="677"/>
      <c r="Y1181" s="677"/>
      <c r="Z1181" s="677"/>
      <c r="AA1181" s="677"/>
      <c r="AB1181" s="677"/>
      <c r="AC1181" s="677"/>
      <c r="AD1181" s="677"/>
    </row>
    <row r="1182">
      <c r="A1182" s="704"/>
      <c r="B1182" s="674"/>
      <c r="C1182" s="852"/>
      <c r="D1182" s="656"/>
      <c r="E1182" s="821"/>
      <c r="F1182" s="821"/>
      <c r="G1182" s="821"/>
      <c r="H1182" s="821"/>
      <c r="I1182" s="821"/>
      <c r="J1182" s="821"/>
      <c r="K1182" s="821"/>
      <c r="L1182" s="821"/>
      <c r="M1182" s="677"/>
      <c r="N1182" s="821"/>
      <c r="O1182" s="821"/>
      <c r="P1182" s="677"/>
      <c r="Q1182" s="677"/>
      <c r="R1182" s="677"/>
      <c r="S1182" s="677"/>
      <c r="T1182" s="677"/>
      <c r="U1182" s="677"/>
      <c r="V1182" s="677"/>
      <c r="W1182" s="677"/>
      <c r="X1182" s="677"/>
      <c r="Y1182" s="677"/>
      <c r="Z1182" s="677"/>
      <c r="AA1182" s="677"/>
      <c r="AB1182" s="677"/>
      <c r="AC1182" s="677"/>
      <c r="AD1182" s="677"/>
    </row>
    <row r="1183">
      <c r="A1183" s="704"/>
      <c r="B1183" s="674"/>
      <c r="C1183" s="852"/>
      <c r="D1183" s="656"/>
      <c r="E1183" s="821"/>
      <c r="F1183" s="821"/>
      <c r="G1183" s="821"/>
      <c r="H1183" s="821"/>
      <c r="I1183" s="821"/>
      <c r="J1183" s="821"/>
      <c r="K1183" s="821"/>
      <c r="L1183" s="821"/>
      <c r="M1183" s="677"/>
      <c r="N1183" s="821"/>
      <c r="O1183" s="821"/>
      <c r="P1183" s="677"/>
      <c r="Q1183" s="677"/>
      <c r="R1183" s="677"/>
      <c r="S1183" s="677"/>
      <c r="T1183" s="677"/>
      <c r="U1183" s="677"/>
      <c r="V1183" s="677"/>
      <c r="W1183" s="677"/>
      <c r="X1183" s="677"/>
      <c r="Y1183" s="677"/>
      <c r="Z1183" s="677"/>
      <c r="AA1183" s="677"/>
      <c r="AB1183" s="677"/>
      <c r="AC1183" s="677"/>
      <c r="AD1183" s="677"/>
    </row>
    <row r="1184">
      <c r="A1184" s="704"/>
      <c r="B1184" s="674"/>
      <c r="C1184" s="852"/>
      <c r="D1184" s="656"/>
      <c r="E1184" s="821"/>
      <c r="F1184" s="821"/>
      <c r="G1184" s="821"/>
      <c r="H1184" s="821"/>
      <c r="I1184" s="821"/>
      <c r="J1184" s="821"/>
      <c r="K1184" s="821"/>
      <c r="L1184" s="821"/>
      <c r="M1184" s="677"/>
      <c r="N1184" s="821"/>
      <c r="O1184" s="821"/>
      <c r="P1184" s="677"/>
      <c r="Q1184" s="677"/>
      <c r="R1184" s="677"/>
      <c r="S1184" s="677"/>
      <c r="T1184" s="677"/>
      <c r="U1184" s="677"/>
      <c r="V1184" s="677"/>
      <c r="W1184" s="677"/>
      <c r="X1184" s="677"/>
      <c r="Y1184" s="677"/>
      <c r="Z1184" s="677"/>
      <c r="AA1184" s="677"/>
      <c r="AB1184" s="677"/>
      <c r="AC1184" s="677"/>
      <c r="AD1184" s="677"/>
    </row>
    <row r="1185">
      <c r="A1185" s="704"/>
      <c r="B1185" s="674"/>
      <c r="C1185" s="852"/>
      <c r="D1185" s="656"/>
      <c r="E1185" s="821"/>
      <c r="F1185" s="821"/>
      <c r="G1185" s="821"/>
      <c r="H1185" s="821"/>
      <c r="I1185" s="821"/>
      <c r="J1185" s="821"/>
      <c r="K1185" s="821"/>
      <c r="L1185" s="821"/>
      <c r="M1185" s="677"/>
      <c r="N1185" s="821"/>
      <c r="O1185" s="821"/>
      <c r="P1185" s="677"/>
      <c r="Q1185" s="677"/>
      <c r="R1185" s="677"/>
      <c r="S1185" s="677"/>
      <c r="T1185" s="677"/>
      <c r="U1185" s="677"/>
      <c r="V1185" s="677"/>
      <c r="W1185" s="677"/>
      <c r="X1185" s="677"/>
      <c r="Y1185" s="677"/>
      <c r="Z1185" s="677"/>
      <c r="AA1185" s="677"/>
      <c r="AB1185" s="677"/>
      <c r="AC1185" s="677"/>
      <c r="AD1185" s="677"/>
    </row>
    <row r="1186">
      <c r="A1186" s="704"/>
      <c r="B1186" s="674"/>
      <c r="C1186" s="852"/>
      <c r="D1186" s="656"/>
      <c r="E1186" s="821"/>
      <c r="F1186" s="821"/>
      <c r="G1186" s="821"/>
      <c r="H1186" s="821"/>
      <c r="I1186" s="821"/>
      <c r="J1186" s="821"/>
      <c r="K1186" s="821"/>
      <c r="L1186" s="821"/>
      <c r="M1186" s="677"/>
      <c r="N1186" s="821"/>
      <c r="O1186" s="821"/>
      <c r="P1186" s="677"/>
      <c r="Q1186" s="677"/>
      <c r="R1186" s="677"/>
      <c r="S1186" s="677"/>
      <c r="T1186" s="677"/>
      <c r="U1186" s="677"/>
      <c r="V1186" s="677"/>
      <c r="W1186" s="677"/>
      <c r="X1186" s="677"/>
      <c r="Y1186" s="677"/>
      <c r="Z1186" s="677"/>
      <c r="AA1186" s="677"/>
      <c r="AB1186" s="677"/>
      <c r="AC1186" s="677"/>
      <c r="AD1186" s="677"/>
    </row>
    <row r="1187">
      <c r="A1187" s="704"/>
      <c r="B1187" s="674"/>
      <c r="C1187" s="852"/>
      <c r="D1187" s="656"/>
      <c r="E1187" s="821"/>
      <c r="F1187" s="821"/>
      <c r="G1187" s="821"/>
      <c r="H1187" s="821"/>
      <c r="I1187" s="821"/>
      <c r="J1187" s="821"/>
      <c r="K1187" s="821"/>
      <c r="L1187" s="821"/>
      <c r="M1187" s="677"/>
      <c r="N1187" s="821"/>
      <c r="O1187" s="821"/>
      <c r="P1187" s="677"/>
      <c r="Q1187" s="677"/>
      <c r="R1187" s="677"/>
      <c r="S1187" s="677"/>
      <c r="T1187" s="677"/>
      <c r="U1187" s="677"/>
      <c r="V1187" s="677"/>
      <c r="W1187" s="677"/>
      <c r="X1187" s="677"/>
      <c r="Y1187" s="677"/>
      <c r="Z1187" s="677"/>
      <c r="AA1187" s="677"/>
      <c r="AB1187" s="677"/>
      <c r="AC1187" s="677"/>
      <c r="AD1187" s="677"/>
    </row>
    <row r="1188">
      <c r="A1188" s="704"/>
      <c r="B1188" s="674"/>
      <c r="C1188" s="852"/>
      <c r="D1188" s="656"/>
      <c r="E1188" s="821"/>
      <c r="F1188" s="821"/>
      <c r="G1188" s="821"/>
      <c r="H1188" s="821"/>
      <c r="I1188" s="821"/>
      <c r="J1188" s="821"/>
      <c r="K1188" s="821"/>
      <c r="L1188" s="821"/>
      <c r="M1188" s="677"/>
      <c r="N1188" s="821"/>
      <c r="O1188" s="821"/>
      <c r="P1188" s="677"/>
      <c r="Q1188" s="677"/>
      <c r="R1188" s="677"/>
      <c r="S1188" s="677"/>
      <c r="T1188" s="677"/>
      <c r="U1188" s="677"/>
      <c r="V1188" s="677"/>
      <c r="W1188" s="677"/>
      <c r="X1188" s="677"/>
      <c r="Y1188" s="677"/>
      <c r="Z1188" s="677"/>
      <c r="AA1188" s="677"/>
      <c r="AB1188" s="677"/>
      <c r="AC1188" s="677"/>
      <c r="AD1188" s="677"/>
    </row>
    <row r="1189">
      <c r="A1189" s="704"/>
      <c r="B1189" s="674"/>
      <c r="C1189" s="852"/>
      <c r="D1189" s="656"/>
      <c r="E1189" s="821"/>
      <c r="F1189" s="821"/>
      <c r="G1189" s="821"/>
      <c r="H1189" s="821"/>
      <c r="I1189" s="821"/>
      <c r="J1189" s="821"/>
      <c r="K1189" s="821"/>
      <c r="L1189" s="821"/>
      <c r="M1189" s="677"/>
      <c r="N1189" s="821"/>
      <c r="O1189" s="821"/>
      <c r="P1189" s="677"/>
      <c r="Q1189" s="677"/>
      <c r="R1189" s="677"/>
      <c r="S1189" s="677"/>
      <c r="T1189" s="677"/>
      <c r="U1189" s="677"/>
      <c r="V1189" s="677"/>
      <c r="W1189" s="677"/>
      <c r="X1189" s="677"/>
      <c r="Y1189" s="677"/>
      <c r="Z1189" s="677"/>
      <c r="AA1189" s="677"/>
      <c r="AB1189" s="677"/>
      <c r="AC1189" s="677"/>
      <c r="AD1189" s="677"/>
    </row>
    <row r="1190">
      <c r="A1190" s="704"/>
      <c r="B1190" s="674"/>
      <c r="C1190" s="852"/>
      <c r="D1190" s="656"/>
      <c r="E1190" s="821"/>
      <c r="F1190" s="821"/>
      <c r="G1190" s="821"/>
      <c r="H1190" s="821"/>
      <c r="I1190" s="821"/>
      <c r="J1190" s="821"/>
      <c r="K1190" s="821"/>
      <c r="L1190" s="821"/>
      <c r="M1190" s="677"/>
      <c r="N1190" s="821"/>
      <c r="O1190" s="821"/>
      <c r="P1190" s="677"/>
      <c r="Q1190" s="677"/>
      <c r="R1190" s="677"/>
      <c r="S1190" s="677"/>
      <c r="T1190" s="677"/>
      <c r="U1190" s="677"/>
      <c r="V1190" s="677"/>
      <c r="W1190" s="677"/>
      <c r="X1190" s="677"/>
      <c r="Y1190" s="677"/>
      <c r="Z1190" s="677"/>
      <c r="AA1190" s="677"/>
      <c r="AB1190" s="677"/>
      <c r="AC1190" s="677"/>
      <c r="AD1190" s="677"/>
    </row>
    <row r="1191">
      <c r="A1191" s="704"/>
      <c r="B1191" s="674"/>
      <c r="C1191" s="852"/>
      <c r="D1191" s="656"/>
      <c r="E1191" s="821"/>
      <c r="F1191" s="821"/>
      <c r="G1191" s="821"/>
      <c r="H1191" s="821"/>
      <c r="I1191" s="821"/>
      <c r="J1191" s="821"/>
      <c r="K1191" s="821"/>
      <c r="L1191" s="821"/>
      <c r="M1191" s="677"/>
      <c r="N1191" s="821"/>
      <c r="O1191" s="821"/>
      <c r="P1191" s="677"/>
      <c r="Q1191" s="677"/>
      <c r="R1191" s="677"/>
      <c r="S1191" s="677"/>
      <c r="T1191" s="677"/>
      <c r="U1191" s="677"/>
      <c r="V1191" s="677"/>
      <c r="W1191" s="677"/>
      <c r="X1191" s="677"/>
      <c r="Y1191" s="677"/>
      <c r="Z1191" s="677"/>
      <c r="AA1191" s="677"/>
      <c r="AB1191" s="677"/>
      <c r="AC1191" s="677"/>
      <c r="AD1191" s="677"/>
    </row>
    <row r="1192">
      <c r="A1192" s="704"/>
      <c r="B1192" s="674"/>
      <c r="C1192" s="852"/>
      <c r="D1192" s="656"/>
      <c r="E1192" s="821"/>
      <c r="F1192" s="821"/>
      <c r="G1192" s="821"/>
      <c r="H1192" s="821"/>
      <c r="I1192" s="821"/>
      <c r="J1192" s="821"/>
      <c r="K1192" s="821"/>
      <c r="L1192" s="821"/>
      <c r="M1192" s="677"/>
      <c r="N1192" s="821"/>
      <c r="O1192" s="821"/>
      <c r="P1192" s="677"/>
      <c r="Q1192" s="677"/>
      <c r="R1192" s="677"/>
      <c r="S1192" s="677"/>
      <c r="T1192" s="677"/>
      <c r="U1192" s="677"/>
      <c r="V1192" s="677"/>
      <c r="W1192" s="677"/>
      <c r="X1192" s="677"/>
      <c r="Y1192" s="677"/>
      <c r="Z1192" s="677"/>
      <c r="AA1192" s="677"/>
      <c r="AB1192" s="677"/>
      <c r="AC1192" s="677"/>
      <c r="AD1192" s="677"/>
    </row>
    <row r="1193">
      <c r="A1193" s="704"/>
      <c r="B1193" s="674"/>
      <c r="C1193" s="852"/>
      <c r="D1193" s="656"/>
      <c r="E1193" s="821"/>
      <c r="F1193" s="821"/>
      <c r="G1193" s="821"/>
      <c r="H1193" s="821"/>
      <c r="I1193" s="821"/>
      <c r="J1193" s="821"/>
      <c r="K1193" s="821"/>
      <c r="L1193" s="821"/>
      <c r="M1193" s="677"/>
      <c r="N1193" s="821"/>
      <c r="O1193" s="821"/>
      <c r="P1193" s="677"/>
      <c r="Q1193" s="677"/>
      <c r="R1193" s="677"/>
      <c r="S1193" s="677"/>
      <c r="T1193" s="677"/>
      <c r="U1193" s="677"/>
      <c r="V1193" s="677"/>
      <c r="W1193" s="677"/>
      <c r="X1193" s="677"/>
      <c r="Y1193" s="677"/>
      <c r="Z1193" s="677"/>
      <c r="AA1193" s="677"/>
      <c r="AB1193" s="677"/>
      <c r="AC1193" s="677"/>
      <c r="AD1193" s="677"/>
    </row>
    <row r="1194">
      <c r="A1194" s="704"/>
      <c r="B1194" s="674"/>
      <c r="C1194" s="852"/>
      <c r="D1194" s="656"/>
      <c r="E1194" s="821"/>
      <c r="F1194" s="821"/>
      <c r="G1194" s="821"/>
      <c r="H1194" s="821"/>
      <c r="I1194" s="821"/>
      <c r="J1194" s="821"/>
      <c r="K1194" s="821"/>
      <c r="L1194" s="821"/>
      <c r="M1194" s="677"/>
      <c r="N1194" s="821"/>
      <c r="O1194" s="821"/>
      <c r="P1194" s="677"/>
      <c r="Q1194" s="677"/>
      <c r="R1194" s="677"/>
      <c r="S1194" s="677"/>
      <c r="T1194" s="677"/>
      <c r="U1194" s="677"/>
      <c r="V1194" s="677"/>
      <c r="W1194" s="677"/>
      <c r="X1194" s="677"/>
      <c r="Y1194" s="677"/>
      <c r="Z1194" s="677"/>
      <c r="AA1194" s="677"/>
      <c r="AB1194" s="677"/>
      <c r="AC1194" s="677"/>
      <c r="AD1194" s="677"/>
    </row>
    <row r="1195">
      <c r="A1195" s="704"/>
      <c r="B1195" s="674"/>
      <c r="C1195" s="852"/>
      <c r="D1195" s="656"/>
      <c r="E1195" s="821"/>
      <c r="F1195" s="821"/>
      <c r="G1195" s="821"/>
      <c r="H1195" s="821"/>
      <c r="I1195" s="821"/>
      <c r="J1195" s="821"/>
      <c r="K1195" s="821"/>
      <c r="L1195" s="821"/>
      <c r="M1195" s="677"/>
      <c r="N1195" s="821"/>
      <c r="O1195" s="821"/>
      <c r="P1195" s="677"/>
      <c r="Q1195" s="677"/>
      <c r="R1195" s="677"/>
      <c r="S1195" s="677"/>
      <c r="T1195" s="677"/>
      <c r="U1195" s="677"/>
      <c r="V1195" s="677"/>
      <c r="W1195" s="677"/>
      <c r="X1195" s="677"/>
      <c r="Y1195" s="677"/>
      <c r="Z1195" s="677"/>
      <c r="AA1195" s="677"/>
      <c r="AB1195" s="677"/>
      <c r="AC1195" s="677"/>
      <c r="AD1195" s="677"/>
    </row>
    <row r="1196">
      <c r="A1196" s="704"/>
      <c r="B1196" s="674"/>
      <c r="C1196" s="852"/>
      <c r="D1196" s="656"/>
      <c r="E1196" s="821"/>
      <c r="F1196" s="821"/>
      <c r="G1196" s="821"/>
      <c r="H1196" s="821"/>
      <c r="I1196" s="821"/>
      <c r="J1196" s="821"/>
      <c r="K1196" s="821"/>
      <c r="L1196" s="821"/>
      <c r="M1196" s="677"/>
      <c r="N1196" s="821"/>
      <c r="O1196" s="821"/>
      <c r="P1196" s="677"/>
      <c r="Q1196" s="677"/>
      <c r="R1196" s="677"/>
      <c r="S1196" s="677"/>
      <c r="T1196" s="677"/>
      <c r="U1196" s="677"/>
      <c r="V1196" s="677"/>
      <c r="W1196" s="677"/>
      <c r="X1196" s="677"/>
      <c r="Y1196" s="677"/>
      <c r="Z1196" s="677"/>
      <c r="AA1196" s="677"/>
      <c r="AB1196" s="677"/>
      <c r="AC1196" s="677"/>
      <c r="AD1196" s="677"/>
    </row>
    <row r="1197">
      <c r="A1197" s="704"/>
      <c r="B1197" s="674"/>
      <c r="C1197" s="852"/>
      <c r="D1197" s="656"/>
      <c r="E1197" s="821"/>
      <c r="F1197" s="821"/>
      <c r="G1197" s="821"/>
      <c r="H1197" s="821"/>
      <c r="I1197" s="821"/>
      <c r="J1197" s="821"/>
      <c r="K1197" s="821"/>
      <c r="L1197" s="821"/>
      <c r="M1197" s="677"/>
      <c r="N1197" s="821"/>
      <c r="O1197" s="821"/>
      <c r="P1197" s="677"/>
      <c r="Q1197" s="677"/>
      <c r="R1197" s="677"/>
      <c r="S1197" s="677"/>
      <c r="T1197" s="677"/>
      <c r="U1197" s="677"/>
      <c r="V1197" s="677"/>
      <c r="W1197" s="677"/>
      <c r="X1197" s="677"/>
      <c r="Y1197" s="677"/>
      <c r="Z1197" s="677"/>
      <c r="AA1197" s="677"/>
      <c r="AB1197" s="677"/>
      <c r="AC1197" s="677"/>
      <c r="AD1197" s="677"/>
    </row>
    <row r="1198">
      <c r="A1198" s="704"/>
      <c r="B1198" s="674"/>
      <c r="C1198" s="852"/>
      <c r="D1198" s="656"/>
      <c r="E1198" s="821"/>
      <c r="F1198" s="821"/>
      <c r="G1198" s="821"/>
      <c r="H1198" s="821"/>
      <c r="I1198" s="821"/>
      <c r="J1198" s="821"/>
      <c r="K1198" s="821"/>
      <c r="L1198" s="821"/>
      <c r="M1198" s="677"/>
      <c r="N1198" s="821"/>
      <c r="O1198" s="821"/>
      <c r="P1198" s="677"/>
      <c r="Q1198" s="677"/>
      <c r="R1198" s="677"/>
      <c r="S1198" s="677"/>
      <c r="T1198" s="677"/>
      <c r="U1198" s="677"/>
      <c r="V1198" s="677"/>
      <c r="W1198" s="677"/>
      <c r="X1198" s="677"/>
      <c r="Y1198" s="677"/>
      <c r="Z1198" s="677"/>
      <c r="AA1198" s="677"/>
      <c r="AB1198" s="677"/>
      <c r="AC1198" s="677"/>
      <c r="AD1198" s="677"/>
    </row>
    <row r="1199">
      <c r="A1199" s="704"/>
      <c r="B1199" s="674"/>
      <c r="C1199" s="852"/>
      <c r="D1199" s="656"/>
      <c r="E1199" s="821"/>
      <c r="F1199" s="821"/>
      <c r="G1199" s="821"/>
      <c r="H1199" s="821"/>
      <c r="I1199" s="821"/>
      <c r="J1199" s="821"/>
      <c r="K1199" s="821"/>
      <c r="L1199" s="821"/>
      <c r="M1199" s="677"/>
      <c r="N1199" s="821"/>
      <c r="O1199" s="821"/>
      <c r="P1199" s="677"/>
      <c r="Q1199" s="677"/>
      <c r="R1199" s="677"/>
      <c r="S1199" s="677"/>
      <c r="T1199" s="677"/>
      <c r="U1199" s="677"/>
      <c r="V1199" s="677"/>
      <c r="W1199" s="677"/>
      <c r="X1199" s="677"/>
      <c r="Y1199" s="677"/>
      <c r="Z1199" s="677"/>
      <c r="AA1199" s="677"/>
      <c r="AB1199" s="677"/>
      <c r="AC1199" s="677"/>
      <c r="AD1199" s="677"/>
    </row>
    <row r="1200">
      <c r="A1200" s="704"/>
      <c r="B1200" s="674"/>
      <c r="C1200" s="852"/>
      <c r="D1200" s="656"/>
      <c r="E1200" s="821"/>
      <c r="F1200" s="821"/>
      <c r="G1200" s="821"/>
      <c r="H1200" s="821"/>
      <c r="I1200" s="821"/>
      <c r="J1200" s="821"/>
      <c r="K1200" s="821"/>
      <c r="L1200" s="821"/>
      <c r="M1200" s="677"/>
      <c r="N1200" s="821"/>
      <c r="O1200" s="821"/>
      <c r="P1200" s="677"/>
      <c r="Q1200" s="677"/>
      <c r="R1200" s="677"/>
      <c r="S1200" s="677"/>
      <c r="T1200" s="677"/>
      <c r="U1200" s="677"/>
      <c r="V1200" s="677"/>
      <c r="W1200" s="677"/>
      <c r="X1200" s="677"/>
      <c r="Y1200" s="677"/>
      <c r="Z1200" s="677"/>
      <c r="AA1200" s="677"/>
      <c r="AB1200" s="677"/>
      <c r="AC1200" s="677"/>
      <c r="AD1200" s="677"/>
    </row>
    <row r="1201">
      <c r="A1201" s="704"/>
      <c r="B1201" s="674"/>
      <c r="C1201" s="852"/>
      <c r="D1201" s="656"/>
      <c r="E1201" s="821"/>
      <c r="F1201" s="821"/>
      <c r="G1201" s="821"/>
      <c r="H1201" s="821"/>
      <c r="I1201" s="821"/>
      <c r="J1201" s="821"/>
      <c r="K1201" s="821"/>
      <c r="L1201" s="821"/>
      <c r="M1201" s="677"/>
      <c r="N1201" s="821"/>
      <c r="O1201" s="821"/>
      <c r="P1201" s="677"/>
      <c r="Q1201" s="677"/>
      <c r="R1201" s="677"/>
      <c r="S1201" s="677"/>
      <c r="T1201" s="677"/>
      <c r="U1201" s="677"/>
      <c r="V1201" s="677"/>
      <c r="W1201" s="677"/>
      <c r="X1201" s="677"/>
      <c r="Y1201" s="677"/>
      <c r="Z1201" s="677"/>
      <c r="AA1201" s="677"/>
      <c r="AB1201" s="677"/>
      <c r="AC1201" s="677"/>
      <c r="AD1201" s="677"/>
    </row>
    <row r="1202">
      <c r="A1202" s="704"/>
      <c r="B1202" s="674"/>
      <c r="C1202" s="852"/>
      <c r="D1202" s="656"/>
      <c r="E1202" s="821"/>
      <c r="F1202" s="821"/>
      <c r="G1202" s="821"/>
      <c r="H1202" s="821"/>
      <c r="I1202" s="821"/>
      <c r="J1202" s="821"/>
      <c r="K1202" s="821"/>
      <c r="L1202" s="821"/>
      <c r="M1202" s="677"/>
      <c r="N1202" s="821"/>
      <c r="O1202" s="821"/>
      <c r="P1202" s="677"/>
      <c r="Q1202" s="677"/>
      <c r="R1202" s="677"/>
      <c r="S1202" s="677"/>
      <c r="T1202" s="677"/>
      <c r="U1202" s="677"/>
      <c r="V1202" s="677"/>
      <c r="W1202" s="677"/>
      <c r="X1202" s="677"/>
      <c r="Y1202" s="677"/>
      <c r="Z1202" s="677"/>
      <c r="AA1202" s="677"/>
      <c r="AB1202" s="677"/>
      <c r="AC1202" s="677"/>
      <c r="AD1202" s="677"/>
    </row>
    <row r="1203">
      <c r="A1203" s="704"/>
      <c r="B1203" s="674"/>
      <c r="C1203" s="852"/>
      <c r="D1203" s="656"/>
      <c r="E1203" s="821"/>
      <c r="F1203" s="821"/>
      <c r="G1203" s="821"/>
      <c r="H1203" s="821"/>
      <c r="I1203" s="821"/>
      <c r="J1203" s="821"/>
      <c r="K1203" s="821"/>
      <c r="L1203" s="821"/>
      <c r="M1203" s="677"/>
      <c r="N1203" s="821"/>
      <c r="O1203" s="821"/>
      <c r="P1203" s="677"/>
      <c r="Q1203" s="677"/>
      <c r="R1203" s="677"/>
      <c r="S1203" s="677"/>
      <c r="T1203" s="677"/>
      <c r="U1203" s="677"/>
      <c r="V1203" s="677"/>
      <c r="W1203" s="677"/>
      <c r="X1203" s="677"/>
      <c r="Y1203" s="677"/>
      <c r="Z1203" s="677"/>
      <c r="AA1203" s="677"/>
      <c r="AB1203" s="677"/>
      <c r="AC1203" s="677"/>
      <c r="AD1203" s="677"/>
    </row>
    <row r="1204">
      <c r="A1204" s="704"/>
      <c r="B1204" s="674"/>
      <c r="C1204" s="852"/>
      <c r="D1204" s="656"/>
      <c r="E1204" s="821"/>
      <c r="F1204" s="821"/>
      <c r="G1204" s="821"/>
      <c r="H1204" s="821"/>
      <c r="I1204" s="821"/>
      <c r="J1204" s="821"/>
      <c r="K1204" s="821"/>
      <c r="L1204" s="821"/>
      <c r="M1204" s="677"/>
      <c r="N1204" s="821"/>
      <c r="O1204" s="821"/>
      <c r="P1204" s="677"/>
      <c r="Q1204" s="677"/>
      <c r="R1204" s="677"/>
      <c r="S1204" s="677"/>
      <c r="T1204" s="677"/>
      <c r="U1204" s="677"/>
      <c r="V1204" s="677"/>
      <c r="W1204" s="677"/>
      <c r="X1204" s="677"/>
      <c r="Y1204" s="677"/>
      <c r="Z1204" s="677"/>
      <c r="AA1204" s="677"/>
      <c r="AB1204" s="677"/>
      <c r="AC1204" s="677"/>
      <c r="AD1204" s="677"/>
    </row>
    <row r="1205">
      <c r="A1205" s="704"/>
      <c r="B1205" s="674"/>
      <c r="C1205" s="852"/>
      <c r="D1205" s="656"/>
      <c r="E1205" s="821"/>
      <c r="F1205" s="821"/>
      <c r="G1205" s="821"/>
      <c r="H1205" s="821"/>
      <c r="I1205" s="821"/>
      <c r="J1205" s="821"/>
      <c r="K1205" s="821"/>
      <c r="L1205" s="821"/>
      <c r="M1205" s="677"/>
      <c r="N1205" s="821"/>
      <c r="O1205" s="821"/>
      <c r="P1205" s="677"/>
      <c r="Q1205" s="677"/>
      <c r="R1205" s="677"/>
      <c r="S1205" s="677"/>
      <c r="T1205" s="677"/>
      <c r="U1205" s="677"/>
      <c r="V1205" s="677"/>
      <c r="W1205" s="677"/>
      <c r="X1205" s="677"/>
      <c r="Y1205" s="677"/>
      <c r="Z1205" s="677"/>
      <c r="AA1205" s="677"/>
      <c r="AB1205" s="677"/>
      <c r="AC1205" s="677"/>
      <c r="AD1205" s="677"/>
    </row>
    <row r="1206">
      <c r="A1206" s="704"/>
      <c r="B1206" s="674"/>
      <c r="C1206" s="852"/>
      <c r="D1206" s="656"/>
      <c r="E1206" s="821"/>
      <c r="F1206" s="821"/>
      <c r="G1206" s="821"/>
      <c r="H1206" s="821"/>
      <c r="I1206" s="821"/>
      <c r="J1206" s="821"/>
      <c r="K1206" s="821"/>
      <c r="L1206" s="821"/>
      <c r="M1206" s="677"/>
      <c r="N1206" s="821"/>
      <c r="O1206" s="821"/>
      <c r="P1206" s="677"/>
      <c r="Q1206" s="677"/>
      <c r="R1206" s="677"/>
      <c r="S1206" s="677"/>
      <c r="T1206" s="677"/>
      <c r="U1206" s="677"/>
      <c r="V1206" s="677"/>
      <c r="W1206" s="677"/>
      <c r="X1206" s="677"/>
      <c r="Y1206" s="677"/>
      <c r="Z1206" s="677"/>
      <c r="AA1206" s="677"/>
      <c r="AB1206" s="677"/>
      <c r="AC1206" s="677"/>
      <c r="AD1206" s="677"/>
    </row>
    <row r="1207">
      <c r="A1207" s="704"/>
      <c r="B1207" s="674"/>
      <c r="C1207" s="852"/>
      <c r="D1207" s="656"/>
      <c r="E1207" s="821"/>
      <c r="F1207" s="821"/>
      <c r="G1207" s="821"/>
      <c r="H1207" s="821"/>
      <c r="I1207" s="821"/>
      <c r="J1207" s="821"/>
      <c r="K1207" s="821"/>
      <c r="L1207" s="821"/>
      <c r="M1207" s="677"/>
      <c r="N1207" s="821"/>
      <c r="O1207" s="821"/>
      <c r="P1207" s="677"/>
      <c r="Q1207" s="677"/>
      <c r="R1207" s="677"/>
      <c r="S1207" s="677"/>
      <c r="T1207" s="677"/>
      <c r="U1207" s="677"/>
      <c r="V1207" s="677"/>
      <c r="W1207" s="677"/>
      <c r="X1207" s="677"/>
      <c r="Y1207" s="677"/>
      <c r="Z1207" s="677"/>
      <c r="AA1207" s="677"/>
      <c r="AB1207" s="677"/>
      <c r="AC1207" s="677"/>
      <c r="AD1207" s="677"/>
    </row>
    <row r="1208">
      <c r="A1208" s="704"/>
      <c r="B1208" s="674"/>
      <c r="C1208" s="852"/>
      <c r="D1208" s="656"/>
      <c r="E1208" s="821"/>
      <c r="F1208" s="821"/>
      <c r="G1208" s="821"/>
      <c r="H1208" s="821"/>
      <c r="I1208" s="821"/>
      <c r="J1208" s="821"/>
      <c r="K1208" s="821"/>
      <c r="L1208" s="821"/>
      <c r="M1208" s="677"/>
      <c r="N1208" s="821"/>
      <c r="O1208" s="821"/>
      <c r="P1208" s="677"/>
      <c r="Q1208" s="677"/>
      <c r="R1208" s="677"/>
      <c r="S1208" s="677"/>
      <c r="T1208" s="677"/>
      <c r="U1208" s="677"/>
      <c r="V1208" s="677"/>
      <c r="W1208" s="677"/>
      <c r="X1208" s="677"/>
      <c r="Y1208" s="677"/>
      <c r="Z1208" s="677"/>
      <c r="AA1208" s="677"/>
      <c r="AB1208" s="677"/>
      <c r="AC1208" s="677"/>
      <c r="AD1208" s="677"/>
    </row>
    <row r="1209">
      <c r="A1209" s="704"/>
      <c r="B1209" s="674"/>
      <c r="C1209" s="852"/>
      <c r="D1209" s="656"/>
      <c r="E1209" s="821"/>
      <c r="F1209" s="821"/>
      <c r="G1209" s="821"/>
      <c r="H1209" s="821"/>
      <c r="I1209" s="821"/>
      <c r="J1209" s="821"/>
      <c r="K1209" s="821"/>
      <c r="L1209" s="821"/>
      <c r="M1209" s="677"/>
      <c r="N1209" s="821"/>
      <c r="O1209" s="821"/>
      <c r="P1209" s="677"/>
      <c r="Q1209" s="677"/>
      <c r="R1209" s="677"/>
      <c r="S1209" s="677"/>
      <c r="T1209" s="677"/>
      <c r="U1209" s="677"/>
      <c r="V1209" s="677"/>
      <c r="W1209" s="677"/>
      <c r="X1209" s="677"/>
      <c r="Y1209" s="677"/>
      <c r="Z1209" s="677"/>
      <c r="AA1209" s="677"/>
      <c r="AB1209" s="677"/>
      <c r="AC1209" s="677"/>
      <c r="AD1209" s="677"/>
    </row>
    <row r="1210">
      <c r="A1210" s="704"/>
      <c r="B1210" s="674"/>
      <c r="C1210" s="852"/>
      <c r="D1210" s="656"/>
      <c r="E1210" s="821"/>
      <c r="F1210" s="821"/>
      <c r="G1210" s="821"/>
      <c r="H1210" s="821"/>
      <c r="I1210" s="821"/>
      <c r="J1210" s="821"/>
      <c r="K1210" s="821"/>
      <c r="L1210" s="821"/>
      <c r="M1210" s="677"/>
      <c r="N1210" s="821"/>
      <c r="O1210" s="821"/>
      <c r="P1210" s="677"/>
      <c r="Q1210" s="677"/>
      <c r="R1210" s="677"/>
      <c r="S1210" s="677"/>
      <c r="T1210" s="677"/>
      <c r="U1210" s="677"/>
      <c r="V1210" s="677"/>
      <c r="W1210" s="677"/>
      <c r="X1210" s="677"/>
      <c r="Y1210" s="677"/>
      <c r="Z1210" s="677"/>
      <c r="AA1210" s="677"/>
      <c r="AB1210" s="677"/>
      <c r="AC1210" s="677"/>
      <c r="AD1210" s="677"/>
    </row>
    <row r="1211">
      <c r="A1211" s="704"/>
      <c r="B1211" s="674"/>
      <c r="C1211" s="852"/>
      <c r="D1211" s="656"/>
      <c r="E1211" s="821"/>
      <c r="F1211" s="821"/>
      <c r="G1211" s="821"/>
      <c r="H1211" s="821"/>
      <c r="I1211" s="821"/>
      <c r="J1211" s="821"/>
      <c r="K1211" s="821"/>
      <c r="L1211" s="821"/>
      <c r="M1211" s="677"/>
      <c r="N1211" s="821"/>
      <c r="O1211" s="821"/>
      <c r="P1211" s="677"/>
      <c r="Q1211" s="677"/>
      <c r="R1211" s="677"/>
      <c r="S1211" s="677"/>
      <c r="T1211" s="677"/>
      <c r="U1211" s="677"/>
      <c r="V1211" s="677"/>
      <c r="W1211" s="677"/>
      <c r="X1211" s="677"/>
      <c r="Y1211" s="677"/>
      <c r="Z1211" s="677"/>
      <c r="AA1211" s="677"/>
      <c r="AB1211" s="677"/>
      <c r="AC1211" s="677"/>
      <c r="AD1211" s="677"/>
    </row>
    <row r="1212">
      <c r="A1212" s="704"/>
      <c r="B1212" s="674"/>
      <c r="C1212" s="852"/>
      <c r="D1212" s="656"/>
      <c r="E1212" s="821"/>
      <c r="F1212" s="821"/>
      <c r="G1212" s="821"/>
      <c r="H1212" s="821"/>
      <c r="I1212" s="821"/>
      <c r="J1212" s="821"/>
      <c r="K1212" s="821"/>
      <c r="L1212" s="821"/>
      <c r="M1212" s="677"/>
      <c r="N1212" s="821"/>
      <c r="O1212" s="821"/>
      <c r="P1212" s="677"/>
      <c r="Q1212" s="677"/>
      <c r="R1212" s="677"/>
      <c r="S1212" s="677"/>
      <c r="T1212" s="677"/>
      <c r="U1212" s="677"/>
      <c r="V1212" s="677"/>
      <c r="W1212" s="677"/>
      <c r="X1212" s="677"/>
      <c r="Y1212" s="677"/>
      <c r="Z1212" s="677"/>
      <c r="AA1212" s="677"/>
      <c r="AB1212" s="677"/>
      <c r="AC1212" s="677"/>
      <c r="AD1212" s="677"/>
    </row>
    <row r="1213">
      <c r="A1213" s="704"/>
      <c r="B1213" s="674"/>
      <c r="C1213" s="852"/>
      <c r="D1213" s="656"/>
      <c r="E1213" s="821"/>
      <c r="F1213" s="821"/>
      <c r="G1213" s="821"/>
      <c r="H1213" s="821"/>
      <c r="I1213" s="821"/>
      <c r="J1213" s="821"/>
      <c r="K1213" s="821"/>
      <c r="L1213" s="821"/>
      <c r="M1213" s="677"/>
      <c r="N1213" s="821"/>
      <c r="O1213" s="821"/>
      <c r="P1213" s="677"/>
      <c r="Q1213" s="677"/>
      <c r="R1213" s="677"/>
      <c r="S1213" s="677"/>
      <c r="T1213" s="677"/>
      <c r="U1213" s="677"/>
      <c r="V1213" s="677"/>
      <c r="W1213" s="677"/>
      <c r="X1213" s="677"/>
      <c r="Y1213" s="677"/>
      <c r="Z1213" s="677"/>
      <c r="AA1213" s="677"/>
      <c r="AB1213" s="677"/>
      <c r="AC1213" s="677"/>
      <c r="AD1213" s="677"/>
    </row>
    <row r="1214">
      <c r="A1214" s="704"/>
      <c r="B1214" s="674"/>
      <c r="C1214" s="852"/>
      <c r="D1214" s="656"/>
      <c r="E1214" s="821"/>
      <c r="F1214" s="821"/>
      <c r="G1214" s="821"/>
      <c r="H1214" s="821"/>
      <c r="I1214" s="821"/>
      <c r="J1214" s="821"/>
      <c r="K1214" s="821"/>
      <c r="L1214" s="821"/>
      <c r="M1214" s="677"/>
      <c r="N1214" s="821"/>
      <c r="O1214" s="821"/>
      <c r="P1214" s="677"/>
      <c r="Q1214" s="677"/>
      <c r="R1214" s="677"/>
      <c r="S1214" s="677"/>
      <c r="T1214" s="677"/>
      <c r="U1214" s="677"/>
      <c r="V1214" s="677"/>
      <c r="W1214" s="677"/>
      <c r="X1214" s="677"/>
      <c r="Y1214" s="677"/>
      <c r="Z1214" s="677"/>
      <c r="AA1214" s="677"/>
      <c r="AB1214" s="677"/>
      <c r="AC1214" s="677"/>
      <c r="AD1214" s="677"/>
    </row>
    <row r="1215">
      <c r="A1215" s="704"/>
      <c r="B1215" s="674"/>
      <c r="C1215" s="852"/>
      <c r="D1215" s="656"/>
      <c r="E1215" s="821"/>
      <c r="F1215" s="821"/>
      <c r="G1215" s="821"/>
      <c r="H1215" s="821"/>
      <c r="I1215" s="821"/>
      <c r="J1215" s="821"/>
      <c r="K1215" s="821"/>
      <c r="L1215" s="821"/>
      <c r="M1215" s="677"/>
      <c r="N1215" s="821"/>
      <c r="O1215" s="821"/>
      <c r="P1215" s="677"/>
      <c r="Q1215" s="677"/>
      <c r="R1215" s="677"/>
      <c r="S1215" s="677"/>
      <c r="T1215" s="677"/>
      <c r="U1215" s="677"/>
      <c r="V1215" s="677"/>
      <c r="W1215" s="677"/>
      <c r="X1215" s="677"/>
      <c r="Y1215" s="677"/>
      <c r="Z1215" s="677"/>
      <c r="AA1215" s="677"/>
      <c r="AB1215" s="677"/>
      <c r="AC1215" s="677"/>
      <c r="AD1215" s="677"/>
    </row>
    <row r="1216">
      <c r="A1216" s="704"/>
      <c r="B1216" s="674"/>
      <c r="C1216" s="852"/>
      <c r="D1216" s="656"/>
      <c r="E1216" s="821"/>
      <c r="F1216" s="821"/>
      <c r="G1216" s="821"/>
      <c r="H1216" s="821"/>
      <c r="I1216" s="821"/>
      <c r="J1216" s="821"/>
      <c r="K1216" s="821"/>
      <c r="L1216" s="821"/>
      <c r="M1216" s="677"/>
      <c r="N1216" s="821"/>
      <c r="O1216" s="821"/>
      <c r="P1216" s="677"/>
      <c r="Q1216" s="677"/>
      <c r="R1216" s="677"/>
      <c r="S1216" s="677"/>
      <c r="T1216" s="677"/>
      <c r="U1216" s="677"/>
      <c r="V1216" s="677"/>
      <c r="W1216" s="677"/>
      <c r="X1216" s="677"/>
      <c r="Y1216" s="677"/>
      <c r="Z1216" s="677"/>
      <c r="AA1216" s="677"/>
      <c r="AB1216" s="677"/>
      <c r="AC1216" s="677"/>
      <c r="AD1216" s="677"/>
    </row>
    <row r="1217">
      <c r="A1217" s="704"/>
      <c r="B1217" s="674"/>
      <c r="C1217" s="852"/>
      <c r="D1217" s="656"/>
      <c r="E1217" s="821"/>
      <c r="F1217" s="821"/>
      <c r="G1217" s="821"/>
      <c r="H1217" s="821"/>
      <c r="I1217" s="821"/>
      <c r="J1217" s="821"/>
      <c r="K1217" s="821"/>
      <c r="L1217" s="821"/>
      <c r="M1217" s="677"/>
      <c r="N1217" s="821"/>
      <c r="O1217" s="821"/>
      <c r="P1217" s="677"/>
      <c r="Q1217" s="677"/>
      <c r="R1217" s="677"/>
      <c r="S1217" s="677"/>
      <c r="T1217" s="677"/>
      <c r="U1217" s="677"/>
      <c r="V1217" s="677"/>
      <c r="W1217" s="677"/>
      <c r="X1217" s="677"/>
      <c r="Y1217" s="677"/>
      <c r="Z1217" s="677"/>
      <c r="AA1217" s="677"/>
      <c r="AB1217" s="677"/>
      <c r="AC1217" s="677"/>
      <c r="AD1217" s="677"/>
    </row>
    <row r="1218">
      <c r="A1218" s="704"/>
      <c r="B1218" s="674"/>
      <c r="C1218" s="852"/>
      <c r="D1218" s="656"/>
      <c r="E1218" s="821"/>
      <c r="F1218" s="821"/>
      <c r="G1218" s="821"/>
      <c r="H1218" s="821"/>
      <c r="I1218" s="821"/>
      <c r="J1218" s="821"/>
      <c r="K1218" s="821"/>
      <c r="L1218" s="821"/>
      <c r="M1218" s="677"/>
      <c r="N1218" s="821"/>
      <c r="O1218" s="821"/>
      <c r="P1218" s="677"/>
      <c r="Q1218" s="677"/>
      <c r="R1218" s="677"/>
      <c r="S1218" s="677"/>
      <c r="T1218" s="677"/>
      <c r="U1218" s="677"/>
      <c r="V1218" s="677"/>
      <c r="W1218" s="677"/>
      <c r="X1218" s="677"/>
      <c r="Y1218" s="677"/>
      <c r="Z1218" s="677"/>
      <c r="AA1218" s="677"/>
      <c r="AB1218" s="677"/>
      <c r="AC1218" s="677"/>
      <c r="AD1218" s="677"/>
    </row>
    <row r="1219">
      <c r="A1219" s="704"/>
      <c r="B1219" s="674"/>
      <c r="C1219" s="852"/>
      <c r="D1219" s="656"/>
      <c r="E1219" s="821"/>
      <c r="F1219" s="821"/>
      <c r="G1219" s="821"/>
      <c r="H1219" s="821"/>
      <c r="I1219" s="821"/>
      <c r="J1219" s="821"/>
      <c r="K1219" s="821"/>
      <c r="L1219" s="821"/>
      <c r="M1219" s="677"/>
      <c r="N1219" s="821"/>
      <c r="O1219" s="821"/>
      <c r="P1219" s="677"/>
      <c r="Q1219" s="677"/>
      <c r="R1219" s="677"/>
      <c r="S1219" s="677"/>
      <c r="T1219" s="677"/>
      <c r="U1219" s="677"/>
      <c r="V1219" s="677"/>
      <c r="W1219" s="677"/>
      <c r="X1219" s="677"/>
      <c r="Y1219" s="677"/>
      <c r="Z1219" s="677"/>
      <c r="AA1219" s="677"/>
      <c r="AB1219" s="677"/>
      <c r="AC1219" s="677"/>
      <c r="AD1219" s="677"/>
    </row>
    <row r="1220">
      <c r="A1220" s="704"/>
      <c r="B1220" s="674"/>
      <c r="C1220" s="852"/>
      <c r="D1220" s="656"/>
      <c r="E1220" s="821"/>
      <c r="F1220" s="821"/>
      <c r="G1220" s="821"/>
      <c r="H1220" s="821"/>
      <c r="I1220" s="821"/>
      <c r="J1220" s="821"/>
      <c r="K1220" s="821"/>
      <c r="L1220" s="821"/>
      <c r="M1220" s="677"/>
      <c r="N1220" s="821"/>
      <c r="O1220" s="821"/>
      <c r="P1220" s="677"/>
      <c r="Q1220" s="677"/>
      <c r="R1220" s="677"/>
      <c r="S1220" s="677"/>
      <c r="T1220" s="677"/>
      <c r="U1220" s="677"/>
      <c r="V1220" s="677"/>
      <c r="W1220" s="677"/>
      <c r="X1220" s="677"/>
      <c r="Y1220" s="677"/>
      <c r="Z1220" s="677"/>
      <c r="AA1220" s="677"/>
      <c r="AB1220" s="677"/>
      <c r="AC1220" s="677"/>
      <c r="AD1220" s="677"/>
    </row>
    <row r="1221">
      <c r="A1221" s="704"/>
      <c r="B1221" s="674"/>
      <c r="C1221" s="852"/>
      <c r="D1221" s="656"/>
      <c r="E1221" s="821"/>
      <c r="F1221" s="821"/>
      <c r="G1221" s="821"/>
      <c r="H1221" s="821"/>
      <c r="I1221" s="821"/>
      <c r="J1221" s="821"/>
      <c r="K1221" s="821"/>
      <c r="L1221" s="821"/>
      <c r="M1221" s="677"/>
      <c r="N1221" s="821"/>
      <c r="O1221" s="821"/>
      <c r="P1221" s="677"/>
      <c r="Q1221" s="677"/>
      <c r="R1221" s="677"/>
      <c r="S1221" s="677"/>
      <c r="T1221" s="677"/>
      <c r="U1221" s="677"/>
      <c r="V1221" s="677"/>
      <c r="W1221" s="677"/>
      <c r="X1221" s="677"/>
      <c r="Y1221" s="677"/>
      <c r="Z1221" s="677"/>
      <c r="AA1221" s="677"/>
      <c r="AB1221" s="677"/>
      <c r="AC1221" s="677"/>
      <c r="AD1221" s="677"/>
    </row>
    <row r="1222">
      <c r="A1222" s="704"/>
      <c r="B1222" s="674"/>
      <c r="C1222" s="852"/>
      <c r="D1222" s="656"/>
      <c r="E1222" s="821"/>
      <c r="F1222" s="821"/>
      <c r="G1222" s="821"/>
      <c r="H1222" s="821"/>
      <c r="I1222" s="821"/>
      <c r="J1222" s="821"/>
      <c r="K1222" s="821"/>
      <c r="L1222" s="821"/>
      <c r="M1222" s="677"/>
      <c r="N1222" s="821"/>
      <c r="O1222" s="821"/>
      <c r="P1222" s="677"/>
      <c r="Q1222" s="677"/>
      <c r="R1222" s="677"/>
      <c r="S1222" s="677"/>
      <c r="T1222" s="677"/>
      <c r="U1222" s="677"/>
      <c r="V1222" s="677"/>
      <c r="W1222" s="677"/>
      <c r="X1222" s="677"/>
      <c r="Y1222" s="677"/>
      <c r="Z1222" s="677"/>
      <c r="AA1222" s="677"/>
      <c r="AB1222" s="677"/>
      <c r="AC1222" s="677"/>
      <c r="AD1222" s="677"/>
    </row>
    <row r="1223">
      <c r="A1223" s="704"/>
      <c r="B1223" s="674"/>
      <c r="C1223" s="852"/>
      <c r="D1223" s="656"/>
      <c r="E1223" s="821"/>
      <c r="F1223" s="821"/>
      <c r="G1223" s="821"/>
      <c r="H1223" s="821"/>
      <c r="I1223" s="821"/>
      <c r="J1223" s="821"/>
      <c r="K1223" s="821"/>
      <c r="L1223" s="821"/>
      <c r="M1223" s="677"/>
      <c r="N1223" s="821"/>
      <c r="O1223" s="821"/>
      <c r="P1223" s="677"/>
      <c r="Q1223" s="677"/>
      <c r="R1223" s="677"/>
      <c r="S1223" s="677"/>
      <c r="T1223" s="677"/>
      <c r="U1223" s="677"/>
      <c r="V1223" s="677"/>
      <c r="W1223" s="677"/>
      <c r="X1223" s="677"/>
      <c r="Y1223" s="677"/>
      <c r="Z1223" s="677"/>
      <c r="AA1223" s="677"/>
      <c r="AB1223" s="677"/>
      <c r="AC1223" s="677"/>
      <c r="AD1223" s="677"/>
    </row>
    <row r="1224">
      <c r="A1224" s="704"/>
      <c r="B1224" s="674"/>
      <c r="C1224" s="852"/>
      <c r="D1224" s="656"/>
      <c r="E1224" s="821"/>
      <c r="F1224" s="821"/>
      <c r="G1224" s="821"/>
      <c r="H1224" s="821"/>
      <c r="I1224" s="821"/>
      <c r="J1224" s="821"/>
      <c r="K1224" s="821"/>
      <c r="L1224" s="821"/>
      <c r="M1224" s="677"/>
      <c r="N1224" s="821"/>
      <c r="O1224" s="821"/>
      <c r="P1224" s="677"/>
      <c r="Q1224" s="677"/>
      <c r="R1224" s="677"/>
      <c r="S1224" s="677"/>
      <c r="T1224" s="677"/>
      <c r="U1224" s="677"/>
      <c r="V1224" s="677"/>
      <c r="W1224" s="677"/>
      <c r="X1224" s="677"/>
      <c r="Y1224" s="677"/>
      <c r="Z1224" s="677"/>
      <c r="AA1224" s="677"/>
      <c r="AB1224" s="677"/>
      <c r="AC1224" s="677"/>
      <c r="AD1224" s="677"/>
    </row>
    <row r="1225">
      <c r="A1225" s="704"/>
      <c r="B1225" s="674"/>
      <c r="C1225" s="852"/>
      <c r="D1225" s="656"/>
      <c r="E1225" s="821"/>
      <c r="F1225" s="821"/>
      <c r="G1225" s="821"/>
      <c r="H1225" s="821"/>
      <c r="I1225" s="821"/>
      <c r="J1225" s="821"/>
      <c r="K1225" s="821"/>
      <c r="L1225" s="821"/>
      <c r="M1225" s="677"/>
      <c r="N1225" s="821"/>
      <c r="O1225" s="821"/>
      <c r="P1225" s="677"/>
      <c r="Q1225" s="677"/>
      <c r="R1225" s="677"/>
      <c r="S1225" s="677"/>
      <c r="T1225" s="677"/>
      <c r="U1225" s="677"/>
      <c r="V1225" s="677"/>
      <c r="W1225" s="677"/>
      <c r="X1225" s="677"/>
      <c r="Y1225" s="677"/>
      <c r="Z1225" s="677"/>
      <c r="AA1225" s="677"/>
      <c r="AB1225" s="677"/>
      <c r="AC1225" s="677"/>
      <c r="AD1225" s="677"/>
    </row>
    <row r="1226">
      <c r="A1226" s="704"/>
      <c r="B1226" s="674"/>
      <c r="C1226" s="852"/>
      <c r="D1226" s="656"/>
      <c r="E1226" s="821"/>
      <c r="F1226" s="821"/>
      <c r="G1226" s="821"/>
      <c r="H1226" s="821"/>
      <c r="I1226" s="821"/>
      <c r="J1226" s="821"/>
      <c r="K1226" s="821"/>
      <c r="L1226" s="821"/>
      <c r="M1226" s="677"/>
      <c r="N1226" s="821"/>
      <c r="O1226" s="821"/>
      <c r="P1226" s="677"/>
      <c r="Q1226" s="677"/>
      <c r="R1226" s="677"/>
      <c r="S1226" s="677"/>
      <c r="T1226" s="677"/>
      <c r="U1226" s="677"/>
      <c r="V1226" s="677"/>
      <c r="W1226" s="677"/>
      <c r="X1226" s="677"/>
      <c r="Y1226" s="677"/>
      <c r="Z1226" s="677"/>
      <c r="AA1226" s="677"/>
      <c r="AB1226" s="677"/>
      <c r="AC1226" s="677"/>
      <c r="AD1226" s="677"/>
    </row>
    <row r="1227">
      <c r="A1227" s="704"/>
      <c r="B1227" s="674"/>
      <c r="C1227" s="852"/>
      <c r="D1227" s="656"/>
      <c r="E1227" s="821"/>
      <c r="F1227" s="821"/>
      <c r="G1227" s="821"/>
      <c r="H1227" s="821"/>
      <c r="I1227" s="821"/>
      <c r="J1227" s="821"/>
      <c r="K1227" s="821"/>
      <c r="L1227" s="821"/>
      <c r="M1227" s="677"/>
      <c r="N1227" s="821"/>
      <c r="O1227" s="821"/>
      <c r="P1227" s="677"/>
      <c r="Q1227" s="677"/>
      <c r="R1227" s="677"/>
      <c r="S1227" s="677"/>
      <c r="T1227" s="677"/>
      <c r="U1227" s="677"/>
      <c r="V1227" s="677"/>
      <c r="W1227" s="677"/>
      <c r="X1227" s="677"/>
      <c r="Y1227" s="677"/>
      <c r="Z1227" s="677"/>
      <c r="AA1227" s="677"/>
      <c r="AB1227" s="677"/>
      <c r="AC1227" s="677"/>
      <c r="AD1227" s="677"/>
    </row>
    <row r="1228">
      <c r="A1228" s="704"/>
      <c r="B1228" s="674"/>
      <c r="C1228" s="852"/>
      <c r="D1228" s="656"/>
      <c r="E1228" s="821"/>
      <c r="F1228" s="821"/>
      <c r="G1228" s="821"/>
      <c r="H1228" s="821"/>
      <c r="I1228" s="821"/>
      <c r="J1228" s="821"/>
      <c r="K1228" s="821"/>
      <c r="L1228" s="821"/>
      <c r="M1228" s="677"/>
      <c r="N1228" s="821"/>
      <c r="O1228" s="821"/>
      <c r="P1228" s="677"/>
      <c r="Q1228" s="677"/>
      <c r="R1228" s="677"/>
      <c r="S1228" s="677"/>
      <c r="T1228" s="677"/>
      <c r="U1228" s="677"/>
      <c r="V1228" s="677"/>
      <c r="W1228" s="677"/>
      <c r="X1228" s="677"/>
      <c r="Y1228" s="677"/>
      <c r="Z1228" s="677"/>
      <c r="AA1228" s="677"/>
      <c r="AB1228" s="677"/>
      <c r="AC1228" s="677"/>
      <c r="AD1228" s="677"/>
    </row>
    <row r="1229">
      <c r="A1229" s="704"/>
      <c r="B1229" s="674"/>
      <c r="C1229" s="852"/>
      <c r="D1229" s="656"/>
      <c r="E1229" s="821"/>
      <c r="F1229" s="821"/>
      <c r="G1229" s="821"/>
      <c r="H1229" s="821"/>
      <c r="I1229" s="821"/>
      <c r="J1229" s="821"/>
      <c r="K1229" s="821"/>
      <c r="L1229" s="821"/>
      <c r="M1229" s="677"/>
      <c r="N1229" s="821"/>
      <c r="O1229" s="821"/>
      <c r="P1229" s="677"/>
      <c r="Q1229" s="677"/>
      <c r="R1229" s="677"/>
      <c r="S1229" s="677"/>
      <c r="T1229" s="677"/>
      <c r="U1229" s="677"/>
      <c r="V1229" s="677"/>
      <c r="W1229" s="677"/>
      <c r="X1229" s="677"/>
      <c r="Y1229" s="677"/>
      <c r="Z1229" s="677"/>
      <c r="AA1229" s="677"/>
      <c r="AB1229" s="677"/>
      <c r="AC1229" s="677"/>
      <c r="AD1229" s="677"/>
    </row>
    <row r="1230">
      <c r="A1230" s="704"/>
      <c r="B1230" s="902"/>
      <c r="C1230" s="852"/>
      <c r="D1230" s="656"/>
      <c r="E1230" s="821"/>
      <c r="F1230" s="821"/>
      <c r="G1230" s="821"/>
      <c r="H1230" s="821"/>
      <c r="I1230" s="821"/>
      <c r="J1230" s="821"/>
      <c r="K1230" s="821"/>
      <c r="L1230" s="821"/>
      <c r="M1230" s="677"/>
      <c r="N1230" s="821"/>
      <c r="O1230" s="821"/>
      <c r="P1230" s="677"/>
      <c r="Q1230" s="677"/>
      <c r="R1230" s="677"/>
      <c r="S1230" s="677"/>
      <c r="T1230" s="677"/>
      <c r="U1230" s="677"/>
      <c r="V1230" s="677"/>
      <c r="W1230" s="677"/>
      <c r="X1230" s="677"/>
      <c r="Y1230" s="677"/>
      <c r="Z1230" s="677"/>
      <c r="AA1230" s="677"/>
      <c r="AB1230" s="677"/>
      <c r="AC1230" s="677"/>
      <c r="AD1230" s="677"/>
    </row>
    <row r="1231">
      <c r="A1231" s="704"/>
      <c r="B1231" s="674"/>
      <c r="C1231" s="852"/>
      <c r="D1231" s="656"/>
      <c r="E1231" s="821"/>
      <c r="F1231" s="821"/>
      <c r="G1231" s="821"/>
      <c r="H1231" s="821"/>
      <c r="I1231" s="821"/>
      <c r="J1231" s="821"/>
      <c r="K1231" s="821"/>
      <c r="L1231" s="821"/>
      <c r="M1231" s="677"/>
      <c r="N1231" s="821"/>
      <c r="O1231" s="821"/>
      <c r="P1231" s="677"/>
      <c r="Q1231" s="677"/>
      <c r="R1231" s="677"/>
      <c r="S1231" s="677"/>
      <c r="T1231" s="677"/>
      <c r="U1231" s="677"/>
      <c r="V1231" s="677"/>
      <c r="W1231" s="677"/>
      <c r="X1231" s="677"/>
      <c r="Y1231" s="677"/>
      <c r="Z1231" s="677"/>
      <c r="AA1231" s="677"/>
      <c r="AB1231" s="677"/>
      <c r="AC1231" s="677"/>
      <c r="AD1231" s="677"/>
    </row>
    <row r="1232">
      <c r="A1232" s="704"/>
      <c r="B1232" s="902"/>
      <c r="C1232" s="852"/>
      <c r="D1232" s="656"/>
      <c r="E1232" s="821"/>
      <c r="F1232" s="821"/>
      <c r="G1232" s="821"/>
      <c r="H1232" s="821"/>
      <c r="I1232" s="821"/>
      <c r="J1232" s="821"/>
      <c r="K1232" s="821"/>
      <c r="L1232" s="821"/>
      <c r="M1232" s="677"/>
      <c r="N1232" s="821"/>
      <c r="O1232" s="821"/>
      <c r="P1232" s="677"/>
      <c r="Q1232" s="677"/>
      <c r="R1232" s="677"/>
      <c r="S1232" s="677"/>
      <c r="T1232" s="677"/>
      <c r="U1232" s="677"/>
      <c r="V1232" s="677"/>
      <c r="W1232" s="677"/>
      <c r="X1232" s="677"/>
      <c r="Y1232" s="677"/>
      <c r="Z1232" s="677"/>
      <c r="AA1232" s="677"/>
      <c r="AB1232" s="677"/>
      <c r="AC1232" s="677"/>
      <c r="AD1232" s="677"/>
    </row>
    <row r="1233">
      <c r="A1233" s="704"/>
      <c r="B1233" s="674"/>
      <c r="C1233" s="852"/>
      <c r="D1233" s="656"/>
      <c r="E1233" s="821"/>
      <c r="F1233" s="821"/>
      <c r="G1233" s="821"/>
      <c r="H1233" s="821"/>
      <c r="I1233" s="821"/>
      <c r="J1233" s="821"/>
      <c r="K1233" s="821"/>
      <c r="L1233" s="821"/>
      <c r="M1233" s="677"/>
      <c r="N1233" s="821"/>
      <c r="O1233" s="821"/>
      <c r="P1233" s="677"/>
      <c r="Q1233" s="677"/>
      <c r="R1233" s="677"/>
      <c r="S1233" s="677"/>
      <c r="T1233" s="677"/>
      <c r="U1233" s="677"/>
      <c r="V1233" s="677"/>
      <c r="W1233" s="677"/>
      <c r="X1233" s="677"/>
      <c r="Y1233" s="677"/>
      <c r="Z1233" s="677"/>
      <c r="AA1233" s="677"/>
      <c r="AB1233" s="677"/>
      <c r="AC1233" s="677"/>
      <c r="AD1233" s="677"/>
    </row>
    <row r="1234">
      <c r="A1234" s="704"/>
      <c r="B1234" s="902"/>
      <c r="C1234" s="852"/>
      <c r="D1234" s="656"/>
      <c r="E1234" s="821"/>
      <c r="F1234" s="821"/>
      <c r="G1234" s="821"/>
      <c r="H1234" s="821"/>
      <c r="I1234" s="821"/>
      <c r="J1234" s="821"/>
      <c r="K1234" s="821"/>
      <c r="L1234" s="821"/>
      <c r="M1234" s="677"/>
      <c r="N1234" s="821"/>
      <c r="O1234" s="821"/>
      <c r="P1234" s="677"/>
      <c r="Q1234" s="677"/>
      <c r="R1234" s="677"/>
      <c r="S1234" s="677"/>
      <c r="T1234" s="677"/>
      <c r="U1234" s="677"/>
      <c r="V1234" s="677"/>
      <c r="W1234" s="677"/>
      <c r="X1234" s="677"/>
      <c r="Y1234" s="677"/>
      <c r="Z1234" s="677"/>
      <c r="AA1234" s="677"/>
      <c r="AB1234" s="677"/>
      <c r="AC1234" s="677"/>
      <c r="AD1234" s="677"/>
    </row>
    <row r="1235">
      <c r="A1235" s="704"/>
      <c r="B1235" s="902"/>
      <c r="C1235" s="852"/>
      <c r="D1235" s="656"/>
      <c r="E1235" s="821"/>
      <c r="F1235" s="821"/>
      <c r="G1235" s="821"/>
      <c r="H1235" s="821"/>
      <c r="I1235" s="821"/>
      <c r="J1235" s="821"/>
      <c r="K1235" s="821"/>
      <c r="L1235" s="821"/>
      <c r="M1235" s="677"/>
      <c r="N1235" s="821"/>
      <c r="O1235" s="821"/>
      <c r="P1235" s="677"/>
      <c r="Q1235" s="677"/>
      <c r="R1235" s="677"/>
      <c r="S1235" s="677"/>
      <c r="T1235" s="677"/>
      <c r="U1235" s="677"/>
      <c r="V1235" s="677"/>
      <c r="W1235" s="677"/>
      <c r="X1235" s="677"/>
      <c r="Y1235" s="677"/>
      <c r="Z1235" s="677"/>
      <c r="AA1235" s="677"/>
      <c r="AB1235" s="677"/>
      <c r="AC1235" s="677"/>
      <c r="AD1235" s="677"/>
    </row>
    <row r="1236">
      <c r="A1236" s="704"/>
      <c r="B1236" s="902"/>
      <c r="C1236" s="852"/>
      <c r="D1236" s="656"/>
      <c r="E1236" s="821"/>
      <c r="F1236" s="821"/>
      <c r="G1236" s="821"/>
      <c r="H1236" s="821"/>
      <c r="I1236" s="821"/>
      <c r="J1236" s="821"/>
      <c r="K1236" s="821"/>
      <c r="L1236" s="821"/>
      <c r="M1236" s="677"/>
      <c r="N1236" s="821"/>
      <c r="O1236" s="821"/>
      <c r="P1236" s="677"/>
      <c r="Q1236" s="677"/>
      <c r="R1236" s="677"/>
      <c r="S1236" s="677"/>
      <c r="T1236" s="677"/>
      <c r="U1236" s="677"/>
      <c r="V1236" s="677"/>
      <c r="W1236" s="677"/>
      <c r="X1236" s="677"/>
      <c r="Y1236" s="677"/>
      <c r="Z1236" s="677"/>
      <c r="AA1236" s="677"/>
      <c r="AB1236" s="677"/>
      <c r="AC1236" s="677"/>
      <c r="AD1236" s="677"/>
    </row>
    <row r="1237">
      <c r="A1237" s="704"/>
      <c r="B1237" s="902"/>
      <c r="C1237" s="852"/>
      <c r="D1237" s="656"/>
      <c r="E1237" s="821"/>
      <c r="F1237" s="821"/>
      <c r="G1237" s="821"/>
      <c r="H1237" s="821"/>
      <c r="I1237" s="821"/>
      <c r="J1237" s="821"/>
      <c r="K1237" s="821"/>
      <c r="L1237" s="821"/>
      <c r="M1237" s="677"/>
      <c r="N1237" s="821"/>
      <c r="O1237" s="821"/>
      <c r="P1237" s="677"/>
      <c r="Q1237" s="677"/>
      <c r="R1237" s="677"/>
      <c r="S1237" s="677"/>
      <c r="T1237" s="677"/>
      <c r="U1237" s="677"/>
      <c r="V1237" s="677"/>
      <c r="W1237" s="677"/>
      <c r="X1237" s="677"/>
      <c r="Y1237" s="677"/>
      <c r="Z1237" s="677"/>
      <c r="AA1237" s="677"/>
      <c r="AB1237" s="677"/>
      <c r="AC1237" s="677"/>
      <c r="AD1237" s="677"/>
    </row>
    <row r="1238">
      <c r="A1238" s="704"/>
      <c r="B1238" s="674"/>
      <c r="C1238" s="852"/>
      <c r="D1238" s="656"/>
      <c r="E1238" s="821"/>
      <c r="F1238" s="821"/>
      <c r="G1238" s="821"/>
      <c r="H1238" s="821"/>
      <c r="I1238" s="821"/>
      <c r="J1238" s="821"/>
      <c r="K1238" s="821"/>
      <c r="L1238" s="821"/>
      <c r="M1238" s="677"/>
      <c r="N1238" s="821"/>
      <c r="O1238" s="821"/>
      <c r="P1238" s="677"/>
      <c r="Q1238" s="677"/>
      <c r="R1238" s="677"/>
      <c r="S1238" s="677"/>
      <c r="T1238" s="677"/>
      <c r="U1238" s="677"/>
      <c r="V1238" s="677"/>
      <c r="W1238" s="677"/>
      <c r="X1238" s="677"/>
      <c r="Y1238" s="677"/>
      <c r="Z1238" s="677"/>
      <c r="AA1238" s="677"/>
      <c r="AB1238" s="677"/>
      <c r="AC1238" s="677"/>
      <c r="AD1238" s="677"/>
    </row>
    <row r="1239">
      <c r="A1239" s="704"/>
      <c r="B1239" s="674"/>
      <c r="C1239" s="852"/>
      <c r="D1239" s="656"/>
      <c r="E1239" s="821"/>
      <c r="F1239" s="821"/>
      <c r="G1239" s="821"/>
      <c r="H1239" s="821"/>
      <c r="I1239" s="821"/>
      <c r="J1239" s="821"/>
      <c r="K1239" s="821"/>
      <c r="L1239" s="821"/>
      <c r="M1239" s="677"/>
      <c r="N1239" s="821"/>
      <c r="O1239" s="821"/>
      <c r="P1239" s="677"/>
      <c r="Q1239" s="677"/>
      <c r="R1239" s="677"/>
      <c r="S1239" s="677"/>
      <c r="T1239" s="677"/>
      <c r="U1239" s="677"/>
      <c r="V1239" s="677"/>
      <c r="W1239" s="677"/>
      <c r="X1239" s="677"/>
      <c r="Y1239" s="677"/>
      <c r="Z1239" s="677"/>
      <c r="AA1239" s="677"/>
      <c r="AB1239" s="677"/>
      <c r="AC1239" s="677"/>
      <c r="AD1239" s="677"/>
    </row>
    <row r="1240">
      <c r="A1240" s="704"/>
      <c r="B1240" s="674"/>
      <c r="C1240" s="852"/>
      <c r="D1240" s="656"/>
      <c r="E1240" s="821"/>
      <c r="F1240" s="821"/>
      <c r="G1240" s="821"/>
      <c r="H1240" s="821"/>
      <c r="I1240" s="821"/>
      <c r="J1240" s="821"/>
      <c r="K1240" s="821"/>
      <c r="L1240" s="821"/>
      <c r="M1240" s="677"/>
      <c r="N1240" s="821"/>
      <c r="O1240" s="821"/>
      <c r="P1240" s="677"/>
      <c r="Q1240" s="677"/>
      <c r="R1240" s="677"/>
      <c r="S1240" s="677"/>
      <c r="T1240" s="677"/>
      <c r="U1240" s="677"/>
      <c r="V1240" s="677"/>
      <c r="W1240" s="677"/>
      <c r="X1240" s="677"/>
      <c r="Y1240" s="677"/>
      <c r="Z1240" s="677"/>
      <c r="AA1240" s="677"/>
      <c r="AB1240" s="677"/>
      <c r="AC1240" s="677"/>
      <c r="AD1240" s="677"/>
    </row>
    <row r="1241">
      <c r="A1241" s="704"/>
      <c r="B1241" s="674"/>
      <c r="C1241" s="852"/>
      <c r="D1241" s="656"/>
      <c r="E1241" s="821"/>
      <c r="F1241" s="821"/>
      <c r="G1241" s="821"/>
      <c r="H1241" s="821"/>
      <c r="I1241" s="821"/>
      <c r="J1241" s="821"/>
      <c r="K1241" s="821"/>
      <c r="L1241" s="821"/>
      <c r="M1241" s="677"/>
      <c r="N1241" s="821"/>
      <c r="O1241" s="821"/>
      <c r="P1241" s="677"/>
      <c r="Q1241" s="677"/>
      <c r="R1241" s="677"/>
      <c r="S1241" s="677"/>
      <c r="T1241" s="677"/>
      <c r="U1241" s="677"/>
      <c r="V1241" s="677"/>
      <c r="W1241" s="677"/>
      <c r="X1241" s="677"/>
      <c r="Y1241" s="677"/>
      <c r="Z1241" s="677"/>
      <c r="AA1241" s="677"/>
      <c r="AB1241" s="677"/>
      <c r="AC1241" s="677"/>
      <c r="AD1241" s="677"/>
    </row>
    <row r="1242">
      <c r="A1242" s="704"/>
      <c r="B1242" s="674"/>
      <c r="C1242" s="852"/>
      <c r="D1242" s="656"/>
      <c r="E1242" s="821"/>
      <c r="F1242" s="821"/>
      <c r="G1242" s="821"/>
      <c r="H1242" s="821"/>
      <c r="I1242" s="821"/>
      <c r="J1242" s="821"/>
      <c r="K1242" s="821"/>
      <c r="L1242" s="821"/>
      <c r="M1242" s="677"/>
      <c r="N1242" s="821"/>
      <c r="O1242" s="821"/>
      <c r="P1242" s="677"/>
      <c r="Q1242" s="677"/>
      <c r="R1242" s="677"/>
      <c r="S1242" s="677"/>
      <c r="T1242" s="677"/>
      <c r="U1242" s="677"/>
      <c r="V1242" s="677"/>
      <c r="W1242" s="677"/>
      <c r="X1242" s="677"/>
      <c r="Y1242" s="677"/>
      <c r="Z1242" s="677"/>
      <c r="AA1242" s="677"/>
      <c r="AB1242" s="677"/>
      <c r="AC1242" s="677"/>
      <c r="AD1242" s="677"/>
    </row>
    <row r="1243">
      <c r="A1243" s="704"/>
      <c r="B1243" s="674"/>
      <c r="C1243" s="852"/>
      <c r="D1243" s="656"/>
      <c r="E1243" s="821"/>
      <c r="F1243" s="821"/>
      <c r="G1243" s="821"/>
      <c r="H1243" s="821"/>
      <c r="I1243" s="821"/>
      <c r="J1243" s="821"/>
      <c r="K1243" s="821"/>
      <c r="L1243" s="821"/>
      <c r="M1243" s="677"/>
      <c r="N1243" s="821"/>
      <c r="O1243" s="821"/>
      <c r="P1243" s="677"/>
      <c r="Q1243" s="677"/>
      <c r="R1243" s="677"/>
      <c r="S1243" s="677"/>
      <c r="T1243" s="677"/>
      <c r="U1243" s="677"/>
      <c r="V1243" s="677"/>
      <c r="W1243" s="677"/>
      <c r="X1243" s="677"/>
      <c r="Y1243" s="677"/>
      <c r="Z1243" s="677"/>
      <c r="AA1243" s="677"/>
      <c r="AB1243" s="677"/>
      <c r="AC1243" s="677"/>
      <c r="AD1243" s="677"/>
    </row>
    <row r="1244">
      <c r="A1244" s="704"/>
      <c r="B1244" s="674"/>
      <c r="C1244" s="852"/>
      <c r="D1244" s="656"/>
      <c r="E1244" s="821"/>
      <c r="F1244" s="821"/>
      <c r="G1244" s="821"/>
      <c r="H1244" s="821"/>
      <c r="I1244" s="821"/>
      <c r="J1244" s="821"/>
      <c r="K1244" s="821"/>
      <c r="L1244" s="821"/>
      <c r="M1244" s="677"/>
      <c r="N1244" s="821"/>
      <c r="O1244" s="821"/>
      <c r="P1244" s="677"/>
      <c r="Q1244" s="677"/>
      <c r="R1244" s="677"/>
      <c r="S1244" s="677"/>
      <c r="T1244" s="677"/>
      <c r="U1244" s="677"/>
      <c r="V1244" s="677"/>
      <c r="W1244" s="677"/>
      <c r="X1244" s="677"/>
      <c r="Y1244" s="677"/>
      <c r="Z1244" s="677"/>
      <c r="AA1244" s="677"/>
      <c r="AB1244" s="677"/>
      <c r="AC1244" s="677"/>
      <c r="AD1244" s="677"/>
    </row>
    <row r="1245">
      <c r="A1245" s="704"/>
      <c r="B1245" s="674"/>
      <c r="C1245" s="852"/>
      <c r="D1245" s="656"/>
      <c r="E1245" s="821"/>
      <c r="F1245" s="821"/>
      <c r="G1245" s="821"/>
      <c r="H1245" s="821"/>
      <c r="I1245" s="821"/>
      <c r="J1245" s="821"/>
      <c r="K1245" s="821"/>
      <c r="L1245" s="821"/>
      <c r="M1245" s="677"/>
      <c r="N1245" s="821"/>
      <c r="O1245" s="821"/>
      <c r="P1245" s="677"/>
      <c r="Q1245" s="677"/>
      <c r="R1245" s="677"/>
      <c r="S1245" s="677"/>
      <c r="T1245" s="677"/>
      <c r="U1245" s="677"/>
      <c r="V1245" s="677"/>
      <c r="W1245" s="677"/>
      <c r="X1245" s="677"/>
      <c r="Y1245" s="677"/>
      <c r="Z1245" s="677"/>
      <c r="AA1245" s="677"/>
      <c r="AB1245" s="677"/>
      <c r="AC1245" s="677"/>
      <c r="AD1245" s="677"/>
    </row>
    <row r="1246">
      <c r="A1246" s="704"/>
      <c r="B1246" s="902"/>
      <c r="C1246" s="852"/>
      <c r="D1246" s="656"/>
      <c r="E1246" s="821"/>
      <c r="F1246" s="821"/>
      <c r="G1246" s="821"/>
      <c r="H1246" s="821"/>
      <c r="I1246" s="821"/>
      <c r="J1246" s="821"/>
      <c r="K1246" s="821"/>
      <c r="L1246" s="821"/>
      <c r="M1246" s="677"/>
      <c r="N1246" s="821"/>
      <c r="O1246" s="821"/>
      <c r="P1246" s="677"/>
      <c r="Q1246" s="677"/>
      <c r="R1246" s="677"/>
      <c r="S1246" s="677"/>
      <c r="T1246" s="677"/>
      <c r="U1246" s="677"/>
      <c r="V1246" s="677"/>
      <c r="W1246" s="677"/>
      <c r="X1246" s="677"/>
      <c r="Y1246" s="677"/>
      <c r="Z1246" s="677"/>
      <c r="AA1246" s="677"/>
      <c r="AB1246" s="677"/>
      <c r="AC1246" s="677"/>
      <c r="AD1246" s="677"/>
    </row>
    <row r="1247">
      <c r="A1247" s="704"/>
      <c r="B1247" s="674"/>
      <c r="C1247" s="852"/>
      <c r="D1247" s="656"/>
      <c r="E1247" s="821"/>
      <c r="F1247" s="821"/>
      <c r="G1247" s="821"/>
      <c r="H1247" s="821"/>
      <c r="I1247" s="821"/>
      <c r="J1247" s="821"/>
      <c r="K1247" s="821"/>
      <c r="L1247" s="821"/>
      <c r="M1247" s="677"/>
      <c r="N1247" s="821"/>
      <c r="O1247" s="821"/>
      <c r="P1247" s="677"/>
      <c r="Q1247" s="677"/>
      <c r="R1247" s="677"/>
      <c r="S1247" s="677"/>
      <c r="T1247" s="677"/>
      <c r="U1247" s="677"/>
      <c r="V1247" s="677"/>
      <c r="W1247" s="677"/>
      <c r="X1247" s="677"/>
      <c r="Y1247" s="677"/>
      <c r="Z1247" s="677"/>
      <c r="AA1247" s="677"/>
      <c r="AB1247" s="677"/>
      <c r="AC1247" s="677"/>
      <c r="AD1247" s="677"/>
    </row>
    <row r="1248">
      <c r="A1248" s="704"/>
      <c r="B1248" s="674"/>
      <c r="C1248" s="852"/>
      <c r="D1248" s="656"/>
      <c r="E1248" s="821"/>
      <c r="F1248" s="821"/>
      <c r="G1248" s="821"/>
      <c r="H1248" s="821"/>
      <c r="I1248" s="821"/>
      <c r="J1248" s="821"/>
      <c r="K1248" s="821"/>
      <c r="L1248" s="821"/>
      <c r="M1248" s="677"/>
      <c r="N1248" s="821"/>
      <c r="O1248" s="821"/>
      <c r="P1248" s="677"/>
      <c r="Q1248" s="677"/>
      <c r="R1248" s="677"/>
      <c r="S1248" s="677"/>
      <c r="T1248" s="677"/>
      <c r="U1248" s="677"/>
      <c r="V1248" s="677"/>
      <c r="W1248" s="677"/>
      <c r="X1248" s="677"/>
      <c r="Y1248" s="677"/>
      <c r="Z1248" s="677"/>
      <c r="AA1248" s="677"/>
      <c r="AB1248" s="677"/>
      <c r="AC1248" s="677"/>
      <c r="AD1248" s="677"/>
    </row>
    <row r="1249">
      <c r="A1249" s="704"/>
      <c r="B1249" s="674"/>
      <c r="C1249" s="852"/>
      <c r="D1249" s="656"/>
      <c r="E1249" s="821"/>
      <c r="F1249" s="821"/>
      <c r="G1249" s="821"/>
      <c r="H1249" s="821"/>
      <c r="I1249" s="821"/>
      <c r="J1249" s="821"/>
      <c r="K1249" s="821"/>
      <c r="L1249" s="821"/>
      <c r="M1249" s="677"/>
      <c r="N1249" s="821"/>
      <c r="O1249" s="821"/>
      <c r="P1249" s="677"/>
      <c r="Q1249" s="677"/>
      <c r="R1249" s="677"/>
      <c r="S1249" s="677"/>
      <c r="T1249" s="677"/>
      <c r="U1249" s="677"/>
      <c r="V1249" s="677"/>
      <c r="W1249" s="677"/>
      <c r="X1249" s="677"/>
      <c r="Y1249" s="677"/>
      <c r="Z1249" s="677"/>
      <c r="AA1249" s="677"/>
      <c r="AB1249" s="677"/>
      <c r="AC1249" s="677"/>
      <c r="AD1249" s="677"/>
    </row>
    <row r="1250">
      <c r="A1250" s="704"/>
      <c r="B1250" s="674"/>
      <c r="C1250" s="852"/>
      <c r="D1250" s="656"/>
      <c r="E1250" s="821"/>
      <c r="F1250" s="821"/>
      <c r="G1250" s="821"/>
      <c r="H1250" s="821"/>
      <c r="I1250" s="821"/>
      <c r="J1250" s="821"/>
      <c r="K1250" s="821"/>
      <c r="L1250" s="821"/>
      <c r="M1250" s="677"/>
      <c r="N1250" s="821"/>
      <c r="O1250" s="821"/>
      <c r="P1250" s="677"/>
      <c r="Q1250" s="677"/>
      <c r="R1250" s="677"/>
      <c r="S1250" s="677"/>
      <c r="T1250" s="677"/>
      <c r="U1250" s="677"/>
      <c r="V1250" s="677"/>
      <c r="W1250" s="677"/>
      <c r="X1250" s="677"/>
      <c r="Y1250" s="677"/>
      <c r="Z1250" s="677"/>
      <c r="AA1250" s="677"/>
      <c r="AB1250" s="677"/>
      <c r="AC1250" s="677"/>
      <c r="AD1250" s="677"/>
    </row>
    <row r="1251">
      <c r="A1251" s="704"/>
      <c r="B1251" s="902"/>
      <c r="C1251" s="852"/>
      <c r="D1251" s="656"/>
      <c r="E1251" s="821"/>
      <c r="F1251" s="821"/>
      <c r="G1251" s="821"/>
      <c r="H1251" s="821"/>
      <c r="I1251" s="821"/>
      <c r="J1251" s="821"/>
      <c r="K1251" s="821"/>
      <c r="L1251" s="821"/>
      <c r="M1251" s="677"/>
      <c r="N1251" s="821"/>
      <c r="O1251" s="821"/>
      <c r="P1251" s="677"/>
      <c r="Q1251" s="677"/>
      <c r="R1251" s="677"/>
      <c r="S1251" s="677"/>
      <c r="T1251" s="677"/>
      <c r="U1251" s="677"/>
      <c r="V1251" s="677"/>
      <c r="W1251" s="677"/>
      <c r="X1251" s="677"/>
      <c r="Y1251" s="677"/>
      <c r="Z1251" s="677"/>
      <c r="AA1251" s="677"/>
      <c r="AB1251" s="677"/>
      <c r="AC1251" s="677"/>
      <c r="AD1251" s="677"/>
    </row>
    <row r="1252">
      <c r="A1252" s="704"/>
      <c r="B1252" s="674"/>
      <c r="C1252" s="852"/>
      <c r="D1252" s="656"/>
      <c r="E1252" s="821"/>
      <c r="F1252" s="821"/>
      <c r="G1252" s="821"/>
      <c r="H1252" s="821"/>
      <c r="I1252" s="821"/>
      <c r="J1252" s="821"/>
      <c r="K1252" s="821"/>
      <c r="L1252" s="821"/>
      <c r="M1252" s="677"/>
      <c r="N1252" s="821"/>
      <c r="O1252" s="821"/>
      <c r="P1252" s="677"/>
      <c r="Q1252" s="677"/>
      <c r="R1252" s="677"/>
      <c r="S1252" s="677"/>
      <c r="T1252" s="677"/>
      <c r="U1252" s="677"/>
      <c r="V1252" s="677"/>
      <c r="W1252" s="677"/>
      <c r="X1252" s="677"/>
      <c r="Y1252" s="677"/>
      <c r="Z1252" s="677"/>
      <c r="AA1252" s="677"/>
      <c r="AB1252" s="677"/>
      <c r="AC1252" s="677"/>
      <c r="AD1252" s="677"/>
    </row>
    <row r="1253">
      <c r="A1253" s="704"/>
      <c r="B1253" s="674"/>
      <c r="C1253" s="852"/>
      <c r="D1253" s="656"/>
      <c r="E1253" s="821"/>
      <c r="F1253" s="821"/>
      <c r="G1253" s="821"/>
      <c r="H1253" s="821"/>
      <c r="I1253" s="821"/>
      <c r="J1253" s="821"/>
      <c r="K1253" s="821"/>
      <c r="L1253" s="821"/>
      <c r="M1253" s="677"/>
      <c r="N1253" s="821"/>
      <c r="O1253" s="821"/>
      <c r="P1253" s="677"/>
      <c r="Q1253" s="677"/>
      <c r="R1253" s="677"/>
      <c r="S1253" s="677"/>
      <c r="T1253" s="677"/>
      <c r="U1253" s="677"/>
      <c r="V1253" s="677"/>
      <c r="W1253" s="677"/>
      <c r="X1253" s="677"/>
      <c r="Y1253" s="677"/>
      <c r="Z1253" s="677"/>
      <c r="AA1253" s="677"/>
      <c r="AB1253" s="677"/>
      <c r="AC1253" s="677"/>
      <c r="AD1253" s="677"/>
    </row>
    <row r="1254">
      <c r="A1254" s="704"/>
      <c r="B1254" s="902"/>
      <c r="C1254" s="852"/>
      <c r="D1254" s="656"/>
      <c r="E1254" s="821"/>
      <c r="F1254" s="821"/>
      <c r="G1254" s="821"/>
      <c r="H1254" s="821"/>
      <c r="I1254" s="821"/>
      <c r="J1254" s="821"/>
      <c r="K1254" s="821"/>
      <c r="L1254" s="821"/>
      <c r="M1254" s="677"/>
      <c r="N1254" s="821"/>
      <c r="O1254" s="821"/>
      <c r="P1254" s="677"/>
      <c r="Q1254" s="677"/>
      <c r="R1254" s="677"/>
      <c r="S1254" s="677"/>
      <c r="T1254" s="677"/>
      <c r="U1254" s="677"/>
      <c r="V1254" s="677"/>
      <c r="W1254" s="677"/>
      <c r="X1254" s="677"/>
      <c r="Y1254" s="677"/>
      <c r="Z1254" s="677"/>
      <c r="AA1254" s="677"/>
      <c r="AB1254" s="677"/>
      <c r="AC1254" s="677"/>
      <c r="AD1254" s="677"/>
    </row>
    <row r="1255">
      <c r="A1255" s="704"/>
      <c r="B1255" s="674"/>
      <c r="C1255" s="852"/>
      <c r="D1255" s="656"/>
      <c r="E1255" s="821"/>
      <c r="F1255" s="821"/>
      <c r="G1255" s="821"/>
      <c r="H1255" s="821"/>
      <c r="I1255" s="821"/>
      <c r="J1255" s="821"/>
      <c r="K1255" s="821"/>
      <c r="L1255" s="821"/>
      <c r="M1255" s="677"/>
      <c r="N1255" s="821"/>
      <c r="O1255" s="821"/>
      <c r="P1255" s="677"/>
      <c r="Q1255" s="677"/>
      <c r="R1255" s="677"/>
      <c r="S1255" s="677"/>
      <c r="T1255" s="677"/>
      <c r="U1255" s="677"/>
      <c r="V1255" s="677"/>
      <c r="W1255" s="677"/>
      <c r="X1255" s="677"/>
      <c r="Y1255" s="677"/>
      <c r="Z1255" s="677"/>
      <c r="AA1255" s="677"/>
      <c r="AB1255" s="677"/>
      <c r="AC1255" s="677"/>
      <c r="AD1255" s="677"/>
    </row>
    <row r="1256">
      <c r="A1256" s="704"/>
      <c r="B1256" s="674"/>
      <c r="C1256" s="852"/>
      <c r="D1256" s="656"/>
      <c r="E1256" s="821"/>
      <c r="F1256" s="821"/>
      <c r="G1256" s="821"/>
      <c r="H1256" s="821"/>
      <c r="I1256" s="821"/>
      <c r="J1256" s="821"/>
      <c r="K1256" s="821"/>
      <c r="L1256" s="821"/>
      <c r="M1256" s="677"/>
      <c r="N1256" s="821"/>
      <c r="O1256" s="821"/>
      <c r="P1256" s="677"/>
      <c r="Q1256" s="677"/>
      <c r="R1256" s="677"/>
      <c r="S1256" s="677"/>
      <c r="T1256" s="677"/>
      <c r="U1256" s="677"/>
      <c r="V1256" s="677"/>
      <c r="W1256" s="677"/>
      <c r="X1256" s="677"/>
      <c r="Y1256" s="677"/>
      <c r="Z1256" s="677"/>
      <c r="AA1256" s="677"/>
      <c r="AB1256" s="677"/>
      <c r="AC1256" s="677"/>
      <c r="AD1256" s="677"/>
    </row>
    <row r="1257">
      <c r="A1257" s="704"/>
      <c r="B1257" s="708"/>
      <c r="C1257" s="852"/>
      <c r="D1257" s="656"/>
      <c r="E1257" s="821"/>
      <c r="F1257" s="821"/>
      <c r="G1257" s="821"/>
      <c r="H1257" s="821"/>
      <c r="I1257" s="821"/>
      <c r="J1257" s="821"/>
      <c r="K1257" s="821"/>
      <c r="L1257" s="821"/>
      <c r="M1257" s="677"/>
      <c r="N1257" s="821"/>
      <c r="O1257" s="821"/>
      <c r="P1257" s="677"/>
      <c r="Q1257" s="677"/>
      <c r="R1257" s="677"/>
      <c r="S1257" s="677"/>
      <c r="T1257" s="677"/>
      <c r="U1257" s="677"/>
      <c r="V1257" s="677"/>
      <c r="W1257" s="677"/>
      <c r="X1257" s="677"/>
      <c r="Y1257" s="677"/>
      <c r="Z1257" s="677"/>
      <c r="AA1257" s="677"/>
      <c r="AB1257" s="677"/>
      <c r="AC1257" s="677"/>
      <c r="AD1257" s="677"/>
    </row>
    <row r="1258">
      <c r="A1258" s="704"/>
      <c r="B1258" s="708"/>
      <c r="C1258" s="852"/>
      <c r="D1258" s="656"/>
      <c r="E1258" s="821"/>
      <c r="F1258" s="821"/>
      <c r="G1258" s="821"/>
      <c r="H1258" s="821"/>
      <c r="I1258" s="821"/>
      <c r="J1258" s="821"/>
      <c r="K1258" s="821"/>
      <c r="L1258" s="821"/>
      <c r="M1258" s="677"/>
      <c r="N1258" s="821"/>
      <c r="O1258" s="821"/>
      <c r="P1258" s="677"/>
      <c r="Q1258" s="677"/>
      <c r="R1258" s="677"/>
      <c r="S1258" s="677"/>
      <c r="T1258" s="677"/>
      <c r="U1258" s="677"/>
      <c r="V1258" s="677"/>
      <c r="W1258" s="677"/>
      <c r="X1258" s="677"/>
      <c r="Y1258" s="677"/>
      <c r="Z1258" s="677"/>
      <c r="AA1258" s="677"/>
      <c r="AB1258" s="677"/>
      <c r="AC1258" s="677"/>
      <c r="AD1258" s="677"/>
    </row>
    <row r="1259">
      <c r="A1259" s="704"/>
      <c r="B1259" s="708"/>
      <c r="C1259" s="852"/>
      <c r="D1259" s="656"/>
      <c r="E1259" s="821"/>
      <c r="F1259" s="821"/>
      <c r="G1259" s="821"/>
      <c r="H1259" s="821"/>
      <c r="I1259" s="821"/>
      <c r="J1259" s="821"/>
      <c r="K1259" s="821"/>
      <c r="L1259" s="821"/>
      <c r="M1259" s="677"/>
      <c r="N1259" s="821"/>
      <c r="O1259" s="821"/>
      <c r="P1259" s="677"/>
      <c r="Q1259" s="677"/>
      <c r="R1259" s="677"/>
      <c r="S1259" s="677"/>
      <c r="T1259" s="677"/>
      <c r="U1259" s="677"/>
      <c r="V1259" s="677"/>
      <c r="W1259" s="677"/>
      <c r="X1259" s="677"/>
      <c r="Y1259" s="677"/>
      <c r="Z1259" s="677"/>
      <c r="AA1259" s="677"/>
      <c r="AB1259" s="677"/>
      <c r="AC1259" s="677"/>
      <c r="AD1259" s="677"/>
    </row>
    <row r="1260">
      <c r="A1260" s="704"/>
      <c r="B1260" s="674"/>
      <c r="C1260" s="852"/>
      <c r="D1260" s="656"/>
      <c r="E1260" s="821"/>
      <c r="F1260" s="821"/>
      <c r="G1260" s="821"/>
      <c r="H1260" s="821"/>
      <c r="I1260" s="821"/>
      <c r="J1260" s="821"/>
      <c r="K1260" s="821"/>
      <c r="L1260" s="821"/>
      <c r="M1260" s="677"/>
      <c r="N1260" s="821"/>
      <c r="O1260" s="821"/>
      <c r="P1260" s="677"/>
      <c r="Q1260" s="677"/>
      <c r="R1260" s="677"/>
      <c r="S1260" s="677"/>
      <c r="T1260" s="677"/>
      <c r="U1260" s="677"/>
      <c r="V1260" s="677"/>
      <c r="W1260" s="677"/>
      <c r="X1260" s="677"/>
      <c r="Y1260" s="677"/>
      <c r="Z1260" s="677"/>
      <c r="AA1260" s="677"/>
      <c r="AB1260" s="677"/>
      <c r="AC1260" s="677"/>
      <c r="AD1260" s="677"/>
    </row>
    <row r="1261">
      <c r="A1261" s="704"/>
      <c r="B1261" s="674"/>
      <c r="C1261" s="852"/>
      <c r="D1261" s="656"/>
      <c r="E1261" s="821"/>
      <c r="F1261" s="821"/>
      <c r="G1261" s="821"/>
      <c r="H1261" s="821"/>
      <c r="I1261" s="821"/>
      <c r="J1261" s="821"/>
      <c r="K1261" s="821"/>
      <c r="L1261" s="821"/>
      <c r="M1261" s="677"/>
      <c r="N1261" s="821"/>
      <c r="O1261" s="821"/>
      <c r="P1261" s="677"/>
      <c r="Q1261" s="677"/>
      <c r="R1261" s="677"/>
      <c r="S1261" s="677"/>
      <c r="T1261" s="677"/>
      <c r="U1261" s="677"/>
      <c r="V1261" s="677"/>
      <c r="W1261" s="677"/>
      <c r="X1261" s="677"/>
      <c r="Y1261" s="677"/>
      <c r="Z1261" s="677"/>
      <c r="AA1261" s="677"/>
      <c r="AB1261" s="677"/>
      <c r="AC1261" s="677"/>
      <c r="AD1261" s="677"/>
    </row>
    <row r="1262">
      <c r="A1262" s="704"/>
      <c r="B1262" s="674"/>
      <c r="C1262" s="852"/>
      <c r="D1262" s="656"/>
      <c r="E1262" s="821"/>
      <c r="F1262" s="821"/>
      <c r="G1262" s="821"/>
      <c r="H1262" s="821"/>
      <c r="I1262" s="821"/>
      <c r="J1262" s="821"/>
      <c r="K1262" s="821"/>
      <c r="L1262" s="821"/>
      <c r="M1262" s="677"/>
      <c r="N1262" s="821"/>
      <c r="O1262" s="821"/>
      <c r="P1262" s="677"/>
      <c r="Q1262" s="677"/>
      <c r="R1262" s="677"/>
      <c r="S1262" s="677"/>
      <c r="T1262" s="677"/>
      <c r="U1262" s="677"/>
      <c r="V1262" s="677"/>
      <c r="W1262" s="677"/>
      <c r="X1262" s="677"/>
      <c r="Y1262" s="677"/>
      <c r="Z1262" s="677"/>
      <c r="AA1262" s="677"/>
      <c r="AB1262" s="677"/>
      <c r="AC1262" s="677"/>
      <c r="AD1262" s="677"/>
    </row>
    <row r="1263">
      <c r="A1263" s="704"/>
      <c r="B1263" s="674"/>
      <c r="C1263" s="852"/>
      <c r="D1263" s="656"/>
      <c r="E1263" s="821"/>
      <c r="F1263" s="821"/>
      <c r="G1263" s="821"/>
      <c r="H1263" s="821"/>
      <c r="I1263" s="821"/>
      <c r="J1263" s="821"/>
      <c r="K1263" s="821"/>
      <c r="L1263" s="821"/>
      <c r="M1263" s="677"/>
      <c r="N1263" s="821"/>
      <c r="O1263" s="821"/>
      <c r="P1263" s="677"/>
      <c r="Q1263" s="677"/>
      <c r="R1263" s="677"/>
      <c r="S1263" s="677"/>
      <c r="T1263" s="677"/>
      <c r="U1263" s="677"/>
      <c r="V1263" s="677"/>
      <c r="W1263" s="677"/>
      <c r="X1263" s="677"/>
      <c r="Y1263" s="677"/>
      <c r="Z1263" s="677"/>
      <c r="AA1263" s="677"/>
      <c r="AB1263" s="677"/>
      <c r="AC1263" s="677"/>
      <c r="AD1263" s="677"/>
    </row>
    <row r="1264">
      <c r="A1264" s="704"/>
      <c r="B1264" s="674"/>
      <c r="C1264" s="852"/>
      <c r="D1264" s="656"/>
      <c r="E1264" s="821"/>
      <c r="F1264" s="821"/>
      <c r="G1264" s="821"/>
      <c r="H1264" s="821"/>
      <c r="I1264" s="821"/>
      <c r="J1264" s="821"/>
      <c r="K1264" s="821"/>
      <c r="L1264" s="821"/>
      <c r="M1264" s="677"/>
      <c r="N1264" s="821"/>
      <c r="O1264" s="821"/>
      <c r="P1264" s="677"/>
      <c r="Q1264" s="677"/>
      <c r="R1264" s="677"/>
      <c r="S1264" s="677"/>
      <c r="T1264" s="677"/>
      <c r="U1264" s="677"/>
      <c r="V1264" s="677"/>
      <c r="W1264" s="677"/>
      <c r="X1264" s="677"/>
      <c r="Y1264" s="677"/>
      <c r="Z1264" s="677"/>
      <c r="AA1264" s="677"/>
      <c r="AB1264" s="677"/>
      <c r="AC1264" s="677"/>
      <c r="AD1264" s="677"/>
    </row>
    <row r="1265">
      <c r="A1265" s="704"/>
      <c r="B1265" s="674"/>
      <c r="C1265" s="852"/>
      <c r="D1265" s="656"/>
      <c r="E1265" s="821"/>
      <c r="F1265" s="821"/>
      <c r="G1265" s="821"/>
      <c r="H1265" s="821"/>
      <c r="I1265" s="821"/>
      <c r="J1265" s="821"/>
      <c r="K1265" s="821"/>
      <c r="L1265" s="821"/>
      <c r="M1265" s="677"/>
      <c r="N1265" s="821"/>
      <c r="O1265" s="821"/>
      <c r="P1265" s="677"/>
      <c r="Q1265" s="677"/>
      <c r="R1265" s="677"/>
      <c r="S1265" s="677"/>
      <c r="T1265" s="677"/>
      <c r="U1265" s="677"/>
      <c r="V1265" s="677"/>
      <c r="W1265" s="677"/>
      <c r="X1265" s="677"/>
      <c r="Y1265" s="677"/>
      <c r="Z1265" s="677"/>
      <c r="AA1265" s="677"/>
      <c r="AB1265" s="677"/>
      <c r="AC1265" s="677"/>
      <c r="AD1265" s="677"/>
    </row>
    <row r="1266">
      <c r="A1266" s="704"/>
      <c r="B1266" s="674"/>
      <c r="C1266" s="852"/>
      <c r="D1266" s="656"/>
      <c r="E1266" s="821"/>
      <c r="F1266" s="821"/>
      <c r="G1266" s="821"/>
      <c r="H1266" s="821"/>
      <c r="I1266" s="821"/>
      <c r="J1266" s="821"/>
      <c r="K1266" s="821"/>
      <c r="L1266" s="821"/>
      <c r="M1266" s="677"/>
      <c r="N1266" s="821"/>
      <c r="O1266" s="821"/>
      <c r="P1266" s="677"/>
      <c r="Q1266" s="677"/>
      <c r="R1266" s="677"/>
      <c r="S1266" s="677"/>
      <c r="T1266" s="677"/>
      <c r="U1266" s="677"/>
      <c r="V1266" s="677"/>
      <c r="W1266" s="677"/>
      <c r="X1266" s="677"/>
      <c r="Y1266" s="677"/>
      <c r="Z1266" s="677"/>
      <c r="AA1266" s="677"/>
      <c r="AB1266" s="677"/>
      <c r="AC1266" s="677"/>
      <c r="AD1266" s="677"/>
    </row>
    <row r="1267">
      <c r="A1267" s="704"/>
      <c r="B1267" s="674"/>
      <c r="C1267" s="852"/>
      <c r="D1267" s="656"/>
      <c r="E1267" s="821"/>
      <c r="F1267" s="821"/>
      <c r="G1267" s="821"/>
      <c r="H1267" s="821"/>
      <c r="I1267" s="821"/>
      <c r="J1267" s="821"/>
      <c r="K1267" s="821"/>
      <c r="L1267" s="821"/>
      <c r="M1267" s="677"/>
      <c r="N1267" s="821"/>
      <c r="O1267" s="821"/>
      <c r="P1267" s="677"/>
      <c r="Q1267" s="677"/>
      <c r="R1267" s="677"/>
      <c r="S1267" s="677"/>
      <c r="T1267" s="677"/>
      <c r="U1267" s="677"/>
      <c r="V1267" s="677"/>
      <c r="W1267" s="677"/>
      <c r="X1267" s="677"/>
      <c r="Y1267" s="677"/>
      <c r="Z1267" s="677"/>
      <c r="AA1267" s="677"/>
      <c r="AB1267" s="677"/>
      <c r="AC1267" s="677"/>
      <c r="AD1267" s="677"/>
    </row>
    <row r="1268">
      <c r="A1268" s="704"/>
      <c r="B1268" s="674"/>
      <c r="C1268" s="852"/>
      <c r="D1268" s="656"/>
      <c r="E1268" s="821"/>
      <c r="F1268" s="821"/>
      <c r="G1268" s="821"/>
      <c r="H1268" s="821"/>
      <c r="I1268" s="821"/>
      <c r="J1268" s="821"/>
      <c r="K1268" s="821"/>
      <c r="L1268" s="821"/>
      <c r="M1268" s="677"/>
      <c r="N1268" s="821"/>
      <c r="O1268" s="821"/>
      <c r="P1268" s="677"/>
      <c r="Q1268" s="677"/>
      <c r="R1268" s="677"/>
      <c r="S1268" s="677"/>
      <c r="T1268" s="677"/>
      <c r="U1268" s="677"/>
      <c r="V1268" s="677"/>
      <c r="W1268" s="677"/>
      <c r="X1268" s="677"/>
      <c r="Y1268" s="677"/>
      <c r="Z1268" s="677"/>
      <c r="AA1268" s="677"/>
      <c r="AB1268" s="677"/>
      <c r="AC1268" s="677"/>
      <c r="AD1268" s="677"/>
    </row>
    <row r="1269">
      <c r="A1269" s="704"/>
      <c r="B1269" s="674"/>
      <c r="C1269" s="852"/>
      <c r="D1269" s="656"/>
      <c r="E1269" s="821"/>
      <c r="F1269" s="821"/>
      <c r="G1269" s="821"/>
      <c r="H1269" s="821"/>
      <c r="I1269" s="821"/>
      <c r="J1269" s="821"/>
      <c r="K1269" s="821"/>
      <c r="L1269" s="821"/>
      <c r="M1269" s="677"/>
      <c r="N1269" s="821"/>
      <c r="O1269" s="821"/>
      <c r="P1269" s="677"/>
      <c r="Q1269" s="677"/>
      <c r="R1269" s="677"/>
      <c r="S1269" s="677"/>
      <c r="T1269" s="677"/>
      <c r="U1269" s="677"/>
      <c r="V1269" s="677"/>
      <c r="W1269" s="677"/>
      <c r="X1269" s="677"/>
      <c r="Y1269" s="677"/>
      <c r="Z1269" s="677"/>
      <c r="AA1269" s="677"/>
      <c r="AB1269" s="677"/>
      <c r="AC1269" s="677"/>
      <c r="AD1269" s="677"/>
    </row>
    <row r="1270">
      <c r="A1270" s="704"/>
      <c r="B1270" s="674"/>
      <c r="C1270" s="852"/>
      <c r="D1270" s="656"/>
      <c r="E1270" s="821"/>
      <c r="F1270" s="821"/>
      <c r="G1270" s="821"/>
      <c r="H1270" s="821"/>
      <c r="I1270" s="821"/>
      <c r="J1270" s="821"/>
      <c r="K1270" s="821"/>
      <c r="L1270" s="821"/>
      <c r="M1270" s="677"/>
      <c r="N1270" s="821"/>
      <c r="O1270" s="821"/>
      <c r="P1270" s="677"/>
      <c r="Q1270" s="677"/>
      <c r="R1270" s="677"/>
      <c r="S1270" s="677"/>
      <c r="T1270" s="677"/>
      <c r="U1270" s="677"/>
      <c r="V1270" s="677"/>
      <c r="W1270" s="677"/>
      <c r="X1270" s="677"/>
      <c r="Y1270" s="677"/>
      <c r="Z1270" s="677"/>
      <c r="AA1270" s="677"/>
      <c r="AB1270" s="677"/>
      <c r="AC1270" s="677"/>
      <c r="AD1270" s="677"/>
    </row>
    <row r="1271">
      <c r="A1271" s="704"/>
      <c r="B1271" s="674"/>
      <c r="C1271" s="852"/>
      <c r="D1271" s="656"/>
      <c r="E1271" s="821"/>
      <c r="F1271" s="821"/>
      <c r="G1271" s="821"/>
      <c r="H1271" s="821"/>
      <c r="I1271" s="821"/>
      <c r="J1271" s="821"/>
      <c r="K1271" s="821"/>
      <c r="L1271" s="821"/>
      <c r="M1271" s="677"/>
      <c r="N1271" s="821"/>
      <c r="O1271" s="821"/>
      <c r="P1271" s="677"/>
      <c r="Q1271" s="677"/>
      <c r="R1271" s="677"/>
      <c r="S1271" s="677"/>
      <c r="T1271" s="677"/>
      <c r="U1271" s="677"/>
      <c r="V1271" s="677"/>
      <c r="W1271" s="677"/>
      <c r="X1271" s="677"/>
      <c r="Y1271" s="677"/>
      <c r="Z1271" s="677"/>
      <c r="AA1271" s="677"/>
      <c r="AB1271" s="677"/>
      <c r="AC1271" s="677"/>
      <c r="AD1271" s="677"/>
    </row>
    <row r="1272">
      <c r="A1272" s="704"/>
      <c r="B1272" s="674"/>
      <c r="C1272" s="852"/>
      <c r="D1272" s="656"/>
      <c r="E1272" s="821"/>
      <c r="F1272" s="821"/>
      <c r="G1272" s="821"/>
      <c r="H1272" s="821"/>
      <c r="I1272" s="821"/>
      <c r="J1272" s="821"/>
      <c r="K1272" s="821"/>
      <c r="L1272" s="821"/>
      <c r="M1272" s="677"/>
      <c r="N1272" s="821"/>
      <c r="O1272" s="821"/>
      <c r="P1272" s="677"/>
      <c r="Q1272" s="677"/>
      <c r="R1272" s="677"/>
      <c r="S1272" s="677"/>
      <c r="T1272" s="677"/>
      <c r="U1272" s="677"/>
      <c r="V1272" s="677"/>
      <c r="W1272" s="677"/>
      <c r="X1272" s="677"/>
      <c r="Y1272" s="677"/>
      <c r="Z1272" s="677"/>
      <c r="AA1272" s="677"/>
      <c r="AB1272" s="677"/>
      <c r="AC1272" s="677"/>
      <c r="AD1272" s="677"/>
    </row>
    <row r="1273">
      <c r="A1273" s="704"/>
      <c r="B1273" s="674"/>
      <c r="C1273" s="852"/>
      <c r="D1273" s="656"/>
      <c r="E1273" s="821"/>
      <c r="F1273" s="821"/>
      <c r="G1273" s="821"/>
      <c r="H1273" s="821"/>
      <c r="I1273" s="821"/>
      <c r="J1273" s="821"/>
      <c r="K1273" s="821"/>
      <c r="L1273" s="821"/>
      <c r="M1273" s="677"/>
      <c r="N1273" s="821"/>
      <c r="O1273" s="821"/>
      <c r="P1273" s="677"/>
      <c r="Q1273" s="677"/>
      <c r="R1273" s="677"/>
      <c r="S1273" s="677"/>
      <c r="T1273" s="677"/>
      <c r="U1273" s="677"/>
      <c r="V1273" s="677"/>
      <c r="W1273" s="677"/>
      <c r="X1273" s="677"/>
      <c r="Y1273" s="677"/>
      <c r="Z1273" s="677"/>
      <c r="AA1273" s="677"/>
      <c r="AB1273" s="677"/>
      <c r="AC1273" s="677"/>
      <c r="AD1273" s="677"/>
    </row>
    <row r="1274">
      <c r="A1274" s="704"/>
      <c r="B1274" s="674"/>
      <c r="C1274" s="852"/>
      <c r="D1274" s="656"/>
      <c r="E1274" s="821"/>
      <c r="F1274" s="821"/>
      <c r="G1274" s="821"/>
      <c r="H1274" s="821"/>
      <c r="I1274" s="821"/>
      <c r="J1274" s="821"/>
      <c r="K1274" s="821"/>
      <c r="L1274" s="821"/>
      <c r="M1274" s="677"/>
      <c r="N1274" s="821"/>
      <c r="O1274" s="821"/>
      <c r="P1274" s="677"/>
      <c r="Q1274" s="677"/>
      <c r="R1274" s="677"/>
      <c r="S1274" s="677"/>
      <c r="T1274" s="677"/>
      <c r="U1274" s="677"/>
      <c r="V1274" s="677"/>
      <c r="W1274" s="677"/>
      <c r="X1274" s="677"/>
      <c r="Y1274" s="677"/>
      <c r="Z1274" s="677"/>
      <c r="AA1274" s="677"/>
      <c r="AB1274" s="677"/>
      <c r="AC1274" s="677"/>
      <c r="AD1274" s="677"/>
    </row>
    <row r="1275">
      <c r="A1275" s="704"/>
      <c r="B1275" s="674"/>
      <c r="C1275" s="852"/>
      <c r="D1275" s="656"/>
      <c r="E1275" s="821"/>
      <c r="F1275" s="821"/>
      <c r="G1275" s="821"/>
      <c r="H1275" s="821"/>
      <c r="I1275" s="821"/>
      <c r="J1275" s="821"/>
      <c r="K1275" s="821"/>
      <c r="L1275" s="821"/>
      <c r="M1275" s="677"/>
      <c r="N1275" s="821"/>
      <c r="O1275" s="821"/>
      <c r="P1275" s="677"/>
      <c r="Q1275" s="677"/>
      <c r="R1275" s="677"/>
      <c r="S1275" s="677"/>
      <c r="T1275" s="677"/>
      <c r="U1275" s="677"/>
      <c r="V1275" s="677"/>
      <c r="W1275" s="677"/>
      <c r="X1275" s="677"/>
      <c r="Y1275" s="677"/>
      <c r="Z1275" s="677"/>
      <c r="AA1275" s="677"/>
      <c r="AB1275" s="677"/>
      <c r="AC1275" s="677"/>
      <c r="AD1275" s="677"/>
    </row>
    <row r="1276">
      <c r="A1276" s="704"/>
      <c r="B1276" s="674"/>
      <c r="C1276" s="852"/>
      <c r="D1276" s="656"/>
      <c r="E1276" s="821"/>
      <c r="F1276" s="821"/>
      <c r="G1276" s="821"/>
      <c r="H1276" s="821"/>
      <c r="I1276" s="821"/>
      <c r="J1276" s="821"/>
      <c r="K1276" s="821"/>
      <c r="L1276" s="821"/>
      <c r="M1276" s="677"/>
      <c r="N1276" s="821"/>
      <c r="O1276" s="821"/>
      <c r="P1276" s="677"/>
      <c r="Q1276" s="677"/>
      <c r="R1276" s="677"/>
      <c r="S1276" s="677"/>
      <c r="T1276" s="677"/>
      <c r="U1276" s="677"/>
      <c r="V1276" s="677"/>
      <c r="W1276" s="677"/>
      <c r="X1276" s="677"/>
      <c r="Y1276" s="677"/>
      <c r="Z1276" s="677"/>
      <c r="AA1276" s="677"/>
      <c r="AB1276" s="677"/>
      <c r="AC1276" s="677"/>
      <c r="AD1276" s="677"/>
    </row>
    <row r="1277">
      <c r="A1277" s="704"/>
      <c r="B1277" s="674"/>
      <c r="C1277" s="852"/>
      <c r="D1277" s="656"/>
      <c r="E1277" s="821"/>
      <c r="F1277" s="821"/>
      <c r="G1277" s="821"/>
      <c r="H1277" s="821"/>
      <c r="I1277" s="821"/>
      <c r="J1277" s="821"/>
      <c r="K1277" s="821"/>
      <c r="L1277" s="821"/>
      <c r="M1277" s="677"/>
      <c r="N1277" s="821"/>
      <c r="O1277" s="821"/>
      <c r="P1277" s="677"/>
      <c r="Q1277" s="677"/>
      <c r="R1277" s="677"/>
      <c r="S1277" s="677"/>
      <c r="T1277" s="677"/>
      <c r="U1277" s="677"/>
      <c r="V1277" s="677"/>
      <c r="W1277" s="677"/>
      <c r="X1277" s="677"/>
      <c r="Y1277" s="677"/>
      <c r="Z1277" s="677"/>
      <c r="AA1277" s="677"/>
      <c r="AB1277" s="677"/>
      <c r="AC1277" s="677"/>
      <c r="AD1277" s="677"/>
    </row>
    <row r="1278">
      <c r="A1278" s="704"/>
      <c r="B1278" s="674"/>
      <c r="C1278" s="852"/>
      <c r="D1278" s="656"/>
      <c r="E1278" s="821"/>
      <c r="F1278" s="821"/>
      <c r="G1278" s="821"/>
      <c r="H1278" s="821"/>
      <c r="I1278" s="821"/>
      <c r="J1278" s="821"/>
      <c r="K1278" s="821"/>
      <c r="L1278" s="821"/>
      <c r="M1278" s="677"/>
      <c r="N1278" s="821"/>
      <c r="O1278" s="821"/>
      <c r="P1278" s="677"/>
      <c r="Q1278" s="677"/>
      <c r="R1278" s="677"/>
      <c r="S1278" s="677"/>
      <c r="T1278" s="677"/>
      <c r="U1278" s="677"/>
      <c r="V1278" s="677"/>
      <c r="W1278" s="677"/>
      <c r="X1278" s="677"/>
      <c r="Y1278" s="677"/>
      <c r="Z1278" s="677"/>
      <c r="AA1278" s="677"/>
      <c r="AB1278" s="677"/>
      <c r="AC1278" s="677"/>
      <c r="AD1278" s="677"/>
    </row>
    <row r="1279">
      <c r="A1279" s="704"/>
      <c r="B1279" s="674"/>
      <c r="C1279" s="852"/>
      <c r="D1279" s="656"/>
      <c r="E1279" s="821"/>
      <c r="F1279" s="821"/>
      <c r="G1279" s="821"/>
      <c r="H1279" s="821"/>
      <c r="I1279" s="821"/>
      <c r="J1279" s="821"/>
      <c r="K1279" s="821"/>
      <c r="L1279" s="821"/>
      <c r="M1279" s="677"/>
      <c r="N1279" s="821"/>
      <c r="O1279" s="821"/>
      <c r="P1279" s="677"/>
      <c r="Q1279" s="677"/>
      <c r="R1279" s="677"/>
      <c r="S1279" s="677"/>
      <c r="T1279" s="677"/>
      <c r="U1279" s="677"/>
      <c r="V1279" s="677"/>
      <c r="W1279" s="677"/>
      <c r="X1279" s="677"/>
      <c r="Y1279" s="677"/>
      <c r="Z1279" s="677"/>
      <c r="AA1279" s="677"/>
      <c r="AB1279" s="677"/>
      <c r="AC1279" s="677"/>
      <c r="AD1279" s="677"/>
    </row>
    <row r="1280">
      <c r="A1280" s="704"/>
      <c r="B1280" s="708" t="s">
        <v>729</v>
      </c>
      <c r="C1280" s="852"/>
      <c r="D1280" s="656"/>
      <c r="E1280" s="821"/>
      <c r="F1280" s="821"/>
      <c r="G1280" s="821"/>
      <c r="H1280" s="821"/>
      <c r="I1280" s="821"/>
      <c r="J1280" s="821"/>
      <c r="K1280" s="821"/>
      <c r="L1280" s="821"/>
      <c r="M1280" s="677"/>
      <c r="N1280" s="821"/>
      <c r="O1280" s="821"/>
      <c r="P1280" s="677"/>
      <c r="Q1280" s="677"/>
      <c r="R1280" s="677"/>
      <c r="S1280" s="677"/>
      <c r="T1280" s="677"/>
      <c r="U1280" s="677"/>
      <c r="V1280" s="677"/>
      <c r="W1280" s="677"/>
      <c r="X1280" s="677"/>
      <c r="Y1280" s="677"/>
      <c r="Z1280" s="677"/>
      <c r="AA1280" s="677"/>
      <c r="AB1280" s="677"/>
      <c r="AC1280" s="677"/>
      <c r="AD1280" s="677"/>
    </row>
    <row r="1281">
      <c r="A1281" s="704"/>
      <c r="B1281" s="708" t="s">
        <v>730</v>
      </c>
      <c r="C1281" s="852"/>
      <c r="D1281" s="656"/>
      <c r="E1281" s="821"/>
      <c r="F1281" s="821"/>
      <c r="G1281" s="821"/>
      <c r="H1281" s="821"/>
      <c r="I1281" s="821"/>
      <c r="J1281" s="821"/>
      <c r="K1281" s="821"/>
      <c r="L1281" s="821"/>
      <c r="M1281" s="677"/>
      <c r="N1281" s="821"/>
      <c r="O1281" s="821"/>
      <c r="P1281" s="677"/>
      <c r="Q1281" s="677"/>
      <c r="R1281" s="677"/>
      <c r="S1281" s="677"/>
      <c r="T1281" s="677"/>
      <c r="U1281" s="677"/>
      <c r="V1281" s="677"/>
      <c r="W1281" s="677"/>
      <c r="X1281" s="677"/>
      <c r="Y1281" s="677"/>
      <c r="Z1281" s="677"/>
      <c r="AA1281" s="677"/>
      <c r="AB1281" s="677"/>
      <c r="AC1281" s="677"/>
      <c r="AD1281" s="677"/>
    </row>
    <row r="1282">
      <c r="A1282" s="704"/>
      <c r="B1282" s="674" t="s">
        <v>731</v>
      </c>
      <c r="C1282" s="852"/>
      <c r="D1282" s="656"/>
      <c r="E1282" s="821"/>
      <c r="F1282" s="821"/>
      <c r="G1282" s="821"/>
      <c r="H1282" s="821"/>
      <c r="I1282" s="821"/>
      <c r="J1282" s="821"/>
      <c r="K1282" s="821"/>
      <c r="L1282" s="821"/>
      <c r="M1282" s="677"/>
      <c r="N1282" s="821"/>
      <c r="O1282" s="821"/>
      <c r="P1282" s="677"/>
      <c r="Q1282" s="677"/>
      <c r="R1282" s="677"/>
      <c r="S1282" s="677"/>
      <c r="T1282" s="677"/>
      <c r="U1282" s="677"/>
      <c r="V1282" s="677"/>
      <c r="W1282" s="677"/>
      <c r="X1282" s="677"/>
      <c r="Y1282" s="677"/>
      <c r="Z1282" s="677"/>
      <c r="AA1282" s="677"/>
      <c r="AB1282" s="677"/>
      <c r="AC1282" s="677"/>
      <c r="AD1282" s="677"/>
    </row>
    <row r="1283">
      <c r="A1283" s="704"/>
      <c r="B1283" s="674" t="s">
        <v>732</v>
      </c>
      <c r="C1283" s="852"/>
      <c r="D1283" s="656"/>
      <c r="E1283" s="821"/>
      <c r="F1283" s="821"/>
      <c r="G1283" s="821"/>
      <c r="H1283" s="821"/>
      <c r="I1283" s="821"/>
      <c r="J1283" s="821"/>
      <c r="K1283" s="821"/>
      <c r="L1283" s="821"/>
      <c r="M1283" s="677"/>
      <c r="N1283" s="821"/>
      <c r="O1283" s="821"/>
      <c r="P1283" s="677"/>
      <c r="Q1283" s="677"/>
      <c r="R1283" s="677"/>
      <c r="S1283" s="677"/>
      <c r="T1283" s="677"/>
      <c r="U1283" s="677"/>
      <c r="V1283" s="677"/>
      <c r="W1283" s="677"/>
      <c r="X1283" s="677"/>
      <c r="Y1283" s="677"/>
      <c r="Z1283" s="677"/>
      <c r="AA1283" s="677"/>
      <c r="AB1283" s="677"/>
      <c r="AC1283" s="677"/>
      <c r="AD1283" s="677"/>
    </row>
    <row r="1284">
      <c r="A1284" s="704"/>
      <c r="B1284" s="674" t="s">
        <v>733</v>
      </c>
      <c r="C1284" s="852"/>
      <c r="D1284" s="656"/>
      <c r="E1284" s="821"/>
      <c r="F1284" s="821"/>
      <c r="G1284" s="821"/>
      <c r="H1284" s="821"/>
      <c r="I1284" s="821"/>
      <c r="J1284" s="821"/>
      <c r="K1284" s="821"/>
      <c r="L1284" s="821"/>
      <c r="M1284" s="677"/>
      <c r="N1284" s="821"/>
      <c r="O1284" s="821"/>
      <c r="P1284" s="677"/>
      <c r="Q1284" s="677"/>
      <c r="R1284" s="677"/>
      <c r="S1284" s="677"/>
      <c r="T1284" s="677"/>
      <c r="U1284" s="677"/>
      <c r="V1284" s="677"/>
      <c r="W1284" s="677"/>
      <c r="X1284" s="677"/>
      <c r="Y1284" s="677"/>
      <c r="Z1284" s="677"/>
      <c r="AA1284" s="677"/>
      <c r="AB1284" s="677"/>
      <c r="AC1284" s="677"/>
      <c r="AD1284" s="677"/>
    </row>
    <row r="1285">
      <c r="A1285" s="704"/>
      <c r="B1285" s="674" t="s">
        <v>734</v>
      </c>
      <c r="C1285" s="852"/>
      <c r="D1285" s="656"/>
      <c r="E1285" s="821"/>
      <c r="F1285" s="821"/>
      <c r="G1285" s="821"/>
      <c r="H1285" s="821"/>
      <c r="I1285" s="821"/>
      <c r="J1285" s="821"/>
      <c r="K1285" s="821"/>
      <c r="L1285" s="821"/>
      <c r="M1285" s="677"/>
      <c r="N1285" s="821"/>
      <c r="O1285" s="821"/>
      <c r="P1285" s="677"/>
      <c r="Q1285" s="677"/>
      <c r="R1285" s="677"/>
      <c r="S1285" s="677"/>
      <c r="T1285" s="677"/>
      <c r="U1285" s="677"/>
      <c r="V1285" s="677"/>
      <c r="W1285" s="677"/>
      <c r="X1285" s="677"/>
      <c r="Y1285" s="677"/>
      <c r="Z1285" s="677"/>
      <c r="AA1285" s="677"/>
      <c r="AB1285" s="677"/>
      <c r="AC1285" s="677"/>
      <c r="AD1285" s="677"/>
    </row>
  </sheetData>
  <autoFilter ref="$B$1:$C$1285">
    <sortState ref="B1:C1285">
      <sortCondition descending="1" ref="C1:C1285"/>
      <sortCondition ref="B1:B1285"/>
    </sortState>
  </autoFilter>
  <mergeCells count="5">
    <mergeCell ref="M1:R1"/>
    <mergeCell ref="T1:W1"/>
    <mergeCell ref="E2:K2"/>
    <mergeCell ref="E19:K19"/>
    <mergeCell ref="M60:R60"/>
  </mergeCells>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1.38"/>
    <col customWidth="1" min="3" max="3" width="3.88"/>
    <col customWidth="1" min="4" max="4" width="5.13"/>
    <col customWidth="1" min="5" max="5" width="3.88"/>
    <col customWidth="1" min="6" max="6" width="15.13"/>
    <col customWidth="1" min="7" max="10" width="4.5"/>
    <col customWidth="1" min="11" max="11" width="2.0"/>
    <col customWidth="1" min="12" max="12" width="3.88"/>
    <col customWidth="1" min="13" max="13" width="15.75"/>
    <col customWidth="1" min="14" max="38" width="3.88"/>
    <col customWidth="1" min="39" max="39" width="1.88"/>
    <col customWidth="1" min="40" max="40" width="15.63"/>
    <col customWidth="1" min="41" max="44" width="3.88"/>
    <col customWidth="1" min="45" max="46" width="1.38"/>
  </cols>
  <sheetData>
    <row r="1" ht="7.5" customHeight="1">
      <c r="A1" s="301"/>
      <c r="B1" s="301"/>
      <c r="C1" s="301"/>
      <c r="D1" s="301"/>
      <c r="E1" s="301"/>
      <c r="F1" s="301"/>
      <c r="G1" s="301"/>
      <c r="H1" s="301"/>
      <c r="I1" s="301"/>
      <c r="J1" s="301"/>
      <c r="K1" s="301"/>
      <c r="L1" s="301"/>
      <c r="M1" s="301"/>
      <c r="N1" s="301"/>
      <c r="O1" s="301"/>
      <c r="P1" s="301"/>
      <c r="Q1" s="301"/>
      <c r="R1" s="301"/>
      <c r="S1" s="301"/>
      <c r="T1" s="301"/>
      <c r="U1" s="301"/>
      <c r="V1" s="301"/>
      <c r="W1" s="301"/>
      <c r="X1" s="301"/>
      <c r="Y1" s="301"/>
      <c r="Z1" s="301"/>
      <c r="AA1" s="301"/>
      <c r="AB1" s="301"/>
      <c r="AC1" s="301"/>
      <c r="AD1" s="301"/>
      <c r="AE1" s="301"/>
      <c r="AF1" s="301"/>
      <c r="AG1" s="301"/>
      <c r="AH1" s="301"/>
      <c r="AI1" s="301"/>
      <c r="AJ1" s="301"/>
      <c r="AK1" s="301"/>
      <c r="AL1" s="301"/>
      <c r="AM1" s="301"/>
      <c r="AN1" s="301"/>
      <c r="AO1" s="301"/>
      <c r="AP1" s="301"/>
      <c r="AQ1" s="301"/>
      <c r="AR1" s="301"/>
      <c r="AS1" s="301"/>
      <c r="AT1" s="301"/>
    </row>
    <row r="2" ht="7.5" customHeight="1">
      <c r="A2" s="301"/>
      <c r="B2" s="302"/>
      <c r="C2" s="303"/>
      <c r="D2" s="303"/>
      <c r="E2" s="303"/>
      <c r="F2" s="303"/>
      <c r="G2" s="303"/>
      <c r="H2" s="303"/>
      <c r="I2" s="303"/>
      <c r="J2" s="303"/>
      <c r="K2" s="303"/>
      <c r="L2" s="303"/>
      <c r="M2" s="303"/>
      <c r="N2" s="303"/>
      <c r="O2" s="303"/>
      <c r="P2" s="303"/>
      <c r="Q2" s="303"/>
      <c r="R2" s="303"/>
      <c r="S2" s="303"/>
      <c r="T2" s="303"/>
      <c r="U2" s="303"/>
      <c r="V2" s="303"/>
      <c r="W2" s="303"/>
      <c r="X2" s="303"/>
      <c r="Y2" s="303"/>
      <c r="Z2" s="303"/>
      <c r="AA2" s="303"/>
      <c r="AB2" s="303"/>
      <c r="AC2" s="303"/>
      <c r="AD2" s="303"/>
      <c r="AE2" s="303"/>
      <c r="AF2" s="303"/>
      <c r="AG2" s="303"/>
      <c r="AH2" s="303"/>
      <c r="AI2" s="303"/>
      <c r="AJ2" s="303"/>
      <c r="AK2" s="303"/>
      <c r="AL2" s="303"/>
      <c r="AM2" s="303"/>
      <c r="AN2" s="303"/>
      <c r="AO2" s="303"/>
      <c r="AP2" s="303"/>
      <c r="AQ2" s="303"/>
      <c r="AR2" s="303"/>
      <c r="AS2" s="304"/>
      <c r="AT2" s="301"/>
    </row>
    <row r="3">
      <c r="A3" s="301"/>
      <c r="B3" s="324"/>
      <c r="C3" s="793" t="s">
        <v>380</v>
      </c>
      <c r="D3" s="436"/>
      <c r="E3" s="436"/>
      <c r="F3" s="436"/>
      <c r="G3" s="436"/>
      <c r="H3" s="436"/>
      <c r="I3" s="436"/>
      <c r="J3" s="436"/>
      <c r="K3" s="587"/>
      <c r="L3" s="794" t="s">
        <v>381</v>
      </c>
      <c r="M3" s="34"/>
      <c r="N3" s="34"/>
      <c r="O3" s="34"/>
      <c r="P3" s="34"/>
      <c r="Q3" s="35"/>
      <c r="R3" s="794" t="s">
        <v>382</v>
      </c>
      <c r="S3" s="34"/>
      <c r="T3" s="34"/>
      <c r="U3" s="34"/>
      <c r="V3" s="34"/>
      <c r="W3" s="34"/>
      <c r="X3" s="35"/>
      <c r="Y3" s="794" t="s">
        <v>384</v>
      </c>
      <c r="Z3" s="34"/>
      <c r="AA3" s="34"/>
      <c r="AB3" s="34"/>
      <c r="AC3" s="34"/>
      <c r="AD3" s="34"/>
      <c r="AE3" s="35"/>
      <c r="AF3" s="794" t="s">
        <v>155</v>
      </c>
      <c r="AG3" s="34"/>
      <c r="AH3" s="34"/>
      <c r="AI3" s="34"/>
      <c r="AJ3" s="34"/>
      <c r="AK3" s="34"/>
      <c r="AL3" s="35"/>
      <c r="AM3" s="587"/>
      <c r="AN3" s="794" t="s">
        <v>385</v>
      </c>
      <c r="AO3" s="34"/>
      <c r="AP3" s="34"/>
      <c r="AQ3" s="34"/>
      <c r="AR3" s="35"/>
      <c r="AS3" s="797"/>
      <c r="AT3" s="798"/>
    </row>
    <row r="4">
      <c r="A4" s="301"/>
      <c r="B4" s="324"/>
      <c r="C4" s="800" t="s">
        <v>386</v>
      </c>
      <c r="D4" s="411"/>
      <c r="E4" s="801" t="s">
        <v>152</v>
      </c>
      <c r="F4" s="411"/>
      <c r="G4" s="802" t="s">
        <v>153</v>
      </c>
      <c r="H4" s="802" t="s">
        <v>148</v>
      </c>
      <c r="I4" s="802" t="s">
        <v>149</v>
      </c>
      <c r="J4" s="801" t="s">
        <v>36</v>
      </c>
      <c r="K4" s="556"/>
      <c r="L4" s="803" t="s">
        <v>150</v>
      </c>
      <c r="M4" s="804" t="s">
        <v>141</v>
      </c>
      <c r="N4" s="804" t="s">
        <v>139</v>
      </c>
      <c r="O4" s="805" t="s">
        <v>140</v>
      </c>
      <c r="P4" s="805" t="s">
        <v>389</v>
      </c>
      <c r="Q4" s="805" t="s">
        <v>36</v>
      </c>
      <c r="R4" s="806">
        <v>1.0</v>
      </c>
      <c r="S4" s="806">
        <v>2.0</v>
      </c>
      <c r="T4" s="806">
        <v>3.0</v>
      </c>
      <c r="U4" s="806">
        <v>4.0</v>
      </c>
      <c r="V4" s="806">
        <v>5.0</v>
      </c>
      <c r="W4" s="806">
        <v>6.0</v>
      </c>
      <c r="X4" s="807">
        <v>7.0</v>
      </c>
      <c r="Y4" s="808">
        <v>1.0</v>
      </c>
      <c r="Z4" s="808">
        <v>2.0</v>
      </c>
      <c r="AA4" s="808">
        <v>3.0</v>
      </c>
      <c r="AB4" s="808">
        <v>4.0</v>
      </c>
      <c r="AC4" s="808">
        <v>5.0</v>
      </c>
      <c r="AD4" s="808">
        <v>6.0</v>
      </c>
      <c r="AE4" s="804">
        <v>7.0</v>
      </c>
      <c r="AF4" s="806">
        <v>1.0</v>
      </c>
      <c r="AG4" s="806">
        <v>2.0</v>
      </c>
      <c r="AH4" s="806">
        <v>3.0</v>
      </c>
      <c r="AI4" s="806">
        <v>4.0</v>
      </c>
      <c r="AJ4" s="806">
        <v>5.0</v>
      </c>
      <c r="AK4" s="806">
        <v>6.0</v>
      </c>
      <c r="AL4" s="807">
        <v>7.0</v>
      </c>
      <c r="AM4" s="556"/>
      <c r="AN4" s="803" t="s">
        <v>141</v>
      </c>
      <c r="AO4" s="809" t="s">
        <v>139</v>
      </c>
      <c r="AP4" s="810" t="s">
        <v>140</v>
      </c>
      <c r="AQ4" s="811" t="s">
        <v>389</v>
      </c>
      <c r="AR4" s="803" t="s">
        <v>36</v>
      </c>
      <c r="AS4" s="814"/>
      <c r="AT4" s="629"/>
    </row>
    <row r="5">
      <c r="A5" s="301"/>
      <c r="B5" s="324"/>
      <c r="C5" s="815" t="str">
        <f>Source!$F$3</f>
        <v>Jackson McLoughlin</v>
      </c>
      <c r="D5" s="816" t="str">
        <f>Source!$H$3</f>
        <v>JM</v>
      </c>
      <c r="E5" s="816" t="str">
        <f t="array" ref="E5:E71">IFERROR(VLOOKUP(F5:F71,{Pokedex!$I$2:$I73,Pokedex!$H$2:$H73},2,FALSE),"")</f>
        <v/>
      </c>
      <c r="F5" s="822" t="str">
        <f t="array" ref="F5:F15">Teams!$D$5:$D$15</f>
        <v>Gholdengo</v>
      </c>
      <c r="G5" s="816">
        <f>COUNTIF(Stats!$C$6:$BN$38,F5)</f>
        <v>6</v>
      </c>
      <c r="H5" s="822">
        <f>SUMIF(Stats!$C$6:$BN$38,F5,Stats!$D$6:$BN$38)</f>
        <v>13</v>
      </c>
      <c r="I5" s="816">
        <f>SUMIF(Stats!$C$6:$BN$38,F5,Stats!$E$6:$BN$38)</f>
        <v>7</v>
      </c>
      <c r="J5" s="827">
        <f t="shared" ref="J5:J70" si="1">H5-I5</f>
        <v>6</v>
      </c>
      <c r="K5" s="325"/>
      <c r="L5" s="828">
        <v>1.0</v>
      </c>
      <c r="M5" s="829" t="str">
        <f t="array" ref="M5:M10">Source!F3:F8</f>
        <v>Jackson McLoughlin</v>
      </c>
      <c r="N5" s="830">
        <f t="shared" ref="N5:N10" si="2">(countif($R5:$X5,"W"))</f>
        <v>3</v>
      </c>
      <c r="O5" s="831">
        <f t="shared" ref="O5:O10" si="3">(countif($R5:$X5,"L"))</f>
        <v>4</v>
      </c>
      <c r="P5" s="829">
        <f t="shared" ref="P5:P10" si="4">sum($Y5:$AE5)</f>
        <v>8</v>
      </c>
      <c r="Q5" s="832">
        <f t="shared" ref="Q5:Q10" si="5">SUM(AF5:AL5)</f>
        <v>0</v>
      </c>
      <c r="R5" s="833" t="str">
        <f t="array" ref="R5:R10">iferror(vlookup($M5:$M10,{Schedule!$C$7:$C$9,Schedule!$D$7:$D$9;Schedule!$H$7:$H$9,Schedule!$G$7:$G$9},2,false),"")</f>
        <v>L</v>
      </c>
      <c r="S5" s="834" t="str">
        <f t="array" ref="S5:S10">iferror(vlookup($M5:$M10,{Schedule!$C$12:$C$14,Schedule!$D$12:$D$14;Schedule!$H$12:$H$14,Schedule!$G$12:$G$14},2,false),"")</f>
        <v>W</v>
      </c>
      <c r="T5" s="834" t="str">
        <f t="array" ref="T5:T10">iferror(vlookup($M5:$M10,{Schedule!$C$17:$C$19,Schedule!$D$17:$D$19;Schedule!$H$17:$H$19,Schedule!$G$17:$G$19},2,false),"")</f>
        <v>W</v>
      </c>
      <c r="U5" s="833" t="str">
        <f t="array" ref="U5:U10">iferror(vlookup($M5:$M10,{Schedule!$C$22:$C$24,Schedule!$D$22:$D$24;Schedule!$H$22:$H$24,Schedule!$G$22:$G$24},2,false),"")</f>
        <v>L</v>
      </c>
      <c r="V5" s="834" t="str">
        <f t="array" ref="V5:V10">iferror(vlookup($M5:$M10,{Schedule!$C$27:$C$29,Schedule!$D$27:$D$29;Schedule!$H$27:$H$29,Schedule!$G$27:$G$29},2,false),"")</f>
        <v>L</v>
      </c>
      <c r="W5" s="833" t="str">
        <f t="array" ref="W5:W10">iferror(vlookup($M5:$M10,{Schedule!$C$32:$C$34,Schedule!$D$32:$D$34;Schedule!$H$32:$H$34,Schedule!$G$32:$G$34},2,false),"")</f>
        <v>L</v>
      </c>
      <c r="X5" s="834" t="str">
        <f t="array" ref="X5:X10">iferror(vlookup($M5:$M10,{Schedule!$C$37:$C$39,Schedule!$D$37:$D$39;Schedule!$H$37:$H$39,Schedule!$G$37:$G$39},2,false),"")</f>
        <v>W</v>
      </c>
      <c r="Y5" s="835">
        <f>Stats!$H$13</f>
        <v>1</v>
      </c>
      <c r="Z5" s="836">
        <f>Stats!$Q$13</f>
        <v>2</v>
      </c>
      <c r="AA5" s="836">
        <f>Stats!$Z$13</f>
        <v>2</v>
      </c>
      <c r="AB5" s="836">
        <f>Stats!$AE$24</f>
        <v>0</v>
      </c>
      <c r="AC5" s="836">
        <f>Stats!$AR$13</f>
        <v>1</v>
      </c>
      <c r="AD5" s="836">
        <f>Stats!$AW$24</f>
        <v>0</v>
      </c>
      <c r="AE5" s="837">
        <f>Stats!$BJ$13</f>
        <v>2</v>
      </c>
      <c r="AF5" s="833">
        <f t="array" ref="AF5:AF10">iferror(vlookup($M5:$M10,{Schedule!$C$7:$C$9,Schedule!$E$7:$E$9;Schedule!$H$7:$H$9,Schedule!$F$7:$F$9},2,false),"")</f>
        <v>-1</v>
      </c>
      <c r="AG5" s="834">
        <f t="array" ref="AG5:AG10">iferror(vlookup($M5:$M10,{Schedule!$C$12:$C$14,Schedule!$E$12:$E$14;Schedule!$H$12:$H$14,Schedule!$F$12:$F$14},2,false),"")</f>
        <v>5</v>
      </c>
      <c r="AH5" s="834">
        <f t="array" ref="AH5:AH10">iferror(vlookup($M5:$M10,{Schedule!$C$17:$C$19,Schedule!$E$17:$E$19;Schedule!$H$17:$H$19,Schedule!$F$17:$F$19},2,false),"")</f>
        <v>5</v>
      </c>
      <c r="AI5" s="833">
        <f t="array" ref="AI5:AI10">iferror(vlookup($M5:$M10,{Schedule!$C$22:$C$24,Schedule!$E$22:$E$24;Schedule!$H$22:$H$24,Schedule!$F$22:$F$24},2,false),"")</f>
        <v>-5</v>
      </c>
      <c r="AJ5" s="834">
        <f t="array" ref="AJ5:AJ10">iferror(vlookup($M5:$M10,{Schedule!$C$27:$C$29,Schedule!$E$27:$E$29;Schedule!$H$27:$H$29,Schedule!$F$27:$F$29},2,false),"")</f>
        <v>-4</v>
      </c>
      <c r="AK5" s="833">
        <f t="array" ref="AK5:AK10">iferror(vlookup($M5:$M10,{Schedule!$C$32:$C$34,Schedule!$E$32:$E$34;Schedule!$H$32:$H$34,Schedule!$F$32:$F$34},2,false),"")</f>
        <v>-5</v>
      </c>
      <c r="AL5" s="832">
        <f t="array" ref="AL5:AL10">iferror(vlookup($M5:$M10,{Schedule!$C$37:$C$39,Schedule!$E$37:$E$39;Schedule!$H$37:$H$39,Schedule!$F$37:$F$39},2,false),"")</f>
        <v>5</v>
      </c>
      <c r="AM5" s="556"/>
      <c r="AN5" s="838" t="str">
        <f t="array" ref="AN5:AR10">sort(M5:Q10,2,false,3,true,4,false,5,false) </f>
        <v>Ian Heslin</v>
      </c>
      <c r="AO5" s="838">
        <v>7.0</v>
      </c>
      <c r="AP5" s="839">
        <v>0.0</v>
      </c>
      <c r="AQ5" s="831">
        <v>14.0</v>
      </c>
      <c r="AR5" s="840">
        <v>26.0</v>
      </c>
      <c r="AS5" s="327"/>
      <c r="AT5" s="301"/>
    </row>
    <row r="6">
      <c r="A6" s="301"/>
      <c r="B6" s="324"/>
      <c r="C6" s="738"/>
      <c r="D6" s="816" t="str">
        <f>Source!$H$3</f>
        <v>JM</v>
      </c>
      <c r="E6" s="816"/>
      <c r="F6" s="822" t="s">
        <v>67</v>
      </c>
      <c r="G6" s="816">
        <f>COUNTIF(Stats!$C$6:$BN$38,F6)</f>
        <v>0</v>
      </c>
      <c r="H6" s="822">
        <f>SUMIF(Stats!$C$6:$BN$38,F6,Stats!$D$6:$BN$38)</f>
        <v>0</v>
      </c>
      <c r="I6" s="816">
        <f>SUMIF(Stats!$C$6:$BN$38,F6,Stats!$E$6:$BN$38)</f>
        <v>0</v>
      </c>
      <c r="J6" s="827">
        <f t="shared" si="1"/>
        <v>0</v>
      </c>
      <c r="K6" s="325"/>
      <c r="L6" s="841">
        <v>2.0</v>
      </c>
      <c r="M6" s="840" t="s">
        <v>81</v>
      </c>
      <c r="N6" s="842">
        <f t="shared" si="2"/>
        <v>4</v>
      </c>
      <c r="O6" s="843">
        <f t="shared" si="3"/>
        <v>3</v>
      </c>
      <c r="P6" s="844">
        <f t="shared" si="4"/>
        <v>9</v>
      </c>
      <c r="Q6" s="845">
        <f t="shared" si="5"/>
        <v>12</v>
      </c>
      <c r="R6" s="846" t="s">
        <v>139</v>
      </c>
      <c r="S6" s="846" t="s">
        <v>139</v>
      </c>
      <c r="T6" s="846" t="s">
        <v>140</v>
      </c>
      <c r="U6" s="846" t="s">
        <v>140</v>
      </c>
      <c r="V6" s="846" t="s">
        <v>139</v>
      </c>
      <c r="W6" s="846" t="s">
        <v>139</v>
      </c>
      <c r="X6" s="846" t="s">
        <v>140</v>
      </c>
      <c r="Y6" s="847">
        <f>Stats!$D$13</f>
        <v>2</v>
      </c>
      <c r="Z6" s="848">
        <f>Stats!$M$24</f>
        <v>2</v>
      </c>
      <c r="AA6" s="848">
        <f>Stats!$V$24</f>
        <v>0</v>
      </c>
      <c r="AB6" s="848">
        <f>Stats!$AE$13</f>
        <v>1</v>
      </c>
      <c r="AC6" s="848">
        <f>Stats!$AN$13</f>
        <v>2</v>
      </c>
      <c r="AD6" s="848">
        <f>Stats!$AW$13</f>
        <v>2</v>
      </c>
      <c r="AE6" s="849">
        <f>Stats!$BF$24</f>
        <v>0</v>
      </c>
      <c r="AF6" s="846">
        <v>1.0</v>
      </c>
      <c r="AG6" s="846">
        <v>9.0</v>
      </c>
      <c r="AH6" s="846">
        <v>-4.0</v>
      </c>
      <c r="AI6" s="846">
        <v>1.0</v>
      </c>
      <c r="AJ6" s="846">
        <v>4.0</v>
      </c>
      <c r="AK6" s="846">
        <v>5.0</v>
      </c>
      <c r="AL6" s="845">
        <v>-4.0</v>
      </c>
      <c r="AM6" s="325"/>
      <c r="AN6" s="850" t="s">
        <v>81</v>
      </c>
      <c r="AO6" s="850">
        <v>4.0</v>
      </c>
      <c r="AP6" s="851">
        <v>3.0</v>
      </c>
      <c r="AQ6" s="843">
        <v>9.0</v>
      </c>
      <c r="AR6" s="840">
        <v>12.0</v>
      </c>
      <c r="AS6" s="327"/>
      <c r="AT6" s="301"/>
    </row>
    <row r="7">
      <c r="A7" s="301"/>
      <c r="B7" s="324"/>
      <c r="C7" s="738"/>
      <c r="D7" s="816" t="str">
        <f>Source!$H$3</f>
        <v>JM</v>
      </c>
      <c r="E7" s="816"/>
      <c r="F7" s="822" t="s">
        <v>75</v>
      </c>
      <c r="G7" s="816">
        <f>COUNTIF(Stats!$C$6:$BN$38,F7)</f>
        <v>6</v>
      </c>
      <c r="H7" s="822">
        <f>SUMIF(Stats!$C$6:$BN$38,F7,Stats!$D$6:$BN$38)</f>
        <v>5</v>
      </c>
      <c r="I7" s="816">
        <f>SUMIF(Stats!$C$6:$BN$38,F7,Stats!$E$6:$BN$38)</f>
        <v>9</v>
      </c>
      <c r="J7" s="827">
        <f t="shared" si="1"/>
        <v>-4</v>
      </c>
      <c r="K7" s="325"/>
      <c r="L7" s="841">
        <v>3.0</v>
      </c>
      <c r="M7" s="840" t="s">
        <v>60</v>
      </c>
      <c r="N7" s="842">
        <f t="shared" si="2"/>
        <v>0</v>
      </c>
      <c r="O7" s="843">
        <f t="shared" si="3"/>
        <v>7</v>
      </c>
      <c r="P7" s="840">
        <f t="shared" si="4"/>
        <v>3</v>
      </c>
      <c r="Q7" s="845">
        <f t="shared" si="5"/>
        <v>-41</v>
      </c>
      <c r="R7" s="846" t="s">
        <v>140</v>
      </c>
      <c r="S7" s="846" t="s">
        <v>140</v>
      </c>
      <c r="T7" s="846" t="s">
        <v>140</v>
      </c>
      <c r="U7" s="846" t="s">
        <v>140</v>
      </c>
      <c r="V7" s="846" t="s">
        <v>140</v>
      </c>
      <c r="W7" s="846" t="s">
        <v>140</v>
      </c>
      <c r="X7" s="846" t="s">
        <v>140</v>
      </c>
      <c r="Y7" s="847">
        <f>Stats!$D$24</f>
        <v>0</v>
      </c>
      <c r="Z7" s="848">
        <f>Stats!$Q$24</f>
        <v>0</v>
      </c>
      <c r="AA7" s="848">
        <f>Stats!$V$13</f>
        <v>0</v>
      </c>
      <c r="AB7" s="848">
        <f>Stats!$AE$35</f>
        <v>0</v>
      </c>
      <c r="AC7" s="848">
        <f>Stats!$AN$24</f>
        <v>1</v>
      </c>
      <c r="AD7" s="848">
        <f>Stats!$BA$13</f>
        <v>1</v>
      </c>
      <c r="AE7" s="849">
        <f>Stats!$BF$13</f>
        <v>1</v>
      </c>
      <c r="AF7" s="846">
        <v>-5.0</v>
      </c>
      <c r="AG7" s="846">
        <v>-9.0</v>
      </c>
      <c r="AH7" s="846">
        <v>-5.0</v>
      </c>
      <c r="AI7" s="846">
        <v>-7.0</v>
      </c>
      <c r="AJ7" s="846">
        <v>-5.0</v>
      </c>
      <c r="AK7" s="846">
        <v>-5.0</v>
      </c>
      <c r="AL7" s="845">
        <v>-5.0</v>
      </c>
      <c r="AM7" s="556"/>
      <c r="AN7" s="850" t="s">
        <v>66</v>
      </c>
      <c r="AO7" s="850">
        <v>4.0</v>
      </c>
      <c r="AP7" s="851">
        <v>3.0</v>
      </c>
      <c r="AQ7" s="843">
        <v>7.0</v>
      </c>
      <c r="AR7" s="840">
        <v>5.0</v>
      </c>
      <c r="AS7" s="327"/>
      <c r="AT7" s="301"/>
    </row>
    <row r="8">
      <c r="A8" s="301"/>
      <c r="B8" s="324"/>
      <c r="C8" s="738"/>
      <c r="D8" s="816" t="str">
        <f>Source!$H$3</f>
        <v>JM</v>
      </c>
      <c r="E8" s="816"/>
      <c r="F8" s="822" t="s">
        <v>83</v>
      </c>
      <c r="G8" s="816">
        <f>COUNTIF(Stats!$C$6:$BN$38,F8)</f>
        <v>3</v>
      </c>
      <c r="H8" s="822">
        <f>SUMIF(Stats!$C$6:$BN$38,F8,Stats!$D$6:$BN$38)</f>
        <v>2</v>
      </c>
      <c r="I8" s="816">
        <f>SUMIF(Stats!$C$6:$BN$38,F8,Stats!$E$6:$BN$38)</f>
        <v>5</v>
      </c>
      <c r="J8" s="827">
        <f t="shared" si="1"/>
        <v>-3</v>
      </c>
      <c r="K8" s="325"/>
      <c r="L8" s="841">
        <v>4.0</v>
      </c>
      <c r="M8" s="840" t="s">
        <v>62</v>
      </c>
      <c r="N8" s="842">
        <f t="shared" si="2"/>
        <v>7</v>
      </c>
      <c r="O8" s="843">
        <f t="shared" si="3"/>
        <v>0</v>
      </c>
      <c r="P8" s="840">
        <f t="shared" si="4"/>
        <v>14</v>
      </c>
      <c r="Q8" s="845">
        <f t="shared" si="5"/>
        <v>26</v>
      </c>
      <c r="R8" s="846" t="s">
        <v>139</v>
      </c>
      <c r="S8" s="846" t="s">
        <v>139</v>
      </c>
      <c r="T8" s="846" t="s">
        <v>139</v>
      </c>
      <c r="U8" s="846" t="s">
        <v>139</v>
      </c>
      <c r="V8" s="846" t="s">
        <v>139</v>
      </c>
      <c r="W8" s="846" t="s">
        <v>139</v>
      </c>
      <c r="X8" s="846" t="s">
        <v>139</v>
      </c>
      <c r="Y8" s="847">
        <f>Stats!$H$24</f>
        <v>2</v>
      </c>
      <c r="Z8" s="848">
        <f>Stats!$M$35</f>
        <v>2</v>
      </c>
      <c r="AA8" s="848">
        <f>Stats!$V$35</f>
        <v>2</v>
      </c>
      <c r="AB8" s="848">
        <f>Stats!$AI$24</f>
        <v>2</v>
      </c>
      <c r="AC8" s="848">
        <f>Stats!$AN$35</f>
        <v>2</v>
      </c>
      <c r="AD8" s="848">
        <f>Stats!$AW$35</f>
        <v>2</v>
      </c>
      <c r="AE8" s="849">
        <f>Stats!$BJ$24</f>
        <v>2</v>
      </c>
      <c r="AF8" s="846">
        <v>5.0</v>
      </c>
      <c r="AG8" s="846">
        <v>5.0</v>
      </c>
      <c r="AH8" s="846">
        <v>4.0</v>
      </c>
      <c r="AI8" s="846">
        <v>5.0</v>
      </c>
      <c r="AJ8" s="846">
        <v>3.0</v>
      </c>
      <c r="AK8" s="846">
        <v>0.0</v>
      </c>
      <c r="AL8" s="845">
        <v>4.0</v>
      </c>
      <c r="AM8" s="325"/>
      <c r="AN8" s="850" t="s">
        <v>132</v>
      </c>
      <c r="AO8" s="850">
        <v>3.0</v>
      </c>
      <c r="AP8" s="851">
        <v>4.0</v>
      </c>
      <c r="AQ8" s="843">
        <v>8.0</v>
      </c>
      <c r="AR8" s="840">
        <v>0.0</v>
      </c>
      <c r="AS8" s="327"/>
      <c r="AT8" s="301"/>
    </row>
    <row r="9">
      <c r="A9" s="301"/>
      <c r="B9" s="324"/>
      <c r="C9" s="738"/>
      <c r="D9" s="816" t="str">
        <f>Source!$H$3</f>
        <v>JM</v>
      </c>
      <c r="E9" s="816"/>
      <c r="F9" s="816" t="s">
        <v>89</v>
      </c>
      <c r="G9" s="816">
        <f>COUNTIF(Stats!$C$6:$BN$38,F9)</f>
        <v>1</v>
      </c>
      <c r="H9" s="816">
        <f>SUMIF(Stats!$C$6:$BN$38,F9,Stats!$D$6:$BN$38)</f>
        <v>0</v>
      </c>
      <c r="I9" s="816">
        <f>SUMIF(Stats!$C$6:$BN$38,F9,Stats!$E$6:$BN$38)</f>
        <v>0</v>
      </c>
      <c r="J9" s="853">
        <f t="shared" si="1"/>
        <v>0</v>
      </c>
      <c r="K9" s="325"/>
      <c r="L9" s="841">
        <v>5.0</v>
      </c>
      <c r="M9" s="840" t="s">
        <v>65</v>
      </c>
      <c r="N9" s="842">
        <f t="shared" si="2"/>
        <v>3</v>
      </c>
      <c r="O9" s="843">
        <f t="shared" si="3"/>
        <v>4</v>
      </c>
      <c r="P9" s="840">
        <f t="shared" si="4"/>
        <v>8</v>
      </c>
      <c r="Q9" s="845">
        <f t="shared" si="5"/>
        <v>-2</v>
      </c>
      <c r="R9" s="846" t="s">
        <v>139</v>
      </c>
      <c r="S9" s="846" t="s">
        <v>140</v>
      </c>
      <c r="T9" s="846" t="s">
        <v>140</v>
      </c>
      <c r="U9" s="846" t="s">
        <v>139</v>
      </c>
      <c r="V9" s="846" t="s">
        <v>139</v>
      </c>
      <c r="W9" s="846" t="s">
        <v>140</v>
      </c>
      <c r="X9" s="846" t="s">
        <v>140</v>
      </c>
      <c r="Y9" s="847">
        <f>Stats!$D$35</f>
        <v>2</v>
      </c>
      <c r="Z9" s="848">
        <f>Stats!$M$13</f>
        <v>0</v>
      </c>
      <c r="AA9" s="848">
        <f>Stats!$Z$35</f>
        <v>0</v>
      </c>
      <c r="AB9" s="848">
        <f>Stats!$AI$13</f>
        <v>2</v>
      </c>
      <c r="AC9" s="848">
        <f>Stats!$AR$24</f>
        <v>2</v>
      </c>
      <c r="AD9" s="848">
        <f>Stats!$BA$35</f>
        <v>1</v>
      </c>
      <c r="AE9" s="849">
        <f>Stats!$BF$35</f>
        <v>1</v>
      </c>
      <c r="AF9" s="846">
        <v>3.0</v>
      </c>
      <c r="AG9" s="846">
        <v>-5.0</v>
      </c>
      <c r="AH9" s="846">
        <v>-4.0</v>
      </c>
      <c r="AI9" s="846">
        <v>-1.0</v>
      </c>
      <c r="AJ9" s="846">
        <v>5.0</v>
      </c>
      <c r="AK9" s="846">
        <v>0.0</v>
      </c>
      <c r="AL9" s="845">
        <v>0.0</v>
      </c>
      <c r="AM9" s="325"/>
      <c r="AN9" s="850" t="s">
        <v>65</v>
      </c>
      <c r="AO9" s="850">
        <v>3.0</v>
      </c>
      <c r="AP9" s="851">
        <v>4.0</v>
      </c>
      <c r="AQ9" s="843">
        <v>8.0</v>
      </c>
      <c r="AR9" s="840">
        <v>-2.0</v>
      </c>
      <c r="AS9" s="327"/>
      <c r="AT9" s="301"/>
    </row>
    <row r="10">
      <c r="A10" s="301"/>
      <c r="B10" s="324"/>
      <c r="C10" s="738"/>
      <c r="D10" s="816" t="str">
        <f>Source!$H$3</f>
        <v>JM</v>
      </c>
      <c r="E10" s="816"/>
      <c r="F10" s="816" t="s">
        <v>95</v>
      </c>
      <c r="G10" s="816">
        <f>COUNTIF(Stats!$C$6:$BN$38,F10)</f>
        <v>2</v>
      </c>
      <c r="H10" s="816">
        <f>SUMIF(Stats!$C$6:$BN$38,F10,Stats!$D$6:$BN$38)</f>
        <v>0</v>
      </c>
      <c r="I10" s="816">
        <f>SUMIF(Stats!$C$6:$BN$38,F10,Stats!$E$6:$BN$38)</f>
        <v>1</v>
      </c>
      <c r="J10" s="853">
        <f t="shared" si="1"/>
        <v>-1</v>
      </c>
      <c r="K10" s="325"/>
      <c r="L10" s="854">
        <v>6.0</v>
      </c>
      <c r="M10" s="855" t="s">
        <v>66</v>
      </c>
      <c r="N10" s="856">
        <f t="shared" si="2"/>
        <v>4</v>
      </c>
      <c r="O10" s="857">
        <f t="shared" si="3"/>
        <v>3</v>
      </c>
      <c r="P10" s="855">
        <f t="shared" si="4"/>
        <v>7</v>
      </c>
      <c r="Q10" s="858">
        <f t="shared" si="5"/>
        <v>5</v>
      </c>
      <c r="R10" s="859" t="s">
        <v>140</v>
      </c>
      <c r="S10" s="859" t="s">
        <v>140</v>
      </c>
      <c r="T10" s="859" t="s">
        <v>139</v>
      </c>
      <c r="U10" s="859" t="s">
        <v>139</v>
      </c>
      <c r="V10" s="859" t="s">
        <v>140</v>
      </c>
      <c r="W10" s="859" t="s">
        <v>139</v>
      </c>
      <c r="X10" s="859" t="s">
        <v>139</v>
      </c>
      <c r="Y10" s="860">
        <f>Stats!$H$35</f>
        <v>1</v>
      </c>
      <c r="Z10" s="861">
        <f>Stats!$Q$35</f>
        <v>0</v>
      </c>
      <c r="AA10" s="861">
        <f>Stats!$Z$24</f>
        <v>2</v>
      </c>
      <c r="AB10" s="861">
        <f>Stats!$AI$35</f>
        <v>2</v>
      </c>
      <c r="AC10" s="861">
        <f>Stats!$AR$35</f>
        <v>0</v>
      </c>
      <c r="AD10" s="861">
        <f>Stats!$BA$24</f>
        <v>2</v>
      </c>
      <c r="AE10" s="862" t="str">
        <f>Stats!$NJ$35</f>
        <v/>
      </c>
      <c r="AF10" s="859">
        <v>-3.0</v>
      </c>
      <c r="AG10" s="859">
        <v>-5.0</v>
      </c>
      <c r="AH10" s="859">
        <v>4.0</v>
      </c>
      <c r="AI10" s="859">
        <v>7.0</v>
      </c>
      <c r="AJ10" s="859">
        <v>-3.0</v>
      </c>
      <c r="AK10" s="859">
        <v>5.0</v>
      </c>
      <c r="AL10" s="858">
        <v>0.0</v>
      </c>
      <c r="AM10" s="556"/>
      <c r="AN10" s="863" t="s">
        <v>60</v>
      </c>
      <c r="AO10" s="863">
        <v>0.0</v>
      </c>
      <c r="AP10" s="864">
        <v>7.0</v>
      </c>
      <c r="AQ10" s="857">
        <v>3.0</v>
      </c>
      <c r="AR10" s="855">
        <v>-41.0</v>
      </c>
      <c r="AS10" s="327"/>
      <c r="AT10" s="301"/>
    </row>
    <row r="11">
      <c r="A11" s="301"/>
      <c r="B11" s="324"/>
      <c r="C11" s="738"/>
      <c r="D11" s="816" t="str">
        <f>Source!$H$3</f>
        <v>JM</v>
      </c>
      <c r="E11" s="816"/>
      <c r="F11" s="816" t="s">
        <v>102</v>
      </c>
      <c r="G11" s="816">
        <f>COUNTIF(Stats!$C$6:$BN$38,F11)</f>
        <v>5</v>
      </c>
      <c r="H11" s="816">
        <f>SUMIF(Stats!$C$6:$BN$38,F11,Stats!$D$6:$BN$38)</f>
        <v>10</v>
      </c>
      <c r="I11" s="816">
        <f>SUMIF(Stats!$C$6:$BN$38,F11,Stats!$E$6:$BN$38)</f>
        <v>7</v>
      </c>
      <c r="J11" s="853">
        <f t="shared" si="1"/>
        <v>3</v>
      </c>
      <c r="K11" s="325"/>
      <c r="L11" s="556"/>
      <c r="M11" s="325"/>
      <c r="N11" s="325"/>
      <c r="O11" s="325"/>
      <c r="P11" s="325"/>
      <c r="Q11" s="325"/>
      <c r="R11" s="325"/>
      <c r="S11" s="325"/>
      <c r="T11" s="325"/>
      <c r="U11" s="325"/>
      <c r="V11" s="325"/>
      <c r="W11" s="325"/>
      <c r="X11" s="325"/>
      <c r="Y11" s="866"/>
      <c r="Z11" s="866"/>
      <c r="AA11" s="866"/>
      <c r="AB11" s="866"/>
      <c r="AC11" s="866"/>
      <c r="AD11" s="866"/>
      <c r="AE11" s="866"/>
      <c r="AF11" s="325"/>
      <c r="AG11" s="325"/>
      <c r="AH11" s="325"/>
      <c r="AI11" s="325"/>
      <c r="AJ11" s="325"/>
      <c r="AK11" s="325"/>
      <c r="AL11" s="325"/>
      <c r="AM11" s="325"/>
      <c r="AN11" s="325"/>
      <c r="AO11" s="325"/>
      <c r="AP11" s="325"/>
      <c r="AQ11" s="325"/>
      <c r="AR11" s="325"/>
      <c r="AS11" s="327"/>
      <c r="AT11" s="301"/>
    </row>
    <row r="12">
      <c r="A12" s="301"/>
      <c r="B12" s="324"/>
      <c r="C12" s="738"/>
      <c r="D12" s="816" t="str">
        <f>Source!$H$3</f>
        <v>JM</v>
      </c>
      <c r="E12" s="816"/>
      <c r="F12" s="816" t="s">
        <v>108</v>
      </c>
      <c r="G12" s="816">
        <f>COUNTIF(Stats!$C$6:$BN$38,F12)</f>
        <v>3</v>
      </c>
      <c r="H12" s="816">
        <f>SUMIF(Stats!$C$6:$BN$38,F12,Stats!$D$6:$BN$38)</f>
        <v>2</v>
      </c>
      <c r="I12" s="816">
        <f>SUMIF(Stats!$C$6:$BN$38,F12,Stats!$E$6:$BN$38)</f>
        <v>4</v>
      </c>
      <c r="J12" s="853">
        <f t="shared" si="1"/>
        <v>-2</v>
      </c>
      <c r="K12" s="325"/>
      <c r="L12" s="794" t="s">
        <v>686</v>
      </c>
      <c r="M12" s="34"/>
      <c r="N12" s="34"/>
      <c r="O12" s="34"/>
      <c r="P12" s="34"/>
      <c r="Q12" s="35"/>
      <c r="R12" s="794" t="s">
        <v>382</v>
      </c>
      <c r="S12" s="34"/>
      <c r="T12" s="34"/>
      <c r="U12" s="34"/>
      <c r="V12" s="34"/>
      <c r="W12" s="34"/>
      <c r="X12" s="35"/>
      <c r="Y12" s="794" t="s">
        <v>384</v>
      </c>
      <c r="Z12" s="34"/>
      <c r="AA12" s="34"/>
      <c r="AB12" s="34"/>
      <c r="AC12" s="34"/>
      <c r="AD12" s="34"/>
      <c r="AE12" s="35"/>
      <c r="AF12" s="794" t="s">
        <v>155</v>
      </c>
      <c r="AG12" s="34"/>
      <c r="AH12" s="34"/>
      <c r="AI12" s="34"/>
      <c r="AJ12" s="34"/>
      <c r="AK12" s="34"/>
      <c r="AL12" s="35"/>
      <c r="AM12" s="587"/>
      <c r="AN12" s="794" t="s">
        <v>385</v>
      </c>
      <c r="AO12" s="34"/>
      <c r="AP12" s="34"/>
      <c r="AQ12" s="34"/>
      <c r="AR12" s="35"/>
      <c r="AS12" s="327"/>
      <c r="AT12" s="301"/>
    </row>
    <row r="13">
      <c r="A13" s="301"/>
      <c r="B13" s="324"/>
      <c r="C13" s="738"/>
      <c r="D13" s="816" t="str">
        <f>Source!$H$3</f>
        <v>JM</v>
      </c>
      <c r="E13" s="816"/>
      <c r="F13" s="816" t="s">
        <v>114</v>
      </c>
      <c r="G13" s="816">
        <f>COUNTIF(Stats!$C$6:$BN$38,F13)</f>
        <v>0</v>
      </c>
      <c r="H13" s="816">
        <f>SUMIF(Stats!$C$6:$BN$38,F13,Stats!$D$6:$BN$38)</f>
        <v>0</v>
      </c>
      <c r="I13" s="816">
        <f>SUMIF(Stats!$C$6:$BN$38,F13,Stats!$E$6:$BN$38)</f>
        <v>0</v>
      </c>
      <c r="J13" s="853">
        <f t="shared" si="1"/>
        <v>0</v>
      </c>
      <c r="K13" s="325"/>
      <c r="L13" s="803" t="s">
        <v>150</v>
      </c>
      <c r="M13" s="804" t="s">
        <v>141</v>
      </c>
      <c r="N13" s="804" t="s">
        <v>139</v>
      </c>
      <c r="O13" s="805" t="s">
        <v>140</v>
      </c>
      <c r="P13" s="805" t="s">
        <v>389</v>
      </c>
      <c r="Q13" s="805" t="s">
        <v>36</v>
      </c>
      <c r="R13" s="806">
        <v>1.0</v>
      </c>
      <c r="S13" s="806">
        <v>2.0</v>
      </c>
      <c r="T13" s="806">
        <v>3.0</v>
      </c>
      <c r="U13" s="806">
        <v>4.0</v>
      </c>
      <c r="V13" s="806">
        <v>5.0</v>
      </c>
      <c r="W13" s="806">
        <v>6.0</v>
      </c>
      <c r="X13" s="807">
        <v>7.0</v>
      </c>
      <c r="Y13" s="808">
        <v>1.0</v>
      </c>
      <c r="Z13" s="808">
        <v>2.0</v>
      </c>
      <c r="AA13" s="808">
        <v>3.0</v>
      </c>
      <c r="AB13" s="808">
        <v>4.0</v>
      </c>
      <c r="AC13" s="808">
        <v>5.0</v>
      </c>
      <c r="AD13" s="808">
        <v>6.0</v>
      </c>
      <c r="AE13" s="804">
        <v>7.0</v>
      </c>
      <c r="AF13" s="806">
        <v>1.0</v>
      </c>
      <c r="AG13" s="806">
        <v>2.0</v>
      </c>
      <c r="AH13" s="806">
        <v>3.0</v>
      </c>
      <c r="AI13" s="806">
        <v>4.0</v>
      </c>
      <c r="AJ13" s="806">
        <v>5.0</v>
      </c>
      <c r="AK13" s="806">
        <v>6.0</v>
      </c>
      <c r="AL13" s="807">
        <v>7.0</v>
      </c>
      <c r="AM13" s="556"/>
      <c r="AN13" s="803" t="s">
        <v>141</v>
      </c>
      <c r="AO13" s="809" t="s">
        <v>139</v>
      </c>
      <c r="AP13" s="810" t="s">
        <v>140</v>
      </c>
      <c r="AQ13" s="811" t="s">
        <v>389</v>
      </c>
      <c r="AR13" s="803" t="s">
        <v>36</v>
      </c>
      <c r="AS13" s="327"/>
      <c r="AT13" s="301"/>
    </row>
    <row r="14">
      <c r="A14" s="301"/>
      <c r="B14" s="324"/>
      <c r="C14" s="738"/>
      <c r="D14" s="816" t="str">
        <f>Source!$H$3</f>
        <v>JM</v>
      </c>
      <c r="E14" s="816"/>
      <c r="F14" s="816" t="s">
        <v>120</v>
      </c>
      <c r="G14" s="816">
        <f>COUNTIF(Stats!$C$6:$BN$38,F14)</f>
        <v>4</v>
      </c>
      <c r="H14" s="822">
        <f>SUMIF(Stats!$C$6:$BN$38,F14,Stats!$D$6:$BN$38)</f>
        <v>4</v>
      </c>
      <c r="I14" s="816">
        <f>SUMIF(Stats!$C$6:$BN$38,F14,Stats!$E$6:$BN$38)</f>
        <v>4</v>
      </c>
      <c r="J14" s="827">
        <f t="shared" si="1"/>
        <v>0</v>
      </c>
      <c r="K14" s="325"/>
      <c r="L14" s="828">
        <v>1.0</v>
      </c>
      <c r="M14" s="829" t="str">
        <f t="array" ref="M14:M19">AN5:AN10</f>
        <v>Ian Heslin</v>
      </c>
      <c r="N14" s="830">
        <f t="shared" ref="N14:N19" si="6">(countif($R14:$X14,"W"))</f>
        <v>3</v>
      </c>
      <c r="O14" s="831">
        <f t="shared" ref="O14:O19" si="7">(countif($R14:$X14,"L"))</f>
        <v>0</v>
      </c>
      <c r="P14" s="829">
        <f t="shared" ref="P14:P19" si="8">sum($Y14:$AE14)</f>
        <v>6</v>
      </c>
      <c r="Q14" s="832">
        <f t="shared" ref="Q14:Q19" si="9">SUM(AF14:AL14)</f>
        <v>10</v>
      </c>
      <c r="R14" s="833" t="str">
        <f t="array" ref="R14:R19">iferror(vlookup($M14:$M19,{'Playoff Schedule'!$C$7:$C$8,'Playoff Schedule'!$D$7:$D$8;'Playoff Schedule'!$H$7:$H$8,'Playoff Schedule'!$G$7:$G$8},2,false),"")</f>
        <v/>
      </c>
      <c r="S14" s="834" t="str">
        <f t="array" ref="S14:S19">iferror(vlookup($M14:$M19,{'Playoff Schedule'!$C$11:$C$12,'Playoff Schedule'!$D$11:$D$12;'Playoff Schedule'!$H$11:$H$12,'Playoff Schedule'!$G$11:$G$12},2,false),"")</f>
        <v>W</v>
      </c>
      <c r="T14" s="834" t="str">
        <f t="array" ref="T14:T19">iferror(vlookup($M14:$M19,{'Playoff Schedule'!$C$15:$C$16,'Playoff Schedule'!$D$15:$D$16;'Playoff Schedule'!$H$15:$H$16,'Playoff Schedule'!$G$15:$G$16},2,false),"")</f>
        <v/>
      </c>
      <c r="U14" s="833" t="str">
        <f t="array" ref="U14:U19">iferror(vlookup($M14:$M19,{'Playoff Schedule'!$C$19,'Playoff Schedule'!$D$19;'Playoff Schedule'!$H$19,'Playoff Schedule'!$G$19},2,false),"")</f>
        <v/>
      </c>
      <c r="V14" s="834" t="str">
        <f t="array" ref="V14:V19">iferror(vlookup($M14:$M19,{'Playoff Schedule'!$C$22,'Playoff Schedule'!$D$22;'Playoff Schedule'!$H$22,'Playoff Schedule'!$G$22},2,false),"")</f>
        <v>W</v>
      </c>
      <c r="W14" s="833" t="str">
        <f t="array" ref="W14:W19">iferror(vlookup($M14:$M19,{'Playoff Schedule'!$C$25,'Playoff Schedule'!$D$25;'Playoff Schedule'!$H$25,'Playoff Schedule'!$G$25},2,false),"")</f>
        <v/>
      </c>
      <c r="X14" s="834" t="str">
        <f t="array" ref="X14:X19">iferror(vlookup($M14:$M19,{'Playoff Schedule'!$C$28,'Playoff Schedule'!$D$28;'Playoff Schedule'!$H$28,'Playoff Schedule'!$G$28},2,false),"")</f>
        <v>W</v>
      </c>
      <c r="Y14" s="835"/>
      <c r="Z14" s="836">
        <f>'Playoff Stats'!$M$13</f>
        <v>2</v>
      </c>
      <c r="AA14" s="836"/>
      <c r="AB14" s="836"/>
      <c r="AC14" s="836">
        <f>'Playoff Stats'!$AN$13</f>
        <v>2</v>
      </c>
      <c r="AD14" s="836"/>
      <c r="AE14" s="837">
        <f>'Playoff Stats'!$BF$13</f>
        <v>2</v>
      </c>
      <c r="AF14" s="833" t="str">
        <f t="array" ref="AF14:AF19">iferror(vlookup($M14:$M19,{'Playoff Schedule'!$C$7:$C$9,'Playoff Schedule'!$E$7:$E$9;'Playoff Schedule'!$H$7:$H$9,'Playoff Schedule'!$F$7:$F$9},2,false),"")</f>
        <v/>
      </c>
      <c r="AG14" s="834">
        <f t="array" ref="AG14:AG19">iferror(vlookup($M14:$M19,{'Playoff Schedule'!$C$11:$C$12,'Playoff Schedule'!$E$11:$E$12;'Playoff Schedule'!$H$11:$H$12,'Playoff Schedule'!$F$11:$F$12},2,false),"")</f>
        <v>5</v>
      </c>
      <c r="AH14" s="834" t="str">
        <f t="array" ref="AH14:AH19">iferror(vlookup($M14:$M19,{'Playoff Schedule'!$C$15:$C$16,'Playoff Schedule'!$E$15:$E$16;'Playoff Schedule'!$H$15:$H$16,'Playoff Schedule'!$F$15:$F$16},2,false),"")</f>
        <v/>
      </c>
      <c r="AI14" s="833" t="str">
        <f t="array" ref="AI14:AI19">iferror(vlookup($M14:$M19,{'Playoff Schedule'!$C$19,'Playoff Schedule'!$E$19;'Playoff Schedule'!$H$19,'Playoff Schedule'!$F$19},2,false),"")</f>
        <v/>
      </c>
      <c r="AJ14" s="834">
        <f t="array" ref="AJ14:AJ19">iferror(vlookup($M14:$M19,{'Playoff Schedule'!$C$22,'Playoff Schedule'!$E$22;'Playoff Schedule'!$H$22,'Playoff Schedule'!$F$22},2,false),"")</f>
        <v>3</v>
      </c>
      <c r="AK14" s="833" t="str">
        <f t="array" ref="AK14:AK19">iferror(vlookup($M14:$M19,{'Playoff Schedule'!$C$25,'Playoff Schedule'!$E$25;'Playoff Schedule'!$H$25,'Playoff Schedule'!$F$25},2,false),"")</f>
        <v/>
      </c>
      <c r="AL14" s="832">
        <f t="array" ref="AL14:AL19">iferror(vlookup($M14:$M19,{'Playoff Schedule'!$C$28,'Playoff Schedule'!$E$28;'Playoff Schedule'!$H$28,'Playoff Schedule'!$F$28},2,false),"")</f>
        <v>2</v>
      </c>
      <c r="AM14" s="556"/>
      <c r="AN14" s="838" t="str">
        <f t="array" ref="AN14:AR19">sort(M14:Q19,2,false,3,true,4,false,5,false) </f>
        <v>Ian Heslin</v>
      </c>
      <c r="AO14" s="838">
        <v>3.0</v>
      </c>
      <c r="AP14" s="839">
        <v>0.0</v>
      </c>
      <c r="AQ14" s="831">
        <v>6.0</v>
      </c>
      <c r="AR14" s="840">
        <v>10.0</v>
      </c>
      <c r="AS14" s="327"/>
      <c r="AT14" s="301"/>
    </row>
    <row r="15">
      <c r="A15" s="301"/>
      <c r="B15" s="324"/>
      <c r="C15" s="437"/>
      <c r="D15" s="816" t="str">
        <f>Source!$H$3</f>
        <v>JM</v>
      </c>
      <c r="E15" s="816"/>
      <c r="F15" s="816" t="s">
        <v>126</v>
      </c>
      <c r="G15" s="816">
        <f>COUNTIF(Stats!$C$6:$BN$38,F15)</f>
        <v>2</v>
      </c>
      <c r="H15" s="822">
        <f>SUMIF(Stats!$C$6:$BN$38,F15,Stats!$D$6:$BN$38)</f>
        <v>0</v>
      </c>
      <c r="I15" s="816">
        <f>SUMIF(Stats!$C$6:$BN$38,F15,Stats!$E$6:$BN$38)</f>
        <v>4</v>
      </c>
      <c r="J15" s="827">
        <f t="shared" si="1"/>
        <v>-4</v>
      </c>
      <c r="K15" s="325"/>
      <c r="L15" s="841">
        <v>2.0</v>
      </c>
      <c r="M15" s="840" t="s">
        <v>81</v>
      </c>
      <c r="N15" s="842">
        <f t="shared" si="6"/>
        <v>2</v>
      </c>
      <c r="O15" s="843">
        <f t="shared" si="7"/>
        <v>2</v>
      </c>
      <c r="P15" s="844">
        <f t="shared" si="8"/>
        <v>5</v>
      </c>
      <c r="Q15" s="845">
        <f t="shared" si="9"/>
        <v>-8</v>
      </c>
      <c r="R15" s="846"/>
      <c r="S15" s="846" t="s">
        <v>140</v>
      </c>
      <c r="T15" s="846" t="s">
        <v>139</v>
      </c>
      <c r="U15" s="846" t="s">
        <v>139</v>
      </c>
      <c r="V15" s="846"/>
      <c r="W15" s="846" t="s">
        <v>140</v>
      </c>
      <c r="X15" s="846"/>
      <c r="Y15" s="847"/>
      <c r="Z15" s="848">
        <f>'Playoff Stats'!$M$24</f>
        <v>1</v>
      </c>
      <c r="AA15" s="848">
        <f>'Playoff Stats'!$Z$24</f>
        <v>2</v>
      </c>
      <c r="AB15" s="848">
        <f>'Playoff Stats'!$AI$13</f>
        <v>2</v>
      </c>
      <c r="AC15" s="848"/>
      <c r="AD15" s="848">
        <f>'Playoff Stats'!$BA$13</f>
        <v>0</v>
      </c>
      <c r="AE15" s="849"/>
      <c r="AF15" s="846"/>
      <c r="AG15" s="846">
        <v>-5.0</v>
      </c>
      <c r="AH15" s="846">
        <v>2.0</v>
      </c>
      <c r="AI15" s="846">
        <v>0.0</v>
      </c>
      <c r="AJ15" s="846"/>
      <c r="AK15" s="846">
        <v>-5.0</v>
      </c>
      <c r="AL15" s="845"/>
      <c r="AM15" s="325"/>
      <c r="AN15" s="850" t="s">
        <v>66</v>
      </c>
      <c r="AO15" s="850">
        <v>3.0</v>
      </c>
      <c r="AP15" s="851">
        <v>2.0</v>
      </c>
      <c r="AQ15" s="843">
        <v>7.0</v>
      </c>
      <c r="AR15" s="840">
        <v>10.0</v>
      </c>
      <c r="AS15" s="327"/>
      <c r="AT15" s="301"/>
    </row>
    <row r="16">
      <c r="A16" s="301"/>
      <c r="B16" s="324"/>
      <c r="C16" s="815" t="str">
        <f>Source!$F$4</f>
        <v>Zach VanSickle</v>
      </c>
      <c r="D16" s="816" t="str">
        <f>Source!$H$4</f>
        <v>ZV</v>
      </c>
      <c r="E16" s="816"/>
      <c r="F16" s="822" t="str">
        <f t="array" ref="F16:F26">Teams!$H$5:$H$15</f>
        <v>Annihilape</v>
      </c>
      <c r="G16" s="816">
        <f>COUNTIF(Stats!$C$6:$BN$38,F16)</f>
        <v>2</v>
      </c>
      <c r="H16" s="822">
        <f>SUMIF(Stats!$C$6:$BN$38,F16,Stats!$D$6:$BN$38)</f>
        <v>3</v>
      </c>
      <c r="I16" s="816">
        <f>SUMIF(Stats!$C$6:$BN$38,F16,Stats!$E$6:$BN$38)</f>
        <v>2</v>
      </c>
      <c r="J16" s="827">
        <f t="shared" si="1"/>
        <v>1</v>
      </c>
      <c r="K16" s="325"/>
      <c r="L16" s="841">
        <v>3.0</v>
      </c>
      <c r="M16" s="840" t="s">
        <v>66</v>
      </c>
      <c r="N16" s="842">
        <f t="shared" si="6"/>
        <v>3</v>
      </c>
      <c r="O16" s="843">
        <f t="shared" si="7"/>
        <v>2</v>
      </c>
      <c r="P16" s="840">
        <f t="shared" si="8"/>
        <v>7</v>
      </c>
      <c r="Q16" s="845">
        <f t="shared" si="9"/>
        <v>10</v>
      </c>
      <c r="R16" s="846" t="s">
        <v>139</v>
      </c>
      <c r="S16" s="846" t="s">
        <v>139</v>
      </c>
      <c r="T16" s="846"/>
      <c r="U16" s="846"/>
      <c r="V16" s="846" t="s">
        <v>140</v>
      </c>
      <c r="W16" s="846" t="s">
        <v>139</v>
      </c>
      <c r="X16" s="846" t="s">
        <v>140</v>
      </c>
      <c r="Y16" s="847">
        <f>'Playoff Stats'!$D$13</f>
        <v>2</v>
      </c>
      <c r="Z16" s="848">
        <f>'Playoff Stats'!$Q$24</f>
        <v>2</v>
      </c>
      <c r="AA16" s="848"/>
      <c r="AB16" s="848"/>
      <c r="AC16" s="848">
        <f>'Playoff Stats'!$AR$13</f>
        <v>1</v>
      </c>
      <c r="AD16" s="848">
        <f>'Playoff Stats'!$AW$13</f>
        <v>2</v>
      </c>
      <c r="AE16" s="849">
        <f>'Playoff Stats'!$BJ$13</f>
        <v>0</v>
      </c>
      <c r="AF16" s="846">
        <v>5.0</v>
      </c>
      <c r="AG16" s="846">
        <v>5.0</v>
      </c>
      <c r="AH16" s="846"/>
      <c r="AI16" s="846"/>
      <c r="AJ16" s="846">
        <v>-3.0</v>
      </c>
      <c r="AK16" s="846">
        <v>5.0</v>
      </c>
      <c r="AL16" s="845">
        <v>-2.0</v>
      </c>
      <c r="AM16" s="556"/>
      <c r="AN16" s="850" t="s">
        <v>81</v>
      </c>
      <c r="AO16" s="850">
        <v>2.0</v>
      </c>
      <c r="AP16" s="851">
        <v>2.0</v>
      </c>
      <c r="AQ16" s="843">
        <v>5.0</v>
      </c>
      <c r="AR16" s="840">
        <v>-8.0</v>
      </c>
      <c r="AS16" s="327"/>
      <c r="AT16" s="301"/>
    </row>
    <row r="17">
      <c r="A17" s="301"/>
      <c r="B17" s="324"/>
      <c r="C17" s="738"/>
      <c r="D17" s="816" t="str">
        <f>Source!$H$4</f>
        <v>ZV</v>
      </c>
      <c r="E17" s="816"/>
      <c r="F17" s="822" t="s">
        <v>69</v>
      </c>
      <c r="G17" s="816">
        <f>COUNTIF(Stats!$C$6:$BN$38,F17)</f>
        <v>2</v>
      </c>
      <c r="H17" s="822">
        <f>SUMIF(Stats!$C$6:$BN$38,F17,Stats!$D$6:$BN$38)</f>
        <v>0</v>
      </c>
      <c r="I17" s="816">
        <f>SUMIF(Stats!$C$6:$BN$38,F17,Stats!$E$6:$BN$38)</f>
        <v>1</v>
      </c>
      <c r="J17" s="827">
        <f t="shared" si="1"/>
        <v>-1</v>
      </c>
      <c r="K17" s="325"/>
      <c r="L17" s="841">
        <v>4.0</v>
      </c>
      <c r="M17" s="840" t="s">
        <v>132</v>
      </c>
      <c r="N17" s="842">
        <f t="shared" si="6"/>
        <v>1</v>
      </c>
      <c r="O17" s="843">
        <f t="shared" si="7"/>
        <v>2</v>
      </c>
      <c r="P17" s="840">
        <f t="shared" si="8"/>
        <v>2</v>
      </c>
      <c r="Q17" s="845">
        <f t="shared" si="9"/>
        <v>0</v>
      </c>
      <c r="R17" s="846" t="s">
        <v>140</v>
      </c>
      <c r="S17" s="846"/>
      <c r="T17" s="846" t="s">
        <v>139</v>
      </c>
      <c r="U17" s="846" t="s">
        <v>140</v>
      </c>
      <c r="V17" s="846"/>
      <c r="W17" s="846"/>
      <c r="X17" s="846"/>
      <c r="Y17" s="847">
        <f>'Playoff Stats'!$D$24</f>
        <v>0</v>
      </c>
      <c r="Z17" s="848"/>
      <c r="AA17" s="848">
        <f>'Playoff Stats'!$V$13</f>
        <v>2</v>
      </c>
      <c r="AB17" s="848">
        <f>'Playoff Stats'!$AE$13</f>
        <v>0</v>
      </c>
      <c r="AC17" s="848"/>
      <c r="AD17" s="848"/>
      <c r="AE17" s="849"/>
      <c r="AF17" s="846">
        <v>0.0</v>
      </c>
      <c r="AG17" s="846"/>
      <c r="AH17" s="846">
        <v>0.0</v>
      </c>
      <c r="AI17" s="846">
        <v>0.0</v>
      </c>
      <c r="AJ17" s="846"/>
      <c r="AK17" s="846"/>
      <c r="AL17" s="845"/>
      <c r="AM17" s="325"/>
      <c r="AN17" s="850" t="s">
        <v>65</v>
      </c>
      <c r="AO17" s="850">
        <v>1.0</v>
      </c>
      <c r="AP17" s="851">
        <v>2.0</v>
      </c>
      <c r="AQ17" s="843">
        <v>3.0</v>
      </c>
      <c r="AR17" s="840">
        <v>-7.0</v>
      </c>
      <c r="AS17" s="327"/>
      <c r="AT17" s="301"/>
    </row>
    <row r="18">
      <c r="A18" s="301"/>
      <c r="B18" s="324"/>
      <c r="C18" s="738"/>
      <c r="D18" s="816" t="str">
        <f>Source!$H$4</f>
        <v>ZV</v>
      </c>
      <c r="E18" s="816"/>
      <c r="F18" s="822" t="s">
        <v>76</v>
      </c>
      <c r="G18" s="816">
        <f>COUNTIF(Stats!$C$6:$BN$38,F18)</f>
        <v>4</v>
      </c>
      <c r="H18" s="822">
        <f>SUMIF(Stats!$C$6:$BN$38,F18,Stats!$D$6:$BN$38)</f>
        <v>3</v>
      </c>
      <c r="I18" s="816">
        <f>SUMIF(Stats!$C$6:$BN$38,F18,Stats!$E$6:$BN$38)</f>
        <v>3</v>
      </c>
      <c r="J18" s="827">
        <f t="shared" si="1"/>
        <v>0</v>
      </c>
      <c r="K18" s="325"/>
      <c r="L18" s="841">
        <v>5.0</v>
      </c>
      <c r="M18" s="840" t="s">
        <v>65</v>
      </c>
      <c r="N18" s="842">
        <f t="shared" si="6"/>
        <v>1</v>
      </c>
      <c r="O18" s="843">
        <f t="shared" si="7"/>
        <v>2</v>
      </c>
      <c r="P18" s="840">
        <f t="shared" si="8"/>
        <v>3</v>
      </c>
      <c r="Q18" s="845">
        <f t="shared" si="9"/>
        <v>-7</v>
      </c>
      <c r="R18" s="846" t="s">
        <v>139</v>
      </c>
      <c r="S18" s="846" t="s">
        <v>140</v>
      </c>
      <c r="T18" s="846" t="s">
        <v>140</v>
      </c>
      <c r="U18" s="846"/>
      <c r="V18" s="846"/>
      <c r="W18" s="846"/>
      <c r="X18" s="846"/>
      <c r="Y18" s="847">
        <f>'Playoff Stats'!$H$24</f>
        <v>2</v>
      </c>
      <c r="Z18" s="848">
        <f>'Playoff Stats'!$Q$13</f>
        <v>0</v>
      </c>
      <c r="AA18" s="848">
        <f>'Playoff Stats'!$V$24</f>
        <v>1</v>
      </c>
      <c r="AB18" s="848"/>
      <c r="AC18" s="848"/>
      <c r="AD18" s="848"/>
      <c r="AE18" s="849"/>
      <c r="AF18" s="846">
        <v>0.0</v>
      </c>
      <c r="AG18" s="846">
        <v>-5.0</v>
      </c>
      <c r="AH18" s="846">
        <v>-2.0</v>
      </c>
      <c r="AI18" s="846"/>
      <c r="AJ18" s="846"/>
      <c r="AK18" s="846"/>
      <c r="AL18" s="845"/>
      <c r="AM18" s="325"/>
      <c r="AN18" s="850" t="s">
        <v>132</v>
      </c>
      <c r="AO18" s="850">
        <v>1.0</v>
      </c>
      <c r="AP18" s="851">
        <v>2.0</v>
      </c>
      <c r="AQ18" s="843">
        <v>2.0</v>
      </c>
      <c r="AR18" s="840">
        <v>0.0</v>
      </c>
      <c r="AS18" s="327"/>
      <c r="AT18" s="301"/>
    </row>
    <row r="19">
      <c r="A19" s="301"/>
      <c r="B19" s="324"/>
      <c r="C19" s="738"/>
      <c r="D19" s="816" t="str">
        <f>Source!$H$4</f>
        <v>ZV</v>
      </c>
      <c r="E19" s="816"/>
      <c r="F19" s="822" t="s">
        <v>84</v>
      </c>
      <c r="G19" s="816">
        <f>COUNTIF(Stats!$C$6:$BN$38,F19)</f>
        <v>4</v>
      </c>
      <c r="H19" s="822">
        <f>SUMIF(Stats!$C$6:$BN$38,F19,Stats!$D$6:$BN$38)</f>
        <v>2</v>
      </c>
      <c r="I19" s="816">
        <f>SUMIF(Stats!$C$6:$BN$38,F19,Stats!$E$6:$BN$38)</f>
        <v>5</v>
      </c>
      <c r="J19" s="827">
        <f t="shared" si="1"/>
        <v>-3</v>
      </c>
      <c r="K19" s="325"/>
      <c r="L19" s="854">
        <v>6.0</v>
      </c>
      <c r="M19" s="855" t="s">
        <v>60</v>
      </c>
      <c r="N19" s="856">
        <f t="shared" si="6"/>
        <v>0</v>
      </c>
      <c r="O19" s="857">
        <f t="shared" si="7"/>
        <v>2</v>
      </c>
      <c r="P19" s="855">
        <f t="shared" si="8"/>
        <v>0</v>
      </c>
      <c r="Q19" s="858">
        <f t="shared" si="9"/>
        <v>-5</v>
      </c>
      <c r="R19" s="859" t="s">
        <v>140</v>
      </c>
      <c r="S19" s="859"/>
      <c r="T19" s="859" t="s">
        <v>140</v>
      </c>
      <c r="U19" s="859"/>
      <c r="V19" s="859"/>
      <c r="W19" s="859"/>
      <c r="X19" s="859"/>
      <c r="Y19" s="860">
        <f>'Playoff Stats'!$H$13</f>
        <v>0</v>
      </c>
      <c r="Z19" s="861"/>
      <c r="AA19" s="861">
        <f>'Playoff Stats'!$Z$13</f>
        <v>0</v>
      </c>
      <c r="AB19" s="861"/>
      <c r="AC19" s="861"/>
      <c r="AD19" s="861"/>
      <c r="AE19" s="862"/>
      <c r="AF19" s="859">
        <v>-5.0</v>
      </c>
      <c r="AG19" s="859"/>
      <c r="AH19" s="859">
        <v>0.0</v>
      </c>
      <c r="AI19" s="859"/>
      <c r="AJ19" s="859"/>
      <c r="AK19" s="859"/>
      <c r="AL19" s="858"/>
      <c r="AM19" s="556"/>
      <c r="AN19" s="863" t="s">
        <v>60</v>
      </c>
      <c r="AO19" s="863">
        <v>0.0</v>
      </c>
      <c r="AP19" s="864">
        <v>2.0</v>
      </c>
      <c r="AQ19" s="857">
        <v>0.0</v>
      </c>
      <c r="AR19" s="855">
        <v>-5.0</v>
      </c>
      <c r="AS19" s="327"/>
      <c r="AT19" s="301"/>
    </row>
    <row r="20">
      <c r="A20" s="301"/>
      <c r="B20" s="324"/>
      <c r="C20" s="738"/>
      <c r="D20" s="816" t="str">
        <f>Source!$H$4</f>
        <v>ZV</v>
      </c>
      <c r="E20" s="816"/>
      <c r="F20" s="816" t="s">
        <v>90</v>
      </c>
      <c r="G20" s="816">
        <f>COUNTIF(Stats!$C$6:$BN$38,F20)</f>
        <v>3</v>
      </c>
      <c r="H20" s="816">
        <f>SUMIF(Stats!$C$6:$BN$38,F20,Stats!$D$6:$BN$38)</f>
        <v>8</v>
      </c>
      <c r="I20" s="816">
        <f>SUMIF(Stats!$C$6:$BN$38,F20,Stats!$E$6:$BN$38)</f>
        <v>6</v>
      </c>
      <c r="J20" s="853">
        <f t="shared" si="1"/>
        <v>2</v>
      </c>
      <c r="K20" s="325"/>
      <c r="L20" s="556"/>
      <c r="M20" s="325"/>
      <c r="N20" s="325"/>
      <c r="O20" s="325"/>
      <c r="P20" s="325"/>
      <c r="Q20" s="325"/>
      <c r="R20" s="325"/>
      <c r="S20" s="325"/>
      <c r="T20" s="325"/>
      <c r="U20" s="325"/>
      <c r="V20" s="325"/>
      <c r="W20" s="325"/>
      <c r="X20" s="325"/>
      <c r="Y20" s="866"/>
      <c r="Z20" s="866"/>
      <c r="AA20" s="866"/>
      <c r="AB20" s="866"/>
      <c r="AC20" s="866"/>
      <c r="AD20" s="866"/>
      <c r="AE20" s="866"/>
      <c r="AF20" s="325"/>
      <c r="AG20" s="325"/>
      <c r="AH20" s="325"/>
      <c r="AI20" s="325"/>
      <c r="AJ20" s="325"/>
      <c r="AK20" s="325"/>
      <c r="AL20" s="325"/>
      <c r="AM20" s="556"/>
      <c r="AN20" s="325"/>
      <c r="AO20" s="325"/>
      <c r="AP20" s="325"/>
      <c r="AQ20" s="325"/>
      <c r="AR20" s="325"/>
      <c r="AS20" s="327"/>
      <c r="AT20" s="301"/>
    </row>
    <row r="21">
      <c r="A21" s="301"/>
      <c r="B21" s="324"/>
      <c r="C21" s="738"/>
      <c r="D21" s="816" t="str">
        <f>Source!$H$4</f>
        <v>ZV</v>
      </c>
      <c r="E21" s="816"/>
      <c r="F21" s="816" t="s">
        <v>96</v>
      </c>
      <c r="G21" s="816">
        <f>COUNTIF(Stats!$C$6:$BN$38,F21)</f>
        <v>5</v>
      </c>
      <c r="H21" s="816">
        <f>SUMIF(Stats!$C$6:$BN$38,F21,Stats!$D$6:$BN$38)</f>
        <v>11</v>
      </c>
      <c r="I21" s="816">
        <f>SUMIF(Stats!$C$6:$BN$38,F21,Stats!$E$6:$BN$38)</f>
        <v>11</v>
      </c>
      <c r="J21" s="853">
        <f t="shared" si="1"/>
        <v>0</v>
      </c>
      <c r="K21" s="325"/>
      <c r="L21" s="556"/>
      <c r="M21" s="325"/>
      <c r="N21" s="325"/>
      <c r="O21" s="325"/>
      <c r="P21" s="325"/>
      <c r="Q21" s="325"/>
      <c r="R21" s="556"/>
      <c r="S21" s="325"/>
      <c r="T21" s="325"/>
      <c r="U21" s="556"/>
      <c r="V21" s="325"/>
      <c r="W21" s="556"/>
      <c r="X21" s="325"/>
      <c r="Y21" s="556"/>
      <c r="Z21" s="325"/>
      <c r="AA21" s="325"/>
      <c r="AB21" s="556"/>
      <c r="AC21" s="325"/>
      <c r="AD21" s="556"/>
      <c r="AE21" s="325"/>
      <c r="AF21" s="556"/>
      <c r="AG21" s="325"/>
      <c r="AH21" s="325"/>
      <c r="AI21" s="556"/>
      <c r="AJ21" s="325"/>
      <c r="AK21" s="556"/>
      <c r="AL21" s="325"/>
      <c r="AM21" s="556"/>
      <c r="AN21" s="794" t="s">
        <v>687</v>
      </c>
      <c r="AO21" s="34"/>
      <c r="AP21" s="34"/>
      <c r="AQ21" s="34"/>
      <c r="AR21" s="35"/>
      <c r="AS21" s="327"/>
      <c r="AT21" s="301"/>
    </row>
    <row r="22">
      <c r="A22" s="301"/>
      <c r="B22" s="324"/>
      <c r="C22" s="738"/>
      <c r="D22" s="816" t="str">
        <f>Source!$H$4</f>
        <v>ZV</v>
      </c>
      <c r="E22" s="816"/>
      <c r="F22" s="816" t="s">
        <v>103</v>
      </c>
      <c r="G22" s="816">
        <f>COUNTIF(Stats!$C$6:$BN$38,F22)</f>
        <v>5</v>
      </c>
      <c r="H22" s="816">
        <f>SUMIF(Stats!$C$6:$BN$38,F22,Stats!$D$6:$BN$38)</f>
        <v>6</v>
      </c>
      <c r="I22" s="816">
        <f>SUMIF(Stats!$C$6:$BN$38,F22,Stats!$E$6:$BN$38)</f>
        <v>7</v>
      </c>
      <c r="J22" s="853">
        <f t="shared" si="1"/>
        <v>-1</v>
      </c>
      <c r="K22" s="325"/>
      <c r="L22" s="556"/>
      <c r="M22" s="325"/>
      <c r="N22" s="325"/>
      <c r="O22" s="325"/>
      <c r="P22" s="325"/>
      <c r="Q22" s="325"/>
      <c r="R22" s="325"/>
      <c r="S22" s="325"/>
      <c r="T22" s="325"/>
      <c r="U22" s="325"/>
      <c r="V22" s="325"/>
      <c r="W22" s="325"/>
      <c r="X22" s="325"/>
      <c r="Y22" s="325"/>
      <c r="Z22" s="325"/>
      <c r="AA22" s="325"/>
      <c r="AB22" s="325"/>
      <c r="AC22" s="325"/>
      <c r="AD22" s="325"/>
      <c r="AE22" s="325"/>
      <c r="AF22" s="325"/>
      <c r="AG22" s="325"/>
      <c r="AH22" s="325"/>
      <c r="AI22" s="325"/>
      <c r="AJ22" s="325"/>
      <c r="AK22" s="325"/>
      <c r="AL22" s="325"/>
      <c r="AM22" s="325"/>
      <c r="AN22" s="803" t="s">
        <v>141</v>
      </c>
      <c r="AO22" s="809" t="s">
        <v>139</v>
      </c>
      <c r="AP22" s="810" t="s">
        <v>140</v>
      </c>
      <c r="AQ22" s="811" t="s">
        <v>389</v>
      </c>
      <c r="AR22" s="805" t="s">
        <v>36</v>
      </c>
      <c r="AS22" s="327"/>
      <c r="AT22" s="301"/>
    </row>
    <row r="23">
      <c r="A23" s="301"/>
      <c r="B23" s="324"/>
      <c r="C23" s="738"/>
      <c r="D23" s="816" t="str">
        <f>Source!$H$4</f>
        <v>ZV</v>
      </c>
      <c r="E23" s="816"/>
      <c r="F23" s="816" t="s">
        <v>109</v>
      </c>
      <c r="G23" s="816">
        <f>COUNTIF(Stats!$C$6:$BN$38,F23)</f>
        <v>5</v>
      </c>
      <c r="H23" s="816">
        <f>SUMIF(Stats!$C$6:$BN$38,F23,Stats!$D$6:$BN$38)</f>
        <v>6</v>
      </c>
      <c r="I23" s="816">
        <f>SUMIF(Stats!$C$6:$BN$38,F23,Stats!$E$6:$BN$38)</f>
        <v>3</v>
      </c>
      <c r="J23" s="853">
        <f t="shared" si="1"/>
        <v>3</v>
      </c>
      <c r="K23" s="325"/>
      <c r="L23" s="556"/>
      <c r="M23" s="325"/>
      <c r="N23" s="325"/>
      <c r="O23" s="325"/>
      <c r="P23" s="325"/>
      <c r="Q23" s="325"/>
      <c r="R23" s="325"/>
      <c r="S23" s="325"/>
      <c r="T23" s="325"/>
      <c r="U23" s="325"/>
      <c r="V23" s="325"/>
      <c r="W23" s="325"/>
      <c r="X23" s="325"/>
      <c r="Y23" s="325"/>
      <c r="Z23" s="325"/>
      <c r="AA23" s="325"/>
      <c r="AB23" s="325"/>
      <c r="AC23" s="325"/>
      <c r="AD23" s="325"/>
      <c r="AE23" s="325"/>
      <c r="AF23" s="325"/>
      <c r="AG23" s="325"/>
      <c r="AH23" s="325"/>
      <c r="AI23" s="325"/>
      <c r="AJ23" s="325"/>
      <c r="AK23" s="325"/>
      <c r="AL23" s="325"/>
      <c r="AM23" s="325"/>
      <c r="AN23" s="903" t="str">
        <f t="array" ref="AN23:AN28">AN5:AN10</f>
        <v>Ian Heslin</v>
      </c>
      <c r="AO23" s="903">
        <f t="shared" ref="AO23:AR23" si="10">AO5+N14</f>
        <v>10</v>
      </c>
      <c r="AP23" s="839">
        <f t="shared" si="10"/>
        <v>0</v>
      </c>
      <c r="AQ23" s="834">
        <f t="shared" si="10"/>
        <v>20</v>
      </c>
      <c r="AR23" s="829">
        <f t="shared" si="10"/>
        <v>36</v>
      </c>
      <c r="AS23" s="327"/>
      <c r="AT23" s="301"/>
    </row>
    <row r="24">
      <c r="A24" s="301"/>
      <c r="B24" s="324"/>
      <c r="C24" s="738"/>
      <c r="D24" s="816" t="str">
        <f>Source!$H$4</f>
        <v>ZV</v>
      </c>
      <c r="E24" s="816"/>
      <c r="F24" s="816" t="s">
        <v>115</v>
      </c>
      <c r="G24" s="816">
        <f>COUNTIF(Stats!$C$6:$BN$38,F24)</f>
        <v>5</v>
      </c>
      <c r="H24" s="816">
        <f>SUMIF(Stats!$C$6:$BN$38,F24,Stats!$D$6:$BN$38)</f>
        <v>0</v>
      </c>
      <c r="I24" s="816">
        <f>SUMIF(Stats!$C$6:$BN$38,F24,Stats!$E$6:$BN$38)</f>
        <v>4</v>
      </c>
      <c r="J24" s="853">
        <f t="shared" si="1"/>
        <v>-4</v>
      </c>
      <c r="K24" s="325"/>
      <c r="L24" s="556"/>
      <c r="M24" s="325"/>
      <c r="N24" s="325"/>
      <c r="O24" s="325"/>
      <c r="P24" s="325"/>
      <c r="Q24" s="325"/>
      <c r="R24" s="325"/>
      <c r="S24" s="325"/>
      <c r="T24" s="325"/>
      <c r="U24" s="325"/>
      <c r="V24" s="325"/>
      <c r="W24" s="325"/>
      <c r="X24" s="325"/>
      <c r="Y24" s="325"/>
      <c r="Z24" s="325"/>
      <c r="AA24" s="325"/>
      <c r="AB24" s="325"/>
      <c r="AC24" s="325"/>
      <c r="AD24" s="325"/>
      <c r="AE24" s="325"/>
      <c r="AF24" s="325"/>
      <c r="AG24" s="325"/>
      <c r="AH24" s="325"/>
      <c r="AI24" s="325"/>
      <c r="AJ24" s="325"/>
      <c r="AK24" s="325"/>
      <c r="AL24" s="325"/>
      <c r="AM24" s="325"/>
      <c r="AN24" s="904" t="s">
        <v>81</v>
      </c>
      <c r="AO24" s="904">
        <f t="shared" ref="AO24:AR24" si="11">AO6+N15</f>
        <v>6</v>
      </c>
      <c r="AP24" s="851">
        <f t="shared" si="11"/>
        <v>5</v>
      </c>
      <c r="AQ24" s="846">
        <f t="shared" si="11"/>
        <v>14</v>
      </c>
      <c r="AR24" s="840">
        <f t="shared" si="11"/>
        <v>4</v>
      </c>
      <c r="AS24" s="327"/>
      <c r="AT24" s="301"/>
    </row>
    <row r="25">
      <c r="A25" s="301"/>
      <c r="B25" s="324"/>
      <c r="C25" s="738"/>
      <c r="D25" s="816" t="str">
        <f>Source!$H$4</f>
        <v>ZV</v>
      </c>
      <c r="E25" s="816"/>
      <c r="F25" s="816" t="s">
        <v>121</v>
      </c>
      <c r="G25" s="816">
        <f>COUNTIF(Stats!$C$6:$BN$38,F25)</f>
        <v>4</v>
      </c>
      <c r="H25" s="822">
        <f>SUMIF(Stats!$C$6:$BN$38,F25,Stats!$D$6:$BN$38)</f>
        <v>13</v>
      </c>
      <c r="I25" s="816">
        <f>SUMIF(Stats!$C$6:$BN$38,F25,Stats!$E$6:$BN$38)</f>
        <v>2</v>
      </c>
      <c r="J25" s="827">
        <f t="shared" si="1"/>
        <v>11</v>
      </c>
      <c r="K25" s="325"/>
      <c r="L25" s="556"/>
      <c r="M25" s="325"/>
      <c r="N25" s="325"/>
      <c r="O25" s="325"/>
      <c r="P25" s="325"/>
      <c r="Q25" s="325"/>
      <c r="R25" s="325"/>
      <c r="S25" s="325"/>
      <c r="T25" s="325"/>
      <c r="U25" s="325"/>
      <c r="V25" s="325"/>
      <c r="W25" s="325"/>
      <c r="X25" s="325"/>
      <c r="Y25" s="325"/>
      <c r="Z25" s="325"/>
      <c r="AA25" s="325"/>
      <c r="AB25" s="325"/>
      <c r="AC25" s="325"/>
      <c r="AD25" s="325"/>
      <c r="AE25" s="325"/>
      <c r="AF25" s="325"/>
      <c r="AG25" s="325"/>
      <c r="AH25" s="325"/>
      <c r="AI25" s="325"/>
      <c r="AJ25" s="325"/>
      <c r="AK25" s="325"/>
      <c r="AL25" s="325"/>
      <c r="AM25" s="325"/>
      <c r="AN25" s="904" t="s">
        <v>66</v>
      </c>
      <c r="AO25" s="904">
        <f t="shared" ref="AO25:AR25" si="12">AO7+N16</f>
        <v>7</v>
      </c>
      <c r="AP25" s="851">
        <f t="shared" si="12"/>
        <v>5</v>
      </c>
      <c r="AQ25" s="846">
        <f t="shared" si="12"/>
        <v>14</v>
      </c>
      <c r="AR25" s="840">
        <f t="shared" si="12"/>
        <v>15</v>
      </c>
      <c r="AS25" s="327"/>
      <c r="AT25" s="301"/>
    </row>
    <row r="26">
      <c r="A26" s="301"/>
      <c r="B26" s="324"/>
      <c r="C26" s="437"/>
      <c r="D26" s="816" t="str">
        <f>Source!$H$4</f>
        <v>ZV</v>
      </c>
      <c r="E26" s="816"/>
      <c r="F26" s="816" t="s">
        <v>127</v>
      </c>
      <c r="G26" s="816">
        <f>COUNTIF(Stats!$C$6:$BN$38,F26)</f>
        <v>0</v>
      </c>
      <c r="H26" s="822">
        <f>SUMIF(Stats!$C$6:$BN$38,F26,Stats!$D$6:$BN$38)</f>
        <v>0</v>
      </c>
      <c r="I26" s="816">
        <f>SUMIF(Stats!$C$6:$BN$38,F26,Stats!$E$6:$BN$38)</f>
        <v>0</v>
      </c>
      <c r="J26" s="827">
        <f t="shared" si="1"/>
        <v>0</v>
      </c>
      <c r="K26" s="325"/>
      <c r="L26" s="556"/>
      <c r="M26" s="325"/>
      <c r="N26" s="325"/>
      <c r="O26" s="325"/>
      <c r="P26" s="325"/>
      <c r="Q26" s="325"/>
      <c r="R26" s="325"/>
      <c r="S26" s="325"/>
      <c r="T26" s="325"/>
      <c r="U26" s="325"/>
      <c r="V26" s="325"/>
      <c r="W26" s="325"/>
      <c r="X26" s="325"/>
      <c r="Y26" s="325"/>
      <c r="Z26" s="325"/>
      <c r="AA26" s="325"/>
      <c r="AB26" s="325"/>
      <c r="AC26" s="325"/>
      <c r="AD26" s="325"/>
      <c r="AE26" s="325"/>
      <c r="AF26" s="325"/>
      <c r="AG26" s="325"/>
      <c r="AH26" s="325"/>
      <c r="AI26" s="325"/>
      <c r="AJ26" s="325"/>
      <c r="AK26" s="325"/>
      <c r="AL26" s="325"/>
      <c r="AM26" s="325"/>
      <c r="AN26" s="904" t="s">
        <v>132</v>
      </c>
      <c r="AO26" s="904">
        <f t="shared" ref="AO26:AR26" si="13">AO8+N17</f>
        <v>4</v>
      </c>
      <c r="AP26" s="851">
        <f t="shared" si="13"/>
        <v>6</v>
      </c>
      <c r="AQ26" s="846">
        <f t="shared" si="13"/>
        <v>10</v>
      </c>
      <c r="AR26" s="840">
        <f t="shared" si="13"/>
        <v>0</v>
      </c>
      <c r="AS26" s="327"/>
      <c r="AT26" s="301"/>
    </row>
    <row r="27">
      <c r="A27" s="301"/>
      <c r="B27" s="324"/>
      <c r="C27" s="815" t="str">
        <f>Source!$F$5</f>
        <v>Dick Hansen</v>
      </c>
      <c r="D27" s="816" t="str">
        <f>Source!$H$5</f>
        <v>DH</v>
      </c>
      <c r="E27" s="816"/>
      <c r="F27" s="822" t="str">
        <f t="array" ref="F27:F37">Teams!$L$5:$L$15</f>
        <v>Sylveon</v>
      </c>
      <c r="G27" s="816">
        <f>COUNTIF(Stats!$C$6:$BN$38,F27)</f>
        <v>4</v>
      </c>
      <c r="H27" s="822">
        <f>SUMIF(Stats!$C$6:$BN$38,F27,Stats!$D$6:$BN$38)</f>
        <v>3</v>
      </c>
      <c r="I27" s="816">
        <f>SUMIF(Stats!$C$6:$BN$38,F27,Stats!$E$6:$BN$38)</f>
        <v>7</v>
      </c>
      <c r="J27" s="827">
        <f t="shared" si="1"/>
        <v>-4</v>
      </c>
      <c r="K27" s="325"/>
      <c r="L27" s="556"/>
      <c r="M27" s="325"/>
      <c r="N27" s="325"/>
      <c r="O27" s="325"/>
      <c r="P27" s="325"/>
      <c r="Q27" s="325"/>
      <c r="R27" s="325"/>
      <c r="S27" s="325"/>
      <c r="T27" s="325"/>
      <c r="U27" s="325"/>
      <c r="V27" s="325"/>
      <c r="W27" s="325"/>
      <c r="X27" s="325"/>
      <c r="Y27" s="325"/>
      <c r="Z27" s="325"/>
      <c r="AA27" s="325"/>
      <c r="AB27" s="325"/>
      <c r="AC27" s="325"/>
      <c r="AD27" s="325"/>
      <c r="AE27" s="325"/>
      <c r="AF27" s="325"/>
      <c r="AG27" s="325"/>
      <c r="AH27" s="325"/>
      <c r="AI27" s="325"/>
      <c r="AJ27" s="325"/>
      <c r="AK27" s="325"/>
      <c r="AL27" s="325"/>
      <c r="AM27" s="325"/>
      <c r="AN27" s="904" t="s">
        <v>65</v>
      </c>
      <c r="AO27" s="904">
        <f t="shared" ref="AO27:AR27" si="14">AO9+N18</f>
        <v>4</v>
      </c>
      <c r="AP27" s="851">
        <f t="shared" si="14"/>
        <v>6</v>
      </c>
      <c r="AQ27" s="846">
        <f t="shared" si="14"/>
        <v>11</v>
      </c>
      <c r="AR27" s="840">
        <f t="shared" si="14"/>
        <v>-9</v>
      </c>
      <c r="AS27" s="327"/>
      <c r="AT27" s="301"/>
    </row>
    <row r="28">
      <c r="A28" s="301"/>
      <c r="B28" s="324"/>
      <c r="C28" s="738"/>
      <c r="D28" s="816" t="str">
        <f>Source!$H$5</f>
        <v>DH</v>
      </c>
      <c r="E28" s="816"/>
      <c r="F28" s="822" t="s">
        <v>70</v>
      </c>
      <c r="G28" s="816">
        <f>COUNTIF(Stats!$C$6:$BN$38,F28)</f>
        <v>4</v>
      </c>
      <c r="H28" s="822">
        <f>SUMIF(Stats!$C$6:$BN$38,F28,Stats!$D$6:$BN$38)</f>
        <v>2</v>
      </c>
      <c r="I28" s="816">
        <f>SUMIF(Stats!$C$6:$BN$38,F28,Stats!$E$6:$BN$38)</f>
        <v>5</v>
      </c>
      <c r="J28" s="827">
        <f t="shared" si="1"/>
        <v>-3</v>
      </c>
      <c r="K28" s="325"/>
      <c r="L28" s="556"/>
      <c r="M28" s="325"/>
      <c r="N28" s="325"/>
      <c r="O28" s="325"/>
      <c r="P28" s="325"/>
      <c r="Q28" s="325"/>
      <c r="R28" s="325"/>
      <c r="S28" s="325"/>
      <c r="T28" s="325"/>
      <c r="U28" s="325"/>
      <c r="V28" s="325"/>
      <c r="W28" s="325"/>
      <c r="X28" s="325"/>
      <c r="Y28" s="325"/>
      <c r="Z28" s="325"/>
      <c r="AA28" s="325"/>
      <c r="AB28" s="325"/>
      <c r="AC28" s="325"/>
      <c r="AD28" s="325"/>
      <c r="AE28" s="325"/>
      <c r="AF28" s="325"/>
      <c r="AG28" s="325"/>
      <c r="AH28" s="325"/>
      <c r="AI28" s="325"/>
      <c r="AJ28" s="325"/>
      <c r="AK28" s="325"/>
      <c r="AL28" s="325"/>
      <c r="AM28" s="325"/>
      <c r="AN28" s="913" t="s">
        <v>60</v>
      </c>
      <c r="AO28" s="913">
        <f t="shared" ref="AO28:AR28" si="15">AO10+N19</f>
        <v>0</v>
      </c>
      <c r="AP28" s="864">
        <f t="shared" si="15"/>
        <v>9</v>
      </c>
      <c r="AQ28" s="859">
        <f t="shared" si="15"/>
        <v>3</v>
      </c>
      <c r="AR28" s="855">
        <f t="shared" si="15"/>
        <v>-46</v>
      </c>
      <c r="AS28" s="327"/>
      <c r="AT28" s="301"/>
    </row>
    <row r="29">
      <c r="A29" s="301"/>
      <c r="B29" s="324"/>
      <c r="C29" s="738"/>
      <c r="D29" s="816" t="str">
        <f>Source!$H$5</f>
        <v>DH</v>
      </c>
      <c r="E29" s="816"/>
      <c r="F29" s="822" t="s">
        <v>77</v>
      </c>
      <c r="G29" s="816">
        <f>COUNTIF(Stats!$C$6:$BN$38,F29)</f>
        <v>4</v>
      </c>
      <c r="H29" s="822">
        <f>SUMIF(Stats!$C$6:$BN$38,F29,Stats!$D$6:$BN$38)</f>
        <v>3</v>
      </c>
      <c r="I29" s="816">
        <f>SUMIF(Stats!$C$6:$BN$38,F29,Stats!$E$6:$BN$38)</f>
        <v>7</v>
      </c>
      <c r="J29" s="827">
        <f t="shared" si="1"/>
        <v>-4</v>
      </c>
      <c r="K29" s="325"/>
      <c r="L29" s="556"/>
      <c r="M29" s="325"/>
      <c r="N29" s="325"/>
      <c r="O29" s="325"/>
      <c r="P29" s="325"/>
      <c r="Q29" s="325"/>
      <c r="R29" s="325"/>
      <c r="S29" s="325"/>
      <c r="T29" s="325"/>
      <c r="U29" s="325"/>
      <c r="V29" s="325"/>
      <c r="W29" s="325"/>
      <c r="X29" s="325"/>
      <c r="Y29" s="325"/>
      <c r="Z29" s="325"/>
      <c r="AA29" s="325"/>
      <c r="AB29" s="325"/>
      <c r="AC29" s="325"/>
      <c r="AD29" s="325"/>
      <c r="AE29" s="325"/>
      <c r="AF29" s="325"/>
      <c r="AG29" s="325"/>
      <c r="AH29" s="325"/>
      <c r="AI29" s="325"/>
      <c r="AJ29" s="325"/>
      <c r="AK29" s="325"/>
      <c r="AL29" s="325"/>
      <c r="AM29" s="325"/>
      <c r="AN29" s="325"/>
      <c r="AO29" s="325"/>
      <c r="AP29" s="325"/>
      <c r="AQ29" s="325"/>
      <c r="AR29" s="325"/>
      <c r="AS29" s="327"/>
      <c r="AT29" s="301"/>
    </row>
    <row r="30">
      <c r="A30" s="301"/>
      <c r="B30" s="324"/>
      <c r="C30" s="738"/>
      <c r="D30" s="816" t="str">
        <f>Source!$H$5</f>
        <v>DH</v>
      </c>
      <c r="E30" s="816"/>
      <c r="F30" s="822" t="s">
        <v>85</v>
      </c>
      <c r="G30" s="816">
        <f>COUNTIF(Stats!$C$6:$BN$38,F30)</f>
        <v>4</v>
      </c>
      <c r="H30" s="822">
        <f>SUMIF(Stats!$C$6:$BN$38,F30,Stats!$D$6:$BN$38)</f>
        <v>1</v>
      </c>
      <c r="I30" s="816">
        <f>SUMIF(Stats!$C$6:$BN$38,F30,Stats!$E$6:$BN$38)</f>
        <v>2</v>
      </c>
      <c r="J30" s="827">
        <f t="shared" si="1"/>
        <v>-1</v>
      </c>
      <c r="K30" s="325"/>
      <c r="L30" s="556"/>
      <c r="M30" s="325"/>
      <c r="N30" s="325"/>
      <c r="O30" s="325"/>
      <c r="P30" s="325"/>
      <c r="Q30" s="325"/>
      <c r="R30" s="325"/>
      <c r="S30" s="325"/>
      <c r="T30" s="325"/>
      <c r="U30" s="325"/>
      <c r="V30" s="325"/>
      <c r="W30" s="325"/>
      <c r="X30" s="325"/>
      <c r="Y30" s="325"/>
      <c r="Z30" s="325"/>
      <c r="AA30" s="325"/>
      <c r="AB30" s="325"/>
      <c r="AC30" s="325"/>
      <c r="AD30" s="325"/>
      <c r="AE30" s="325"/>
      <c r="AF30" s="325"/>
      <c r="AG30" s="325"/>
      <c r="AH30" s="325"/>
      <c r="AI30" s="325"/>
      <c r="AJ30" s="325"/>
      <c r="AK30" s="325"/>
      <c r="AL30" s="325"/>
      <c r="AM30" s="325"/>
      <c r="AN30" s="325"/>
      <c r="AO30" s="325"/>
      <c r="AP30" s="325"/>
      <c r="AQ30" s="325"/>
      <c r="AR30" s="325"/>
      <c r="AS30" s="327"/>
      <c r="AT30" s="301"/>
    </row>
    <row r="31">
      <c r="A31" s="301"/>
      <c r="B31" s="324"/>
      <c r="C31" s="738"/>
      <c r="D31" s="816" t="str">
        <f>Source!$H$5</f>
        <v>DH</v>
      </c>
      <c r="E31" s="816"/>
      <c r="F31" s="816" t="s">
        <v>91</v>
      </c>
      <c r="G31" s="816">
        <f>COUNTIF(Stats!$C$6:$BN$38,F31)</f>
        <v>4</v>
      </c>
      <c r="H31" s="816">
        <f>SUMIF(Stats!$C$6:$BN$38,F31,Stats!$D$6:$BN$38)</f>
        <v>0</v>
      </c>
      <c r="I31" s="816">
        <f>SUMIF(Stats!$C$6:$BN$38,F31,Stats!$E$6:$BN$38)</f>
        <v>8</v>
      </c>
      <c r="J31" s="853">
        <f t="shared" si="1"/>
        <v>-8</v>
      </c>
      <c r="K31" s="325"/>
      <c r="L31" s="556"/>
      <c r="M31" s="325"/>
      <c r="N31" s="325"/>
      <c r="O31" s="325"/>
      <c r="P31" s="325"/>
      <c r="Q31" s="325"/>
      <c r="R31" s="325"/>
      <c r="S31" s="325"/>
      <c r="T31" s="325"/>
      <c r="U31" s="325"/>
      <c r="V31" s="325"/>
      <c r="W31" s="325"/>
      <c r="X31" s="325"/>
      <c r="Y31" s="325"/>
      <c r="Z31" s="325"/>
      <c r="AA31" s="325"/>
      <c r="AB31" s="325"/>
      <c r="AC31" s="325"/>
      <c r="AD31" s="325"/>
      <c r="AE31" s="325"/>
      <c r="AF31" s="325"/>
      <c r="AG31" s="325"/>
      <c r="AH31" s="325"/>
      <c r="AI31" s="325"/>
      <c r="AJ31" s="325"/>
      <c r="AK31" s="325"/>
      <c r="AL31" s="325"/>
      <c r="AM31" s="325"/>
      <c r="AN31" s="325"/>
      <c r="AO31" s="325"/>
      <c r="AP31" s="325"/>
      <c r="AQ31" s="325"/>
      <c r="AR31" s="325"/>
      <c r="AS31" s="327"/>
      <c r="AT31" s="301"/>
    </row>
    <row r="32">
      <c r="A32" s="301"/>
      <c r="B32" s="324"/>
      <c r="C32" s="738"/>
      <c r="D32" s="816" t="str">
        <f>Source!$H$5</f>
        <v>DH</v>
      </c>
      <c r="E32" s="816"/>
      <c r="F32" s="816" t="s">
        <v>97</v>
      </c>
      <c r="G32" s="816">
        <f>COUNTIF(Stats!$C$6:$BN$38,F32)</f>
        <v>4</v>
      </c>
      <c r="H32" s="816">
        <f>SUMIF(Stats!$C$6:$BN$38,F32,Stats!$D$6:$BN$38)</f>
        <v>2</v>
      </c>
      <c r="I32" s="816">
        <f>SUMIF(Stats!$C$6:$BN$38,F32,Stats!$E$6:$BN$38)</f>
        <v>8</v>
      </c>
      <c r="J32" s="853">
        <f t="shared" si="1"/>
        <v>-6</v>
      </c>
      <c r="K32" s="325"/>
      <c r="L32" s="556"/>
      <c r="M32" s="325"/>
      <c r="N32" s="325"/>
      <c r="O32" s="325"/>
      <c r="P32" s="325"/>
      <c r="Q32" s="325"/>
      <c r="R32" s="325"/>
      <c r="S32" s="325"/>
      <c r="T32" s="325"/>
      <c r="U32" s="325"/>
      <c r="V32" s="325"/>
      <c r="W32" s="325"/>
      <c r="X32" s="325"/>
      <c r="Y32" s="325"/>
      <c r="Z32" s="325"/>
      <c r="AA32" s="325"/>
      <c r="AB32" s="325"/>
      <c r="AC32" s="325"/>
      <c r="AD32" s="325"/>
      <c r="AE32" s="325"/>
      <c r="AF32" s="325"/>
      <c r="AG32" s="325"/>
      <c r="AH32" s="325"/>
      <c r="AI32" s="325"/>
      <c r="AJ32" s="325"/>
      <c r="AK32" s="325"/>
      <c r="AL32" s="325"/>
      <c r="AM32" s="325"/>
      <c r="AN32" s="325"/>
      <c r="AO32" s="325"/>
      <c r="AP32" s="325"/>
      <c r="AQ32" s="325"/>
      <c r="AR32" s="325"/>
      <c r="AS32" s="327"/>
      <c r="AT32" s="301"/>
    </row>
    <row r="33">
      <c r="A33" s="301"/>
      <c r="B33" s="324"/>
      <c r="C33" s="738"/>
      <c r="D33" s="816" t="str">
        <f>Source!$H$5</f>
        <v>DH</v>
      </c>
      <c r="E33" s="816"/>
      <c r="F33" s="816" t="s">
        <v>104</v>
      </c>
      <c r="G33" s="816">
        <f>COUNTIF(Stats!$C$6:$BN$38,F33)</f>
        <v>0</v>
      </c>
      <c r="H33" s="816">
        <f>SUMIF(Stats!$C$6:$BN$38,F33,Stats!$D$6:$BN$38)</f>
        <v>0</v>
      </c>
      <c r="I33" s="816">
        <f>SUMIF(Stats!$C$6:$BN$38,F33,Stats!$E$6:$BN$38)</f>
        <v>0</v>
      </c>
      <c r="J33" s="853">
        <f t="shared" si="1"/>
        <v>0</v>
      </c>
      <c r="K33" s="325"/>
      <c r="L33" s="556"/>
      <c r="M33" s="325"/>
      <c r="N33" s="325"/>
      <c r="O33" s="325"/>
      <c r="P33" s="325"/>
      <c r="Q33" s="325"/>
      <c r="R33" s="325"/>
      <c r="S33" s="325"/>
      <c r="T33" s="325"/>
      <c r="U33" s="325"/>
      <c r="V33" s="325"/>
      <c r="W33" s="325"/>
      <c r="X33" s="325"/>
      <c r="Y33" s="325"/>
      <c r="Z33" s="325"/>
      <c r="AA33" s="325"/>
      <c r="AB33" s="325"/>
      <c r="AC33" s="325"/>
      <c r="AD33" s="325"/>
      <c r="AE33" s="325"/>
      <c r="AF33" s="325"/>
      <c r="AG33" s="325"/>
      <c r="AH33" s="325"/>
      <c r="AI33" s="325"/>
      <c r="AJ33" s="325"/>
      <c r="AK33" s="325"/>
      <c r="AL33" s="325"/>
      <c r="AM33" s="325"/>
      <c r="AN33" s="325"/>
      <c r="AO33" s="325"/>
      <c r="AP33" s="325"/>
      <c r="AQ33" s="325"/>
      <c r="AR33" s="325"/>
      <c r="AS33" s="327"/>
      <c r="AT33" s="301"/>
    </row>
    <row r="34">
      <c r="A34" s="301"/>
      <c r="B34" s="324"/>
      <c r="C34" s="738"/>
      <c r="D34" s="816" t="str">
        <f>Source!$H$5</f>
        <v>DH</v>
      </c>
      <c r="E34" s="816"/>
      <c r="F34" s="816" t="s">
        <v>110</v>
      </c>
      <c r="G34" s="816">
        <f>COUNTIF(Stats!$C$6:$BN$38,F34)</f>
        <v>0</v>
      </c>
      <c r="H34" s="816">
        <f>SUMIF(Stats!$C$6:$BN$38,F34,Stats!$D$6:$BN$38)</f>
        <v>0</v>
      </c>
      <c r="I34" s="816">
        <f>SUMIF(Stats!$C$6:$BN$38,F34,Stats!$E$6:$BN$38)</f>
        <v>0</v>
      </c>
      <c r="J34" s="853">
        <f t="shared" si="1"/>
        <v>0</v>
      </c>
      <c r="K34" s="325"/>
      <c r="L34" s="556"/>
      <c r="M34" s="325"/>
      <c r="N34" s="325"/>
      <c r="O34" s="325"/>
      <c r="P34" s="325"/>
      <c r="Q34" s="325"/>
      <c r="R34" s="325"/>
      <c r="S34" s="325"/>
      <c r="T34" s="325"/>
      <c r="U34" s="325"/>
      <c r="V34" s="325"/>
      <c r="W34" s="325"/>
      <c r="X34" s="325"/>
      <c r="Y34" s="325"/>
      <c r="Z34" s="325"/>
      <c r="AA34" s="325"/>
      <c r="AB34" s="325"/>
      <c r="AC34" s="325"/>
      <c r="AD34" s="325"/>
      <c r="AE34" s="325"/>
      <c r="AF34" s="325"/>
      <c r="AG34" s="325"/>
      <c r="AH34" s="325"/>
      <c r="AI34" s="325"/>
      <c r="AJ34" s="325"/>
      <c r="AK34" s="325"/>
      <c r="AL34" s="325"/>
      <c r="AM34" s="325"/>
      <c r="AN34" s="325"/>
      <c r="AO34" s="325"/>
      <c r="AP34" s="325"/>
      <c r="AQ34" s="325"/>
      <c r="AR34" s="325"/>
      <c r="AS34" s="327"/>
      <c r="AT34" s="301"/>
    </row>
    <row r="35">
      <c r="A35" s="301"/>
      <c r="B35" s="324"/>
      <c r="C35" s="738"/>
      <c r="D35" s="816" t="str">
        <f>Source!$H$5</f>
        <v>DH</v>
      </c>
      <c r="E35" s="816"/>
      <c r="F35" s="816" t="s">
        <v>116</v>
      </c>
      <c r="G35" s="816">
        <f>COUNTIF(Stats!$C$6:$BN$38,F35)</f>
        <v>0</v>
      </c>
      <c r="H35" s="816">
        <f>SUMIF(Stats!$C$6:$BN$38,F35,Stats!$D$6:$BN$38)</f>
        <v>0</v>
      </c>
      <c r="I35" s="816">
        <f>SUMIF(Stats!$C$6:$BN$38,F35,Stats!$E$6:$BN$38)</f>
        <v>0</v>
      </c>
      <c r="J35" s="853">
        <f t="shared" si="1"/>
        <v>0</v>
      </c>
      <c r="K35" s="325"/>
      <c r="L35" s="556"/>
      <c r="M35" s="325"/>
      <c r="N35" s="325"/>
      <c r="O35" s="325"/>
      <c r="P35" s="325"/>
      <c r="Q35" s="325"/>
      <c r="R35" s="325"/>
      <c r="S35" s="325"/>
      <c r="T35" s="325"/>
      <c r="U35" s="325"/>
      <c r="V35" s="325"/>
      <c r="W35" s="325"/>
      <c r="X35" s="325"/>
      <c r="Y35" s="325"/>
      <c r="Z35" s="325"/>
      <c r="AA35" s="325"/>
      <c r="AB35" s="325"/>
      <c r="AC35" s="325"/>
      <c r="AD35" s="325"/>
      <c r="AE35" s="325"/>
      <c r="AF35" s="325"/>
      <c r="AG35" s="325"/>
      <c r="AH35" s="325"/>
      <c r="AI35" s="325"/>
      <c r="AJ35" s="325"/>
      <c r="AK35" s="325"/>
      <c r="AL35" s="325"/>
      <c r="AM35" s="325"/>
      <c r="AN35" s="325"/>
      <c r="AO35" s="325"/>
      <c r="AP35" s="325"/>
      <c r="AQ35" s="325"/>
      <c r="AR35" s="325"/>
      <c r="AS35" s="327"/>
      <c r="AT35" s="301"/>
    </row>
    <row r="36">
      <c r="A36" s="301"/>
      <c r="B36" s="324"/>
      <c r="C36" s="738"/>
      <c r="D36" s="816" t="str">
        <f>Source!$H$5</f>
        <v>DH</v>
      </c>
      <c r="E36" s="816"/>
      <c r="F36" s="816" t="s">
        <v>122</v>
      </c>
      <c r="G36" s="816">
        <f>COUNTIF(Stats!$C$6:$BN$38,F36)</f>
        <v>0</v>
      </c>
      <c r="H36" s="816">
        <f>SUMIF(Stats!$C$6:$BN$38,F36,Stats!$D$6:$BN$38)</f>
        <v>0</v>
      </c>
      <c r="I36" s="816">
        <f>SUMIF(Stats!$C$6:$BN$38,F36,Stats!$E$6:$BN$38)</f>
        <v>0</v>
      </c>
      <c r="J36" s="853">
        <f t="shared" si="1"/>
        <v>0</v>
      </c>
      <c r="K36" s="325"/>
      <c r="L36" s="556"/>
      <c r="M36" s="325"/>
      <c r="N36" s="325"/>
      <c r="O36" s="325"/>
      <c r="P36" s="325"/>
      <c r="Q36" s="325"/>
      <c r="R36" s="325"/>
      <c r="S36" s="325"/>
      <c r="T36" s="325"/>
      <c r="U36" s="325"/>
      <c r="V36" s="325"/>
      <c r="W36" s="325"/>
      <c r="X36" s="325"/>
      <c r="Y36" s="325"/>
      <c r="Z36" s="325"/>
      <c r="AA36" s="325"/>
      <c r="AB36" s="325"/>
      <c r="AC36" s="325"/>
      <c r="AD36" s="325"/>
      <c r="AE36" s="325"/>
      <c r="AF36" s="325"/>
      <c r="AG36" s="325"/>
      <c r="AH36" s="325"/>
      <c r="AI36" s="325"/>
      <c r="AJ36" s="325"/>
      <c r="AK36" s="325"/>
      <c r="AL36" s="325"/>
      <c r="AM36" s="325"/>
      <c r="AN36" s="325"/>
      <c r="AO36" s="325"/>
      <c r="AP36" s="325"/>
      <c r="AQ36" s="325"/>
      <c r="AR36" s="325"/>
      <c r="AS36" s="327"/>
      <c r="AT36" s="301"/>
    </row>
    <row r="37">
      <c r="A37" s="301"/>
      <c r="B37" s="324"/>
      <c r="C37" s="437"/>
      <c r="D37" s="816" t="str">
        <f>Source!$H$5</f>
        <v>DH</v>
      </c>
      <c r="E37" s="816"/>
      <c r="F37" s="816" t="s">
        <v>128</v>
      </c>
      <c r="G37" s="816">
        <f>COUNTIF(Stats!$C$6:$BN$38,F37)</f>
        <v>0</v>
      </c>
      <c r="H37" s="816">
        <f>SUMIF(Stats!$C$6:$BN$38,F37,Stats!$D$6:$BN$38)</f>
        <v>0</v>
      </c>
      <c r="I37" s="816">
        <f>SUMIF(Stats!$C$6:$BN$38,F37,Stats!$E$6:$BN$38)</f>
        <v>0</v>
      </c>
      <c r="J37" s="853">
        <f t="shared" si="1"/>
        <v>0</v>
      </c>
      <c r="K37" s="325"/>
      <c r="L37" s="325"/>
      <c r="M37" s="325"/>
      <c r="N37" s="325"/>
      <c r="O37" s="325"/>
      <c r="P37" s="325"/>
      <c r="Q37" s="325"/>
      <c r="R37" s="325"/>
      <c r="S37" s="325"/>
      <c r="T37" s="325"/>
      <c r="U37" s="325"/>
      <c r="V37" s="325"/>
      <c r="W37" s="325"/>
      <c r="X37" s="325"/>
      <c r="Y37" s="325"/>
      <c r="Z37" s="325"/>
      <c r="AA37" s="325"/>
      <c r="AB37" s="325"/>
      <c r="AC37" s="325"/>
      <c r="AD37" s="325"/>
      <c r="AE37" s="325"/>
      <c r="AF37" s="325"/>
      <c r="AG37" s="325"/>
      <c r="AH37" s="325"/>
      <c r="AI37" s="325"/>
      <c r="AJ37" s="325"/>
      <c r="AK37" s="325"/>
      <c r="AL37" s="325"/>
      <c r="AM37" s="325"/>
      <c r="AN37" s="325"/>
      <c r="AO37" s="325"/>
      <c r="AP37" s="325"/>
      <c r="AQ37" s="325"/>
      <c r="AR37" s="325"/>
      <c r="AS37" s="327"/>
      <c r="AT37" s="301"/>
    </row>
    <row r="38">
      <c r="A38" s="301"/>
      <c r="B38" s="324"/>
      <c r="C38" s="815" t="str">
        <f>Source!$F$6</f>
        <v>Ian Heslin</v>
      </c>
      <c r="D38" s="816" t="str">
        <f>Source!$H$6</f>
        <v>IH</v>
      </c>
      <c r="E38" s="816"/>
      <c r="F38" s="822" t="str">
        <f t="array" ref="F38:F48">Teams!$P$5:$P$15</f>
        <v>Murkrow</v>
      </c>
      <c r="G38" s="816">
        <f>COUNTIF(Stats!$C$6:$BN$38,F38)</f>
        <v>7</v>
      </c>
      <c r="H38" s="822">
        <f>SUMIF(Stats!$C$6:$BN$38,F38,Stats!$D$6:$BN$38)</f>
        <v>7</v>
      </c>
      <c r="I38" s="816">
        <f>SUMIF(Stats!$C$6:$BN$38,F38,Stats!$E$6:$BN$38)</f>
        <v>7</v>
      </c>
      <c r="J38" s="827">
        <f t="shared" si="1"/>
        <v>0</v>
      </c>
      <c r="K38" s="325"/>
      <c r="L38" s="587"/>
      <c r="M38" s="587"/>
      <c r="N38" s="587"/>
      <c r="O38" s="587"/>
      <c r="P38" s="587"/>
      <c r="Q38" s="587"/>
      <c r="R38" s="587"/>
      <c r="S38" s="587"/>
      <c r="T38" s="587"/>
      <c r="U38" s="587"/>
      <c r="V38" s="587"/>
      <c r="W38" s="587"/>
      <c r="X38" s="587"/>
      <c r="Y38" s="587"/>
      <c r="Z38" s="587"/>
      <c r="AA38" s="587"/>
      <c r="AB38" s="587"/>
      <c r="AC38" s="587"/>
      <c r="AD38" s="587"/>
      <c r="AE38" s="587"/>
      <c r="AF38" s="587"/>
      <c r="AG38" s="587"/>
      <c r="AH38" s="587"/>
      <c r="AI38" s="587"/>
      <c r="AJ38" s="587"/>
      <c r="AK38" s="587"/>
      <c r="AL38" s="587"/>
      <c r="AM38" s="587"/>
      <c r="AN38" s="587"/>
      <c r="AO38" s="587"/>
      <c r="AP38" s="587"/>
      <c r="AQ38" s="587"/>
      <c r="AR38" s="325"/>
      <c r="AS38" s="327"/>
      <c r="AT38" s="301"/>
    </row>
    <row r="39">
      <c r="A39" s="301"/>
      <c r="B39" s="324"/>
      <c r="C39" s="738"/>
      <c r="D39" s="816" t="str">
        <f>Source!$H$6</f>
        <v>IH</v>
      </c>
      <c r="E39" s="816"/>
      <c r="F39" s="822" t="s">
        <v>71</v>
      </c>
      <c r="G39" s="816">
        <f>COUNTIF(Stats!$C$6:$BN$38,F39)</f>
        <v>7</v>
      </c>
      <c r="H39" s="822">
        <f>SUMIF(Stats!$C$6:$BN$38,F39,Stats!$D$6:$BN$38)</f>
        <v>12</v>
      </c>
      <c r="I39" s="816">
        <f>SUMIF(Stats!$C$6:$BN$38,F39,Stats!$E$6:$BN$38)</f>
        <v>8</v>
      </c>
      <c r="J39" s="827">
        <f t="shared" si="1"/>
        <v>4</v>
      </c>
      <c r="K39" s="325"/>
      <c r="L39" s="587"/>
      <c r="M39" s="587"/>
      <c r="N39" s="587"/>
      <c r="O39" s="587"/>
      <c r="P39" s="587"/>
      <c r="Q39" s="587"/>
      <c r="R39" s="587"/>
      <c r="S39" s="587"/>
      <c r="T39" s="587"/>
      <c r="U39" s="587"/>
      <c r="V39" s="587"/>
      <c r="W39" s="587"/>
      <c r="X39" s="587"/>
      <c r="Y39" s="587"/>
      <c r="Z39" s="587"/>
      <c r="AA39" s="587"/>
      <c r="AB39" s="587"/>
      <c r="AC39" s="587"/>
      <c r="AD39" s="587"/>
      <c r="AE39" s="587"/>
      <c r="AF39" s="587"/>
      <c r="AG39" s="587"/>
      <c r="AH39" s="587"/>
      <c r="AI39" s="587"/>
      <c r="AJ39" s="587"/>
      <c r="AK39" s="587"/>
      <c r="AL39" s="587"/>
      <c r="AM39" s="587"/>
      <c r="AN39" s="587"/>
      <c r="AO39" s="587"/>
      <c r="AP39" s="587"/>
      <c r="AQ39" s="587"/>
      <c r="AR39" s="325"/>
      <c r="AS39" s="327"/>
      <c r="AT39" s="301"/>
    </row>
    <row r="40">
      <c r="A40" s="301"/>
      <c r="B40" s="324"/>
      <c r="C40" s="738"/>
      <c r="D40" s="816" t="str">
        <f>Source!$H$6</f>
        <v>IH</v>
      </c>
      <c r="E40" s="816"/>
      <c r="F40" s="822" t="s">
        <v>78</v>
      </c>
      <c r="G40" s="816">
        <f>COUNTIF(Stats!$C$6:$BN$38,F40)</f>
        <v>7</v>
      </c>
      <c r="H40" s="822">
        <f>SUMIF(Stats!$C$6:$BN$38,F40,Stats!$D$6:$BN$38)</f>
        <v>16</v>
      </c>
      <c r="I40" s="816">
        <f>SUMIF(Stats!$C$6:$BN$38,F40,Stats!$E$6:$BN$38)</f>
        <v>5</v>
      </c>
      <c r="J40" s="827">
        <f t="shared" si="1"/>
        <v>11</v>
      </c>
      <c r="K40" s="325"/>
      <c r="L40" s="587"/>
      <c r="M40" s="587"/>
      <c r="N40" s="587"/>
      <c r="O40" s="587"/>
      <c r="P40" s="587"/>
      <c r="Q40" s="587"/>
      <c r="R40" s="587"/>
      <c r="S40" s="587"/>
      <c r="T40" s="587"/>
      <c r="U40" s="587"/>
      <c r="V40" s="587"/>
      <c r="W40" s="587"/>
      <c r="X40" s="587"/>
      <c r="Y40" s="587"/>
      <c r="Z40" s="587"/>
      <c r="AA40" s="587"/>
      <c r="AB40" s="587"/>
      <c r="AC40" s="587"/>
      <c r="AD40" s="587"/>
      <c r="AE40" s="587"/>
      <c r="AF40" s="587"/>
      <c r="AG40" s="587"/>
      <c r="AH40" s="587"/>
      <c r="AI40" s="587"/>
      <c r="AJ40" s="587"/>
      <c r="AK40" s="587"/>
      <c r="AL40" s="587"/>
      <c r="AM40" s="587"/>
      <c r="AN40" s="587"/>
      <c r="AO40" s="587"/>
      <c r="AP40" s="587"/>
      <c r="AQ40" s="587"/>
      <c r="AR40" s="325"/>
      <c r="AS40" s="327"/>
      <c r="AT40" s="301"/>
    </row>
    <row r="41">
      <c r="A41" s="301"/>
      <c r="B41" s="324"/>
      <c r="C41" s="738"/>
      <c r="D41" s="816" t="str">
        <f>Source!$H$6</f>
        <v>IH</v>
      </c>
      <c r="E41" s="816"/>
      <c r="F41" s="822" t="s">
        <v>86</v>
      </c>
      <c r="G41" s="816">
        <f>COUNTIF(Stats!$C$6:$BN$38,F41)</f>
        <v>4</v>
      </c>
      <c r="H41" s="822">
        <f>SUMIF(Stats!$C$6:$BN$38,F41,Stats!$D$6:$BN$38)</f>
        <v>8</v>
      </c>
      <c r="I41" s="816">
        <f>SUMIF(Stats!$C$6:$BN$38,F41,Stats!$E$6:$BN$38)</f>
        <v>1</v>
      </c>
      <c r="J41" s="827">
        <f t="shared" si="1"/>
        <v>7</v>
      </c>
      <c r="K41" s="325"/>
      <c r="L41" s="587"/>
      <c r="M41" s="587"/>
      <c r="N41" s="587"/>
      <c r="O41" s="587"/>
      <c r="P41" s="587"/>
      <c r="Q41" s="587"/>
      <c r="R41" s="587"/>
      <c r="S41" s="587"/>
      <c r="T41" s="587"/>
      <c r="U41" s="587"/>
      <c r="V41" s="587"/>
      <c r="W41" s="587"/>
      <c r="X41" s="587"/>
      <c r="Y41" s="587"/>
      <c r="Z41" s="587"/>
      <c r="AA41" s="587"/>
      <c r="AB41" s="587"/>
      <c r="AC41" s="587"/>
      <c r="AD41" s="587"/>
      <c r="AE41" s="587"/>
      <c r="AF41" s="587"/>
      <c r="AG41" s="587"/>
      <c r="AH41" s="587"/>
      <c r="AI41" s="587"/>
      <c r="AJ41" s="587"/>
      <c r="AK41" s="587"/>
      <c r="AL41" s="587"/>
      <c r="AM41" s="587"/>
      <c r="AN41" s="587"/>
      <c r="AO41" s="587"/>
      <c r="AP41" s="587"/>
      <c r="AQ41" s="587"/>
      <c r="AR41" s="325"/>
      <c r="AS41" s="327"/>
      <c r="AT41" s="301"/>
    </row>
    <row r="42">
      <c r="A42" s="301"/>
      <c r="B42" s="324"/>
      <c r="C42" s="738"/>
      <c r="D42" s="816" t="str">
        <f>Source!$H$6</f>
        <v>IH</v>
      </c>
      <c r="E42" s="816"/>
      <c r="F42" s="816" t="s">
        <v>92</v>
      </c>
      <c r="G42" s="816">
        <f>COUNTIF(Stats!$C$6:$BN$38,F42)</f>
        <v>4</v>
      </c>
      <c r="H42" s="816">
        <f>SUMIF(Stats!$C$6:$BN$38,F42,Stats!$D$6:$BN$38)</f>
        <v>4</v>
      </c>
      <c r="I42" s="816">
        <f>SUMIF(Stats!$C$6:$BN$38,F42,Stats!$E$6:$BN$38)</f>
        <v>1</v>
      </c>
      <c r="J42" s="853">
        <f t="shared" si="1"/>
        <v>3</v>
      </c>
      <c r="K42" s="325"/>
      <c r="L42" s="587"/>
      <c r="M42" s="587"/>
      <c r="N42" s="587"/>
      <c r="O42" s="587"/>
      <c r="P42" s="587"/>
      <c r="Q42" s="587"/>
      <c r="R42" s="587"/>
      <c r="S42" s="587"/>
      <c r="T42" s="587"/>
      <c r="U42" s="587"/>
      <c r="V42" s="587"/>
      <c r="W42" s="587"/>
      <c r="X42" s="587"/>
      <c r="Y42" s="587"/>
      <c r="Z42" s="587"/>
      <c r="AA42" s="587"/>
      <c r="AB42" s="587"/>
      <c r="AC42" s="587"/>
      <c r="AD42" s="587"/>
      <c r="AE42" s="587"/>
      <c r="AF42" s="587"/>
      <c r="AG42" s="587"/>
      <c r="AH42" s="587"/>
      <c r="AI42" s="587"/>
      <c r="AJ42" s="587"/>
      <c r="AK42" s="587"/>
      <c r="AL42" s="587"/>
      <c r="AM42" s="587"/>
      <c r="AN42" s="587"/>
      <c r="AO42" s="587"/>
      <c r="AP42" s="587"/>
      <c r="AQ42" s="587"/>
      <c r="AR42" s="325"/>
      <c r="AS42" s="327"/>
      <c r="AT42" s="301"/>
    </row>
    <row r="43">
      <c r="A43" s="301"/>
      <c r="B43" s="324"/>
      <c r="C43" s="738"/>
      <c r="D43" s="816" t="str">
        <f>Source!$H$6</f>
        <v>IH</v>
      </c>
      <c r="E43" s="816"/>
      <c r="F43" s="816" t="s">
        <v>98</v>
      </c>
      <c r="G43" s="816">
        <f>COUNTIF(Stats!$C$6:$BN$38,F43)</f>
        <v>2</v>
      </c>
      <c r="H43" s="816">
        <f>SUMIF(Stats!$C$6:$BN$38,F43,Stats!$D$6:$BN$38)</f>
        <v>4</v>
      </c>
      <c r="I43" s="816">
        <f>SUMIF(Stats!$C$6:$BN$38,F43,Stats!$E$6:$BN$38)</f>
        <v>3</v>
      </c>
      <c r="J43" s="853">
        <f t="shared" si="1"/>
        <v>1</v>
      </c>
      <c r="K43" s="325"/>
      <c r="L43" s="587"/>
      <c r="M43" s="587"/>
      <c r="N43" s="587"/>
      <c r="O43" s="587"/>
      <c r="P43" s="587"/>
      <c r="Q43" s="587"/>
      <c r="R43" s="587"/>
      <c r="S43" s="587"/>
      <c r="T43" s="587"/>
      <c r="U43" s="587"/>
      <c r="V43" s="587"/>
      <c r="W43" s="587"/>
      <c r="X43" s="587"/>
      <c r="Y43" s="587"/>
      <c r="Z43" s="587"/>
      <c r="AA43" s="587"/>
      <c r="AB43" s="587"/>
      <c r="AC43" s="587"/>
      <c r="AD43" s="587"/>
      <c r="AE43" s="587"/>
      <c r="AF43" s="587"/>
      <c r="AG43" s="587"/>
      <c r="AH43" s="587"/>
      <c r="AI43" s="587"/>
      <c r="AJ43" s="587"/>
      <c r="AK43" s="587"/>
      <c r="AL43" s="587"/>
      <c r="AM43" s="587"/>
      <c r="AN43" s="587"/>
      <c r="AO43" s="587"/>
      <c r="AP43" s="587"/>
      <c r="AQ43" s="587"/>
      <c r="AR43" s="325"/>
      <c r="AS43" s="327"/>
      <c r="AT43" s="301"/>
    </row>
    <row r="44">
      <c r="A44" s="301"/>
      <c r="B44" s="324"/>
      <c r="C44" s="738"/>
      <c r="D44" s="816" t="str">
        <f>Source!$H$6</f>
        <v>IH</v>
      </c>
      <c r="E44" s="816"/>
      <c r="F44" s="816" t="s">
        <v>105</v>
      </c>
      <c r="G44" s="816">
        <f>COUNTIF(Stats!$C$6:$BN$38,F44)</f>
        <v>2</v>
      </c>
      <c r="H44" s="816">
        <f>SUMIF(Stats!$C$6:$BN$38,F44,Stats!$D$6:$BN$38)</f>
        <v>1</v>
      </c>
      <c r="I44" s="816">
        <f>SUMIF(Stats!$C$6:$BN$38,F44,Stats!$E$6:$BN$38)</f>
        <v>0</v>
      </c>
      <c r="J44" s="853">
        <f t="shared" si="1"/>
        <v>1</v>
      </c>
      <c r="K44" s="325"/>
      <c r="L44" s="587"/>
      <c r="M44" s="587"/>
      <c r="N44" s="587"/>
      <c r="O44" s="587"/>
      <c r="P44" s="587"/>
      <c r="Q44" s="587"/>
      <c r="R44" s="587"/>
      <c r="S44" s="587"/>
      <c r="T44" s="587"/>
      <c r="U44" s="587"/>
      <c r="V44" s="587"/>
      <c r="W44" s="587"/>
      <c r="X44" s="587"/>
      <c r="Y44" s="587"/>
      <c r="Z44" s="587"/>
      <c r="AA44" s="587"/>
      <c r="AB44" s="587"/>
      <c r="AC44" s="587"/>
      <c r="AD44" s="587"/>
      <c r="AE44" s="587"/>
      <c r="AF44" s="587"/>
      <c r="AG44" s="587"/>
      <c r="AH44" s="587"/>
      <c r="AI44" s="587"/>
      <c r="AJ44" s="587"/>
      <c r="AK44" s="587"/>
      <c r="AL44" s="587"/>
      <c r="AM44" s="587"/>
      <c r="AN44" s="587"/>
      <c r="AO44" s="587"/>
      <c r="AP44" s="587"/>
      <c r="AQ44" s="587"/>
      <c r="AR44" s="325"/>
      <c r="AS44" s="327"/>
      <c r="AT44" s="301"/>
    </row>
    <row r="45">
      <c r="A45" s="301"/>
      <c r="B45" s="324"/>
      <c r="C45" s="738"/>
      <c r="D45" s="816" t="str">
        <f>Source!$H$6</f>
        <v>IH</v>
      </c>
      <c r="E45" s="816"/>
      <c r="F45" s="816" t="s">
        <v>111</v>
      </c>
      <c r="G45" s="816">
        <f>COUNTIF(Stats!$C$6:$BN$38,F45)</f>
        <v>3</v>
      </c>
      <c r="H45" s="816">
        <f>SUMIF(Stats!$C$6:$BN$38,F45,Stats!$D$6:$BN$38)</f>
        <v>3</v>
      </c>
      <c r="I45" s="816">
        <f>SUMIF(Stats!$C$6:$BN$38,F45,Stats!$E$6:$BN$38)</f>
        <v>1</v>
      </c>
      <c r="J45" s="853">
        <f t="shared" si="1"/>
        <v>2</v>
      </c>
      <c r="K45" s="325"/>
      <c r="L45" s="587"/>
      <c r="M45" s="587"/>
      <c r="N45" s="587"/>
      <c r="O45" s="587"/>
      <c r="P45" s="587"/>
      <c r="Q45" s="587"/>
      <c r="R45" s="587"/>
      <c r="S45" s="587"/>
      <c r="T45" s="587"/>
      <c r="U45" s="587"/>
      <c r="V45" s="587"/>
      <c r="W45" s="587"/>
      <c r="X45" s="587"/>
      <c r="Y45" s="587"/>
      <c r="Z45" s="587"/>
      <c r="AA45" s="587"/>
      <c r="AB45" s="587"/>
      <c r="AC45" s="587"/>
      <c r="AD45" s="587"/>
      <c r="AE45" s="587"/>
      <c r="AF45" s="587"/>
      <c r="AG45" s="587"/>
      <c r="AH45" s="587"/>
      <c r="AI45" s="587"/>
      <c r="AJ45" s="587"/>
      <c r="AK45" s="587"/>
      <c r="AL45" s="587"/>
      <c r="AM45" s="587"/>
      <c r="AN45" s="587"/>
      <c r="AO45" s="587"/>
      <c r="AP45" s="587"/>
      <c r="AQ45" s="587"/>
      <c r="AR45" s="325"/>
      <c r="AS45" s="327"/>
      <c r="AT45" s="301"/>
    </row>
    <row r="46">
      <c r="A46" s="301"/>
      <c r="B46" s="324"/>
      <c r="C46" s="738"/>
      <c r="D46" s="816" t="str">
        <f>Source!$H$6</f>
        <v>IH</v>
      </c>
      <c r="E46" s="816"/>
      <c r="F46" s="816" t="s">
        <v>117</v>
      </c>
      <c r="G46" s="816">
        <f>COUNTIF(Stats!$C$6:$BN$38,F46)</f>
        <v>1</v>
      </c>
      <c r="H46" s="816">
        <f>SUMIF(Stats!$C$6:$BN$38,F46,Stats!$D$6:$BN$38)</f>
        <v>0</v>
      </c>
      <c r="I46" s="816">
        <f>SUMIF(Stats!$C$6:$BN$38,F46,Stats!$E$6:$BN$38)</f>
        <v>1</v>
      </c>
      <c r="J46" s="853">
        <f t="shared" si="1"/>
        <v>-1</v>
      </c>
      <c r="K46" s="325"/>
      <c r="L46" s="587"/>
      <c r="M46" s="587"/>
      <c r="N46" s="587"/>
      <c r="O46" s="587"/>
      <c r="P46" s="587"/>
      <c r="Q46" s="587"/>
      <c r="R46" s="587"/>
      <c r="S46" s="587"/>
      <c r="T46" s="587"/>
      <c r="U46" s="587"/>
      <c r="V46" s="587"/>
      <c r="W46" s="587"/>
      <c r="X46" s="587"/>
      <c r="Y46" s="587"/>
      <c r="Z46" s="587"/>
      <c r="AA46" s="587"/>
      <c r="AB46" s="587"/>
      <c r="AC46" s="587"/>
      <c r="AD46" s="587"/>
      <c r="AE46" s="587"/>
      <c r="AF46" s="587"/>
      <c r="AG46" s="587"/>
      <c r="AH46" s="587"/>
      <c r="AI46" s="587"/>
      <c r="AJ46" s="587"/>
      <c r="AK46" s="587"/>
      <c r="AL46" s="587"/>
      <c r="AM46" s="587"/>
      <c r="AN46" s="587"/>
      <c r="AO46" s="587"/>
      <c r="AP46" s="587"/>
      <c r="AQ46" s="587"/>
      <c r="AR46" s="325"/>
      <c r="AS46" s="327"/>
      <c r="AT46" s="301"/>
    </row>
    <row r="47">
      <c r="A47" s="301"/>
      <c r="B47" s="324"/>
      <c r="C47" s="738"/>
      <c r="D47" s="816" t="str">
        <f>Source!$H$6</f>
        <v>IH</v>
      </c>
      <c r="E47" s="816"/>
      <c r="F47" s="816" t="s">
        <v>123</v>
      </c>
      <c r="G47" s="816">
        <f>COUNTIF(Stats!$C$6:$BN$38,F47)</f>
        <v>1</v>
      </c>
      <c r="H47" s="816">
        <f>SUMIF(Stats!$C$6:$BN$38,F47,Stats!$D$6:$BN$38)</f>
        <v>0</v>
      </c>
      <c r="I47" s="816">
        <f>SUMIF(Stats!$C$6:$BN$38,F47,Stats!$E$6:$BN$38)</f>
        <v>0</v>
      </c>
      <c r="J47" s="853">
        <f t="shared" si="1"/>
        <v>0</v>
      </c>
      <c r="K47" s="325"/>
      <c r="L47" s="587"/>
      <c r="M47" s="587"/>
      <c r="N47" s="587"/>
      <c r="O47" s="587"/>
      <c r="P47" s="587"/>
      <c r="Q47" s="587"/>
      <c r="R47" s="587"/>
      <c r="S47" s="587"/>
      <c r="T47" s="587"/>
      <c r="U47" s="587"/>
      <c r="V47" s="587"/>
      <c r="W47" s="587"/>
      <c r="X47" s="587"/>
      <c r="Y47" s="587"/>
      <c r="Z47" s="587"/>
      <c r="AA47" s="587"/>
      <c r="AB47" s="587"/>
      <c r="AC47" s="587"/>
      <c r="AD47" s="587"/>
      <c r="AE47" s="587"/>
      <c r="AF47" s="587"/>
      <c r="AG47" s="587"/>
      <c r="AH47" s="587"/>
      <c r="AI47" s="587"/>
      <c r="AJ47" s="587"/>
      <c r="AK47" s="587"/>
      <c r="AL47" s="587"/>
      <c r="AM47" s="587"/>
      <c r="AN47" s="587"/>
      <c r="AO47" s="587"/>
      <c r="AP47" s="587"/>
      <c r="AQ47" s="587"/>
      <c r="AR47" s="325"/>
      <c r="AS47" s="327"/>
      <c r="AT47" s="301"/>
    </row>
    <row r="48">
      <c r="A48" s="301"/>
      <c r="B48" s="324"/>
      <c r="C48" s="437"/>
      <c r="D48" s="816" t="str">
        <f>Source!$H$6</f>
        <v>IH</v>
      </c>
      <c r="E48" s="816"/>
      <c r="F48" s="816" t="s">
        <v>129</v>
      </c>
      <c r="G48" s="816">
        <f>COUNTIF(Stats!$C$6:$BN$38,F48)</f>
        <v>3</v>
      </c>
      <c r="H48" s="816">
        <f>SUMIF(Stats!$C$6:$BN$38,F48,Stats!$D$6:$BN$38)</f>
        <v>3</v>
      </c>
      <c r="I48" s="816">
        <f>SUMIF(Stats!$C$6:$BN$38,F48,Stats!$E$6:$BN$38)</f>
        <v>5</v>
      </c>
      <c r="J48" s="853">
        <f t="shared" si="1"/>
        <v>-2</v>
      </c>
      <c r="K48" s="325"/>
      <c r="L48" s="587"/>
      <c r="M48" s="587"/>
      <c r="N48" s="587"/>
      <c r="O48" s="587"/>
      <c r="P48" s="587"/>
      <c r="Q48" s="587"/>
      <c r="R48" s="587"/>
      <c r="S48" s="587"/>
      <c r="T48" s="587"/>
      <c r="U48" s="587"/>
      <c r="V48" s="587"/>
      <c r="W48" s="587"/>
      <c r="X48" s="587"/>
      <c r="Y48" s="587"/>
      <c r="Z48" s="587"/>
      <c r="AA48" s="587"/>
      <c r="AB48" s="587"/>
      <c r="AC48" s="587"/>
      <c r="AD48" s="587"/>
      <c r="AE48" s="587"/>
      <c r="AF48" s="587"/>
      <c r="AG48" s="587"/>
      <c r="AH48" s="587"/>
      <c r="AI48" s="587"/>
      <c r="AJ48" s="587"/>
      <c r="AK48" s="587"/>
      <c r="AL48" s="587"/>
      <c r="AM48" s="587"/>
      <c r="AN48" s="587"/>
      <c r="AO48" s="587"/>
      <c r="AP48" s="587"/>
      <c r="AQ48" s="587"/>
      <c r="AR48" s="325"/>
      <c r="AS48" s="327"/>
      <c r="AT48" s="301"/>
    </row>
    <row r="49">
      <c r="A49" s="301"/>
      <c r="B49" s="324"/>
      <c r="C49" s="815" t="str">
        <f>Source!$F$7</f>
        <v>Ryan Tidey</v>
      </c>
      <c r="D49" s="816" t="str">
        <f>Source!$H$7</f>
        <v>RT</v>
      </c>
      <c r="E49" s="816"/>
      <c r="F49" s="822" t="str">
        <f t="array" ref="F49:F59">Teams!$T$5:$T$15</f>
        <v>Hydreigon</v>
      </c>
      <c r="G49" s="816">
        <f>COUNTIF(Stats!$C$6:$BN$38,F49)</f>
        <v>3</v>
      </c>
      <c r="H49" s="822">
        <f>SUMIF(Stats!$C$6:$BN$38,F49,Stats!$D$6:$BN$38)</f>
        <v>2</v>
      </c>
      <c r="I49" s="816">
        <f>SUMIF(Stats!$C$6:$BN$38,F49,Stats!$E$6:$BN$38)</f>
        <v>5</v>
      </c>
      <c r="J49" s="827">
        <f t="shared" si="1"/>
        <v>-3</v>
      </c>
      <c r="K49" s="325"/>
      <c r="L49" s="587"/>
      <c r="M49" s="587"/>
      <c r="N49" s="587"/>
      <c r="O49" s="587"/>
      <c r="P49" s="587"/>
      <c r="Q49" s="587"/>
      <c r="R49" s="587"/>
      <c r="S49" s="587"/>
      <c r="T49" s="587"/>
      <c r="U49" s="587"/>
      <c r="V49" s="587"/>
      <c r="W49" s="587"/>
      <c r="X49" s="587"/>
      <c r="Y49" s="587"/>
      <c r="Z49" s="587"/>
      <c r="AA49" s="587"/>
      <c r="AB49" s="587"/>
      <c r="AC49" s="587"/>
      <c r="AD49" s="587"/>
      <c r="AE49" s="587"/>
      <c r="AF49" s="587"/>
      <c r="AG49" s="587"/>
      <c r="AH49" s="587"/>
      <c r="AI49" s="587"/>
      <c r="AJ49" s="587"/>
      <c r="AK49" s="587"/>
      <c r="AL49" s="587"/>
      <c r="AM49" s="587"/>
      <c r="AN49" s="587"/>
      <c r="AO49" s="587"/>
      <c r="AP49" s="587"/>
      <c r="AQ49" s="587"/>
      <c r="AR49" s="325"/>
      <c r="AS49" s="327"/>
      <c r="AT49" s="301"/>
    </row>
    <row r="50">
      <c r="A50" s="301"/>
      <c r="B50" s="324"/>
      <c r="C50" s="738"/>
      <c r="D50" s="816" t="str">
        <f>Source!$H$7</f>
        <v>RT</v>
      </c>
      <c r="E50" s="816"/>
      <c r="F50" s="822" t="s">
        <v>72</v>
      </c>
      <c r="G50" s="816">
        <f>COUNTIF(Stats!$C$6:$BN$38,F50)</f>
        <v>3</v>
      </c>
      <c r="H50" s="822">
        <f>SUMIF(Stats!$C$6:$BN$38,F50,Stats!$D$6:$BN$38)</f>
        <v>2</v>
      </c>
      <c r="I50" s="816">
        <f>SUMIF(Stats!$C$6:$BN$38,F50,Stats!$E$6:$BN$38)</f>
        <v>4</v>
      </c>
      <c r="J50" s="827">
        <f t="shared" si="1"/>
        <v>-2</v>
      </c>
      <c r="K50" s="325"/>
      <c r="L50" s="587"/>
      <c r="M50" s="587"/>
      <c r="N50" s="587"/>
      <c r="O50" s="587"/>
      <c r="P50" s="587"/>
      <c r="Q50" s="587"/>
      <c r="R50" s="587"/>
      <c r="S50" s="587"/>
      <c r="T50" s="587"/>
      <c r="U50" s="587"/>
      <c r="V50" s="587"/>
      <c r="W50" s="587"/>
      <c r="X50" s="587"/>
      <c r="Y50" s="587"/>
      <c r="Z50" s="587"/>
      <c r="AA50" s="587"/>
      <c r="AB50" s="587"/>
      <c r="AC50" s="587"/>
      <c r="AD50" s="587"/>
      <c r="AE50" s="587"/>
      <c r="AF50" s="587"/>
      <c r="AG50" s="587"/>
      <c r="AH50" s="587"/>
      <c r="AI50" s="587"/>
      <c r="AJ50" s="587"/>
      <c r="AK50" s="587"/>
      <c r="AL50" s="587"/>
      <c r="AM50" s="587"/>
      <c r="AN50" s="587"/>
      <c r="AO50" s="587"/>
      <c r="AP50" s="587"/>
      <c r="AQ50" s="587"/>
      <c r="AR50" s="325"/>
      <c r="AS50" s="327"/>
      <c r="AT50" s="301"/>
    </row>
    <row r="51">
      <c r="A51" s="301"/>
      <c r="B51" s="324"/>
      <c r="C51" s="738"/>
      <c r="D51" s="816" t="str">
        <f>Source!$H$7</f>
        <v>RT</v>
      </c>
      <c r="E51" s="816"/>
      <c r="F51" s="822" t="s">
        <v>79</v>
      </c>
      <c r="G51" s="816">
        <f>COUNTIF(Stats!$C$6:$BN$38,F51)</f>
        <v>2</v>
      </c>
      <c r="H51" s="822">
        <f>SUMIF(Stats!$C$6:$BN$38,F51,Stats!$D$6:$BN$38)</f>
        <v>0</v>
      </c>
      <c r="I51" s="816">
        <f>SUMIF(Stats!$C$6:$BN$38,F51,Stats!$E$6:$BN$38)</f>
        <v>1</v>
      </c>
      <c r="J51" s="827">
        <f t="shared" si="1"/>
        <v>-1</v>
      </c>
      <c r="K51" s="325"/>
      <c r="L51" s="587"/>
      <c r="M51" s="587"/>
      <c r="N51" s="587"/>
      <c r="O51" s="587"/>
      <c r="P51" s="587"/>
      <c r="Q51" s="587"/>
      <c r="R51" s="587"/>
      <c r="S51" s="587"/>
      <c r="T51" s="587"/>
      <c r="U51" s="587"/>
      <c r="V51" s="587"/>
      <c r="W51" s="587"/>
      <c r="X51" s="587"/>
      <c r="Y51" s="587"/>
      <c r="Z51" s="587"/>
      <c r="AA51" s="587"/>
      <c r="AB51" s="587"/>
      <c r="AC51" s="587"/>
      <c r="AD51" s="587"/>
      <c r="AE51" s="587"/>
      <c r="AF51" s="587"/>
      <c r="AG51" s="587"/>
      <c r="AH51" s="587"/>
      <c r="AI51" s="587"/>
      <c r="AJ51" s="587"/>
      <c r="AK51" s="587"/>
      <c r="AL51" s="587"/>
      <c r="AM51" s="587"/>
      <c r="AN51" s="587"/>
      <c r="AO51" s="587"/>
      <c r="AP51" s="587"/>
      <c r="AQ51" s="587"/>
      <c r="AR51" s="325"/>
      <c r="AS51" s="327"/>
      <c r="AT51" s="301"/>
    </row>
    <row r="52">
      <c r="A52" s="301"/>
      <c r="B52" s="324"/>
      <c r="C52" s="738"/>
      <c r="D52" s="816" t="str">
        <f>Source!$H$7</f>
        <v>RT</v>
      </c>
      <c r="E52" s="816"/>
      <c r="F52" s="822" t="s">
        <v>87</v>
      </c>
      <c r="G52" s="816">
        <f>COUNTIF(Stats!$C$6:$BN$38,F52)</f>
        <v>5</v>
      </c>
      <c r="H52" s="822">
        <f>SUMIF(Stats!$C$6:$BN$38,F52,Stats!$D$6:$BN$38)</f>
        <v>8</v>
      </c>
      <c r="I52" s="816">
        <f>SUMIF(Stats!$C$6:$BN$38,F52,Stats!$E$6:$BN$38)</f>
        <v>7</v>
      </c>
      <c r="J52" s="827">
        <f t="shared" si="1"/>
        <v>1</v>
      </c>
      <c r="K52" s="325"/>
      <c r="L52" s="587"/>
      <c r="M52" s="587"/>
      <c r="N52" s="587"/>
      <c r="O52" s="587"/>
      <c r="P52" s="587"/>
      <c r="Q52" s="587"/>
      <c r="R52" s="587"/>
      <c r="S52" s="587"/>
      <c r="T52" s="587"/>
      <c r="U52" s="587"/>
      <c r="V52" s="587"/>
      <c r="W52" s="587"/>
      <c r="X52" s="587"/>
      <c r="Y52" s="587"/>
      <c r="Z52" s="587"/>
      <c r="AA52" s="587"/>
      <c r="AB52" s="587"/>
      <c r="AC52" s="587"/>
      <c r="AD52" s="587"/>
      <c r="AE52" s="587"/>
      <c r="AF52" s="587"/>
      <c r="AG52" s="587"/>
      <c r="AH52" s="587"/>
      <c r="AI52" s="587"/>
      <c r="AJ52" s="587"/>
      <c r="AK52" s="587"/>
      <c r="AL52" s="587"/>
      <c r="AM52" s="587"/>
      <c r="AN52" s="587"/>
      <c r="AO52" s="587"/>
      <c r="AP52" s="587"/>
      <c r="AQ52" s="587"/>
      <c r="AR52" s="325"/>
      <c r="AS52" s="327"/>
      <c r="AT52" s="301"/>
    </row>
    <row r="53">
      <c r="A53" s="301"/>
      <c r="B53" s="324"/>
      <c r="C53" s="738"/>
      <c r="D53" s="816" t="str">
        <f>Source!$H$7</f>
        <v>RT</v>
      </c>
      <c r="E53" s="816"/>
      <c r="F53" s="816" t="s">
        <v>93</v>
      </c>
      <c r="G53" s="816">
        <f>COUNTIF(Stats!$C$6:$BN$38,F53)</f>
        <v>3</v>
      </c>
      <c r="H53" s="816">
        <f>SUMIF(Stats!$C$6:$BN$38,F53,Stats!$D$6:$BN$38)</f>
        <v>3</v>
      </c>
      <c r="I53" s="816">
        <f>SUMIF(Stats!$C$6:$BN$38,F53,Stats!$E$6:$BN$38)</f>
        <v>4</v>
      </c>
      <c r="J53" s="853">
        <f t="shared" si="1"/>
        <v>-1</v>
      </c>
      <c r="K53" s="325"/>
      <c r="L53" s="587"/>
      <c r="M53" s="587"/>
      <c r="N53" s="587"/>
      <c r="O53" s="587"/>
      <c r="P53" s="587"/>
      <c r="Q53" s="587"/>
      <c r="R53" s="587"/>
      <c r="S53" s="587"/>
      <c r="T53" s="587"/>
      <c r="U53" s="587"/>
      <c r="V53" s="587"/>
      <c r="W53" s="587"/>
      <c r="X53" s="587"/>
      <c r="Y53" s="587"/>
      <c r="Z53" s="587"/>
      <c r="AA53" s="587"/>
      <c r="AB53" s="587"/>
      <c r="AC53" s="587"/>
      <c r="AD53" s="587"/>
      <c r="AE53" s="587"/>
      <c r="AF53" s="587"/>
      <c r="AG53" s="587"/>
      <c r="AH53" s="587"/>
      <c r="AI53" s="587"/>
      <c r="AJ53" s="587"/>
      <c r="AK53" s="587"/>
      <c r="AL53" s="587"/>
      <c r="AM53" s="587"/>
      <c r="AN53" s="587"/>
      <c r="AO53" s="587"/>
      <c r="AP53" s="587"/>
      <c r="AQ53" s="587"/>
      <c r="AR53" s="325"/>
      <c r="AS53" s="327"/>
      <c r="AT53" s="301"/>
    </row>
    <row r="54">
      <c r="A54" s="301"/>
      <c r="B54" s="324"/>
      <c r="C54" s="738"/>
      <c r="D54" s="816" t="str">
        <f>Source!$H$7</f>
        <v>RT</v>
      </c>
      <c r="E54" s="816"/>
      <c r="F54" s="816" t="s">
        <v>99</v>
      </c>
      <c r="G54" s="816">
        <f>COUNTIF(Stats!$C$6:$BN$38,F54)</f>
        <v>2</v>
      </c>
      <c r="H54" s="816">
        <f>SUMIF(Stats!$C$6:$BN$38,F54,Stats!$D$6:$BN$38)</f>
        <v>0</v>
      </c>
      <c r="I54" s="816">
        <f>SUMIF(Stats!$C$6:$BN$38,F54,Stats!$E$6:$BN$38)</f>
        <v>2</v>
      </c>
      <c r="J54" s="853">
        <f t="shared" si="1"/>
        <v>-2</v>
      </c>
      <c r="K54" s="325"/>
      <c r="L54" s="587"/>
      <c r="M54" s="587"/>
      <c r="N54" s="587"/>
      <c r="O54" s="587"/>
      <c r="P54" s="587"/>
      <c r="Q54" s="587"/>
      <c r="R54" s="587"/>
      <c r="S54" s="587"/>
      <c r="T54" s="587"/>
      <c r="U54" s="587"/>
      <c r="V54" s="587"/>
      <c r="W54" s="587"/>
      <c r="X54" s="587"/>
      <c r="Y54" s="587"/>
      <c r="Z54" s="587"/>
      <c r="AA54" s="587"/>
      <c r="AB54" s="587"/>
      <c r="AC54" s="587"/>
      <c r="AD54" s="587"/>
      <c r="AE54" s="587"/>
      <c r="AF54" s="587"/>
      <c r="AG54" s="587"/>
      <c r="AH54" s="587"/>
      <c r="AI54" s="587"/>
      <c r="AJ54" s="587"/>
      <c r="AK54" s="587"/>
      <c r="AL54" s="587"/>
      <c r="AM54" s="587"/>
      <c r="AN54" s="587"/>
      <c r="AO54" s="587"/>
      <c r="AP54" s="587"/>
      <c r="AQ54" s="587"/>
      <c r="AR54" s="325"/>
      <c r="AS54" s="327"/>
      <c r="AT54" s="301"/>
    </row>
    <row r="55">
      <c r="A55" s="301"/>
      <c r="B55" s="324"/>
      <c r="C55" s="738"/>
      <c r="D55" s="816" t="str">
        <f>Source!$H$7</f>
        <v>RT</v>
      </c>
      <c r="E55" s="816"/>
      <c r="F55" s="816" t="s">
        <v>106</v>
      </c>
      <c r="G55" s="816">
        <f>COUNTIF(Stats!$C$6:$BN$38,F55)</f>
        <v>2</v>
      </c>
      <c r="H55" s="816">
        <f>SUMIF(Stats!$C$6:$BN$38,F55,Stats!$D$6:$BN$38)</f>
        <v>2</v>
      </c>
      <c r="I55" s="816">
        <f>SUMIF(Stats!$C$6:$BN$38,F55,Stats!$E$6:$BN$38)</f>
        <v>2</v>
      </c>
      <c r="J55" s="853">
        <f t="shared" si="1"/>
        <v>0</v>
      </c>
      <c r="K55" s="325"/>
      <c r="L55" s="587"/>
      <c r="M55" s="587"/>
      <c r="N55" s="587"/>
      <c r="O55" s="587"/>
      <c r="P55" s="587"/>
      <c r="Q55" s="587"/>
      <c r="R55" s="587"/>
      <c r="S55" s="587"/>
      <c r="T55" s="587"/>
      <c r="U55" s="587"/>
      <c r="V55" s="587"/>
      <c r="W55" s="587"/>
      <c r="X55" s="587"/>
      <c r="Y55" s="587"/>
      <c r="Z55" s="587"/>
      <c r="AA55" s="587"/>
      <c r="AB55" s="587"/>
      <c r="AC55" s="587"/>
      <c r="AD55" s="587"/>
      <c r="AE55" s="587"/>
      <c r="AF55" s="587"/>
      <c r="AG55" s="587"/>
      <c r="AH55" s="587"/>
      <c r="AI55" s="587"/>
      <c r="AJ55" s="587"/>
      <c r="AK55" s="587"/>
      <c r="AL55" s="587"/>
      <c r="AM55" s="587"/>
      <c r="AN55" s="587"/>
      <c r="AO55" s="587"/>
      <c r="AP55" s="587"/>
      <c r="AQ55" s="587"/>
      <c r="AR55" s="325"/>
      <c r="AS55" s="327"/>
      <c r="AT55" s="301"/>
    </row>
    <row r="56">
      <c r="A56" s="301"/>
      <c r="B56" s="324"/>
      <c r="C56" s="738"/>
      <c r="D56" s="816" t="str">
        <f>Source!$H$7</f>
        <v>RT</v>
      </c>
      <c r="E56" s="816"/>
      <c r="F56" s="816" t="s">
        <v>112</v>
      </c>
      <c r="G56" s="816">
        <f>COUNTIF(Stats!$C$6:$BN$38,F56)</f>
        <v>2</v>
      </c>
      <c r="H56" s="816">
        <f>SUMIF(Stats!$C$6:$BN$38,F56,Stats!$D$6:$BN$38)</f>
        <v>9</v>
      </c>
      <c r="I56" s="816">
        <f>SUMIF(Stats!$C$6:$BN$38,F56,Stats!$E$6:$BN$38)</f>
        <v>5</v>
      </c>
      <c r="J56" s="853">
        <f t="shared" si="1"/>
        <v>4</v>
      </c>
      <c r="K56" s="325"/>
      <c r="L56" s="587"/>
      <c r="M56" s="587"/>
      <c r="N56" s="587"/>
      <c r="O56" s="587"/>
      <c r="P56" s="587"/>
      <c r="Q56" s="587"/>
      <c r="R56" s="587"/>
      <c r="S56" s="587"/>
      <c r="T56" s="587"/>
      <c r="U56" s="587"/>
      <c r="V56" s="587"/>
      <c r="W56" s="587"/>
      <c r="X56" s="587"/>
      <c r="Y56" s="587"/>
      <c r="Z56" s="587"/>
      <c r="AA56" s="587"/>
      <c r="AB56" s="587"/>
      <c r="AC56" s="587"/>
      <c r="AD56" s="587"/>
      <c r="AE56" s="587"/>
      <c r="AF56" s="587"/>
      <c r="AG56" s="587"/>
      <c r="AH56" s="587"/>
      <c r="AI56" s="587"/>
      <c r="AJ56" s="587"/>
      <c r="AK56" s="587"/>
      <c r="AL56" s="587"/>
      <c r="AM56" s="587"/>
      <c r="AN56" s="587"/>
      <c r="AO56" s="587"/>
      <c r="AP56" s="587"/>
      <c r="AQ56" s="587"/>
      <c r="AR56" s="325"/>
      <c r="AS56" s="327"/>
      <c r="AT56" s="301"/>
    </row>
    <row r="57">
      <c r="A57" s="301"/>
      <c r="B57" s="324"/>
      <c r="C57" s="738"/>
      <c r="D57" s="816" t="str">
        <f>Source!$H$7</f>
        <v>RT</v>
      </c>
      <c r="E57" s="816"/>
      <c r="F57" s="816" t="s">
        <v>118</v>
      </c>
      <c r="G57" s="816">
        <f>COUNTIF(Stats!$C$6:$BN$38,F57)</f>
        <v>2</v>
      </c>
      <c r="H57" s="816">
        <f>SUMIF(Stats!$C$6:$BN$38,F57,Stats!$D$6:$BN$38)</f>
        <v>3</v>
      </c>
      <c r="I57" s="816">
        <f>SUMIF(Stats!$C$6:$BN$38,F57,Stats!$E$6:$BN$38)</f>
        <v>3</v>
      </c>
      <c r="J57" s="853">
        <f t="shared" si="1"/>
        <v>0</v>
      </c>
      <c r="K57" s="325"/>
      <c r="L57" s="587"/>
      <c r="M57" s="587"/>
      <c r="N57" s="587"/>
      <c r="O57" s="587"/>
      <c r="P57" s="587"/>
      <c r="Q57" s="587"/>
      <c r="R57" s="587"/>
      <c r="S57" s="587"/>
      <c r="T57" s="587"/>
      <c r="U57" s="587"/>
      <c r="V57" s="587"/>
      <c r="W57" s="587"/>
      <c r="X57" s="587"/>
      <c r="Y57" s="587"/>
      <c r="Z57" s="587"/>
      <c r="AA57" s="587"/>
      <c r="AB57" s="587"/>
      <c r="AC57" s="587"/>
      <c r="AD57" s="587"/>
      <c r="AE57" s="587"/>
      <c r="AF57" s="587"/>
      <c r="AG57" s="587"/>
      <c r="AH57" s="587"/>
      <c r="AI57" s="587"/>
      <c r="AJ57" s="587"/>
      <c r="AK57" s="587"/>
      <c r="AL57" s="587"/>
      <c r="AM57" s="587"/>
      <c r="AN57" s="587"/>
      <c r="AO57" s="587"/>
      <c r="AP57" s="587"/>
      <c r="AQ57" s="587"/>
      <c r="AR57" s="325"/>
      <c r="AS57" s="327"/>
      <c r="AT57" s="301"/>
    </row>
    <row r="58">
      <c r="A58" s="301"/>
      <c r="B58" s="324"/>
      <c r="C58" s="738"/>
      <c r="D58" s="816" t="str">
        <f>Source!$H$7</f>
        <v>RT</v>
      </c>
      <c r="E58" s="816"/>
      <c r="F58" s="816" t="s">
        <v>124</v>
      </c>
      <c r="G58" s="816">
        <f>COUNTIF(Stats!$C$6:$BN$38,F58)</f>
        <v>2</v>
      </c>
      <c r="H58" s="816">
        <f>SUMIF(Stats!$C$6:$BN$38,F58,Stats!$D$6:$BN$38)</f>
        <v>1</v>
      </c>
      <c r="I58" s="816">
        <f>SUMIF(Stats!$C$6:$BN$38,F58,Stats!$E$6:$BN$38)</f>
        <v>4</v>
      </c>
      <c r="J58" s="853">
        <f t="shared" si="1"/>
        <v>-3</v>
      </c>
      <c r="K58" s="325"/>
      <c r="L58" s="587"/>
      <c r="M58" s="587"/>
      <c r="N58" s="587"/>
      <c r="O58" s="587"/>
      <c r="P58" s="587"/>
      <c r="Q58" s="587"/>
      <c r="R58" s="587"/>
      <c r="S58" s="587"/>
      <c r="T58" s="587"/>
      <c r="U58" s="587"/>
      <c r="V58" s="587"/>
      <c r="W58" s="587"/>
      <c r="X58" s="587"/>
      <c r="Y58" s="587"/>
      <c r="Z58" s="587"/>
      <c r="AA58" s="587"/>
      <c r="AB58" s="587"/>
      <c r="AC58" s="587"/>
      <c r="AD58" s="587"/>
      <c r="AE58" s="587"/>
      <c r="AF58" s="587"/>
      <c r="AG58" s="587"/>
      <c r="AH58" s="587"/>
      <c r="AI58" s="587"/>
      <c r="AJ58" s="587"/>
      <c r="AK58" s="587"/>
      <c r="AL58" s="587"/>
      <c r="AM58" s="587"/>
      <c r="AN58" s="587"/>
      <c r="AO58" s="587"/>
      <c r="AP58" s="587"/>
      <c r="AQ58" s="587"/>
      <c r="AR58" s="325"/>
      <c r="AS58" s="327"/>
      <c r="AT58" s="301"/>
    </row>
    <row r="59">
      <c r="A59" s="301"/>
      <c r="B59" s="324"/>
      <c r="C59" s="437"/>
      <c r="D59" s="816" t="str">
        <f>Source!$H$7</f>
        <v>RT</v>
      </c>
      <c r="E59" s="816"/>
      <c r="F59" s="816" t="s">
        <v>130</v>
      </c>
      <c r="G59" s="816">
        <f>COUNTIF(Stats!$C$6:$BN$38,F59)</f>
        <v>2</v>
      </c>
      <c r="H59" s="816">
        <f>SUMIF(Stats!$C$6:$BN$38,F59,Stats!$D$6:$BN$38)</f>
        <v>3</v>
      </c>
      <c r="I59" s="816">
        <f>SUMIF(Stats!$C$6:$BN$38,F59,Stats!$E$6:$BN$38)</f>
        <v>2</v>
      </c>
      <c r="J59" s="853">
        <f t="shared" si="1"/>
        <v>1</v>
      </c>
      <c r="K59" s="325"/>
      <c r="L59" s="587"/>
      <c r="M59" s="587"/>
      <c r="N59" s="587"/>
      <c r="O59" s="587"/>
      <c r="P59" s="587"/>
      <c r="Q59" s="587"/>
      <c r="R59" s="587"/>
      <c r="S59" s="587"/>
      <c r="T59" s="587"/>
      <c r="U59" s="587"/>
      <c r="V59" s="587"/>
      <c r="W59" s="587"/>
      <c r="X59" s="587"/>
      <c r="Y59" s="587"/>
      <c r="Z59" s="587"/>
      <c r="AA59" s="587"/>
      <c r="AB59" s="587"/>
      <c r="AC59" s="587"/>
      <c r="AD59" s="587"/>
      <c r="AE59" s="587"/>
      <c r="AF59" s="587"/>
      <c r="AG59" s="587"/>
      <c r="AH59" s="587"/>
      <c r="AI59" s="587"/>
      <c r="AJ59" s="587"/>
      <c r="AK59" s="587"/>
      <c r="AL59" s="587"/>
      <c r="AM59" s="587"/>
      <c r="AN59" s="587"/>
      <c r="AO59" s="587"/>
      <c r="AP59" s="587"/>
      <c r="AQ59" s="587"/>
      <c r="AR59" s="325"/>
      <c r="AS59" s="327"/>
      <c r="AT59" s="301"/>
    </row>
    <row r="60">
      <c r="A60" s="301"/>
      <c r="B60" s="324"/>
      <c r="C60" s="815" t="str">
        <f>Source!$F$8</f>
        <v>Tyler Gottfredsen</v>
      </c>
      <c r="D60" s="816" t="str">
        <f>Source!$H$8</f>
        <v>TG</v>
      </c>
      <c r="E60" s="816"/>
      <c r="F60" s="822" t="str">
        <f t="array" ref="F60:F70">Teams!$X$5:$X$15</f>
        <v>Dondozo</v>
      </c>
      <c r="G60" s="816">
        <f>COUNTIF(Stats!$C$6:$BN$38,F60)</f>
        <v>6</v>
      </c>
      <c r="H60" s="822">
        <f>SUMIF(Stats!$C$6:$BN$38,F60,Stats!$D$6:$BN$38)</f>
        <v>9</v>
      </c>
      <c r="I60" s="816">
        <f>SUMIF(Stats!$C$6:$BN$38,F60,Stats!$E$6:$BN$38)</f>
        <v>9</v>
      </c>
      <c r="J60" s="827">
        <f t="shared" si="1"/>
        <v>0</v>
      </c>
      <c r="K60" s="325"/>
      <c r="L60" s="587"/>
      <c r="M60" s="587"/>
      <c r="N60" s="587"/>
      <c r="O60" s="587"/>
      <c r="P60" s="587"/>
      <c r="Q60" s="587"/>
      <c r="R60" s="587"/>
      <c r="S60" s="587"/>
      <c r="T60" s="587"/>
      <c r="U60" s="587"/>
      <c r="V60" s="587"/>
      <c r="W60" s="587"/>
      <c r="X60" s="587"/>
      <c r="Y60" s="587"/>
      <c r="Z60" s="587"/>
      <c r="AA60" s="587"/>
      <c r="AB60" s="587"/>
      <c r="AC60" s="587"/>
      <c r="AD60" s="587"/>
      <c r="AE60" s="587"/>
      <c r="AF60" s="587"/>
      <c r="AG60" s="587"/>
      <c r="AH60" s="587"/>
      <c r="AI60" s="587"/>
      <c r="AJ60" s="587"/>
      <c r="AK60" s="587"/>
      <c r="AL60" s="587"/>
      <c r="AM60" s="587"/>
      <c r="AN60" s="587"/>
      <c r="AO60" s="587"/>
      <c r="AP60" s="587"/>
      <c r="AQ60" s="587"/>
      <c r="AR60" s="325"/>
      <c r="AS60" s="327"/>
      <c r="AT60" s="301"/>
    </row>
    <row r="61">
      <c r="A61" s="301"/>
      <c r="B61" s="324"/>
      <c r="C61" s="738"/>
      <c r="D61" s="816" t="str">
        <f>Source!$H$8</f>
        <v>TG</v>
      </c>
      <c r="E61" s="816"/>
      <c r="F61" s="822" t="s">
        <v>74</v>
      </c>
      <c r="G61" s="816">
        <f>COUNTIF(Stats!$C$6:$BN$38,F61)</f>
        <v>6</v>
      </c>
      <c r="H61" s="822">
        <f>SUMIF(Stats!$C$6:$BN$38,F61,Stats!$D$6:$BN$38)</f>
        <v>3</v>
      </c>
      <c r="I61" s="816">
        <f>SUMIF(Stats!$C$6:$BN$38,F61,Stats!$E$6:$BN$38)</f>
        <v>6</v>
      </c>
      <c r="J61" s="827">
        <f t="shared" si="1"/>
        <v>-3</v>
      </c>
      <c r="K61" s="325"/>
      <c r="L61" s="587"/>
      <c r="M61" s="587"/>
      <c r="N61" s="587"/>
      <c r="O61" s="587"/>
      <c r="P61" s="587"/>
      <c r="Q61" s="587"/>
      <c r="R61" s="587"/>
      <c r="S61" s="587"/>
      <c r="T61" s="587"/>
      <c r="U61" s="587"/>
      <c r="V61" s="587"/>
      <c r="W61" s="587"/>
      <c r="X61" s="587"/>
      <c r="Y61" s="587"/>
      <c r="Z61" s="587"/>
      <c r="AA61" s="587"/>
      <c r="AB61" s="587"/>
      <c r="AC61" s="587"/>
      <c r="AD61" s="587"/>
      <c r="AE61" s="587"/>
      <c r="AF61" s="587"/>
      <c r="AG61" s="587"/>
      <c r="AH61" s="587"/>
      <c r="AI61" s="587"/>
      <c r="AJ61" s="587"/>
      <c r="AK61" s="587"/>
      <c r="AL61" s="587"/>
      <c r="AM61" s="587"/>
      <c r="AN61" s="587"/>
      <c r="AO61" s="587"/>
      <c r="AP61" s="587"/>
      <c r="AQ61" s="587"/>
      <c r="AR61" s="325"/>
      <c r="AS61" s="327"/>
      <c r="AT61" s="301"/>
    </row>
    <row r="62">
      <c r="A62" s="301"/>
      <c r="B62" s="324"/>
      <c r="C62" s="738"/>
      <c r="D62" s="816" t="str">
        <f>Source!$H$8</f>
        <v>TG</v>
      </c>
      <c r="E62" s="816"/>
      <c r="F62" s="822" t="s">
        <v>80</v>
      </c>
      <c r="G62" s="816">
        <f>COUNTIF(Stats!$C$6:$BN$38,F62)</f>
        <v>6</v>
      </c>
      <c r="H62" s="822">
        <f>SUMIF(Stats!$C$6:$BN$38,F62,Stats!$D$6:$BN$38)</f>
        <v>13</v>
      </c>
      <c r="I62" s="816">
        <f>SUMIF(Stats!$C$6:$BN$38,F62,Stats!$E$6:$BN$38)</f>
        <v>6</v>
      </c>
      <c r="J62" s="827">
        <f t="shared" si="1"/>
        <v>7</v>
      </c>
      <c r="K62" s="325"/>
      <c r="L62" s="587"/>
      <c r="M62" s="587"/>
      <c r="N62" s="587"/>
      <c r="O62" s="587"/>
      <c r="P62" s="587"/>
      <c r="Q62" s="587"/>
      <c r="R62" s="587"/>
      <c r="S62" s="587"/>
      <c r="T62" s="587"/>
      <c r="U62" s="587"/>
      <c r="V62" s="587"/>
      <c r="W62" s="587"/>
      <c r="X62" s="587"/>
      <c r="Y62" s="587"/>
      <c r="Z62" s="587"/>
      <c r="AA62" s="587"/>
      <c r="AB62" s="587"/>
      <c r="AC62" s="587"/>
      <c r="AD62" s="587"/>
      <c r="AE62" s="587"/>
      <c r="AF62" s="587"/>
      <c r="AG62" s="587"/>
      <c r="AH62" s="587"/>
      <c r="AI62" s="587"/>
      <c r="AJ62" s="587"/>
      <c r="AK62" s="587"/>
      <c r="AL62" s="587"/>
      <c r="AM62" s="587"/>
      <c r="AN62" s="587"/>
      <c r="AO62" s="587"/>
      <c r="AP62" s="587"/>
      <c r="AQ62" s="587"/>
      <c r="AR62" s="325"/>
      <c r="AS62" s="327"/>
      <c r="AT62" s="301"/>
    </row>
    <row r="63">
      <c r="A63" s="301"/>
      <c r="B63" s="324"/>
      <c r="C63" s="738"/>
      <c r="D63" s="816" t="str">
        <f>Source!$H$8</f>
        <v>TG</v>
      </c>
      <c r="E63" s="816"/>
      <c r="F63" s="822" t="s">
        <v>88</v>
      </c>
      <c r="G63" s="816">
        <f>COUNTIF(Stats!$C$6:$BN$38,F63)</f>
        <v>1</v>
      </c>
      <c r="H63" s="822">
        <f>SUMIF(Stats!$C$6:$BN$38,F63,Stats!$D$6:$BN$38)</f>
        <v>3</v>
      </c>
      <c r="I63" s="816">
        <f>SUMIF(Stats!$C$6:$BN$38,F63,Stats!$E$6:$BN$38)</f>
        <v>1</v>
      </c>
      <c r="J63" s="827">
        <f t="shared" si="1"/>
        <v>2</v>
      </c>
      <c r="K63" s="325"/>
      <c r="L63" s="587"/>
      <c r="M63" s="587"/>
      <c r="N63" s="587"/>
      <c r="O63" s="587"/>
      <c r="P63" s="587"/>
      <c r="Q63" s="587"/>
      <c r="R63" s="587"/>
      <c r="S63" s="587"/>
      <c r="T63" s="587"/>
      <c r="U63" s="587"/>
      <c r="V63" s="587"/>
      <c r="W63" s="587"/>
      <c r="X63" s="587"/>
      <c r="Y63" s="587"/>
      <c r="Z63" s="587"/>
      <c r="AA63" s="587"/>
      <c r="AB63" s="587"/>
      <c r="AC63" s="587"/>
      <c r="AD63" s="587"/>
      <c r="AE63" s="587"/>
      <c r="AF63" s="587"/>
      <c r="AG63" s="587"/>
      <c r="AH63" s="587"/>
      <c r="AI63" s="587"/>
      <c r="AJ63" s="587"/>
      <c r="AK63" s="587"/>
      <c r="AL63" s="587"/>
      <c r="AM63" s="587"/>
      <c r="AN63" s="587"/>
      <c r="AO63" s="587"/>
      <c r="AP63" s="587"/>
      <c r="AQ63" s="587"/>
      <c r="AR63" s="325"/>
      <c r="AS63" s="327"/>
      <c r="AT63" s="301"/>
    </row>
    <row r="64">
      <c r="A64" s="301"/>
      <c r="B64" s="324"/>
      <c r="C64" s="738"/>
      <c r="D64" s="816" t="str">
        <f>Source!$H$8</f>
        <v>TG</v>
      </c>
      <c r="E64" s="816"/>
      <c r="F64" s="816" t="s">
        <v>94</v>
      </c>
      <c r="G64" s="816">
        <f>COUNTIF(Stats!$C$6:$BN$38,F64)</f>
        <v>1</v>
      </c>
      <c r="H64" s="816">
        <f>SUMIF(Stats!$C$6:$BN$38,F64,Stats!$D$6:$BN$38)</f>
        <v>3</v>
      </c>
      <c r="I64" s="816">
        <f>SUMIF(Stats!$C$6:$BN$38,F64,Stats!$E$6:$BN$38)</f>
        <v>0</v>
      </c>
      <c r="J64" s="853">
        <f t="shared" si="1"/>
        <v>3</v>
      </c>
      <c r="K64" s="325"/>
      <c r="L64" s="587"/>
      <c r="M64" s="587"/>
      <c r="N64" s="587"/>
      <c r="O64" s="587"/>
      <c r="P64" s="587"/>
      <c r="Q64" s="587"/>
      <c r="R64" s="587"/>
      <c r="S64" s="587"/>
      <c r="T64" s="587"/>
      <c r="U64" s="587"/>
      <c r="V64" s="587"/>
      <c r="W64" s="587"/>
      <c r="X64" s="587"/>
      <c r="Y64" s="587"/>
      <c r="Z64" s="587"/>
      <c r="AA64" s="587"/>
      <c r="AB64" s="587"/>
      <c r="AC64" s="587"/>
      <c r="AD64" s="587"/>
      <c r="AE64" s="587"/>
      <c r="AF64" s="587"/>
      <c r="AG64" s="587"/>
      <c r="AH64" s="587"/>
      <c r="AI64" s="587"/>
      <c r="AJ64" s="587"/>
      <c r="AK64" s="587"/>
      <c r="AL64" s="587"/>
      <c r="AM64" s="587"/>
      <c r="AN64" s="587"/>
      <c r="AO64" s="587"/>
      <c r="AP64" s="587"/>
      <c r="AQ64" s="587"/>
      <c r="AR64" s="325"/>
      <c r="AS64" s="327"/>
      <c r="AT64" s="301"/>
    </row>
    <row r="65">
      <c r="A65" s="301"/>
      <c r="B65" s="324"/>
      <c r="C65" s="738"/>
      <c r="D65" s="816" t="str">
        <f>Source!$H$8</f>
        <v>TG</v>
      </c>
      <c r="E65" s="816"/>
      <c r="F65" s="816" t="s">
        <v>101</v>
      </c>
      <c r="G65" s="816">
        <f>COUNTIF(Stats!$C$6:$BN$38,F65)</f>
        <v>3</v>
      </c>
      <c r="H65" s="816">
        <f>SUMIF(Stats!$C$6:$BN$38,F65,Stats!$D$6:$BN$38)</f>
        <v>0</v>
      </c>
      <c r="I65" s="816">
        <f>SUMIF(Stats!$C$6:$BN$38,F65,Stats!$E$6:$BN$38)</f>
        <v>4</v>
      </c>
      <c r="J65" s="853">
        <f t="shared" si="1"/>
        <v>-4</v>
      </c>
      <c r="K65" s="325"/>
      <c r="L65" s="587"/>
      <c r="M65" s="587"/>
      <c r="N65" s="587"/>
      <c r="O65" s="587"/>
      <c r="P65" s="587"/>
      <c r="Q65" s="587"/>
      <c r="R65" s="587"/>
      <c r="S65" s="587"/>
      <c r="T65" s="587"/>
      <c r="U65" s="587"/>
      <c r="V65" s="587"/>
      <c r="W65" s="587"/>
      <c r="X65" s="587"/>
      <c r="Y65" s="587"/>
      <c r="Z65" s="587"/>
      <c r="AA65" s="587"/>
      <c r="AB65" s="587"/>
      <c r="AC65" s="587"/>
      <c r="AD65" s="587"/>
      <c r="AE65" s="587"/>
      <c r="AF65" s="587"/>
      <c r="AG65" s="587"/>
      <c r="AH65" s="587"/>
      <c r="AI65" s="587"/>
      <c r="AJ65" s="587"/>
      <c r="AK65" s="587"/>
      <c r="AL65" s="587"/>
      <c r="AM65" s="587"/>
      <c r="AN65" s="587"/>
      <c r="AO65" s="587"/>
      <c r="AP65" s="587"/>
      <c r="AQ65" s="587"/>
      <c r="AR65" s="325"/>
      <c r="AS65" s="327"/>
      <c r="AT65" s="301"/>
    </row>
    <row r="66">
      <c r="A66" s="301"/>
      <c r="B66" s="324"/>
      <c r="C66" s="738"/>
      <c r="D66" s="816" t="str">
        <f>Source!$H$8</f>
        <v>TG</v>
      </c>
      <c r="E66" s="816"/>
      <c r="F66" s="816" t="s">
        <v>107</v>
      </c>
      <c r="G66" s="816">
        <f>COUNTIF(Stats!$C$6:$BN$38,F66)</f>
        <v>5</v>
      </c>
      <c r="H66" s="816">
        <f>SUMIF(Stats!$C$6:$BN$38,F66,Stats!$D$6:$BN$38)</f>
        <v>5</v>
      </c>
      <c r="I66" s="816">
        <f>SUMIF(Stats!$C$6:$BN$38,F66,Stats!$E$6:$BN$38)</f>
        <v>1</v>
      </c>
      <c r="J66" s="853">
        <f t="shared" si="1"/>
        <v>4</v>
      </c>
      <c r="K66" s="325"/>
      <c r="L66" s="587"/>
      <c r="M66" s="587"/>
      <c r="N66" s="587"/>
      <c r="O66" s="587"/>
      <c r="P66" s="587"/>
      <c r="Q66" s="587"/>
      <c r="R66" s="587"/>
      <c r="S66" s="587"/>
      <c r="T66" s="587"/>
      <c r="U66" s="587"/>
      <c r="V66" s="587"/>
      <c r="W66" s="587"/>
      <c r="X66" s="587"/>
      <c r="Y66" s="587"/>
      <c r="Z66" s="587"/>
      <c r="AA66" s="587"/>
      <c r="AB66" s="587"/>
      <c r="AC66" s="587"/>
      <c r="AD66" s="587"/>
      <c r="AE66" s="587"/>
      <c r="AF66" s="587"/>
      <c r="AG66" s="587"/>
      <c r="AH66" s="587"/>
      <c r="AI66" s="587"/>
      <c r="AJ66" s="587"/>
      <c r="AK66" s="587"/>
      <c r="AL66" s="587"/>
      <c r="AM66" s="587"/>
      <c r="AN66" s="587"/>
      <c r="AO66" s="587"/>
      <c r="AP66" s="587"/>
      <c r="AQ66" s="587"/>
      <c r="AR66" s="325"/>
      <c r="AS66" s="327"/>
      <c r="AT66" s="301"/>
    </row>
    <row r="67">
      <c r="A67" s="301"/>
      <c r="B67" s="324"/>
      <c r="C67" s="738"/>
      <c r="D67" s="816" t="str">
        <f>Source!$H$8</f>
        <v>TG</v>
      </c>
      <c r="E67" s="816"/>
      <c r="F67" s="816" t="s">
        <v>113</v>
      </c>
      <c r="G67" s="816">
        <f>COUNTIF(Stats!$C$6:$BN$38,F67)</f>
        <v>4</v>
      </c>
      <c r="H67" s="816">
        <f>SUMIF(Stats!$C$6:$BN$38,F67,Stats!$D$6:$BN$38)</f>
        <v>2</v>
      </c>
      <c r="I67" s="816">
        <f>SUMIF(Stats!$C$6:$BN$38,F67,Stats!$E$6:$BN$38)</f>
        <v>2</v>
      </c>
      <c r="J67" s="853">
        <f t="shared" si="1"/>
        <v>0</v>
      </c>
      <c r="K67" s="325"/>
      <c r="L67" s="587"/>
      <c r="M67" s="587"/>
      <c r="N67" s="587"/>
      <c r="O67" s="587"/>
      <c r="P67" s="587"/>
      <c r="Q67" s="587"/>
      <c r="R67" s="587"/>
      <c r="S67" s="587"/>
      <c r="T67" s="587"/>
      <c r="U67" s="587"/>
      <c r="V67" s="587"/>
      <c r="W67" s="587"/>
      <c r="X67" s="587"/>
      <c r="Y67" s="587"/>
      <c r="Z67" s="587"/>
      <c r="AA67" s="587"/>
      <c r="AB67" s="587"/>
      <c r="AC67" s="587"/>
      <c r="AD67" s="587"/>
      <c r="AE67" s="587"/>
      <c r="AF67" s="587"/>
      <c r="AG67" s="587"/>
      <c r="AH67" s="587"/>
      <c r="AI67" s="587"/>
      <c r="AJ67" s="587"/>
      <c r="AK67" s="587"/>
      <c r="AL67" s="587"/>
      <c r="AM67" s="587"/>
      <c r="AN67" s="587"/>
      <c r="AO67" s="587"/>
      <c r="AP67" s="587"/>
      <c r="AQ67" s="587"/>
      <c r="AR67" s="325"/>
      <c r="AS67" s="327"/>
      <c r="AT67" s="301"/>
    </row>
    <row r="68">
      <c r="A68" s="301"/>
      <c r="B68" s="324"/>
      <c r="C68" s="738"/>
      <c r="D68" s="816" t="str">
        <f>Source!$H$8</f>
        <v>TG</v>
      </c>
      <c r="E68" s="816"/>
      <c r="F68" s="816" t="s">
        <v>119</v>
      </c>
      <c r="G68" s="816">
        <f>COUNTIF(Stats!$C$6:$BN$38,F68)</f>
        <v>2</v>
      </c>
      <c r="H68" s="816">
        <f>SUMIF(Stats!$C$6:$BN$38,F68,Stats!$D$6:$BN$38)</f>
        <v>0</v>
      </c>
      <c r="I68" s="816">
        <f>SUMIF(Stats!$C$6:$BN$38,F68,Stats!$E$6:$BN$38)</f>
        <v>3</v>
      </c>
      <c r="J68" s="853">
        <f t="shared" si="1"/>
        <v>-3</v>
      </c>
      <c r="K68" s="325"/>
      <c r="L68" s="587"/>
      <c r="M68" s="587"/>
      <c r="N68" s="587"/>
      <c r="O68" s="587"/>
      <c r="P68" s="587"/>
      <c r="Q68" s="587"/>
      <c r="R68" s="587"/>
      <c r="S68" s="587"/>
      <c r="T68" s="587"/>
      <c r="U68" s="587"/>
      <c r="V68" s="587"/>
      <c r="W68" s="587"/>
      <c r="X68" s="587"/>
      <c r="Y68" s="587"/>
      <c r="Z68" s="587"/>
      <c r="AA68" s="587"/>
      <c r="AB68" s="587"/>
      <c r="AC68" s="587"/>
      <c r="AD68" s="587"/>
      <c r="AE68" s="587"/>
      <c r="AF68" s="587"/>
      <c r="AG68" s="587"/>
      <c r="AH68" s="587"/>
      <c r="AI68" s="587"/>
      <c r="AJ68" s="587"/>
      <c r="AK68" s="587"/>
      <c r="AL68" s="587"/>
      <c r="AM68" s="587"/>
      <c r="AN68" s="587"/>
      <c r="AO68" s="587"/>
      <c r="AP68" s="587"/>
      <c r="AQ68" s="587"/>
      <c r="AR68" s="325"/>
      <c r="AS68" s="327"/>
      <c r="AT68" s="301"/>
    </row>
    <row r="69">
      <c r="A69" s="301"/>
      <c r="B69" s="324"/>
      <c r="C69" s="738"/>
      <c r="D69" s="816" t="str">
        <f>Source!$H$8</f>
        <v>TG</v>
      </c>
      <c r="E69" s="816"/>
      <c r="F69" s="816" t="s">
        <v>125</v>
      </c>
      <c r="G69" s="816">
        <f>COUNTIF(Stats!$C$6:$BN$38,F69)</f>
        <v>0</v>
      </c>
      <c r="H69" s="822">
        <f>SUMIF(Stats!$C$6:$BN$38,F69,Stats!$D$6:$BN$38)</f>
        <v>0</v>
      </c>
      <c r="I69" s="816">
        <f>SUMIF(Stats!$C$6:$BN$38,F69,Stats!$E$6:$BN$38)</f>
        <v>0</v>
      </c>
      <c r="J69" s="827">
        <f t="shared" si="1"/>
        <v>0</v>
      </c>
      <c r="K69" s="325"/>
      <c r="L69" s="587"/>
      <c r="M69" s="587"/>
      <c r="N69" s="587"/>
      <c r="O69" s="587"/>
      <c r="P69" s="587"/>
      <c r="Q69" s="587"/>
      <c r="R69" s="587"/>
      <c r="S69" s="587"/>
      <c r="T69" s="587"/>
      <c r="U69" s="587"/>
      <c r="V69" s="587"/>
      <c r="W69" s="587"/>
      <c r="X69" s="587"/>
      <c r="Y69" s="587"/>
      <c r="Z69" s="587"/>
      <c r="AA69" s="587"/>
      <c r="AB69" s="587"/>
      <c r="AC69" s="587"/>
      <c r="AD69" s="587"/>
      <c r="AE69" s="587"/>
      <c r="AF69" s="587"/>
      <c r="AG69" s="587"/>
      <c r="AH69" s="587"/>
      <c r="AI69" s="587"/>
      <c r="AJ69" s="587"/>
      <c r="AK69" s="587"/>
      <c r="AL69" s="587"/>
      <c r="AM69" s="587"/>
      <c r="AN69" s="587"/>
      <c r="AO69" s="587"/>
      <c r="AP69" s="587"/>
      <c r="AQ69" s="587"/>
      <c r="AR69" s="325"/>
      <c r="AS69" s="327"/>
      <c r="AT69" s="301"/>
    </row>
    <row r="70">
      <c r="A70" s="301"/>
      <c r="B70" s="324"/>
      <c r="C70" s="437"/>
      <c r="D70" s="816" t="str">
        <f>Source!$H$8</f>
        <v>TG</v>
      </c>
      <c r="E70" s="816"/>
      <c r="F70" s="816" t="s">
        <v>131</v>
      </c>
      <c r="G70" s="816">
        <f>COUNTIF(Stats!$C$6:$BN$38,F70)</f>
        <v>0</v>
      </c>
      <c r="H70" s="822">
        <f>SUMIF(Stats!$C$6:$BN$38,F70,Stats!$D$6:$BN$38)</f>
        <v>0</v>
      </c>
      <c r="I70" s="816">
        <f>SUMIF(Stats!$C$6:$BN$38,F70,Stats!$E$6:$BN$38)</f>
        <v>0</v>
      </c>
      <c r="J70" s="827">
        <f t="shared" si="1"/>
        <v>0</v>
      </c>
      <c r="K70" s="325"/>
      <c r="L70" s="587"/>
      <c r="M70" s="587"/>
      <c r="N70" s="587"/>
      <c r="O70" s="587"/>
      <c r="P70" s="587"/>
      <c r="Q70" s="587"/>
      <c r="R70" s="587"/>
      <c r="S70" s="587"/>
      <c r="T70" s="587"/>
      <c r="U70" s="587"/>
      <c r="V70" s="587"/>
      <c r="W70" s="587"/>
      <c r="X70" s="587"/>
      <c r="Y70" s="587"/>
      <c r="Z70" s="587"/>
      <c r="AA70" s="587"/>
      <c r="AB70" s="587"/>
      <c r="AC70" s="587"/>
      <c r="AD70" s="587"/>
      <c r="AE70" s="587"/>
      <c r="AF70" s="587"/>
      <c r="AG70" s="587"/>
      <c r="AH70" s="587"/>
      <c r="AI70" s="587"/>
      <c r="AJ70" s="587"/>
      <c r="AK70" s="587"/>
      <c r="AL70" s="587"/>
      <c r="AM70" s="587"/>
      <c r="AN70" s="587"/>
      <c r="AO70" s="587"/>
      <c r="AP70" s="587"/>
      <c r="AQ70" s="587"/>
      <c r="AR70" s="325"/>
      <c r="AS70" s="327"/>
      <c r="AT70" s="301"/>
    </row>
    <row r="71" ht="15.75" customHeight="1">
      <c r="A71" s="301"/>
      <c r="B71" s="324"/>
      <c r="C71" s="950"/>
      <c r="D71" s="325"/>
      <c r="E71" s="325"/>
      <c r="F71" s="325"/>
      <c r="G71" s="325"/>
      <c r="H71" s="325"/>
      <c r="I71" s="325"/>
      <c r="J71" s="325"/>
      <c r="K71" s="325"/>
      <c r="L71" s="394"/>
      <c r="M71" s="394"/>
      <c r="N71" s="394"/>
      <c r="O71" s="394"/>
      <c r="P71" s="394"/>
      <c r="Q71" s="394"/>
      <c r="R71" s="394"/>
      <c r="S71" s="394"/>
      <c r="T71" s="394"/>
      <c r="U71" s="394"/>
      <c r="V71" s="394"/>
      <c r="W71" s="394"/>
      <c r="X71" s="394"/>
      <c r="Y71" s="394"/>
      <c r="Z71" s="394"/>
      <c r="AA71" s="394"/>
      <c r="AB71" s="394"/>
      <c r="AC71" s="394"/>
      <c r="AD71" s="394"/>
      <c r="AE71" s="394"/>
      <c r="AF71" s="394"/>
      <c r="AG71" s="394"/>
      <c r="AH71" s="394"/>
      <c r="AI71" s="394"/>
      <c r="AJ71" s="394"/>
      <c r="AK71" s="394"/>
      <c r="AL71" s="394"/>
      <c r="AM71" s="394"/>
      <c r="AN71" s="394"/>
      <c r="AO71" s="394"/>
      <c r="AP71" s="394"/>
      <c r="AQ71" s="394"/>
      <c r="AR71" s="394"/>
      <c r="AS71" s="327"/>
      <c r="AT71" s="301"/>
    </row>
    <row r="72" ht="7.5" customHeight="1">
      <c r="A72" s="301"/>
      <c r="B72" s="623"/>
      <c r="C72" s="624"/>
      <c r="D72" s="624"/>
      <c r="E72" s="624"/>
      <c r="F72" s="624"/>
      <c r="G72" s="624"/>
      <c r="H72" s="624"/>
      <c r="I72" s="624"/>
      <c r="J72" s="624"/>
      <c r="K72" s="624"/>
      <c r="L72" s="951"/>
      <c r="M72" s="951"/>
      <c r="N72" s="951"/>
      <c r="O72" s="951"/>
      <c r="P72" s="951"/>
      <c r="Q72" s="951"/>
      <c r="R72" s="951"/>
      <c r="S72" s="951"/>
      <c r="T72" s="951"/>
      <c r="U72" s="951"/>
      <c r="V72" s="951"/>
      <c r="W72" s="951"/>
      <c r="X72" s="951"/>
      <c r="Y72" s="951"/>
      <c r="Z72" s="951"/>
      <c r="AA72" s="951"/>
      <c r="AB72" s="951"/>
      <c r="AC72" s="951"/>
      <c r="AD72" s="951"/>
      <c r="AE72" s="951"/>
      <c r="AF72" s="951"/>
      <c r="AG72" s="951"/>
      <c r="AH72" s="951"/>
      <c r="AI72" s="951"/>
      <c r="AJ72" s="951"/>
      <c r="AK72" s="951"/>
      <c r="AL72" s="951"/>
      <c r="AM72" s="951"/>
      <c r="AN72" s="951"/>
      <c r="AO72" s="951"/>
      <c r="AP72" s="951"/>
      <c r="AQ72" s="951"/>
      <c r="AR72" s="951"/>
      <c r="AS72" s="627"/>
      <c r="AT72" s="301"/>
    </row>
    <row r="73" ht="7.5" customHeight="1">
      <c r="A73" s="301"/>
      <c r="B73" s="301"/>
      <c r="C73" s="301"/>
      <c r="D73" s="301"/>
      <c r="E73" s="301"/>
      <c r="F73" s="301"/>
      <c r="G73" s="301"/>
      <c r="H73" s="301"/>
      <c r="I73" s="301"/>
      <c r="J73" s="301"/>
      <c r="K73" s="301"/>
      <c r="L73" s="952"/>
      <c r="M73" s="952"/>
      <c r="N73" s="952"/>
      <c r="O73" s="952"/>
      <c r="P73" s="952"/>
      <c r="Q73" s="952"/>
      <c r="R73" s="952"/>
      <c r="S73" s="952"/>
      <c r="T73" s="952"/>
      <c r="U73" s="952"/>
      <c r="V73" s="952"/>
      <c r="W73" s="952"/>
      <c r="X73" s="952"/>
      <c r="Y73" s="952"/>
      <c r="Z73" s="952"/>
      <c r="AA73" s="952"/>
      <c r="AB73" s="952"/>
      <c r="AC73" s="952"/>
      <c r="AD73" s="952"/>
      <c r="AE73" s="952"/>
      <c r="AF73" s="952"/>
      <c r="AG73" s="952"/>
      <c r="AH73" s="952"/>
      <c r="AI73" s="952"/>
      <c r="AJ73" s="952"/>
      <c r="AK73" s="952"/>
      <c r="AL73" s="952"/>
      <c r="AM73" s="952"/>
      <c r="AN73" s="952"/>
      <c r="AO73" s="952"/>
      <c r="AP73" s="952"/>
      <c r="AQ73" s="952"/>
      <c r="AR73" s="952"/>
      <c r="AS73" s="301"/>
      <c r="AT73" s="301"/>
    </row>
  </sheetData>
  <mergeCells count="20">
    <mergeCell ref="C3:J3"/>
    <mergeCell ref="L3:Q3"/>
    <mergeCell ref="R3:X3"/>
    <mergeCell ref="Y3:AE3"/>
    <mergeCell ref="AF3:AL3"/>
    <mergeCell ref="AN3:AR3"/>
    <mergeCell ref="E4:F4"/>
    <mergeCell ref="AN12:AR12"/>
    <mergeCell ref="AN21:AR21"/>
    <mergeCell ref="C27:C37"/>
    <mergeCell ref="C38:C48"/>
    <mergeCell ref="C49:C59"/>
    <mergeCell ref="C60:C70"/>
    <mergeCell ref="C4:D4"/>
    <mergeCell ref="C5:C15"/>
    <mergeCell ref="L12:Q12"/>
    <mergeCell ref="R12:X12"/>
    <mergeCell ref="Y12:AE12"/>
    <mergeCell ref="AF12:AL12"/>
    <mergeCell ref="C16:C26"/>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55151"/>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2" width="1.38"/>
    <col customWidth="1" min="3" max="3" width="15.13"/>
    <col customWidth="1" min="4" max="6" width="3.25"/>
    <col customWidth="1" min="7" max="7" width="15.13"/>
    <col customWidth="1" min="8" max="10" width="3.25"/>
    <col customWidth="1" min="11" max="11" width="1.38"/>
    <col customWidth="1" min="12" max="12" width="15.13"/>
    <col customWidth="1" min="13" max="15" width="3.25"/>
    <col customWidth="1" min="16" max="16" width="15.13"/>
    <col customWidth="1" min="17" max="19" width="3.25"/>
    <col customWidth="1" min="20" max="20" width="1.38"/>
    <col customWidth="1" min="21" max="21" width="15.13"/>
    <col customWidth="1" min="22" max="24" width="3.25"/>
    <col customWidth="1" min="25" max="25" width="15.13"/>
    <col customWidth="1" min="26" max="28" width="3.25"/>
    <col customWidth="1" min="29" max="29" width="1.38"/>
    <col customWidth="1" min="30" max="30" width="15.13"/>
    <col customWidth="1" min="31" max="33" width="3.25"/>
    <col customWidth="1" min="34" max="34" width="15.13"/>
    <col customWidth="1" min="35" max="37" width="3.25"/>
    <col customWidth="1" min="38" max="38" width="1.38"/>
    <col customWidth="1" min="39" max="39" width="15.13"/>
    <col customWidth="1" min="40" max="42" width="3.25"/>
    <col customWidth="1" min="43" max="43" width="15.13"/>
    <col customWidth="1" min="44" max="46" width="3.25"/>
    <col customWidth="1" min="47" max="47" width="1.38"/>
    <col customWidth="1" min="48" max="48" width="15.13"/>
    <col customWidth="1" min="49" max="51" width="3.25"/>
    <col customWidth="1" min="52" max="52" width="15.13"/>
    <col customWidth="1" min="53" max="55" width="3.25"/>
    <col customWidth="1" min="56" max="56" width="1.38"/>
    <col customWidth="1" min="57" max="57" width="15.13"/>
    <col customWidth="1" min="58" max="60" width="3.25"/>
    <col customWidth="1" min="61" max="61" width="15.13"/>
    <col customWidth="1" min="62" max="64" width="3.25"/>
    <col customWidth="1" min="65" max="65" width="1.38"/>
    <col customWidth="1" min="66" max="66" width="15.13"/>
    <col customWidth="1" min="67" max="69" width="3.25"/>
    <col customWidth="1" min="70" max="70" width="15.13"/>
    <col customWidth="1" min="71" max="73" width="3.25"/>
    <col customWidth="1" min="74" max="74" width="1.38"/>
    <col customWidth="1" min="75" max="75" width="15.13"/>
    <col customWidth="1" min="76" max="78" width="3.25"/>
    <col customWidth="1" min="79" max="79" width="15.13"/>
    <col customWidth="1" min="80" max="82" width="3.25"/>
    <col customWidth="1" min="83" max="84" width="1.38"/>
  </cols>
  <sheetData>
    <row r="1" ht="7.5" customHeight="1">
      <c r="A1" s="301"/>
      <c r="B1" s="301"/>
      <c r="C1" s="301"/>
      <c r="D1" s="301"/>
      <c r="E1" s="301"/>
      <c r="F1" s="301"/>
      <c r="G1" s="301"/>
      <c r="H1" s="301"/>
      <c r="I1" s="301"/>
      <c r="J1" s="301"/>
      <c r="K1" s="301"/>
      <c r="L1" s="301"/>
      <c r="M1" s="301"/>
      <c r="N1" s="301"/>
      <c r="O1" s="301"/>
      <c r="P1" s="301"/>
      <c r="Q1" s="301"/>
      <c r="R1" s="301"/>
      <c r="S1" s="301"/>
      <c r="T1" s="301"/>
      <c r="U1" s="301"/>
      <c r="V1" s="301"/>
      <c r="W1" s="301"/>
      <c r="X1" s="301"/>
      <c r="Y1" s="301"/>
      <c r="Z1" s="301"/>
      <c r="AA1" s="301"/>
      <c r="AB1" s="301"/>
      <c r="AC1" s="301"/>
      <c r="AD1" s="301"/>
      <c r="AE1" s="301"/>
      <c r="AF1" s="301"/>
      <c r="AG1" s="301"/>
      <c r="AH1" s="301"/>
      <c r="AI1" s="301"/>
      <c r="AJ1" s="301"/>
      <c r="AK1" s="301"/>
      <c r="AL1" s="301"/>
      <c r="AM1" s="301"/>
      <c r="AN1" s="301"/>
      <c r="AO1" s="301"/>
      <c r="AP1" s="301"/>
      <c r="AQ1" s="301"/>
      <c r="AR1" s="301"/>
      <c r="AS1" s="301"/>
      <c r="AT1" s="301"/>
      <c r="AU1" s="301"/>
      <c r="AV1" s="301"/>
      <c r="AW1" s="301"/>
      <c r="AX1" s="301"/>
      <c r="AY1" s="301"/>
      <c r="AZ1" s="301"/>
      <c r="BA1" s="301"/>
      <c r="BB1" s="301"/>
      <c r="BC1" s="301"/>
      <c r="BD1" s="301"/>
      <c r="BE1" s="301"/>
      <c r="BF1" s="301"/>
      <c r="BG1" s="301"/>
      <c r="BH1" s="301"/>
      <c r="BI1" s="301"/>
      <c r="BJ1" s="301"/>
      <c r="BK1" s="301"/>
      <c r="BL1" s="301"/>
      <c r="BM1" s="301"/>
      <c r="BN1" s="301"/>
      <c r="BO1" s="301"/>
      <c r="BP1" s="301"/>
      <c r="BQ1" s="301"/>
      <c r="BR1" s="301"/>
      <c r="BS1" s="301"/>
      <c r="BT1" s="301"/>
      <c r="BU1" s="301"/>
      <c r="BV1" s="301"/>
      <c r="BW1" s="301"/>
      <c r="BX1" s="301"/>
      <c r="BY1" s="301"/>
      <c r="BZ1" s="301"/>
      <c r="CA1" s="301"/>
      <c r="CB1" s="301"/>
      <c r="CC1" s="301"/>
      <c r="CD1" s="301"/>
      <c r="CE1" s="301"/>
      <c r="CF1" s="301"/>
    </row>
    <row r="2" ht="7.5" customHeight="1">
      <c r="A2" s="301"/>
      <c r="B2" s="302"/>
      <c r="C2" s="303"/>
      <c r="D2" s="303"/>
      <c r="E2" s="303"/>
      <c r="F2" s="303"/>
      <c r="G2" s="303"/>
      <c r="H2" s="303"/>
      <c r="I2" s="303"/>
      <c r="J2" s="303"/>
      <c r="K2" s="303"/>
      <c r="L2" s="303"/>
      <c r="M2" s="303"/>
      <c r="N2" s="303"/>
      <c r="O2" s="303"/>
      <c r="P2" s="303"/>
      <c r="Q2" s="303"/>
      <c r="R2" s="303"/>
      <c r="S2" s="303"/>
      <c r="T2" s="303"/>
      <c r="U2" s="303"/>
      <c r="V2" s="303"/>
      <c r="W2" s="303"/>
      <c r="X2" s="303"/>
      <c r="Y2" s="303"/>
      <c r="Z2" s="303"/>
      <c r="AA2" s="303"/>
      <c r="AB2" s="303"/>
      <c r="AC2" s="303"/>
      <c r="AD2" s="303"/>
      <c r="AE2" s="303"/>
      <c r="AF2" s="303"/>
      <c r="AG2" s="303"/>
      <c r="AH2" s="303"/>
      <c r="AI2" s="303"/>
      <c r="AJ2" s="303"/>
      <c r="AK2" s="303"/>
      <c r="AL2" s="303"/>
      <c r="AM2" s="303"/>
      <c r="AN2" s="303"/>
      <c r="AO2" s="303"/>
      <c r="AP2" s="303"/>
      <c r="AQ2" s="303"/>
      <c r="AR2" s="303"/>
      <c r="AS2" s="303"/>
      <c r="AT2" s="303"/>
      <c r="AU2" s="303"/>
      <c r="AV2" s="303"/>
      <c r="AW2" s="303"/>
      <c r="AX2" s="303"/>
      <c r="AY2" s="303"/>
      <c r="AZ2" s="303"/>
      <c r="BA2" s="303"/>
      <c r="BB2" s="303"/>
      <c r="BC2" s="303"/>
      <c r="BD2" s="303"/>
      <c r="BE2" s="303"/>
      <c r="BF2" s="303"/>
      <c r="BG2" s="303"/>
      <c r="BH2" s="303"/>
      <c r="BI2" s="303"/>
      <c r="BJ2" s="303"/>
      <c r="BK2" s="303"/>
      <c r="BL2" s="303"/>
      <c r="BM2" s="303"/>
      <c r="BN2" s="303"/>
      <c r="BO2" s="303"/>
      <c r="BP2" s="303"/>
      <c r="BQ2" s="303"/>
      <c r="BR2" s="303"/>
      <c r="BS2" s="303"/>
      <c r="BT2" s="303"/>
      <c r="BU2" s="303"/>
      <c r="BV2" s="303"/>
      <c r="BW2" s="303"/>
      <c r="BX2" s="303"/>
      <c r="BY2" s="303"/>
      <c r="BZ2" s="303"/>
      <c r="CA2" s="303"/>
      <c r="CB2" s="303"/>
      <c r="CC2" s="303"/>
      <c r="CD2" s="303"/>
      <c r="CE2" s="304"/>
      <c r="CF2" s="301"/>
    </row>
    <row r="3">
      <c r="A3" s="305"/>
      <c r="B3" s="306"/>
      <c r="C3" s="865" t="s">
        <v>53</v>
      </c>
      <c r="D3" s="34"/>
      <c r="E3" s="34"/>
      <c r="F3" s="34"/>
      <c r="G3" s="34"/>
      <c r="H3" s="34"/>
      <c r="I3" s="34"/>
      <c r="J3" s="35"/>
      <c r="K3" s="315"/>
      <c r="L3" s="865" t="s">
        <v>68</v>
      </c>
      <c r="M3" s="34"/>
      <c r="N3" s="34"/>
      <c r="O3" s="34"/>
      <c r="P3" s="34"/>
      <c r="Q3" s="34"/>
      <c r="R3" s="34"/>
      <c r="S3" s="35"/>
      <c r="T3" s="315"/>
      <c r="U3" s="865" t="s">
        <v>82</v>
      </c>
      <c r="V3" s="34"/>
      <c r="W3" s="34"/>
      <c r="X3" s="34"/>
      <c r="Y3" s="34"/>
      <c r="Z3" s="34"/>
      <c r="AA3" s="34"/>
      <c r="AB3" s="35"/>
      <c r="AC3" s="315"/>
      <c r="AD3" s="865" t="s">
        <v>100</v>
      </c>
      <c r="AE3" s="34"/>
      <c r="AF3" s="34"/>
      <c r="AG3" s="34"/>
      <c r="AH3" s="34"/>
      <c r="AI3" s="34"/>
      <c r="AJ3" s="34"/>
      <c r="AK3" s="35"/>
      <c r="AL3" s="315"/>
      <c r="AM3" s="865" t="s">
        <v>137</v>
      </c>
      <c r="AN3" s="34"/>
      <c r="AO3" s="34"/>
      <c r="AP3" s="34"/>
      <c r="AQ3" s="34"/>
      <c r="AR3" s="34"/>
      <c r="AS3" s="34"/>
      <c r="AT3" s="35"/>
      <c r="AU3" s="315"/>
      <c r="AV3" s="865" t="s">
        <v>144</v>
      </c>
      <c r="AW3" s="34"/>
      <c r="AX3" s="34"/>
      <c r="AY3" s="34"/>
      <c r="AZ3" s="34"/>
      <c r="BA3" s="34"/>
      <c r="BB3" s="34"/>
      <c r="BC3" s="35"/>
      <c r="BD3" s="315"/>
      <c r="BE3" s="865" t="s">
        <v>145</v>
      </c>
      <c r="BF3" s="34"/>
      <c r="BG3" s="34"/>
      <c r="BH3" s="34"/>
      <c r="BI3" s="34"/>
      <c r="BJ3" s="34"/>
      <c r="BK3" s="34"/>
      <c r="BL3" s="35"/>
      <c r="BM3" s="315"/>
      <c r="BN3" s="865" t="s">
        <v>684</v>
      </c>
      <c r="BO3" s="34"/>
      <c r="BP3" s="34"/>
      <c r="BQ3" s="34"/>
      <c r="BR3" s="34"/>
      <c r="BS3" s="34"/>
      <c r="BT3" s="34"/>
      <c r="BU3" s="35"/>
      <c r="BV3" s="315"/>
      <c r="BW3" s="865" t="s">
        <v>685</v>
      </c>
      <c r="BX3" s="34"/>
      <c r="BY3" s="34"/>
      <c r="BZ3" s="34"/>
      <c r="CA3" s="34"/>
      <c r="CB3" s="34"/>
      <c r="CC3" s="34"/>
      <c r="CD3" s="35"/>
      <c r="CE3" s="319"/>
      <c r="CF3" s="320"/>
    </row>
    <row r="4" ht="3.75" customHeight="1">
      <c r="A4" s="301"/>
      <c r="B4" s="324"/>
      <c r="C4" s="325"/>
      <c r="D4" s="325"/>
      <c r="E4" s="325"/>
      <c r="F4" s="325"/>
      <c r="G4" s="325"/>
      <c r="H4" s="325"/>
      <c r="I4" s="325"/>
      <c r="J4" s="325"/>
      <c r="K4" s="325"/>
      <c r="L4" s="325"/>
      <c r="M4" s="325"/>
      <c r="N4" s="325"/>
      <c r="O4" s="325"/>
      <c r="P4" s="325"/>
      <c r="Q4" s="325"/>
      <c r="R4" s="325"/>
      <c r="S4" s="325"/>
      <c r="T4" s="325"/>
      <c r="U4" s="325"/>
      <c r="V4" s="325"/>
      <c r="W4" s="325"/>
      <c r="X4" s="325"/>
      <c r="Y4" s="325"/>
      <c r="Z4" s="325"/>
      <c r="AA4" s="325"/>
      <c r="AB4" s="325"/>
      <c r="AC4" s="325"/>
      <c r="AD4" s="325"/>
      <c r="AE4" s="325"/>
      <c r="AF4" s="325"/>
      <c r="AG4" s="325"/>
      <c r="AH4" s="325"/>
      <c r="AI4" s="325"/>
      <c r="AJ4" s="325"/>
      <c r="AK4" s="325"/>
      <c r="AL4" s="325"/>
      <c r="AM4" s="325"/>
      <c r="AN4" s="325"/>
      <c r="AO4" s="325"/>
      <c r="AP4" s="325"/>
      <c r="AQ4" s="325"/>
      <c r="AR4" s="325"/>
      <c r="AS4" s="325"/>
      <c r="AT4" s="325"/>
      <c r="AU4" s="325"/>
      <c r="AV4" s="325"/>
      <c r="AW4" s="325"/>
      <c r="AX4" s="325"/>
      <c r="AY4" s="325"/>
      <c r="AZ4" s="325"/>
      <c r="BA4" s="325"/>
      <c r="BB4" s="325"/>
      <c r="BC4" s="325"/>
      <c r="BD4" s="325"/>
      <c r="BE4" s="325"/>
      <c r="BF4" s="325"/>
      <c r="BG4" s="325"/>
      <c r="BH4" s="325"/>
      <c r="BI4" s="325"/>
      <c r="BJ4" s="325"/>
      <c r="BK4" s="325"/>
      <c r="BL4" s="325"/>
      <c r="BM4" s="325"/>
      <c r="BN4" s="325"/>
      <c r="BO4" s="325"/>
      <c r="BP4" s="325"/>
      <c r="BQ4" s="325"/>
      <c r="BR4" s="325"/>
      <c r="BS4" s="325"/>
      <c r="BT4" s="325"/>
      <c r="BU4" s="325"/>
      <c r="BV4" s="325"/>
      <c r="BW4" s="325"/>
      <c r="BX4" s="325"/>
      <c r="BY4" s="325"/>
      <c r="BZ4" s="325"/>
      <c r="CA4" s="325"/>
      <c r="CB4" s="325"/>
      <c r="CC4" s="325"/>
      <c r="CD4" s="325"/>
      <c r="CE4" s="327"/>
      <c r="CF4" s="301"/>
    </row>
    <row r="5">
      <c r="A5" s="301"/>
      <c r="B5" s="324"/>
      <c r="C5" s="328" t="str">
        <f>Schedule!$J$7</f>
        <v/>
      </c>
      <c r="D5" s="329" t="s">
        <v>148</v>
      </c>
      <c r="E5" s="330" t="s">
        <v>149</v>
      </c>
      <c r="F5" s="330" t="s">
        <v>36</v>
      </c>
      <c r="G5" s="331" t="str">
        <f>#REF!</f>
        <v>#REF!</v>
      </c>
      <c r="H5" s="332" t="s">
        <v>148</v>
      </c>
      <c r="I5" s="336" t="s">
        <v>149</v>
      </c>
      <c r="J5" s="337" t="s">
        <v>36</v>
      </c>
      <c r="K5" s="325"/>
      <c r="L5" s="328" t="str">
        <f>Schedule!$J$12</f>
        <v/>
      </c>
      <c r="M5" s="329" t="s">
        <v>148</v>
      </c>
      <c r="N5" s="330" t="s">
        <v>149</v>
      </c>
      <c r="O5" s="330" t="s">
        <v>36</v>
      </c>
      <c r="P5" s="331" t="str">
        <f>#REF!</f>
        <v>#REF!</v>
      </c>
      <c r="Q5" s="332" t="s">
        <v>148</v>
      </c>
      <c r="R5" s="336" t="s">
        <v>149</v>
      </c>
      <c r="S5" s="337" t="s">
        <v>36</v>
      </c>
      <c r="T5" s="325"/>
      <c r="U5" s="328" t="str">
        <f>Schedule!$J$17</f>
        <v/>
      </c>
      <c r="V5" s="329" t="s">
        <v>148</v>
      </c>
      <c r="W5" s="330" t="s">
        <v>149</v>
      </c>
      <c r="X5" s="330" t="s">
        <v>36</v>
      </c>
      <c r="Y5" s="331" t="str">
        <f>#REF!</f>
        <v>#REF!</v>
      </c>
      <c r="Z5" s="332" t="s">
        <v>148</v>
      </c>
      <c r="AA5" s="336" t="s">
        <v>149</v>
      </c>
      <c r="AB5" s="337" t="s">
        <v>36</v>
      </c>
      <c r="AC5" s="325"/>
      <c r="AD5" s="328" t="str">
        <f>Schedule!$J$22</f>
        <v/>
      </c>
      <c r="AE5" s="329" t="s">
        <v>148</v>
      </c>
      <c r="AF5" s="330" t="s">
        <v>149</v>
      </c>
      <c r="AG5" s="330" t="s">
        <v>36</v>
      </c>
      <c r="AH5" s="331" t="str">
        <f>#REF!</f>
        <v>#REF!</v>
      </c>
      <c r="AI5" s="332" t="s">
        <v>148</v>
      </c>
      <c r="AJ5" s="336" t="s">
        <v>149</v>
      </c>
      <c r="AK5" s="337" t="s">
        <v>36</v>
      </c>
      <c r="AL5" s="325"/>
      <c r="AM5" s="328" t="str">
        <f>Schedule!$J$27</f>
        <v/>
      </c>
      <c r="AN5" s="329" t="s">
        <v>148</v>
      </c>
      <c r="AO5" s="330" t="s">
        <v>149</v>
      </c>
      <c r="AP5" s="330" t="s">
        <v>36</v>
      </c>
      <c r="AQ5" s="331" t="str">
        <f>#REF!</f>
        <v>#REF!</v>
      </c>
      <c r="AR5" s="332" t="s">
        <v>148</v>
      </c>
      <c r="AS5" s="336" t="s">
        <v>149</v>
      </c>
      <c r="AT5" s="337" t="s">
        <v>36</v>
      </c>
      <c r="AU5" s="325"/>
      <c r="AV5" s="328" t="str">
        <f>Schedule!$J$32</f>
        <v/>
      </c>
      <c r="AW5" s="329" t="s">
        <v>148</v>
      </c>
      <c r="AX5" s="330" t="s">
        <v>149</v>
      </c>
      <c r="AY5" s="330" t="s">
        <v>36</v>
      </c>
      <c r="AZ5" s="331" t="str">
        <f>#REF!</f>
        <v>#REF!</v>
      </c>
      <c r="BA5" s="332" t="s">
        <v>148</v>
      </c>
      <c r="BB5" s="336" t="s">
        <v>149</v>
      </c>
      <c r="BC5" s="337" t="s">
        <v>36</v>
      </c>
      <c r="BD5" s="325"/>
      <c r="BE5" s="328" t="str">
        <f>Schedule!$J$37</f>
        <v/>
      </c>
      <c r="BF5" s="329" t="s">
        <v>148</v>
      </c>
      <c r="BG5" s="330" t="s">
        <v>149</v>
      </c>
      <c r="BH5" s="330" t="s">
        <v>36</v>
      </c>
      <c r="BI5" s="331" t="str">
        <f>#REF!</f>
        <v>#REF!</v>
      </c>
      <c r="BJ5" s="332" t="s">
        <v>148</v>
      </c>
      <c r="BK5" s="336" t="s">
        <v>149</v>
      </c>
      <c r="BL5" s="337" t="s">
        <v>36</v>
      </c>
      <c r="BM5" s="325"/>
      <c r="BN5" s="328" t="str">
        <f>#REF!</f>
        <v>#REF!</v>
      </c>
      <c r="BO5" s="329" t="s">
        <v>148</v>
      </c>
      <c r="BP5" s="330" t="s">
        <v>149</v>
      </c>
      <c r="BQ5" s="330" t="s">
        <v>36</v>
      </c>
      <c r="BR5" s="331" t="str">
        <f>#REF!</f>
        <v>#REF!</v>
      </c>
      <c r="BS5" s="332" t="s">
        <v>148</v>
      </c>
      <c r="BT5" s="336" t="s">
        <v>149</v>
      </c>
      <c r="BU5" s="337" t="s">
        <v>36</v>
      </c>
      <c r="BV5" s="325"/>
      <c r="BW5" s="328" t="str">
        <f>#REF!</f>
        <v>#REF!</v>
      </c>
      <c r="BX5" s="329" t="s">
        <v>148</v>
      </c>
      <c r="BY5" s="330" t="s">
        <v>149</v>
      </c>
      <c r="BZ5" s="330" t="s">
        <v>36</v>
      </c>
      <c r="CA5" s="331" t="str">
        <f>#REF!</f>
        <v>#REF!</v>
      </c>
      <c r="CB5" s="332" t="s">
        <v>148</v>
      </c>
      <c r="CC5" s="336" t="s">
        <v>149</v>
      </c>
      <c r="CD5" s="337" t="s">
        <v>36</v>
      </c>
      <c r="CE5" s="327"/>
      <c r="CF5" s="301"/>
    </row>
    <row r="6">
      <c r="A6" s="301"/>
      <c r="B6" s="324"/>
      <c r="C6" s="870"/>
      <c r="D6" s="871"/>
      <c r="E6" s="871"/>
      <c r="F6" s="872">
        <f t="shared" ref="F6:F11" si="1">D6-E6</f>
        <v>0</v>
      </c>
      <c r="G6" s="870"/>
      <c r="H6" s="871"/>
      <c r="I6" s="871"/>
      <c r="J6" s="872">
        <f t="shared" ref="J6:J11" si="2">H6-I6</f>
        <v>0</v>
      </c>
      <c r="K6" s="325"/>
      <c r="L6" s="870"/>
      <c r="M6" s="871"/>
      <c r="N6" s="871"/>
      <c r="O6" s="872">
        <f t="shared" ref="O6:O11" si="3">M6-N6</f>
        <v>0</v>
      </c>
      <c r="P6" s="870"/>
      <c r="Q6" s="871"/>
      <c r="R6" s="871"/>
      <c r="S6" s="872">
        <f t="shared" ref="S6:S11" si="4">Q6-R6</f>
        <v>0</v>
      </c>
      <c r="T6" s="325"/>
      <c r="U6" s="870"/>
      <c r="V6" s="871"/>
      <c r="W6" s="871"/>
      <c r="X6" s="872">
        <f t="shared" ref="X6:X11" si="5">V6-W6</f>
        <v>0</v>
      </c>
      <c r="Y6" s="870"/>
      <c r="Z6" s="871"/>
      <c r="AA6" s="871"/>
      <c r="AB6" s="872">
        <f t="shared" ref="AB6:AB11" si="6">Z6-AA6</f>
        <v>0</v>
      </c>
      <c r="AC6" s="325"/>
      <c r="AD6" s="870"/>
      <c r="AE6" s="871"/>
      <c r="AF6" s="871"/>
      <c r="AG6" s="872">
        <f t="shared" ref="AG6:AG11" si="7">AE6-AF6</f>
        <v>0</v>
      </c>
      <c r="AH6" s="870"/>
      <c r="AI6" s="871"/>
      <c r="AJ6" s="871"/>
      <c r="AK6" s="872">
        <f t="shared" ref="AK6:AK11" si="8">AI6-AJ6</f>
        <v>0</v>
      </c>
      <c r="AL6" s="325"/>
      <c r="AM6" s="870"/>
      <c r="AN6" s="871"/>
      <c r="AO6" s="871"/>
      <c r="AP6" s="872">
        <f t="shared" ref="AP6:AP11" si="9">AN6-AO6</f>
        <v>0</v>
      </c>
      <c r="AQ6" s="870"/>
      <c r="AR6" s="871"/>
      <c r="AS6" s="871"/>
      <c r="AT6" s="872">
        <f t="shared" ref="AT6:AT11" si="10">AR6-AS6</f>
        <v>0</v>
      </c>
      <c r="AU6" s="325"/>
      <c r="AV6" s="870"/>
      <c r="AW6" s="871"/>
      <c r="AX6" s="871"/>
      <c r="AY6" s="872">
        <f t="shared" ref="AY6:AY11" si="11">AW6-AX6</f>
        <v>0</v>
      </c>
      <c r="AZ6" s="870"/>
      <c r="BA6" s="871"/>
      <c r="BB6" s="871"/>
      <c r="BC6" s="872">
        <f t="shared" ref="BC6:BC11" si="12">BA6-BB6</f>
        <v>0</v>
      </c>
      <c r="BD6" s="325"/>
      <c r="BE6" s="870"/>
      <c r="BF6" s="871"/>
      <c r="BG6" s="871"/>
      <c r="BH6" s="872">
        <f t="shared" ref="BH6:BH11" si="13">SUM(BF6-BG6)</f>
        <v>0</v>
      </c>
      <c r="BI6" s="870"/>
      <c r="BJ6" s="871"/>
      <c r="BK6" s="871"/>
      <c r="BL6" s="872">
        <f t="shared" ref="BL6:BL11" si="14">BJ6-BK6</f>
        <v>0</v>
      </c>
      <c r="BM6" s="325"/>
      <c r="BN6" s="870"/>
      <c r="BO6" s="871"/>
      <c r="BP6" s="871"/>
      <c r="BQ6" s="872">
        <f t="shared" ref="BQ6:BQ11" si="15">BO6-BP6</f>
        <v>0</v>
      </c>
      <c r="BR6" s="870"/>
      <c r="BS6" s="871"/>
      <c r="BT6" s="871"/>
      <c r="BU6" s="872">
        <f t="shared" ref="BU6:BU11" si="16">BS6-BT6</f>
        <v>0</v>
      </c>
      <c r="BV6" s="325"/>
      <c r="BW6" s="870"/>
      <c r="BX6" s="871"/>
      <c r="BY6" s="871"/>
      <c r="BZ6" s="872">
        <f t="shared" ref="BZ6:BZ11" si="17">BX6-BY6</f>
        <v>0</v>
      </c>
      <c r="CA6" s="870"/>
      <c r="CB6" s="871"/>
      <c r="CC6" s="871"/>
      <c r="CD6" s="872">
        <f t="shared" ref="CD6:CD11" si="18">CB6-CC6</f>
        <v>0</v>
      </c>
      <c r="CE6" s="327"/>
      <c r="CF6" s="301"/>
    </row>
    <row r="7">
      <c r="A7" s="301"/>
      <c r="B7" s="324"/>
      <c r="C7" s="875"/>
      <c r="D7" s="876"/>
      <c r="E7" s="876"/>
      <c r="F7" s="872">
        <f t="shared" si="1"/>
        <v>0</v>
      </c>
      <c r="G7" s="875"/>
      <c r="H7" s="876"/>
      <c r="I7" s="876"/>
      <c r="J7" s="872">
        <f t="shared" si="2"/>
        <v>0</v>
      </c>
      <c r="K7" s="325"/>
      <c r="L7" s="875"/>
      <c r="M7" s="876"/>
      <c r="N7" s="876"/>
      <c r="O7" s="872">
        <f t="shared" si="3"/>
        <v>0</v>
      </c>
      <c r="P7" s="875"/>
      <c r="Q7" s="876"/>
      <c r="R7" s="876"/>
      <c r="S7" s="872">
        <f t="shared" si="4"/>
        <v>0</v>
      </c>
      <c r="T7" s="325"/>
      <c r="U7" s="875"/>
      <c r="V7" s="876"/>
      <c r="W7" s="876"/>
      <c r="X7" s="872">
        <f t="shared" si="5"/>
        <v>0</v>
      </c>
      <c r="Y7" s="875"/>
      <c r="Z7" s="876"/>
      <c r="AA7" s="876"/>
      <c r="AB7" s="872">
        <f t="shared" si="6"/>
        <v>0</v>
      </c>
      <c r="AC7" s="325"/>
      <c r="AD7" s="875"/>
      <c r="AE7" s="876"/>
      <c r="AF7" s="876"/>
      <c r="AG7" s="872">
        <f t="shared" si="7"/>
        <v>0</v>
      </c>
      <c r="AH7" s="875"/>
      <c r="AI7" s="876"/>
      <c r="AJ7" s="876"/>
      <c r="AK7" s="872">
        <f t="shared" si="8"/>
        <v>0</v>
      </c>
      <c r="AL7" s="325"/>
      <c r="AM7" s="875"/>
      <c r="AN7" s="876"/>
      <c r="AO7" s="876"/>
      <c r="AP7" s="872">
        <f t="shared" si="9"/>
        <v>0</v>
      </c>
      <c r="AQ7" s="875"/>
      <c r="AR7" s="876"/>
      <c r="AS7" s="876"/>
      <c r="AT7" s="872">
        <f t="shared" si="10"/>
        <v>0</v>
      </c>
      <c r="AU7" s="325"/>
      <c r="AV7" s="875"/>
      <c r="AW7" s="876"/>
      <c r="AX7" s="876"/>
      <c r="AY7" s="872">
        <f t="shared" si="11"/>
        <v>0</v>
      </c>
      <c r="AZ7" s="875"/>
      <c r="BA7" s="876"/>
      <c r="BB7" s="876"/>
      <c r="BC7" s="872">
        <f t="shared" si="12"/>
        <v>0</v>
      </c>
      <c r="BD7" s="325"/>
      <c r="BE7" s="875"/>
      <c r="BF7" s="876"/>
      <c r="BG7" s="876"/>
      <c r="BH7" s="872">
        <f t="shared" si="13"/>
        <v>0</v>
      </c>
      <c r="BI7" s="875"/>
      <c r="BJ7" s="876"/>
      <c r="BK7" s="876"/>
      <c r="BL7" s="872">
        <f t="shared" si="14"/>
        <v>0</v>
      </c>
      <c r="BM7" s="325"/>
      <c r="BN7" s="875"/>
      <c r="BO7" s="876"/>
      <c r="BP7" s="876"/>
      <c r="BQ7" s="872">
        <f t="shared" si="15"/>
        <v>0</v>
      </c>
      <c r="BR7" s="875"/>
      <c r="BS7" s="876"/>
      <c r="BT7" s="876"/>
      <c r="BU7" s="872">
        <f t="shared" si="16"/>
        <v>0</v>
      </c>
      <c r="BV7" s="325"/>
      <c r="BW7" s="875"/>
      <c r="BX7" s="876"/>
      <c r="BY7" s="876"/>
      <c r="BZ7" s="872">
        <f t="shared" si="17"/>
        <v>0</v>
      </c>
      <c r="CA7" s="875"/>
      <c r="CB7" s="876"/>
      <c r="CC7" s="876"/>
      <c r="CD7" s="872">
        <f t="shared" si="18"/>
        <v>0</v>
      </c>
      <c r="CE7" s="327"/>
      <c r="CF7" s="301"/>
    </row>
    <row r="8">
      <c r="A8" s="301"/>
      <c r="B8" s="324"/>
      <c r="C8" s="875"/>
      <c r="D8" s="876"/>
      <c r="E8" s="876"/>
      <c r="F8" s="872">
        <f t="shared" si="1"/>
        <v>0</v>
      </c>
      <c r="G8" s="875"/>
      <c r="H8" s="876"/>
      <c r="I8" s="876"/>
      <c r="J8" s="872">
        <f t="shared" si="2"/>
        <v>0</v>
      </c>
      <c r="K8" s="325"/>
      <c r="L8" s="875"/>
      <c r="M8" s="876"/>
      <c r="N8" s="876"/>
      <c r="O8" s="872">
        <f t="shared" si="3"/>
        <v>0</v>
      </c>
      <c r="P8" s="875"/>
      <c r="Q8" s="876"/>
      <c r="R8" s="876"/>
      <c r="S8" s="872">
        <f t="shared" si="4"/>
        <v>0</v>
      </c>
      <c r="T8" s="325"/>
      <c r="U8" s="875"/>
      <c r="V8" s="876"/>
      <c r="W8" s="876"/>
      <c r="X8" s="872">
        <f t="shared" si="5"/>
        <v>0</v>
      </c>
      <c r="Y8" s="875"/>
      <c r="Z8" s="876"/>
      <c r="AA8" s="876"/>
      <c r="AB8" s="872">
        <f t="shared" si="6"/>
        <v>0</v>
      </c>
      <c r="AC8" s="325"/>
      <c r="AD8" s="875"/>
      <c r="AE8" s="876"/>
      <c r="AF8" s="876"/>
      <c r="AG8" s="872">
        <f t="shared" si="7"/>
        <v>0</v>
      </c>
      <c r="AH8" s="875"/>
      <c r="AI8" s="876"/>
      <c r="AJ8" s="876"/>
      <c r="AK8" s="872">
        <f t="shared" si="8"/>
        <v>0</v>
      </c>
      <c r="AL8" s="325"/>
      <c r="AM8" s="875"/>
      <c r="AN8" s="876"/>
      <c r="AO8" s="876"/>
      <c r="AP8" s="872">
        <f t="shared" si="9"/>
        <v>0</v>
      </c>
      <c r="AQ8" s="875"/>
      <c r="AR8" s="876"/>
      <c r="AS8" s="876"/>
      <c r="AT8" s="872">
        <f t="shared" si="10"/>
        <v>0</v>
      </c>
      <c r="AU8" s="325"/>
      <c r="AV8" s="875"/>
      <c r="AW8" s="876"/>
      <c r="AX8" s="876"/>
      <c r="AY8" s="872">
        <f t="shared" si="11"/>
        <v>0</v>
      </c>
      <c r="AZ8" s="875"/>
      <c r="BA8" s="876"/>
      <c r="BB8" s="876"/>
      <c r="BC8" s="872">
        <f t="shared" si="12"/>
        <v>0</v>
      </c>
      <c r="BD8" s="325"/>
      <c r="BE8" s="875"/>
      <c r="BF8" s="876"/>
      <c r="BG8" s="876"/>
      <c r="BH8" s="872">
        <f t="shared" si="13"/>
        <v>0</v>
      </c>
      <c r="BI8" s="875"/>
      <c r="BJ8" s="876"/>
      <c r="BK8" s="876"/>
      <c r="BL8" s="872">
        <f t="shared" si="14"/>
        <v>0</v>
      </c>
      <c r="BM8" s="325"/>
      <c r="BN8" s="875"/>
      <c r="BO8" s="876"/>
      <c r="BP8" s="876"/>
      <c r="BQ8" s="872">
        <f t="shared" si="15"/>
        <v>0</v>
      </c>
      <c r="BR8" s="875"/>
      <c r="BS8" s="876"/>
      <c r="BT8" s="876"/>
      <c r="BU8" s="872">
        <f t="shared" si="16"/>
        <v>0</v>
      </c>
      <c r="BV8" s="325"/>
      <c r="BW8" s="875"/>
      <c r="BX8" s="876"/>
      <c r="BY8" s="876"/>
      <c r="BZ8" s="872">
        <f t="shared" si="17"/>
        <v>0</v>
      </c>
      <c r="CA8" s="875"/>
      <c r="CB8" s="876"/>
      <c r="CC8" s="876"/>
      <c r="CD8" s="872">
        <f t="shared" si="18"/>
        <v>0</v>
      </c>
      <c r="CE8" s="327"/>
      <c r="CF8" s="301"/>
    </row>
    <row r="9">
      <c r="A9" s="301"/>
      <c r="B9" s="324"/>
      <c r="C9" s="875"/>
      <c r="D9" s="876"/>
      <c r="E9" s="876"/>
      <c r="F9" s="872">
        <f t="shared" si="1"/>
        <v>0</v>
      </c>
      <c r="G9" s="875"/>
      <c r="H9" s="876"/>
      <c r="I9" s="876"/>
      <c r="J9" s="872">
        <f t="shared" si="2"/>
        <v>0</v>
      </c>
      <c r="K9" s="325"/>
      <c r="L9" s="875"/>
      <c r="M9" s="876"/>
      <c r="N9" s="876"/>
      <c r="O9" s="872">
        <f t="shared" si="3"/>
        <v>0</v>
      </c>
      <c r="P9" s="875"/>
      <c r="Q9" s="876"/>
      <c r="R9" s="876"/>
      <c r="S9" s="872">
        <f t="shared" si="4"/>
        <v>0</v>
      </c>
      <c r="T9" s="325"/>
      <c r="U9" s="875"/>
      <c r="V9" s="876"/>
      <c r="W9" s="876"/>
      <c r="X9" s="872">
        <f t="shared" si="5"/>
        <v>0</v>
      </c>
      <c r="Y9" s="875"/>
      <c r="Z9" s="876"/>
      <c r="AA9" s="876"/>
      <c r="AB9" s="872">
        <f t="shared" si="6"/>
        <v>0</v>
      </c>
      <c r="AC9" s="325"/>
      <c r="AD9" s="875"/>
      <c r="AE9" s="876"/>
      <c r="AF9" s="876"/>
      <c r="AG9" s="872">
        <f t="shared" si="7"/>
        <v>0</v>
      </c>
      <c r="AH9" s="875"/>
      <c r="AI9" s="876"/>
      <c r="AJ9" s="876"/>
      <c r="AK9" s="872">
        <f t="shared" si="8"/>
        <v>0</v>
      </c>
      <c r="AL9" s="325"/>
      <c r="AM9" s="875"/>
      <c r="AN9" s="876"/>
      <c r="AO9" s="876"/>
      <c r="AP9" s="872">
        <f t="shared" si="9"/>
        <v>0</v>
      </c>
      <c r="AQ9" s="875"/>
      <c r="AR9" s="876"/>
      <c r="AS9" s="876"/>
      <c r="AT9" s="872">
        <f t="shared" si="10"/>
        <v>0</v>
      </c>
      <c r="AU9" s="325"/>
      <c r="AV9" s="875"/>
      <c r="AW9" s="876"/>
      <c r="AX9" s="876"/>
      <c r="AY9" s="872">
        <f t="shared" si="11"/>
        <v>0</v>
      </c>
      <c r="AZ9" s="875"/>
      <c r="BA9" s="876"/>
      <c r="BB9" s="876"/>
      <c r="BC9" s="872">
        <f t="shared" si="12"/>
        <v>0</v>
      </c>
      <c r="BD9" s="325"/>
      <c r="BE9" s="875"/>
      <c r="BF9" s="876"/>
      <c r="BG9" s="876"/>
      <c r="BH9" s="872">
        <f t="shared" si="13"/>
        <v>0</v>
      </c>
      <c r="BI9" s="875"/>
      <c r="BJ9" s="876"/>
      <c r="BK9" s="876"/>
      <c r="BL9" s="872">
        <f t="shared" si="14"/>
        <v>0</v>
      </c>
      <c r="BM9" s="325"/>
      <c r="BN9" s="875"/>
      <c r="BO9" s="876"/>
      <c r="BP9" s="876"/>
      <c r="BQ9" s="872">
        <f t="shared" si="15"/>
        <v>0</v>
      </c>
      <c r="BR9" s="875"/>
      <c r="BS9" s="876"/>
      <c r="BT9" s="876"/>
      <c r="BU9" s="872">
        <f t="shared" si="16"/>
        <v>0</v>
      </c>
      <c r="BV9" s="325"/>
      <c r="BW9" s="875"/>
      <c r="BX9" s="876"/>
      <c r="BY9" s="876"/>
      <c r="BZ9" s="872">
        <f t="shared" si="17"/>
        <v>0</v>
      </c>
      <c r="CA9" s="875"/>
      <c r="CB9" s="876"/>
      <c r="CC9" s="876"/>
      <c r="CD9" s="872">
        <f t="shared" si="18"/>
        <v>0</v>
      </c>
      <c r="CE9" s="327"/>
      <c r="CF9" s="301"/>
    </row>
    <row r="10">
      <c r="A10" s="301"/>
      <c r="B10" s="324"/>
      <c r="C10" s="875"/>
      <c r="D10" s="876"/>
      <c r="E10" s="876"/>
      <c r="F10" s="872">
        <f t="shared" si="1"/>
        <v>0</v>
      </c>
      <c r="G10" s="875"/>
      <c r="H10" s="876"/>
      <c r="I10" s="876"/>
      <c r="J10" s="872">
        <f t="shared" si="2"/>
        <v>0</v>
      </c>
      <c r="K10" s="325"/>
      <c r="L10" s="875"/>
      <c r="M10" s="876"/>
      <c r="N10" s="876"/>
      <c r="O10" s="872">
        <f t="shared" si="3"/>
        <v>0</v>
      </c>
      <c r="P10" s="875"/>
      <c r="Q10" s="876"/>
      <c r="R10" s="876"/>
      <c r="S10" s="872">
        <f t="shared" si="4"/>
        <v>0</v>
      </c>
      <c r="T10" s="325"/>
      <c r="U10" s="875"/>
      <c r="V10" s="876"/>
      <c r="W10" s="876"/>
      <c r="X10" s="872">
        <f t="shared" si="5"/>
        <v>0</v>
      </c>
      <c r="Y10" s="875"/>
      <c r="Z10" s="876"/>
      <c r="AA10" s="876"/>
      <c r="AB10" s="872">
        <f t="shared" si="6"/>
        <v>0</v>
      </c>
      <c r="AC10" s="325"/>
      <c r="AD10" s="875"/>
      <c r="AE10" s="876"/>
      <c r="AF10" s="876"/>
      <c r="AG10" s="872">
        <f t="shared" si="7"/>
        <v>0</v>
      </c>
      <c r="AH10" s="875"/>
      <c r="AI10" s="876"/>
      <c r="AJ10" s="876"/>
      <c r="AK10" s="872">
        <f t="shared" si="8"/>
        <v>0</v>
      </c>
      <c r="AL10" s="325"/>
      <c r="AM10" s="875"/>
      <c r="AN10" s="876"/>
      <c r="AO10" s="876"/>
      <c r="AP10" s="872">
        <f t="shared" si="9"/>
        <v>0</v>
      </c>
      <c r="AQ10" s="875"/>
      <c r="AR10" s="876"/>
      <c r="AS10" s="876"/>
      <c r="AT10" s="872">
        <f t="shared" si="10"/>
        <v>0</v>
      </c>
      <c r="AU10" s="325"/>
      <c r="AV10" s="875"/>
      <c r="AW10" s="876"/>
      <c r="AX10" s="876"/>
      <c r="AY10" s="872">
        <f t="shared" si="11"/>
        <v>0</v>
      </c>
      <c r="AZ10" s="875"/>
      <c r="BA10" s="876"/>
      <c r="BB10" s="876"/>
      <c r="BC10" s="872">
        <f t="shared" si="12"/>
        <v>0</v>
      </c>
      <c r="BD10" s="325"/>
      <c r="BE10" s="875"/>
      <c r="BF10" s="876"/>
      <c r="BG10" s="876"/>
      <c r="BH10" s="872">
        <f t="shared" si="13"/>
        <v>0</v>
      </c>
      <c r="BI10" s="875"/>
      <c r="BJ10" s="876"/>
      <c r="BK10" s="876"/>
      <c r="BL10" s="872">
        <f t="shared" si="14"/>
        <v>0</v>
      </c>
      <c r="BM10" s="325"/>
      <c r="BN10" s="875"/>
      <c r="BO10" s="876"/>
      <c r="BP10" s="876"/>
      <c r="BQ10" s="872">
        <f t="shared" si="15"/>
        <v>0</v>
      </c>
      <c r="BR10" s="875"/>
      <c r="BS10" s="876"/>
      <c r="BT10" s="876"/>
      <c r="BU10" s="872">
        <f t="shared" si="16"/>
        <v>0</v>
      </c>
      <c r="BV10" s="325"/>
      <c r="BW10" s="875"/>
      <c r="BX10" s="876"/>
      <c r="BY10" s="876"/>
      <c r="BZ10" s="872">
        <f t="shared" si="17"/>
        <v>0</v>
      </c>
      <c r="CA10" s="875"/>
      <c r="CB10" s="876"/>
      <c r="CC10" s="876"/>
      <c r="CD10" s="872">
        <f t="shared" si="18"/>
        <v>0</v>
      </c>
      <c r="CE10" s="327"/>
      <c r="CF10" s="301"/>
    </row>
    <row r="11">
      <c r="A11" s="301"/>
      <c r="B11" s="324"/>
      <c r="C11" s="877"/>
      <c r="D11" s="878"/>
      <c r="E11" s="878"/>
      <c r="F11" s="872">
        <f t="shared" si="1"/>
        <v>0</v>
      </c>
      <c r="G11" s="877"/>
      <c r="H11" s="878"/>
      <c r="I11" s="878"/>
      <c r="J11" s="872">
        <f t="shared" si="2"/>
        <v>0</v>
      </c>
      <c r="K11" s="325"/>
      <c r="L11" s="877"/>
      <c r="M11" s="878"/>
      <c r="N11" s="878"/>
      <c r="O11" s="872">
        <f t="shared" si="3"/>
        <v>0</v>
      </c>
      <c r="P11" s="877"/>
      <c r="Q11" s="878"/>
      <c r="R11" s="878"/>
      <c r="S11" s="872">
        <f t="shared" si="4"/>
        <v>0</v>
      </c>
      <c r="T11" s="325"/>
      <c r="U11" s="877"/>
      <c r="V11" s="878"/>
      <c r="W11" s="878"/>
      <c r="X11" s="872">
        <f t="shared" si="5"/>
        <v>0</v>
      </c>
      <c r="Y11" s="877"/>
      <c r="Z11" s="878"/>
      <c r="AA11" s="878"/>
      <c r="AB11" s="872">
        <f t="shared" si="6"/>
        <v>0</v>
      </c>
      <c r="AC11" s="325"/>
      <c r="AD11" s="877"/>
      <c r="AE11" s="878"/>
      <c r="AF11" s="878"/>
      <c r="AG11" s="872">
        <f t="shared" si="7"/>
        <v>0</v>
      </c>
      <c r="AH11" s="877"/>
      <c r="AI11" s="878"/>
      <c r="AJ11" s="878"/>
      <c r="AK11" s="872">
        <f t="shared" si="8"/>
        <v>0</v>
      </c>
      <c r="AL11" s="325"/>
      <c r="AM11" s="877"/>
      <c r="AN11" s="878"/>
      <c r="AO11" s="878"/>
      <c r="AP11" s="872">
        <f t="shared" si="9"/>
        <v>0</v>
      </c>
      <c r="AQ11" s="877"/>
      <c r="AR11" s="878"/>
      <c r="AS11" s="878"/>
      <c r="AT11" s="872">
        <f t="shared" si="10"/>
        <v>0</v>
      </c>
      <c r="AU11" s="325"/>
      <c r="AV11" s="877"/>
      <c r="AW11" s="878"/>
      <c r="AX11" s="878"/>
      <c r="AY11" s="872">
        <f t="shared" si="11"/>
        <v>0</v>
      </c>
      <c r="AZ11" s="877"/>
      <c r="BA11" s="878"/>
      <c r="BB11" s="878"/>
      <c r="BC11" s="872">
        <f t="shared" si="12"/>
        <v>0</v>
      </c>
      <c r="BD11" s="325"/>
      <c r="BE11" s="877"/>
      <c r="BF11" s="878"/>
      <c r="BG11" s="878"/>
      <c r="BH11" s="872">
        <f t="shared" si="13"/>
        <v>0</v>
      </c>
      <c r="BI11" s="877"/>
      <c r="BJ11" s="878"/>
      <c r="BK11" s="878"/>
      <c r="BL11" s="872">
        <f t="shared" si="14"/>
        <v>0</v>
      </c>
      <c r="BM11" s="325"/>
      <c r="BN11" s="877"/>
      <c r="BO11" s="878"/>
      <c r="BP11" s="878"/>
      <c r="BQ11" s="872">
        <f t="shared" si="15"/>
        <v>0</v>
      </c>
      <c r="BR11" s="877"/>
      <c r="BS11" s="878"/>
      <c r="BT11" s="878"/>
      <c r="BU11" s="872">
        <f t="shared" si="16"/>
        <v>0</v>
      </c>
      <c r="BV11" s="325"/>
      <c r="BW11" s="877"/>
      <c r="BX11" s="878"/>
      <c r="BY11" s="878"/>
      <c r="BZ11" s="872">
        <f t="shared" si="17"/>
        <v>0</v>
      </c>
      <c r="CA11" s="877"/>
      <c r="CB11" s="878"/>
      <c r="CC11" s="878"/>
      <c r="CD11" s="872">
        <f t="shared" si="18"/>
        <v>0</v>
      </c>
      <c r="CE11" s="327"/>
      <c r="CF11" s="301"/>
    </row>
    <row r="12">
      <c r="A12" s="301"/>
      <c r="B12" s="324"/>
      <c r="C12" s="880" t="s">
        <v>155</v>
      </c>
      <c r="D12" s="881">
        <f>SUM(F6:F11)</f>
        <v>0</v>
      </c>
      <c r="E12" s="706"/>
      <c r="F12" s="706"/>
      <c r="G12" s="880" t="s">
        <v>155</v>
      </c>
      <c r="H12" s="881">
        <f>SUM(J6:J11)</f>
        <v>0</v>
      </c>
      <c r="I12" s="706"/>
      <c r="J12" s="706"/>
      <c r="K12" s="325"/>
      <c r="L12" s="880" t="s">
        <v>155</v>
      </c>
      <c r="M12" s="881">
        <f>SUM(O6:O11)</f>
        <v>0</v>
      </c>
      <c r="N12" s="706"/>
      <c r="O12" s="706"/>
      <c r="P12" s="880" t="s">
        <v>155</v>
      </c>
      <c r="Q12" s="881">
        <f>SUM(S6:S11)</f>
        <v>0</v>
      </c>
      <c r="R12" s="706"/>
      <c r="S12" s="706"/>
      <c r="T12" s="325"/>
      <c r="U12" s="880" t="s">
        <v>155</v>
      </c>
      <c r="V12" s="881">
        <f>SUM(X6:X11)</f>
        <v>0</v>
      </c>
      <c r="W12" s="706"/>
      <c r="X12" s="706"/>
      <c r="Y12" s="880" t="s">
        <v>155</v>
      </c>
      <c r="Z12" s="881">
        <f>SUM(AB6:AB11)</f>
        <v>0</v>
      </c>
      <c r="AA12" s="706"/>
      <c r="AB12" s="706"/>
      <c r="AC12" s="325"/>
      <c r="AD12" s="880" t="s">
        <v>155</v>
      </c>
      <c r="AE12" s="881">
        <f>SUM(AG6:AG11)</f>
        <v>0</v>
      </c>
      <c r="AF12" s="706"/>
      <c r="AG12" s="706"/>
      <c r="AH12" s="880" t="s">
        <v>155</v>
      </c>
      <c r="AI12" s="881">
        <f>SUM(AK6:AK11)</f>
        <v>0</v>
      </c>
      <c r="AJ12" s="706"/>
      <c r="AK12" s="706"/>
      <c r="AL12" s="325"/>
      <c r="AM12" s="880" t="s">
        <v>155</v>
      </c>
      <c r="AN12" s="881">
        <f>SUM(AP6:AP11)</f>
        <v>0</v>
      </c>
      <c r="AO12" s="706"/>
      <c r="AP12" s="706"/>
      <c r="AQ12" s="880" t="s">
        <v>155</v>
      </c>
      <c r="AR12" s="881">
        <f>SUM(AT6:AT11)</f>
        <v>0</v>
      </c>
      <c r="AS12" s="706"/>
      <c r="AT12" s="706"/>
      <c r="AU12" s="325"/>
      <c r="AV12" s="880" t="s">
        <v>155</v>
      </c>
      <c r="AW12" s="881">
        <f>SUM(AY6:AY11)</f>
        <v>0</v>
      </c>
      <c r="AX12" s="706"/>
      <c r="AY12" s="706"/>
      <c r="AZ12" s="880" t="s">
        <v>155</v>
      </c>
      <c r="BA12" s="881">
        <f>SUM(BC6:BC11)</f>
        <v>0</v>
      </c>
      <c r="BB12" s="706"/>
      <c r="BC12" s="706"/>
      <c r="BD12" s="325"/>
      <c r="BE12" s="880" t="s">
        <v>155</v>
      </c>
      <c r="BF12" s="881">
        <f>SUM(BH6:BH11)</f>
        <v>0</v>
      </c>
      <c r="BG12" s="706"/>
      <c r="BH12" s="706"/>
      <c r="BI12" s="880" t="s">
        <v>155</v>
      </c>
      <c r="BJ12" s="881">
        <f>SUM(BL6:BL11)</f>
        <v>0</v>
      </c>
      <c r="BK12" s="706"/>
      <c r="BL12" s="706"/>
      <c r="BM12" s="325"/>
      <c r="BN12" s="880" t="s">
        <v>155</v>
      </c>
      <c r="BO12" s="881">
        <f>SUM(BQ6:BQ11)</f>
        <v>0</v>
      </c>
      <c r="BP12" s="706"/>
      <c r="BQ12" s="706"/>
      <c r="BR12" s="880" t="s">
        <v>155</v>
      </c>
      <c r="BS12" s="881">
        <f>SUM(BU6:BU11)</f>
        <v>0</v>
      </c>
      <c r="BT12" s="706"/>
      <c r="BU12" s="706"/>
      <c r="BV12" s="325"/>
      <c r="BW12" s="880" t="s">
        <v>155</v>
      </c>
      <c r="BX12" s="881">
        <f>SUM(BZ6:BZ11)</f>
        <v>0</v>
      </c>
      <c r="BY12" s="706"/>
      <c r="BZ12" s="706"/>
      <c r="CA12" s="880" t="s">
        <v>155</v>
      </c>
      <c r="CB12" s="881">
        <f>SUM(CD6:CD11)</f>
        <v>0</v>
      </c>
      <c r="CC12" s="706"/>
      <c r="CD12" s="706"/>
      <c r="CE12" s="440"/>
      <c r="CF12" s="5"/>
    </row>
    <row r="13">
      <c r="A13" s="5"/>
      <c r="B13" s="416"/>
      <c r="C13" s="883" t="s">
        <v>162</v>
      </c>
      <c r="D13" s="884"/>
      <c r="E13" s="124"/>
      <c r="F13" s="419"/>
      <c r="G13" s="883" t="s">
        <v>162</v>
      </c>
      <c r="H13" s="884"/>
      <c r="I13" s="124"/>
      <c r="J13" s="125"/>
      <c r="K13" s="420"/>
      <c r="L13" s="883" t="s">
        <v>162</v>
      </c>
      <c r="M13" s="884"/>
      <c r="N13" s="124"/>
      <c r="O13" s="419"/>
      <c r="P13" s="883" t="s">
        <v>162</v>
      </c>
      <c r="Q13" s="884"/>
      <c r="R13" s="124"/>
      <c r="S13" s="125"/>
      <c r="T13" s="420"/>
      <c r="U13" s="883" t="s">
        <v>162</v>
      </c>
      <c r="V13" s="884"/>
      <c r="W13" s="124"/>
      <c r="X13" s="419"/>
      <c r="Y13" s="883" t="s">
        <v>162</v>
      </c>
      <c r="Z13" s="884"/>
      <c r="AA13" s="124"/>
      <c r="AB13" s="125"/>
      <c r="AC13" s="420"/>
      <c r="AD13" s="883" t="s">
        <v>162</v>
      </c>
      <c r="AE13" s="884"/>
      <c r="AF13" s="124"/>
      <c r="AG13" s="419"/>
      <c r="AH13" s="883" t="s">
        <v>162</v>
      </c>
      <c r="AI13" s="884"/>
      <c r="AJ13" s="124"/>
      <c r="AK13" s="125"/>
      <c r="AL13" s="420"/>
      <c r="AM13" s="883" t="s">
        <v>162</v>
      </c>
      <c r="AN13" s="884"/>
      <c r="AO13" s="124"/>
      <c r="AP13" s="419"/>
      <c r="AQ13" s="883" t="s">
        <v>162</v>
      </c>
      <c r="AR13" s="884"/>
      <c r="AS13" s="124"/>
      <c r="AT13" s="125"/>
      <c r="AU13" s="420"/>
      <c r="AV13" s="883" t="s">
        <v>162</v>
      </c>
      <c r="AW13" s="884"/>
      <c r="AX13" s="124"/>
      <c r="AY13" s="419"/>
      <c r="AZ13" s="883" t="s">
        <v>162</v>
      </c>
      <c r="BA13" s="884"/>
      <c r="BB13" s="124"/>
      <c r="BC13" s="125"/>
      <c r="BD13" s="420"/>
      <c r="BE13" s="883" t="s">
        <v>162</v>
      </c>
      <c r="BF13" s="884"/>
      <c r="BG13" s="124"/>
      <c r="BH13" s="419"/>
      <c r="BI13" s="883" t="s">
        <v>162</v>
      </c>
      <c r="BJ13" s="884"/>
      <c r="BK13" s="124"/>
      <c r="BL13" s="125"/>
      <c r="BM13" s="420"/>
      <c r="BN13" s="883" t="s">
        <v>162</v>
      </c>
      <c r="BO13" s="884"/>
      <c r="BP13" s="124"/>
      <c r="BQ13" s="419"/>
      <c r="BR13" s="883" t="s">
        <v>162</v>
      </c>
      <c r="BS13" s="884"/>
      <c r="BT13" s="124"/>
      <c r="BU13" s="125"/>
      <c r="BV13" s="420"/>
      <c r="BW13" s="883" t="s">
        <v>162</v>
      </c>
      <c r="BX13" s="884"/>
      <c r="BY13" s="124"/>
      <c r="BZ13" s="419"/>
      <c r="CA13" s="883" t="s">
        <v>162</v>
      </c>
      <c r="CB13" s="884"/>
      <c r="CC13" s="124"/>
      <c r="CD13" s="125"/>
      <c r="CE13" s="440"/>
      <c r="CF13" s="5"/>
    </row>
    <row r="14">
      <c r="A14" s="5"/>
      <c r="B14" s="416"/>
      <c r="C14" s="885" t="s">
        <v>168</v>
      </c>
      <c r="D14" s="886">
        <v>1.0</v>
      </c>
      <c r="E14" s="886">
        <v>2.0</v>
      </c>
      <c r="F14" s="886">
        <v>3.0</v>
      </c>
      <c r="G14" s="887" t="s">
        <v>174</v>
      </c>
      <c r="H14" s="342"/>
      <c r="I14" s="888" t="str">
        <f>IF(D13=2,"W",IF(H13=2,"L",))</f>
        <v/>
      </c>
      <c r="J14" s="889" t="str">
        <f>IF(H13=2,"W",IF(D13=2,"L",))</f>
        <v/>
      </c>
      <c r="K14" s="470"/>
      <c r="L14" s="890" t="s">
        <v>168</v>
      </c>
      <c r="M14" s="886">
        <v>1.0</v>
      </c>
      <c r="N14" s="886">
        <v>2.0</v>
      </c>
      <c r="O14" s="886">
        <v>3.0</v>
      </c>
      <c r="P14" s="887" t="s">
        <v>174</v>
      </c>
      <c r="Q14" s="342"/>
      <c r="R14" s="888" t="str">
        <f>IF(M13=2,"W",IF(Q13=2,"L",))</f>
        <v/>
      </c>
      <c r="S14" s="889" t="str">
        <f>IF(Q13=2,"W",IF(M13=2,"L",))</f>
        <v/>
      </c>
      <c r="T14" s="470"/>
      <c r="U14" s="890" t="s">
        <v>168</v>
      </c>
      <c r="V14" s="886">
        <v>1.0</v>
      </c>
      <c r="W14" s="886">
        <v>2.0</v>
      </c>
      <c r="X14" s="886">
        <v>3.0</v>
      </c>
      <c r="Y14" s="887" t="s">
        <v>174</v>
      </c>
      <c r="Z14" s="342"/>
      <c r="AA14" s="888" t="str">
        <f>IF(V13=2,"W",IF(Z13=2,"L",))</f>
        <v/>
      </c>
      <c r="AB14" s="889" t="str">
        <f>IF(Z13=2,"W",IF(V13=2,"L",))</f>
        <v/>
      </c>
      <c r="AC14" s="470"/>
      <c r="AD14" s="890" t="s">
        <v>168</v>
      </c>
      <c r="AE14" s="886">
        <v>1.0</v>
      </c>
      <c r="AF14" s="886">
        <v>2.0</v>
      </c>
      <c r="AG14" s="886">
        <v>3.0</v>
      </c>
      <c r="AH14" s="887" t="s">
        <v>174</v>
      </c>
      <c r="AI14" s="342"/>
      <c r="AJ14" s="888" t="str">
        <f>IF(AE13=2,"W",IF(AI13=2,"L",))</f>
        <v/>
      </c>
      <c r="AK14" s="889" t="str">
        <f>IF(AI13=2,"W",IF(AE13=2,"L",))</f>
        <v/>
      </c>
      <c r="AL14" s="470"/>
      <c r="AM14" s="890" t="s">
        <v>168</v>
      </c>
      <c r="AN14" s="886">
        <v>1.0</v>
      </c>
      <c r="AO14" s="886">
        <v>2.0</v>
      </c>
      <c r="AP14" s="886">
        <v>3.0</v>
      </c>
      <c r="AQ14" s="887" t="s">
        <v>174</v>
      </c>
      <c r="AR14" s="342"/>
      <c r="AS14" s="888" t="str">
        <f>IF(AN13=2,"W",IF(AR13=2,"L",))</f>
        <v/>
      </c>
      <c r="AT14" s="889" t="str">
        <f>IF(AR13=2,"W",IF(AN13=2,"L",))</f>
        <v/>
      </c>
      <c r="AU14" s="470"/>
      <c r="AV14" s="890" t="s">
        <v>168</v>
      </c>
      <c r="AW14" s="886">
        <v>1.0</v>
      </c>
      <c r="AX14" s="886">
        <v>2.0</v>
      </c>
      <c r="AY14" s="892">
        <v>3.0</v>
      </c>
      <c r="AZ14" s="887" t="s">
        <v>174</v>
      </c>
      <c r="BA14" s="342"/>
      <c r="BB14" s="888" t="str">
        <f>IF(AW13=2,"W",IF(BA13=2,"L",))</f>
        <v/>
      </c>
      <c r="BC14" s="889" t="str">
        <f>IF(BA13=2,"W",IF(AW13=2,"L",))</f>
        <v/>
      </c>
      <c r="BD14" s="470"/>
      <c r="BE14" s="890" t="s">
        <v>168</v>
      </c>
      <c r="BF14" s="886">
        <v>1.0</v>
      </c>
      <c r="BG14" s="886">
        <v>2.0</v>
      </c>
      <c r="BH14" s="892">
        <v>3.0</v>
      </c>
      <c r="BI14" s="887" t="s">
        <v>174</v>
      </c>
      <c r="BJ14" s="342"/>
      <c r="BK14" s="888" t="str">
        <f>IF(BF13=2,"W",IF(BJ13=2,"L",))</f>
        <v/>
      </c>
      <c r="BL14" s="889" t="str">
        <f>IF(BJ13=2,"W",IF(BF13=2,"L",))</f>
        <v/>
      </c>
      <c r="BM14" s="470"/>
      <c r="BN14" s="890" t="s">
        <v>168</v>
      </c>
      <c r="BO14" s="886">
        <v>1.0</v>
      </c>
      <c r="BP14" s="886">
        <v>2.0</v>
      </c>
      <c r="BQ14" s="886">
        <v>3.0</v>
      </c>
      <c r="BR14" s="887" t="s">
        <v>174</v>
      </c>
      <c r="BS14" s="342"/>
      <c r="BT14" s="888" t="str">
        <f>IF(BO13=2,"W",IF(BS13=2,"L",))</f>
        <v/>
      </c>
      <c r="BU14" s="889" t="str">
        <f>IF(BS13=2,"W",IF(BO13=2,"L",))</f>
        <v/>
      </c>
      <c r="BV14" s="470"/>
      <c r="BW14" s="890" t="s">
        <v>168</v>
      </c>
      <c r="BX14" s="886">
        <v>1.0</v>
      </c>
      <c r="BY14" s="886">
        <v>2.0</v>
      </c>
      <c r="BZ14" s="886">
        <v>3.0</v>
      </c>
      <c r="CA14" s="894" t="s">
        <v>174</v>
      </c>
      <c r="CB14" s="342"/>
      <c r="CC14" s="895" t="str">
        <f>IF(BX13=2,"W",IF(CB13=2,"L",))</f>
        <v/>
      </c>
      <c r="CD14" s="896" t="str">
        <f>IF(CB13=2,"W",IF(BX13=2,"L",))</f>
        <v/>
      </c>
      <c r="CE14" s="440"/>
      <c r="CF14" s="5"/>
    </row>
    <row r="15" ht="7.5" customHeight="1">
      <c r="A15" s="301"/>
      <c r="B15" s="324"/>
      <c r="C15" s="325"/>
      <c r="D15" s="481"/>
      <c r="E15" s="481"/>
      <c r="F15" s="481"/>
      <c r="G15" s="481"/>
      <c r="H15" s="481"/>
      <c r="I15" s="481"/>
      <c r="J15" s="481"/>
      <c r="K15" s="481"/>
      <c r="L15" s="481"/>
      <c r="M15" s="481"/>
      <c r="N15" s="481"/>
      <c r="O15" s="481"/>
      <c r="P15" s="481"/>
      <c r="Q15" s="481"/>
      <c r="R15" s="481"/>
      <c r="S15" s="481"/>
      <c r="T15" s="481"/>
      <c r="U15" s="481"/>
      <c r="V15" s="481"/>
      <c r="W15" s="481"/>
      <c r="X15" s="481"/>
      <c r="Y15" s="481"/>
      <c r="Z15" s="481"/>
      <c r="AA15" s="481"/>
      <c r="AB15" s="481"/>
      <c r="AC15" s="481"/>
      <c r="AD15" s="481"/>
      <c r="AE15" s="481"/>
      <c r="AF15" s="481"/>
      <c r="AG15" s="481"/>
      <c r="AH15" s="481"/>
      <c r="AI15" s="481"/>
      <c r="AJ15" s="481"/>
      <c r="AK15" s="481"/>
      <c r="AL15" s="481"/>
      <c r="AM15" s="481"/>
      <c r="AN15" s="481"/>
      <c r="AO15" s="481"/>
      <c r="AP15" s="481"/>
      <c r="AQ15" s="481"/>
      <c r="AR15" s="481"/>
      <c r="AS15" s="481"/>
      <c r="AT15" s="481"/>
      <c r="AU15" s="481"/>
      <c r="AV15" s="481"/>
      <c r="AW15" s="481"/>
      <c r="AX15" s="481"/>
      <c r="AY15" s="481"/>
      <c r="AZ15" s="481"/>
      <c r="BA15" s="481"/>
      <c r="BB15" s="481"/>
      <c r="BC15" s="481"/>
      <c r="BD15" s="481"/>
      <c r="BE15" s="481"/>
      <c r="BF15" s="481"/>
      <c r="BG15" s="481"/>
      <c r="BH15" s="481"/>
      <c r="BI15" s="481"/>
      <c r="BJ15" s="481"/>
      <c r="BK15" s="481"/>
      <c r="BL15" s="481"/>
      <c r="BM15" s="481"/>
      <c r="BN15" s="481"/>
      <c r="BO15" s="481"/>
      <c r="BP15" s="481"/>
      <c r="BQ15" s="481"/>
      <c r="BR15" s="481"/>
      <c r="BS15" s="481"/>
      <c r="BT15" s="481"/>
      <c r="BU15" s="481"/>
      <c r="BV15" s="481"/>
      <c r="BW15" s="481"/>
      <c r="BX15" s="481"/>
      <c r="BY15" s="481"/>
      <c r="BZ15" s="481"/>
      <c r="CA15" s="325"/>
      <c r="CB15" s="325"/>
      <c r="CC15" s="325"/>
      <c r="CD15" s="325"/>
      <c r="CE15" s="327"/>
      <c r="CF15" s="301"/>
    </row>
    <row r="16">
      <c r="A16" s="301"/>
      <c r="B16" s="324"/>
      <c r="C16" s="328" t="str">
        <f>Schedule!$J$8</f>
        <v/>
      </c>
      <c r="D16" s="482" t="s">
        <v>148</v>
      </c>
      <c r="E16" s="483" t="s">
        <v>149</v>
      </c>
      <c r="F16" s="483" t="s">
        <v>36</v>
      </c>
      <c r="G16" s="484" t="str">
        <f>#REF!</f>
        <v>#REF!</v>
      </c>
      <c r="H16" s="485" t="s">
        <v>148</v>
      </c>
      <c r="I16" s="486" t="s">
        <v>149</v>
      </c>
      <c r="J16" s="487" t="s">
        <v>36</v>
      </c>
      <c r="K16" s="481"/>
      <c r="L16" s="488" t="str">
        <f>Schedule!$J$13</f>
        <v/>
      </c>
      <c r="M16" s="482" t="s">
        <v>148</v>
      </c>
      <c r="N16" s="483" t="s">
        <v>149</v>
      </c>
      <c r="O16" s="483" t="s">
        <v>36</v>
      </c>
      <c r="P16" s="484" t="str">
        <f>#REF!</f>
        <v>#REF!</v>
      </c>
      <c r="Q16" s="485" t="s">
        <v>148</v>
      </c>
      <c r="R16" s="486" t="s">
        <v>149</v>
      </c>
      <c r="S16" s="487" t="s">
        <v>36</v>
      </c>
      <c r="T16" s="481"/>
      <c r="U16" s="488" t="str">
        <f>Schedule!$J$18</f>
        <v/>
      </c>
      <c r="V16" s="482" t="s">
        <v>148</v>
      </c>
      <c r="W16" s="483" t="s">
        <v>149</v>
      </c>
      <c r="X16" s="483" t="s">
        <v>36</v>
      </c>
      <c r="Y16" s="484" t="str">
        <f>#REF!</f>
        <v>#REF!</v>
      </c>
      <c r="Z16" s="485" t="s">
        <v>148</v>
      </c>
      <c r="AA16" s="486" t="s">
        <v>149</v>
      </c>
      <c r="AB16" s="487" t="s">
        <v>36</v>
      </c>
      <c r="AC16" s="481"/>
      <c r="AD16" s="488" t="str">
        <f>Schedule!$J$23</f>
        <v/>
      </c>
      <c r="AE16" s="482" t="s">
        <v>148</v>
      </c>
      <c r="AF16" s="483" t="s">
        <v>149</v>
      </c>
      <c r="AG16" s="483" t="s">
        <v>36</v>
      </c>
      <c r="AH16" s="484" t="str">
        <f>#REF!</f>
        <v>#REF!</v>
      </c>
      <c r="AI16" s="485" t="s">
        <v>148</v>
      </c>
      <c r="AJ16" s="486" t="s">
        <v>149</v>
      </c>
      <c r="AK16" s="487" t="s">
        <v>36</v>
      </c>
      <c r="AL16" s="481"/>
      <c r="AM16" s="488" t="str">
        <f>Schedule!$J$28</f>
        <v/>
      </c>
      <c r="AN16" s="482" t="s">
        <v>148</v>
      </c>
      <c r="AO16" s="483" t="s">
        <v>149</v>
      </c>
      <c r="AP16" s="483" t="s">
        <v>36</v>
      </c>
      <c r="AQ16" s="484" t="str">
        <f>#REF!</f>
        <v>#REF!</v>
      </c>
      <c r="AR16" s="485" t="s">
        <v>148</v>
      </c>
      <c r="AS16" s="486" t="s">
        <v>149</v>
      </c>
      <c r="AT16" s="487" t="s">
        <v>36</v>
      </c>
      <c r="AU16" s="481"/>
      <c r="AV16" s="488" t="str">
        <f>Schedule!$J$33</f>
        <v/>
      </c>
      <c r="AW16" s="482" t="s">
        <v>148</v>
      </c>
      <c r="AX16" s="483" t="s">
        <v>149</v>
      </c>
      <c r="AY16" s="483" t="s">
        <v>36</v>
      </c>
      <c r="AZ16" s="484" t="str">
        <f>#REF!</f>
        <v>#REF!</v>
      </c>
      <c r="BA16" s="485" t="s">
        <v>148</v>
      </c>
      <c r="BB16" s="486" t="s">
        <v>149</v>
      </c>
      <c r="BC16" s="487" t="s">
        <v>36</v>
      </c>
      <c r="BD16" s="481"/>
      <c r="BE16" s="488" t="str">
        <f>Schedule!$J$38</f>
        <v/>
      </c>
      <c r="BF16" s="482" t="s">
        <v>148</v>
      </c>
      <c r="BG16" s="483" t="s">
        <v>149</v>
      </c>
      <c r="BH16" s="483" t="s">
        <v>36</v>
      </c>
      <c r="BI16" s="484" t="str">
        <f>#REF!</f>
        <v>#REF!</v>
      </c>
      <c r="BJ16" s="485" t="s">
        <v>148</v>
      </c>
      <c r="BK16" s="486" t="s">
        <v>149</v>
      </c>
      <c r="BL16" s="487" t="s">
        <v>36</v>
      </c>
      <c r="BM16" s="481"/>
      <c r="BN16" s="488" t="str">
        <f>#REF!</f>
        <v>#REF!</v>
      </c>
      <c r="BO16" s="482" t="s">
        <v>148</v>
      </c>
      <c r="BP16" s="483" t="s">
        <v>149</v>
      </c>
      <c r="BQ16" s="483" t="s">
        <v>36</v>
      </c>
      <c r="BR16" s="484" t="str">
        <f>#REF!</f>
        <v>#REF!</v>
      </c>
      <c r="BS16" s="485" t="s">
        <v>148</v>
      </c>
      <c r="BT16" s="486" t="s">
        <v>149</v>
      </c>
      <c r="BU16" s="487" t="s">
        <v>36</v>
      </c>
      <c r="BV16" s="481"/>
      <c r="BW16" s="488" t="str">
        <f>#REF!</f>
        <v>#REF!</v>
      </c>
      <c r="BX16" s="482" t="s">
        <v>148</v>
      </c>
      <c r="BY16" s="483" t="s">
        <v>149</v>
      </c>
      <c r="BZ16" s="483" t="s">
        <v>36</v>
      </c>
      <c r="CA16" s="331" t="str">
        <f>#REF!</f>
        <v>#REF!</v>
      </c>
      <c r="CB16" s="332" t="s">
        <v>148</v>
      </c>
      <c r="CC16" s="336" t="s">
        <v>149</v>
      </c>
      <c r="CD16" s="337" t="s">
        <v>36</v>
      </c>
      <c r="CE16" s="327"/>
      <c r="CF16" s="301"/>
    </row>
    <row r="17">
      <c r="A17" s="301"/>
      <c r="B17" s="324"/>
      <c r="C17" s="870"/>
      <c r="D17" s="897"/>
      <c r="E17" s="897"/>
      <c r="F17" s="898">
        <f t="shared" ref="F17:F22" si="19">D17-E17</f>
        <v>0</v>
      </c>
      <c r="G17" s="899"/>
      <c r="H17" s="897"/>
      <c r="I17" s="897"/>
      <c r="J17" s="898">
        <f t="shared" ref="J17:J22" si="20">H17-I17</f>
        <v>0</v>
      </c>
      <c r="K17" s="481"/>
      <c r="L17" s="899"/>
      <c r="M17" s="897"/>
      <c r="N17" s="897"/>
      <c r="O17" s="898">
        <f t="shared" ref="O17:O22" si="21">M17-N17</f>
        <v>0</v>
      </c>
      <c r="P17" s="899"/>
      <c r="Q17" s="897"/>
      <c r="R17" s="897"/>
      <c r="S17" s="898">
        <f t="shared" ref="S17:S22" si="22">Q17-R17</f>
        <v>0</v>
      </c>
      <c r="T17" s="481"/>
      <c r="U17" s="899"/>
      <c r="V17" s="897"/>
      <c r="W17" s="897"/>
      <c r="X17" s="898">
        <f t="shared" ref="X17:X22" si="23">V17-W17</f>
        <v>0</v>
      </c>
      <c r="Y17" s="899"/>
      <c r="Z17" s="897"/>
      <c r="AA17" s="897"/>
      <c r="AB17" s="898">
        <f t="shared" ref="AB17:AB22" si="24">Z17-AA17</f>
        <v>0</v>
      </c>
      <c r="AC17" s="481"/>
      <c r="AD17" s="899"/>
      <c r="AE17" s="897"/>
      <c r="AF17" s="897"/>
      <c r="AG17" s="898">
        <f t="shared" ref="AG17:AG22" si="25">AE17-AF17</f>
        <v>0</v>
      </c>
      <c r="AH17" s="899"/>
      <c r="AI17" s="897"/>
      <c r="AJ17" s="897"/>
      <c r="AK17" s="898">
        <f t="shared" ref="AK17:AK22" si="26">AI17-AJ17</f>
        <v>0</v>
      </c>
      <c r="AL17" s="481"/>
      <c r="AM17" s="899"/>
      <c r="AN17" s="897"/>
      <c r="AO17" s="897"/>
      <c r="AP17" s="898">
        <f t="shared" ref="AP17:AP22" si="27">AN17-AO17</f>
        <v>0</v>
      </c>
      <c r="AQ17" s="899"/>
      <c r="AR17" s="897"/>
      <c r="AS17" s="897"/>
      <c r="AT17" s="898">
        <f t="shared" ref="AT17:AT22" si="28">AR17-AS17</f>
        <v>0</v>
      </c>
      <c r="AU17" s="481"/>
      <c r="AV17" s="899"/>
      <c r="AW17" s="897"/>
      <c r="AX17" s="897"/>
      <c r="AY17" s="898">
        <f t="shared" ref="AY17:AY22" si="29">AW17-AX17</f>
        <v>0</v>
      </c>
      <c r="AZ17" s="899"/>
      <c r="BA17" s="897"/>
      <c r="BB17" s="897"/>
      <c r="BC17" s="898">
        <f t="shared" ref="BC17:BC22" si="30">BA17-BB17</f>
        <v>0</v>
      </c>
      <c r="BD17" s="481"/>
      <c r="BE17" s="899"/>
      <c r="BF17" s="897"/>
      <c r="BG17" s="897"/>
      <c r="BH17" s="898">
        <f t="shared" ref="BH17:BH22" si="31">BF17-BG17</f>
        <v>0</v>
      </c>
      <c r="BI17" s="899"/>
      <c r="BJ17" s="897"/>
      <c r="BK17" s="897"/>
      <c r="BL17" s="898">
        <f t="shared" ref="BL17:BL22" si="32">BJ17-BK17</f>
        <v>0</v>
      </c>
      <c r="BM17" s="481"/>
      <c r="BN17" s="899"/>
      <c r="BO17" s="897"/>
      <c r="BP17" s="897"/>
      <c r="BQ17" s="898">
        <f t="shared" ref="BQ17:BQ22" si="33">BO17-BP17</f>
        <v>0</v>
      </c>
      <c r="BR17" s="899"/>
      <c r="BS17" s="897"/>
      <c r="BT17" s="897"/>
      <c r="BU17" s="898">
        <f t="shared" ref="BU17:BU22" si="34">BS17-BT17</f>
        <v>0</v>
      </c>
      <c r="BV17" s="481"/>
      <c r="BW17" s="899"/>
      <c r="BX17" s="897"/>
      <c r="BY17" s="897"/>
      <c r="BZ17" s="898">
        <f t="shared" ref="BZ17:BZ22" si="35">BX17-BY17</f>
        <v>0</v>
      </c>
      <c r="CA17" s="870"/>
      <c r="CB17" s="871"/>
      <c r="CC17" s="871"/>
      <c r="CD17" s="872">
        <f t="shared" ref="CD17:CD22" si="36">CB17-CC17</f>
        <v>0</v>
      </c>
      <c r="CE17" s="327"/>
      <c r="CF17" s="301"/>
    </row>
    <row r="18">
      <c r="A18" s="301"/>
      <c r="B18" s="324"/>
      <c r="C18" s="875"/>
      <c r="D18" s="900"/>
      <c r="E18" s="900"/>
      <c r="F18" s="898">
        <f t="shared" si="19"/>
        <v>0</v>
      </c>
      <c r="G18" s="901"/>
      <c r="H18" s="900"/>
      <c r="I18" s="900"/>
      <c r="J18" s="898">
        <f t="shared" si="20"/>
        <v>0</v>
      </c>
      <c r="K18" s="481"/>
      <c r="L18" s="901"/>
      <c r="M18" s="900"/>
      <c r="N18" s="900"/>
      <c r="O18" s="898">
        <f t="shared" si="21"/>
        <v>0</v>
      </c>
      <c r="P18" s="901"/>
      <c r="Q18" s="900"/>
      <c r="R18" s="900"/>
      <c r="S18" s="898">
        <f t="shared" si="22"/>
        <v>0</v>
      </c>
      <c r="T18" s="481"/>
      <c r="U18" s="901"/>
      <c r="V18" s="900"/>
      <c r="W18" s="900"/>
      <c r="X18" s="898">
        <f t="shared" si="23"/>
        <v>0</v>
      </c>
      <c r="Y18" s="901"/>
      <c r="Z18" s="900"/>
      <c r="AA18" s="900"/>
      <c r="AB18" s="898">
        <f t="shared" si="24"/>
        <v>0</v>
      </c>
      <c r="AC18" s="481"/>
      <c r="AD18" s="901"/>
      <c r="AE18" s="900"/>
      <c r="AF18" s="900"/>
      <c r="AG18" s="898">
        <f t="shared" si="25"/>
        <v>0</v>
      </c>
      <c r="AH18" s="901"/>
      <c r="AI18" s="900"/>
      <c r="AJ18" s="900"/>
      <c r="AK18" s="898">
        <f t="shared" si="26"/>
        <v>0</v>
      </c>
      <c r="AL18" s="481"/>
      <c r="AM18" s="901"/>
      <c r="AN18" s="900"/>
      <c r="AO18" s="900"/>
      <c r="AP18" s="898">
        <f t="shared" si="27"/>
        <v>0</v>
      </c>
      <c r="AQ18" s="901"/>
      <c r="AR18" s="900"/>
      <c r="AS18" s="900"/>
      <c r="AT18" s="898">
        <f t="shared" si="28"/>
        <v>0</v>
      </c>
      <c r="AU18" s="481"/>
      <c r="AV18" s="901"/>
      <c r="AW18" s="900"/>
      <c r="AX18" s="900"/>
      <c r="AY18" s="898">
        <f t="shared" si="29"/>
        <v>0</v>
      </c>
      <c r="AZ18" s="901"/>
      <c r="BA18" s="900"/>
      <c r="BB18" s="900"/>
      <c r="BC18" s="898">
        <f t="shared" si="30"/>
        <v>0</v>
      </c>
      <c r="BD18" s="481"/>
      <c r="BE18" s="901"/>
      <c r="BF18" s="900"/>
      <c r="BG18" s="900"/>
      <c r="BH18" s="898">
        <f t="shared" si="31"/>
        <v>0</v>
      </c>
      <c r="BI18" s="901"/>
      <c r="BJ18" s="900"/>
      <c r="BK18" s="900"/>
      <c r="BL18" s="898">
        <f t="shared" si="32"/>
        <v>0</v>
      </c>
      <c r="BM18" s="481"/>
      <c r="BN18" s="901"/>
      <c r="BO18" s="900"/>
      <c r="BP18" s="900"/>
      <c r="BQ18" s="898">
        <f t="shared" si="33"/>
        <v>0</v>
      </c>
      <c r="BR18" s="901"/>
      <c r="BS18" s="900"/>
      <c r="BT18" s="900"/>
      <c r="BU18" s="898">
        <f t="shared" si="34"/>
        <v>0</v>
      </c>
      <c r="BV18" s="481"/>
      <c r="BW18" s="901"/>
      <c r="BX18" s="900"/>
      <c r="BY18" s="900"/>
      <c r="BZ18" s="898">
        <f t="shared" si="35"/>
        <v>0</v>
      </c>
      <c r="CA18" s="875"/>
      <c r="CB18" s="876"/>
      <c r="CC18" s="876"/>
      <c r="CD18" s="872">
        <f t="shared" si="36"/>
        <v>0</v>
      </c>
      <c r="CE18" s="327"/>
      <c r="CF18" s="301"/>
    </row>
    <row r="19">
      <c r="A19" s="301"/>
      <c r="B19" s="324"/>
      <c r="C19" s="875"/>
      <c r="D19" s="900"/>
      <c r="E19" s="900"/>
      <c r="F19" s="898">
        <f t="shared" si="19"/>
        <v>0</v>
      </c>
      <c r="G19" s="901"/>
      <c r="H19" s="900"/>
      <c r="I19" s="900"/>
      <c r="J19" s="898">
        <f t="shared" si="20"/>
        <v>0</v>
      </c>
      <c r="K19" s="481"/>
      <c r="L19" s="901"/>
      <c r="M19" s="900"/>
      <c r="N19" s="900"/>
      <c r="O19" s="898">
        <f t="shared" si="21"/>
        <v>0</v>
      </c>
      <c r="P19" s="901"/>
      <c r="Q19" s="900"/>
      <c r="R19" s="900"/>
      <c r="S19" s="898">
        <f t="shared" si="22"/>
        <v>0</v>
      </c>
      <c r="T19" s="481"/>
      <c r="U19" s="901"/>
      <c r="V19" s="900"/>
      <c r="W19" s="900"/>
      <c r="X19" s="898">
        <f t="shared" si="23"/>
        <v>0</v>
      </c>
      <c r="Y19" s="901"/>
      <c r="Z19" s="900"/>
      <c r="AA19" s="900"/>
      <c r="AB19" s="898">
        <f t="shared" si="24"/>
        <v>0</v>
      </c>
      <c r="AC19" s="481"/>
      <c r="AD19" s="901"/>
      <c r="AE19" s="900"/>
      <c r="AF19" s="900"/>
      <c r="AG19" s="898">
        <f t="shared" si="25"/>
        <v>0</v>
      </c>
      <c r="AH19" s="901"/>
      <c r="AI19" s="900"/>
      <c r="AJ19" s="900"/>
      <c r="AK19" s="898">
        <f t="shared" si="26"/>
        <v>0</v>
      </c>
      <c r="AL19" s="481"/>
      <c r="AM19" s="901"/>
      <c r="AN19" s="900"/>
      <c r="AO19" s="900"/>
      <c r="AP19" s="898">
        <f t="shared" si="27"/>
        <v>0</v>
      </c>
      <c r="AQ19" s="901"/>
      <c r="AR19" s="900"/>
      <c r="AS19" s="900"/>
      <c r="AT19" s="898">
        <f t="shared" si="28"/>
        <v>0</v>
      </c>
      <c r="AU19" s="481"/>
      <c r="AV19" s="901"/>
      <c r="AW19" s="900"/>
      <c r="AX19" s="900"/>
      <c r="AY19" s="898">
        <f t="shared" si="29"/>
        <v>0</v>
      </c>
      <c r="AZ19" s="901"/>
      <c r="BA19" s="900"/>
      <c r="BB19" s="900"/>
      <c r="BC19" s="898">
        <f t="shared" si="30"/>
        <v>0</v>
      </c>
      <c r="BD19" s="481"/>
      <c r="BE19" s="901"/>
      <c r="BF19" s="900"/>
      <c r="BG19" s="900"/>
      <c r="BH19" s="898">
        <f t="shared" si="31"/>
        <v>0</v>
      </c>
      <c r="BI19" s="901"/>
      <c r="BJ19" s="900"/>
      <c r="BK19" s="900"/>
      <c r="BL19" s="898">
        <f t="shared" si="32"/>
        <v>0</v>
      </c>
      <c r="BM19" s="481"/>
      <c r="BN19" s="901"/>
      <c r="BO19" s="900"/>
      <c r="BP19" s="900"/>
      <c r="BQ19" s="898">
        <f t="shared" si="33"/>
        <v>0</v>
      </c>
      <c r="BR19" s="901"/>
      <c r="BS19" s="900"/>
      <c r="BT19" s="900"/>
      <c r="BU19" s="898">
        <f t="shared" si="34"/>
        <v>0</v>
      </c>
      <c r="BV19" s="481"/>
      <c r="BW19" s="901"/>
      <c r="BX19" s="900"/>
      <c r="BY19" s="900"/>
      <c r="BZ19" s="898">
        <f t="shared" si="35"/>
        <v>0</v>
      </c>
      <c r="CA19" s="875"/>
      <c r="CB19" s="876"/>
      <c r="CC19" s="876"/>
      <c r="CD19" s="872">
        <f t="shared" si="36"/>
        <v>0</v>
      </c>
      <c r="CE19" s="327"/>
      <c r="CF19" s="301"/>
    </row>
    <row r="20">
      <c r="A20" s="301"/>
      <c r="B20" s="324"/>
      <c r="C20" s="875"/>
      <c r="D20" s="900"/>
      <c r="E20" s="900"/>
      <c r="F20" s="898">
        <f t="shared" si="19"/>
        <v>0</v>
      </c>
      <c r="G20" s="901"/>
      <c r="H20" s="900"/>
      <c r="I20" s="900"/>
      <c r="J20" s="898">
        <f t="shared" si="20"/>
        <v>0</v>
      </c>
      <c r="K20" s="481"/>
      <c r="L20" s="901"/>
      <c r="M20" s="900"/>
      <c r="N20" s="900"/>
      <c r="O20" s="898">
        <f t="shared" si="21"/>
        <v>0</v>
      </c>
      <c r="P20" s="901"/>
      <c r="Q20" s="900"/>
      <c r="R20" s="900"/>
      <c r="S20" s="898">
        <f t="shared" si="22"/>
        <v>0</v>
      </c>
      <c r="T20" s="481"/>
      <c r="U20" s="901"/>
      <c r="V20" s="900"/>
      <c r="W20" s="900"/>
      <c r="X20" s="898">
        <f t="shared" si="23"/>
        <v>0</v>
      </c>
      <c r="Y20" s="901"/>
      <c r="Z20" s="900"/>
      <c r="AA20" s="900"/>
      <c r="AB20" s="898">
        <f t="shared" si="24"/>
        <v>0</v>
      </c>
      <c r="AC20" s="481"/>
      <c r="AD20" s="901"/>
      <c r="AE20" s="900"/>
      <c r="AF20" s="900"/>
      <c r="AG20" s="898">
        <f t="shared" si="25"/>
        <v>0</v>
      </c>
      <c r="AH20" s="901"/>
      <c r="AI20" s="900"/>
      <c r="AJ20" s="900"/>
      <c r="AK20" s="898">
        <f t="shared" si="26"/>
        <v>0</v>
      </c>
      <c r="AL20" s="481"/>
      <c r="AM20" s="901"/>
      <c r="AN20" s="900"/>
      <c r="AO20" s="900"/>
      <c r="AP20" s="898">
        <f t="shared" si="27"/>
        <v>0</v>
      </c>
      <c r="AQ20" s="901"/>
      <c r="AR20" s="900"/>
      <c r="AS20" s="900"/>
      <c r="AT20" s="898">
        <f t="shared" si="28"/>
        <v>0</v>
      </c>
      <c r="AU20" s="481"/>
      <c r="AV20" s="901"/>
      <c r="AW20" s="900"/>
      <c r="AX20" s="900"/>
      <c r="AY20" s="898">
        <f t="shared" si="29"/>
        <v>0</v>
      </c>
      <c r="AZ20" s="901"/>
      <c r="BA20" s="900"/>
      <c r="BB20" s="900"/>
      <c r="BC20" s="898">
        <f t="shared" si="30"/>
        <v>0</v>
      </c>
      <c r="BD20" s="481"/>
      <c r="BE20" s="901"/>
      <c r="BF20" s="900"/>
      <c r="BG20" s="900"/>
      <c r="BH20" s="898">
        <f t="shared" si="31"/>
        <v>0</v>
      </c>
      <c r="BI20" s="901"/>
      <c r="BJ20" s="900"/>
      <c r="BK20" s="900"/>
      <c r="BL20" s="898">
        <f t="shared" si="32"/>
        <v>0</v>
      </c>
      <c r="BM20" s="481"/>
      <c r="BN20" s="901"/>
      <c r="BO20" s="900"/>
      <c r="BP20" s="900"/>
      <c r="BQ20" s="898">
        <f t="shared" si="33"/>
        <v>0</v>
      </c>
      <c r="BR20" s="901"/>
      <c r="BS20" s="900"/>
      <c r="BT20" s="900"/>
      <c r="BU20" s="898">
        <f t="shared" si="34"/>
        <v>0</v>
      </c>
      <c r="BV20" s="481"/>
      <c r="BW20" s="901"/>
      <c r="BX20" s="900"/>
      <c r="BY20" s="900"/>
      <c r="BZ20" s="898">
        <f t="shared" si="35"/>
        <v>0</v>
      </c>
      <c r="CA20" s="875"/>
      <c r="CB20" s="876"/>
      <c r="CC20" s="876"/>
      <c r="CD20" s="872">
        <f t="shared" si="36"/>
        <v>0</v>
      </c>
      <c r="CE20" s="327"/>
      <c r="CF20" s="301"/>
    </row>
    <row r="21">
      <c r="A21" s="301"/>
      <c r="B21" s="324"/>
      <c r="C21" s="875"/>
      <c r="D21" s="900"/>
      <c r="E21" s="900"/>
      <c r="F21" s="898">
        <f t="shared" si="19"/>
        <v>0</v>
      </c>
      <c r="G21" s="901"/>
      <c r="H21" s="900"/>
      <c r="I21" s="900"/>
      <c r="J21" s="898">
        <f t="shared" si="20"/>
        <v>0</v>
      </c>
      <c r="K21" s="481"/>
      <c r="L21" s="901"/>
      <c r="M21" s="900"/>
      <c r="N21" s="900"/>
      <c r="O21" s="898">
        <f t="shared" si="21"/>
        <v>0</v>
      </c>
      <c r="P21" s="901"/>
      <c r="Q21" s="900"/>
      <c r="R21" s="900"/>
      <c r="S21" s="898">
        <f t="shared" si="22"/>
        <v>0</v>
      </c>
      <c r="T21" s="481"/>
      <c r="U21" s="901"/>
      <c r="V21" s="900"/>
      <c r="W21" s="900"/>
      <c r="X21" s="898">
        <f t="shared" si="23"/>
        <v>0</v>
      </c>
      <c r="Y21" s="901"/>
      <c r="Z21" s="900"/>
      <c r="AA21" s="900"/>
      <c r="AB21" s="898">
        <f t="shared" si="24"/>
        <v>0</v>
      </c>
      <c r="AC21" s="481"/>
      <c r="AD21" s="901"/>
      <c r="AE21" s="900"/>
      <c r="AF21" s="900"/>
      <c r="AG21" s="898">
        <f t="shared" si="25"/>
        <v>0</v>
      </c>
      <c r="AH21" s="901"/>
      <c r="AI21" s="900"/>
      <c r="AJ21" s="900"/>
      <c r="AK21" s="898">
        <f t="shared" si="26"/>
        <v>0</v>
      </c>
      <c r="AL21" s="481"/>
      <c r="AM21" s="901"/>
      <c r="AN21" s="900"/>
      <c r="AO21" s="900"/>
      <c r="AP21" s="898">
        <f t="shared" si="27"/>
        <v>0</v>
      </c>
      <c r="AQ21" s="901"/>
      <c r="AR21" s="900"/>
      <c r="AS21" s="900"/>
      <c r="AT21" s="898">
        <f t="shared" si="28"/>
        <v>0</v>
      </c>
      <c r="AU21" s="481"/>
      <c r="AV21" s="901"/>
      <c r="AW21" s="900"/>
      <c r="AX21" s="900"/>
      <c r="AY21" s="898">
        <f t="shared" si="29"/>
        <v>0</v>
      </c>
      <c r="AZ21" s="901"/>
      <c r="BA21" s="900"/>
      <c r="BB21" s="900"/>
      <c r="BC21" s="898">
        <f t="shared" si="30"/>
        <v>0</v>
      </c>
      <c r="BD21" s="481"/>
      <c r="BE21" s="901"/>
      <c r="BF21" s="900"/>
      <c r="BG21" s="900"/>
      <c r="BH21" s="898">
        <f t="shared" si="31"/>
        <v>0</v>
      </c>
      <c r="BI21" s="901"/>
      <c r="BJ21" s="900"/>
      <c r="BK21" s="900"/>
      <c r="BL21" s="898">
        <f t="shared" si="32"/>
        <v>0</v>
      </c>
      <c r="BM21" s="481"/>
      <c r="BN21" s="901"/>
      <c r="BO21" s="900"/>
      <c r="BP21" s="900"/>
      <c r="BQ21" s="898">
        <f t="shared" si="33"/>
        <v>0</v>
      </c>
      <c r="BR21" s="901"/>
      <c r="BS21" s="900"/>
      <c r="BT21" s="900"/>
      <c r="BU21" s="898">
        <f t="shared" si="34"/>
        <v>0</v>
      </c>
      <c r="BV21" s="481"/>
      <c r="BW21" s="901"/>
      <c r="BX21" s="900"/>
      <c r="BY21" s="900"/>
      <c r="BZ21" s="898">
        <f t="shared" si="35"/>
        <v>0</v>
      </c>
      <c r="CA21" s="875"/>
      <c r="CB21" s="876"/>
      <c r="CC21" s="876"/>
      <c r="CD21" s="872">
        <f t="shared" si="36"/>
        <v>0</v>
      </c>
      <c r="CE21" s="327"/>
      <c r="CF21" s="301"/>
    </row>
    <row r="22">
      <c r="A22" s="301"/>
      <c r="B22" s="324"/>
      <c r="C22" s="877"/>
      <c r="D22" s="905"/>
      <c r="E22" s="905"/>
      <c r="F22" s="898">
        <f t="shared" si="19"/>
        <v>0</v>
      </c>
      <c r="G22" s="906"/>
      <c r="H22" s="905"/>
      <c r="I22" s="905"/>
      <c r="J22" s="898">
        <f t="shared" si="20"/>
        <v>0</v>
      </c>
      <c r="K22" s="481"/>
      <c r="L22" s="906"/>
      <c r="M22" s="905"/>
      <c r="N22" s="905"/>
      <c r="O22" s="898">
        <f t="shared" si="21"/>
        <v>0</v>
      </c>
      <c r="P22" s="906"/>
      <c r="Q22" s="905"/>
      <c r="R22" s="905"/>
      <c r="S22" s="898">
        <f t="shared" si="22"/>
        <v>0</v>
      </c>
      <c r="T22" s="481"/>
      <c r="U22" s="906"/>
      <c r="V22" s="905"/>
      <c r="W22" s="905"/>
      <c r="X22" s="898">
        <f t="shared" si="23"/>
        <v>0</v>
      </c>
      <c r="Y22" s="906"/>
      <c r="Z22" s="905"/>
      <c r="AA22" s="905"/>
      <c r="AB22" s="898">
        <f t="shared" si="24"/>
        <v>0</v>
      </c>
      <c r="AC22" s="481"/>
      <c r="AD22" s="906"/>
      <c r="AE22" s="905"/>
      <c r="AF22" s="905"/>
      <c r="AG22" s="898">
        <f t="shared" si="25"/>
        <v>0</v>
      </c>
      <c r="AH22" s="906"/>
      <c r="AI22" s="905"/>
      <c r="AJ22" s="905"/>
      <c r="AK22" s="898">
        <f t="shared" si="26"/>
        <v>0</v>
      </c>
      <c r="AL22" s="481"/>
      <c r="AM22" s="906"/>
      <c r="AN22" s="905"/>
      <c r="AO22" s="905"/>
      <c r="AP22" s="898">
        <f t="shared" si="27"/>
        <v>0</v>
      </c>
      <c r="AQ22" s="906"/>
      <c r="AR22" s="905"/>
      <c r="AS22" s="905"/>
      <c r="AT22" s="898">
        <f t="shared" si="28"/>
        <v>0</v>
      </c>
      <c r="AU22" s="481"/>
      <c r="AV22" s="906"/>
      <c r="AW22" s="905"/>
      <c r="AX22" s="905"/>
      <c r="AY22" s="898">
        <f t="shared" si="29"/>
        <v>0</v>
      </c>
      <c r="AZ22" s="906"/>
      <c r="BA22" s="905"/>
      <c r="BB22" s="905"/>
      <c r="BC22" s="898">
        <f t="shared" si="30"/>
        <v>0</v>
      </c>
      <c r="BD22" s="481"/>
      <c r="BE22" s="906"/>
      <c r="BF22" s="905"/>
      <c r="BG22" s="905"/>
      <c r="BH22" s="898">
        <f t="shared" si="31"/>
        <v>0</v>
      </c>
      <c r="BI22" s="906"/>
      <c r="BJ22" s="905"/>
      <c r="BK22" s="905"/>
      <c r="BL22" s="898">
        <f t="shared" si="32"/>
        <v>0</v>
      </c>
      <c r="BM22" s="481"/>
      <c r="BN22" s="906"/>
      <c r="BO22" s="905"/>
      <c r="BP22" s="905"/>
      <c r="BQ22" s="898">
        <f t="shared" si="33"/>
        <v>0</v>
      </c>
      <c r="BR22" s="906"/>
      <c r="BS22" s="905"/>
      <c r="BT22" s="905"/>
      <c r="BU22" s="898">
        <f t="shared" si="34"/>
        <v>0</v>
      </c>
      <c r="BV22" s="481"/>
      <c r="BW22" s="906"/>
      <c r="BX22" s="905"/>
      <c r="BY22" s="905"/>
      <c r="BZ22" s="898">
        <f t="shared" si="35"/>
        <v>0</v>
      </c>
      <c r="CA22" s="877"/>
      <c r="CB22" s="878"/>
      <c r="CC22" s="878"/>
      <c r="CD22" s="872">
        <f t="shared" si="36"/>
        <v>0</v>
      </c>
      <c r="CE22" s="327"/>
      <c r="CF22" s="301"/>
    </row>
    <row r="23">
      <c r="A23" s="301"/>
      <c r="B23" s="324"/>
      <c r="C23" s="880" t="s">
        <v>155</v>
      </c>
      <c r="D23" s="878">
        <f>SUM(F17:F22)</f>
        <v>0</v>
      </c>
      <c r="E23" s="706"/>
      <c r="F23" s="706"/>
      <c r="G23" s="910" t="s">
        <v>155</v>
      </c>
      <c r="H23" s="878">
        <f>SUM(J17:J22)</f>
        <v>0</v>
      </c>
      <c r="I23" s="706"/>
      <c r="J23" s="706"/>
      <c r="K23" s="481"/>
      <c r="L23" s="910" t="s">
        <v>155</v>
      </c>
      <c r="M23" s="881">
        <f>SUM(O17:O22)</f>
        <v>0</v>
      </c>
      <c r="N23" s="706"/>
      <c r="O23" s="706"/>
      <c r="P23" s="910" t="s">
        <v>155</v>
      </c>
      <c r="Q23" s="881">
        <f>SUM(S17:S22)</f>
        <v>0</v>
      </c>
      <c r="R23" s="706"/>
      <c r="S23" s="706"/>
      <c r="T23" s="481"/>
      <c r="U23" s="910" t="s">
        <v>155</v>
      </c>
      <c r="V23" s="881">
        <f>SUM(X17:X22)</f>
        <v>0</v>
      </c>
      <c r="W23" s="706"/>
      <c r="X23" s="706"/>
      <c r="Y23" s="910" t="s">
        <v>155</v>
      </c>
      <c r="Z23" s="881">
        <f>SUM(AB17:AB22)</f>
        <v>0</v>
      </c>
      <c r="AA23" s="706"/>
      <c r="AB23" s="706"/>
      <c r="AC23" s="481"/>
      <c r="AD23" s="910" t="s">
        <v>155</v>
      </c>
      <c r="AE23" s="881">
        <f>SUM(AG17:AG22)</f>
        <v>0</v>
      </c>
      <c r="AF23" s="706"/>
      <c r="AG23" s="706"/>
      <c r="AH23" s="910" t="s">
        <v>155</v>
      </c>
      <c r="AI23" s="881">
        <f>SUM(AK17:AK22)</f>
        <v>0</v>
      </c>
      <c r="AJ23" s="706"/>
      <c r="AK23" s="706"/>
      <c r="AL23" s="481"/>
      <c r="AM23" s="910" t="s">
        <v>155</v>
      </c>
      <c r="AN23" s="881">
        <f>SUM(AP17:AP22)</f>
        <v>0</v>
      </c>
      <c r="AO23" s="706"/>
      <c r="AP23" s="706"/>
      <c r="AQ23" s="910" t="s">
        <v>155</v>
      </c>
      <c r="AR23" s="881">
        <f>SUM(AT17:AT22)</f>
        <v>0</v>
      </c>
      <c r="AS23" s="706"/>
      <c r="AT23" s="706"/>
      <c r="AU23" s="481"/>
      <c r="AV23" s="910" t="s">
        <v>155</v>
      </c>
      <c r="AW23" s="881">
        <f>SUM(AY17:AY22)</f>
        <v>0</v>
      </c>
      <c r="AX23" s="706"/>
      <c r="AY23" s="706"/>
      <c r="AZ23" s="910" t="s">
        <v>155</v>
      </c>
      <c r="BA23" s="881">
        <f>SUM(BC17:BC22)</f>
        <v>0</v>
      </c>
      <c r="BB23" s="706"/>
      <c r="BC23" s="706"/>
      <c r="BD23" s="481"/>
      <c r="BE23" s="910" t="s">
        <v>155</v>
      </c>
      <c r="BF23" s="881">
        <f>SUM(BH17:BH22)</f>
        <v>0</v>
      </c>
      <c r="BG23" s="706"/>
      <c r="BH23" s="706"/>
      <c r="BI23" s="910" t="s">
        <v>155</v>
      </c>
      <c r="BJ23" s="881">
        <f>SUM(BL17:BL22)</f>
        <v>0</v>
      </c>
      <c r="BK23" s="706"/>
      <c r="BL23" s="706"/>
      <c r="BM23" s="481"/>
      <c r="BN23" s="910" t="s">
        <v>155</v>
      </c>
      <c r="BO23" s="881">
        <f>SUM(BQ17:BQ22)</f>
        <v>0</v>
      </c>
      <c r="BP23" s="706"/>
      <c r="BQ23" s="706"/>
      <c r="BR23" s="910" t="s">
        <v>155</v>
      </c>
      <c r="BS23" s="881">
        <f>SUM(BU17:BU22)</f>
        <v>0</v>
      </c>
      <c r="BT23" s="706"/>
      <c r="BU23" s="706"/>
      <c r="BV23" s="481"/>
      <c r="BW23" s="910" t="s">
        <v>155</v>
      </c>
      <c r="BX23" s="881">
        <f>SUM(BZ17:BZ22)</f>
        <v>0</v>
      </c>
      <c r="BY23" s="706"/>
      <c r="BZ23" s="706"/>
      <c r="CA23" s="880" t="s">
        <v>155</v>
      </c>
      <c r="CB23" s="881">
        <f>SUM(CD17:CD22)</f>
        <v>0</v>
      </c>
      <c r="CC23" s="706"/>
      <c r="CD23" s="706"/>
      <c r="CE23" s="327"/>
      <c r="CF23" s="301"/>
    </row>
    <row r="24">
      <c r="A24" s="5"/>
      <c r="B24" s="416"/>
      <c r="C24" s="883" t="s">
        <v>162</v>
      </c>
      <c r="D24" s="911"/>
      <c r="E24" s="124"/>
      <c r="F24" s="419"/>
      <c r="G24" s="912" t="s">
        <v>162</v>
      </c>
      <c r="H24" s="911"/>
      <c r="I24" s="124"/>
      <c r="J24" s="125"/>
      <c r="K24" s="470"/>
      <c r="L24" s="912" t="s">
        <v>162</v>
      </c>
      <c r="M24" s="911"/>
      <c r="N24" s="124"/>
      <c r="O24" s="419"/>
      <c r="P24" s="912" t="s">
        <v>162</v>
      </c>
      <c r="Q24" s="911"/>
      <c r="R24" s="124"/>
      <c r="S24" s="125"/>
      <c r="T24" s="470"/>
      <c r="U24" s="912" t="s">
        <v>162</v>
      </c>
      <c r="V24" s="911"/>
      <c r="W24" s="124"/>
      <c r="X24" s="419"/>
      <c r="Y24" s="912" t="s">
        <v>162</v>
      </c>
      <c r="Z24" s="911"/>
      <c r="AA24" s="124"/>
      <c r="AB24" s="125"/>
      <c r="AC24" s="470"/>
      <c r="AD24" s="912" t="s">
        <v>162</v>
      </c>
      <c r="AE24" s="911"/>
      <c r="AF24" s="124"/>
      <c r="AG24" s="419"/>
      <c r="AH24" s="912" t="s">
        <v>162</v>
      </c>
      <c r="AI24" s="911"/>
      <c r="AJ24" s="124"/>
      <c r="AK24" s="125"/>
      <c r="AL24" s="470"/>
      <c r="AM24" s="912" t="s">
        <v>162</v>
      </c>
      <c r="AN24" s="911"/>
      <c r="AO24" s="124"/>
      <c r="AP24" s="419"/>
      <c r="AQ24" s="912" t="s">
        <v>162</v>
      </c>
      <c r="AR24" s="911"/>
      <c r="AS24" s="124"/>
      <c r="AT24" s="125"/>
      <c r="AU24" s="470"/>
      <c r="AV24" s="912" t="s">
        <v>162</v>
      </c>
      <c r="AW24" s="911"/>
      <c r="AX24" s="124"/>
      <c r="AY24" s="419"/>
      <c r="AZ24" s="912" t="s">
        <v>162</v>
      </c>
      <c r="BA24" s="911"/>
      <c r="BB24" s="124"/>
      <c r="BC24" s="125"/>
      <c r="BD24" s="470"/>
      <c r="BE24" s="912" t="s">
        <v>162</v>
      </c>
      <c r="BF24" s="911"/>
      <c r="BG24" s="124"/>
      <c r="BH24" s="419"/>
      <c r="BI24" s="912" t="s">
        <v>162</v>
      </c>
      <c r="BJ24" s="911"/>
      <c r="BK24" s="124"/>
      <c r="BL24" s="125"/>
      <c r="BM24" s="470"/>
      <c r="BN24" s="912" t="s">
        <v>162</v>
      </c>
      <c r="BO24" s="911"/>
      <c r="BP24" s="124"/>
      <c r="BQ24" s="419"/>
      <c r="BR24" s="912" t="s">
        <v>162</v>
      </c>
      <c r="BS24" s="911"/>
      <c r="BT24" s="124"/>
      <c r="BU24" s="125"/>
      <c r="BV24" s="470"/>
      <c r="BW24" s="912" t="s">
        <v>162</v>
      </c>
      <c r="BX24" s="911"/>
      <c r="BY24" s="124"/>
      <c r="BZ24" s="419"/>
      <c r="CA24" s="883" t="s">
        <v>162</v>
      </c>
      <c r="CB24" s="884"/>
      <c r="CC24" s="124"/>
      <c r="CD24" s="125"/>
      <c r="CE24" s="440"/>
      <c r="CF24" s="5"/>
    </row>
    <row r="25">
      <c r="A25" s="5"/>
      <c r="B25" s="416"/>
      <c r="C25" s="885" t="s">
        <v>168</v>
      </c>
      <c r="D25" s="886">
        <v>1.0</v>
      </c>
      <c r="E25" s="886">
        <v>2.0</v>
      </c>
      <c r="F25" s="886">
        <v>3.0</v>
      </c>
      <c r="G25" s="887" t="s">
        <v>174</v>
      </c>
      <c r="H25" s="342"/>
      <c r="I25" s="888" t="str">
        <f>IF(D24=2,"W",IF(H24=2,"L",))</f>
        <v/>
      </c>
      <c r="J25" s="889" t="str">
        <f>IF(H24=2,"W",IF(D24=2,"L",))</f>
        <v/>
      </c>
      <c r="K25" s="470"/>
      <c r="L25" s="890" t="s">
        <v>168</v>
      </c>
      <c r="M25" s="886">
        <v>1.0</v>
      </c>
      <c r="N25" s="886">
        <v>2.0</v>
      </c>
      <c r="O25" s="892">
        <v>3.0</v>
      </c>
      <c r="P25" s="887" t="s">
        <v>174</v>
      </c>
      <c r="Q25" s="342"/>
      <c r="R25" s="888" t="str">
        <f>IF(M24=2,"W",IF(Q24=2,"L",))</f>
        <v/>
      </c>
      <c r="S25" s="889" t="str">
        <f>IF(Q24=2,"W",IF(M24=2,"L",))</f>
        <v/>
      </c>
      <c r="T25" s="470"/>
      <c r="U25" s="890" t="s">
        <v>168</v>
      </c>
      <c r="V25" s="886">
        <v>1.0</v>
      </c>
      <c r="W25" s="886">
        <v>2.0</v>
      </c>
      <c r="X25" s="892">
        <v>3.0</v>
      </c>
      <c r="Y25" s="887" t="s">
        <v>174</v>
      </c>
      <c r="Z25" s="342"/>
      <c r="AA25" s="888" t="str">
        <f>IF(V24=2,"W",IF(Z24=2,"L",))</f>
        <v/>
      </c>
      <c r="AB25" s="889" t="str">
        <f>IF(Z24=2,"W",IF(V24=2,"L",))</f>
        <v/>
      </c>
      <c r="AC25" s="470"/>
      <c r="AD25" s="890" t="s">
        <v>168</v>
      </c>
      <c r="AE25" s="886">
        <v>1.0</v>
      </c>
      <c r="AF25" s="886">
        <v>2.0</v>
      </c>
      <c r="AG25" s="886">
        <v>3.0</v>
      </c>
      <c r="AH25" s="887" t="s">
        <v>174</v>
      </c>
      <c r="AI25" s="342"/>
      <c r="AJ25" s="888" t="str">
        <f>IF(AE24=2,"W",IF(AI24=2,"L",))</f>
        <v/>
      </c>
      <c r="AK25" s="889" t="str">
        <f>IF(AI24=2,"W",IF(AE24=2,"L",))</f>
        <v/>
      </c>
      <c r="AL25" s="470"/>
      <c r="AM25" s="890" t="s">
        <v>168</v>
      </c>
      <c r="AN25" s="886">
        <v>1.0</v>
      </c>
      <c r="AO25" s="886">
        <v>2.0</v>
      </c>
      <c r="AP25" s="892">
        <v>3.0</v>
      </c>
      <c r="AQ25" s="887" t="s">
        <v>174</v>
      </c>
      <c r="AR25" s="342"/>
      <c r="AS25" s="888" t="str">
        <f>IF(AN24=2,"W",IF(AR24=2,"L",))</f>
        <v/>
      </c>
      <c r="AT25" s="889" t="str">
        <f>IF(AR24=2,"W",IF(AN24=2,"L",))</f>
        <v/>
      </c>
      <c r="AU25" s="470"/>
      <c r="AV25" s="890" t="s">
        <v>168</v>
      </c>
      <c r="AW25" s="886">
        <v>1.0</v>
      </c>
      <c r="AX25" s="886">
        <v>2.0</v>
      </c>
      <c r="AY25" s="886">
        <v>3.0</v>
      </c>
      <c r="AZ25" s="887" t="s">
        <v>174</v>
      </c>
      <c r="BA25" s="342"/>
      <c r="BB25" s="888" t="str">
        <f>IF(AW24=2,"W",IF(BA24=2,"L",))</f>
        <v/>
      </c>
      <c r="BC25" s="889" t="str">
        <f>IF(BA24=2,"W",IF(AW24=2,"L",))</f>
        <v/>
      </c>
      <c r="BD25" s="470"/>
      <c r="BE25" s="890" t="s">
        <v>168</v>
      </c>
      <c r="BF25" s="892">
        <v>1.0</v>
      </c>
      <c r="BG25" s="892">
        <v>2.0</v>
      </c>
      <c r="BH25" s="892">
        <v>3.0</v>
      </c>
      <c r="BI25" s="887" t="s">
        <v>174</v>
      </c>
      <c r="BJ25" s="342"/>
      <c r="BK25" s="914" t="s">
        <v>140</v>
      </c>
      <c r="BL25" s="915" t="s">
        <v>140</v>
      </c>
      <c r="BM25" s="470"/>
      <c r="BN25" s="890" t="s">
        <v>168</v>
      </c>
      <c r="BO25" s="886">
        <v>1.0</v>
      </c>
      <c r="BP25" s="886">
        <v>2.0</v>
      </c>
      <c r="BQ25" s="886">
        <v>3.0</v>
      </c>
      <c r="BR25" s="887" t="s">
        <v>174</v>
      </c>
      <c r="BS25" s="342"/>
      <c r="BT25" s="888" t="str">
        <f>IF(BO24=2,"W",IF(BS24=2,"L",))</f>
        <v/>
      </c>
      <c r="BU25" s="889" t="str">
        <f>IF(BS24=2,"W",IF(BO24=2,"L",))</f>
        <v/>
      </c>
      <c r="BV25" s="470"/>
      <c r="BW25" s="890" t="s">
        <v>168</v>
      </c>
      <c r="BX25" s="892">
        <v>1.0</v>
      </c>
      <c r="BY25" s="892">
        <v>2.0</v>
      </c>
      <c r="BZ25" s="892">
        <v>3.0</v>
      </c>
      <c r="CA25" s="894" t="s">
        <v>174</v>
      </c>
      <c r="CB25" s="342"/>
      <c r="CC25" s="895" t="str">
        <f>IF(BX24=2,"W",IF(CB24=2,"L",))</f>
        <v/>
      </c>
      <c r="CD25" s="896" t="str">
        <f>IF(CB24=2,"W",IF(BX24=2,"L",))</f>
        <v/>
      </c>
      <c r="CE25" s="440"/>
      <c r="CF25" s="5"/>
    </row>
    <row r="26" ht="7.5" customHeight="1">
      <c r="A26" s="301"/>
      <c r="B26" s="324"/>
      <c r="C26" s="325"/>
      <c r="D26" s="481"/>
      <c r="E26" s="481"/>
      <c r="F26" s="481"/>
      <c r="G26" s="481"/>
      <c r="H26" s="481"/>
      <c r="I26" s="481"/>
      <c r="J26" s="481"/>
      <c r="K26" s="481"/>
      <c r="L26" s="481"/>
      <c r="M26" s="481"/>
      <c r="N26" s="481"/>
      <c r="O26" s="481"/>
      <c r="P26" s="481"/>
      <c r="Q26" s="481"/>
      <c r="R26" s="481"/>
      <c r="S26" s="481"/>
      <c r="T26" s="481"/>
      <c r="U26" s="481"/>
      <c r="V26" s="481"/>
      <c r="W26" s="481"/>
      <c r="X26" s="481"/>
      <c r="Y26" s="481"/>
      <c r="Z26" s="481"/>
      <c r="AA26" s="481"/>
      <c r="AB26" s="481"/>
      <c r="AC26" s="481"/>
      <c r="AD26" s="481"/>
      <c r="AE26" s="481"/>
      <c r="AF26" s="481"/>
      <c r="AG26" s="481"/>
      <c r="AH26" s="481"/>
      <c r="AI26" s="481"/>
      <c r="AJ26" s="481"/>
      <c r="AK26" s="481"/>
      <c r="AL26" s="481"/>
      <c r="AM26" s="481"/>
      <c r="AN26" s="481"/>
      <c r="AO26" s="481"/>
      <c r="AP26" s="481"/>
      <c r="AQ26" s="481"/>
      <c r="AR26" s="481"/>
      <c r="AS26" s="481"/>
      <c r="AT26" s="481"/>
      <c r="AU26" s="481"/>
      <c r="AV26" s="481"/>
      <c r="AW26" s="481"/>
      <c r="AX26" s="481"/>
      <c r="AY26" s="481"/>
      <c r="AZ26" s="481"/>
      <c r="BA26" s="481"/>
      <c r="BB26" s="481"/>
      <c r="BC26" s="481"/>
      <c r="BD26" s="481"/>
      <c r="BE26" s="481"/>
      <c r="BF26" s="481"/>
      <c r="BG26" s="481"/>
      <c r="BH26" s="481"/>
      <c r="BI26" s="481"/>
      <c r="BJ26" s="481"/>
      <c r="BK26" s="481"/>
      <c r="BL26" s="481"/>
      <c r="BM26" s="481"/>
      <c r="BN26" s="481"/>
      <c r="BO26" s="481"/>
      <c r="BP26" s="481"/>
      <c r="BQ26" s="481"/>
      <c r="BR26" s="481"/>
      <c r="BS26" s="481"/>
      <c r="BT26" s="481"/>
      <c r="BU26" s="481"/>
      <c r="BV26" s="481"/>
      <c r="BW26" s="481"/>
      <c r="BX26" s="481"/>
      <c r="BY26" s="481"/>
      <c r="BZ26" s="481"/>
      <c r="CA26" s="325"/>
      <c r="CB26" s="325"/>
      <c r="CC26" s="325"/>
      <c r="CD26" s="325"/>
      <c r="CE26" s="327"/>
      <c r="CF26" s="301"/>
    </row>
    <row r="27">
      <c r="A27" s="301"/>
      <c r="B27" s="324"/>
      <c r="C27" s="328" t="str">
        <f>Schedule!$J$9</f>
        <v/>
      </c>
      <c r="D27" s="482" t="s">
        <v>148</v>
      </c>
      <c r="E27" s="483" t="s">
        <v>149</v>
      </c>
      <c r="F27" s="483" t="s">
        <v>36</v>
      </c>
      <c r="G27" s="484" t="str">
        <f>#REF!</f>
        <v>#REF!</v>
      </c>
      <c r="H27" s="485" t="s">
        <v>148</v>
      </c>
      <c r="I27" s="486" t="s">
        <v>149</v>
      </c>
      <c r="J27" s="487" t="s">
        <v>36</v>
      </c>
      <c r="K27" s="481"/>
      <c r="L27" s="488" t="str">
        <f>Schedule!$J$14</f>
        <v/>
      </c>
      <c r="M27" s="482" t="s">
        <v>148</v>
      </c>
      <c r="N27" s="483" t="s">
        <v>149</v>
      </c>
      <c r="O27" s="483" t="s">
        <v>36</v>
      </c>
      <c r="P27" s="484" t="str">
        <f>#REF!</f>
        <v>#REF!</v>
      </c>
      <c r="Q27" s="485" t="s">
        <v>148</v>
      </c>
      <c r="R27" s="486" t="s">
        <v>149</v>
      </c>
      <c r="S27" s="487" t="s">
        <v>36</v>
      </c>
      <c r="T27" s="481"/>
      <c r="U27" s="488" t="str">
        <f>Schedule!$J$19</f>
        <v/>
      </c>
      <c r="V27" s="482" t="s">
        <v>148</v>
      </c>
      <c r="W27" s="483" t="s">
        <v>149</v>
      </c>
      <c r="X27" s="483" t="s">
        <v>36</v>
      </c>
      <c r="Y27" s="484" t="str">
        <f>#REF!</f>
        <v>#REF!</v>
      </c>
      <c r="Z27" s="485" t="s">
        <v>148</v>
      </c>
      <c r="AA27" s="486" t="s">
        <v>149</v>
      </c>
      <c r="AB27" s="487" t="s">
        <v>36</v>
      </c>
      <c r="AC27" s="481"/>
      <c r="AD27" s="488" t="str">
        <f>Schedule!$J$24</f>
        <v/>
      </c>
      <c r="AE27" s="482" t="s">
        <v>148</v>
      </c>
      <c r="AF27" s="483" t="s">
        <v>149</v>
      </c>
      <c r="AG27" s="483" t="s">
        <v>36</v>
      </c>
      <c r="AH27" s="484" t="str">
        <f>#REF!</f>
        <v>#REF!</v>
      </c>
      <c r="AI27" s="485" t="s">
        <v>148</v>
      </c>
      <c r="AJ27" s="486" t="s">
        <v>149</v>
      </c>
      <c r="AK27" s="487" t="s">
        <v>36</v>
      </c>
      <c r="AL27" s="481"/>
      <c r="AM27" s="488" t="str">
        <f>Schedule!$J$29</f>
        <v/>
      </c>
      <c r="AN27" s="482" t="s">
        <v>148</v>
      </c>
      <c r="AO27" s="483" t="s">
        <v>149</v>
      </c>
      <c r="AP27" s="483" t="s">
        <v>36</v>
      </c>
      <c r="AQ27" s="484" t="str">
        <f>#REF!</f>
        <v>#REF!</v>
      </c>
      <c r="AR27" s="485" t="s">
        <v>148</v>
      </c>
      <c r="AS27" s="486" t="s">
        <v>149</v>
      </c>
      <c r="AT27" s="487" t="s">
        <v>36</v>
      </c>
      <c r="AU27" s="481"/>
      <c r="AV27" s="488" t="str">
        <f>Schedule!$J$34</f>
        <v/>
      </c>
      <c r="AW27" s="482" t="s">
        <v>148</v>
      </c>
      <c r="AX27" s="483" t="s">
        <v>149</v>
      </c>
      <c r="AY27" s="483" t="s">
        <v>36</v>
      </c>
      <c r="AZ27" s="484" t="str">
        <f>#REF!</f>
        <v>#REF!</v>
      </c>
      <c r="BA27" s="485" t="s">
        <v>148</v>
      </c>
      <c r="BB27" s="486" t="s">
        <v>149</v>
      </c>
      <c r="BC27" s="487" t="s">
        <v>36</v>
      </c>
      <c r="BD27" s="481"/>
      <c r="BE27" s="488" t="str">
        <f>Schedule!$J$39</f>
        <v/>
      </c>
      <c r="BF27" s="482" t="s">
        <v>148</v>
      </c>
      <c r="BG27" s="483" t="s">
        <v>149</v>
      </c>
      <c r="BH27" s="483" t="s">
        <v>36</v>
      </c>
      <c r="BI27" s="484" t="str">
        <f>#REF!</f>
        <v>#REF!</v>
      </c>
      <c r="BJ27" s="485" t="s">
        <v>148</v>
      </c>
      <c r="BK27" s="486" t="s">
        <v>149</v>
      </c>
      <c r="BL27" s="487" t="s">
        <v>36</v>
      </c>
      <c r="BM27" s="481"/>
      <c r="BN27" s="488" t="str">
        <f>#REF!</f>
        <v>#REF!</v>
      </c>
      <c r="BO27" s="482" t="s">
        <v>148</v>
      </c>
      <c r="BP27" s="483" t="s">
        <v>149</v>
      </c>
      <c r="BQ27" s="483" t="s">
        <v>36</v>
      </c>
      <c r="BR27" s="484" t="str">
        <f>#REF!</f>
        <v>#REF!</v>
      </c>
      <c r="BS27" s="485" t="s">
        <v>148</v>
      </c>
      <c r="BT27" s="486" t="s">
        <v>149</v>
      </c>
      <c r="BU27" s="487" t="s">
        <v>36</v>
      </c>
      <c r="BV27" s="481"/>
      <c r="BW27" s="488" t="str">
        <f>#REF!</f>
        <v>#REF!</v>
      </c>
      <c r="BX27" s="482" t="s">
        <v>148</v>
      </c>
      <c r="BY27" s="483" t="s">
        <v>149</v>
      </c>
      <c r="BZ27" s="483" t="s">
        <v>36</v>
      </c>
      <c r="CA27" s="331" t="str">
        <f>#REF!</f>
        <v>#REF!</v>
      </c>
      <c r="CB27" s="332" t="s">
        <v>148</v>
      </c>
      <c r="CC27" s="336" t="s">
        <v>149</v>
      </c>
      <c r="CD27" s="337" t="s">
        <v>36</v>
      </c>
      <c r="CE27" s="327"/>
      <c r="CF27" s="301"/>
    </row>
    <row r="28">
      <c r="A28" s="301"/>
      <c r="B28" s="324"/>
      <c r="C28" s="870"/>
      <c r="D28" s="897"/>
      <c r="E28" s="897"/>
      <c r="F28" s="898">
        <f t="shared" ref="F28:F33" si="37">D28-E28</f>
        <v>0</v>
      </c>
      <c r="G28" s="899"/>
      <c r="H28" s="897"/>
      <c r="I28" s="897"/>
      <c r="J28" s="898">
        <f t="shared" ref="J28:J33" si="38">H28-I28</f>
        <v>0</v>
      </c>
      <c r="K28" s="481"/>
      <c r="L28" s="899"/>
      <c r="M28" s="897"/>
      <c r="N28" s="897"/>
      <c r="O28" s="898">
        <f t="shared" ref="O28:O33" si="39">M28-N28</f>
        <v>0</v>
      </c>
      <c r="P28" s="899"/>
      <c r="Q28" s="897"/>
      <c r="R28" s="897"/>
      <c r="S28" s="898">
        <f t="shared" ref="S28:S33" si="40">Q28-R28</f>
        <v>0</v>
      </c>
      <c r="T28" s="481"/>
      <c r="U28" s="899"/>
      <c r="V28" s="897"/>
      <c r="W28" s="897"/>
      <c r="X28" s="898">
        <f t="shared" ref="X28:X33" si="41">V28-W28</f>
        <v>0</v>
      </c>
      <c r="Y28" s="899"/>
      <c r="Z28" s="897"/>
      <c r="AA28" s="897"/>
      <c r="AB28" s="898">
        <f t="shared" ref="AB28:AB33" si="42">Z28-AA28</f>
        <v>0</v>
      </c>
      <c r="AC28" s="481"/>
      <c r="AD28" s="899"/>
      <c r="AE28" s="897"/>
      <c r="AF28" s="897"/>
      <c r="AG28" s="898">
        <f t="shared" ref="AG28:AG33" si="43">AE28-AF28</f>
        <v>0</v>
      </c>
      <c r="AH28" s="899"/>
      <c r="AI28" s="897"/>
      <c r="AJ28" s="897"/>
      <c r="AK28" s="898">
        <f t="shared" ref="AK28:AK33" si="44">AI28-AJ28</f>
        <v>0</v>
      </c>
      <c r="AL28" s="481"/>
      <c r="AM28" s="899"/>
      <c r="AN28" s="897"/>
      <c r="AO28" s="897"/>
      <c r="AP28" s="898">
        <f t="shared" ref="AP28:AP33" si="45">AN28-AO28</f>
        <v>0</v>
      </c>
      <c r="AQ28" s="899"/>
      <c r="AR28" s="897"/>
      <c r="AS28" s="897"/>
      <c r="AT28" s="898">
        <f t="shared" ref="AT28:AT33" si="46">AR28-AS28</f>
        <v>0</v>
      </c>
      <c r="AU28" s="481"/>
      <c r="AV28" s="899"/>
      <c r="AW28" s="897"/>
      <c r="AX28" s="897"/>
      <c r="AY28" s="898">
        <f t="shared" ref="AY28:AY33" si="47">AW28-AX28</f>
        <v>0</v>
      </c>
      <c r="AZ28" s="899"/>
      <c r="BA28" s="897"/>
      <c r="BB28" s="897"/>
      <c r="BC28" s="898">
        <f t="shared" ref="BC28:BC33" si="48">BA28-BB28</f>
        <v>0</v>
      </c>
      <c r="BD28" s="481"/>
      <c r="BE28" s="899"/>
      <c r="BF28" s="897"/>
      <c r="BG28" s="897"/>
      <c r="BH28" s="898">
        <f t="shared" ref="BH28:BH33" si="49">BF28-BG28</f>
        <v>0</v>
      </c>
      <c r="BI28" s="899"/>
      <c r="BJ28" s="897"/>
      <c r="BK28" s="897"/>
      <c r="BL28" s="898">
        <f t="shared" ref="BL28:BL33" si="50">BJ28-BK28</f>
        <v>0</v>
      </c>
      <c r="BM28" s="481"/>
      <c r="BN28" s="899"/>
      <c r="BO28" s="897"/>
      <c r="BP28" s="897"/>
      <c r="BQ28" s="898">
        <f t="shared" ref="BQ28:BQ33" si="51">BO28-BP28</f>
        <v>0</v>
      </c>
      <c r="BR28" s="899"/>
      <c r="BS28" s="897"/>
      <c r="BT28" s="897"/>
      <c r="BU28" s="898">
        <f t="shared" ref="BU28:BU33" si="52">BS28-BT28</f>
        <v>0</v>
      </c>
      <c r="BV28" s="481"/>
      <c r="BW28" s="899"/>
      <c r="BX28" s="897"/>
      <c r="BY28" s="897"/>
      <c r="BZ28" s="898">
        <f t="shared" ref="BZ28:BZ33" si="53">BX28-BY28</f>
        <v>0</v>
      </c>
      <c r="CA28" s="870"/>
      <c r="CB28" s="871"/>
      <c r="CC28" s="871"/>
      <c r="CD28" s="872">
        <f t="shared" ref="CD28:CD33" si="54">CB28-CC28</f>
        <v>0</v>
      </c>
      <c r="CE28" s="327"/>
      <c r="CF28" s="301"/>
    </row>
    <row r="29">
      <c r="A29" s="301"/>
      <c r="B29" s="324"/>
      <c r="C29" s="875"/>
      <c r="D29" s="900"/>
      <c r="E29" s="900"/>
      <c r="F29" s="898">
        <f t="shared" si="37"/>
        <v>0</v>
      </c>
      <c r="G29" s="901"/>
      <c r="H29" s="900"/>
      <c r="I29" s="900"/>
      <c r="J29" s="898">
        <f t="shared" si="38"/>
        <v>0</v>
      </c>
      <c r="K29" s="481"/>
      <c r="L29" s="901"/>
      <c r="M29" s="900"/>
      <c r="N29" s="900"/>
      <c r="O29" s="898">
        <f t="shared" si="39"/>
        <v>0</v>
      </c>
      <c r="P29" s="901"/>
      <c r="Q29" s="900"/>
      <c r="R29" s="900"/>
      <c r="S29" s="898">
        <f t="shared" si="40"/>
        <v>0</v>
      </c>
      <c r="T29" s="481"/>
      <c r="U29" s="901"/>
      <c r="V29" s="900"/>
      <c r="W29" s="900"/>
      <c r="X29" s="898">
        <f t="shared" si="41"/>
        <v>0</v>
      </c>
      <c r="Y29" s="901"/>
      <c r="Z29" s="900"/>
      <c r="AA29" s="900"/>
      <c r="AB29" s="898">
        <f t="shared" si="42"/>
        <v>0</v>
      </c>
      <c r="AC29" s="481"/>
      <c r="AD29" s="901"/>
      <c r="AE29" s="900"/>
      <c r="AF29" s="900"/>
      <c r="AG29" s="898">
        <f t="shared" si="43"/>
        <v>0</v>
      </c>
      <c r="AH29" s="901"/>
      <c r="AI29" s="900"/>
      <c r="AJ29" s="900"/>
      <c r="AK29" s="898">
        <f t="shared" si="44"/>
        <v>0</v>
      </c>
      <c r="AL29" s="481"/>
      <c r="AM29" s="901"/>
      <c r="AN29" s="900"/>
      <c r="AO29" s="900"/>
      <c r="AP29" s="898">
        <f t="shared" si="45"/>
        <v>0</v>
      </c>
      <c r="AQ29" s="901"/>
      <c r="AR29" s="900"/>
      <c r="AS29" s="900"/>
      <c r="AT29" s="898">
        <f t="shared" si="46"/>
        <v>0</v>
      </c>
      <c r="AU29" s="481"/>
      <c r="AV29" s="901"/>
      <c r="AW29" s="900"/>
      <c r="AX29" s="900"/>
      <c r="AY29" s="898">
        <f t="shared" si="47"/>
        <v>0</v>
      </c>
      <c r="AZ29" s="901"/>
      <c r="BA29" s="900"/>
      <c r="BB29" s="900"/>
      <c r="BC29" s="898">
        <f t="shared" si="48"/>
        <v>0</v>
      </c>
      <c r="BD29" s="481"/>
      <c r="BE29" s="901"/>
      <c r="BF29" s="900"/>
      <c r="BG29" s="900"/>
      <c r="BH29" s="898">
        <f t="shared" si="49"/>
        <v>0</v>
      </c>
      <c r="BI29" s="901"/>
      <c r="BJ29" s="900"/>
      <c r="BK29" s="900"/>
      <c r="BL29" s="898">
        <f t="shared" si="50"/>
        <v>0</v>
      </c>
      <c r="BM29" s="481"/>
      <c r="BN29" s="901"/>
      <c r="BO29" s="900"/>
      <c r="BP29" s="900"/>
      <c r="BQ29" s="898">
        <f t="shared" si="51"/>
        <v>0</v>
      </c>
      <c r="BR29" s="901"/>
      <c r="BS29" s="900"/>
      <c r="BT29" s="900"/>
      <c r="BU29" s="898">
        <f t="shared" si="52"/>
        <v>0</v>
      </c>
      <c r="BV29" s="481"/>
      <c r="BW29" s="901"/>
      <c r="BX29" s="900"/>
      <c r="BY29" s="900"/>
      <c r="BZ29" s="898">
        <f t="shared" si="53"/>
        <v>0</v>
      </c>
      <c r="CA29" s="875"/>
      <c r="CB29" s="876"/>
      <c r="CC29" s="876"/>
      <c r="CD29" s="872">
        <f t="shared" si="54"/>
        <v>0</v>
      </c>
      <c r="CE29" s="327"/>
      <c r="CF29" s="301"/>
    </row>
    <row r="30">
      <c r="A30" s="301"/>
      <c r="B30" s="324"/>
      <c r="C30" s="875"/>
      <c r="D30" s="900"/>
      <c r="E30" s="900"/>
      <c r="F30" s="898">
        <f t="shared" si="37"/>
        <v>0</v>
      </c>
      <c r="G30" s="901"/>
      <c r="H30" s="900"/>
      <c r="I30" s="900"/>
      <c r="J30" s="898">
        <f t="shared" si="38"/>
        <v>0</v>
      </c>
      <c r="K30" s="481"/>
      <c r="L30" s="901"/>
      <c r="M30" s="900"/>
      <c r="N30" s="900"/>
      <c r="O30" s="898">
        <f t="shared" si="39"/>
        <v>0</v>
      </c>
      <c r="P30" s="901"/>
      <c r="Q30" s="900"/>
      <c r="R30" s="900"/>
      <c r="S30" s="898">
        <f t="shared" si="40"/>
        <v>0</v>
      </c>
      <c r="T30" s="481"/>
      <c r="U30" s="901"/>
      <c r="V30" s="900"/>
      <c r="W30" s="900"/>
      <c r="X30" s="898">
        <f t="shared" si="41"/>
        <v>0</v>
      </c>
      <c r="Y30" s="901"/>
      <c r="Z30" s="900"/>
      <c r="AA30" s="900"/>
      <c r="AB30" s="898">
        <f t="shared" si="42"/>
        <v>0</v>
      </c>
      <c r="AC30" s="481"/>
      <c r="AD30" s="901"/>
      <c r="AE30" s="900"/>
      <c r="AF30" s="900"/>
      <c r="AG30" s="898">
        <f t="shared" si="43"/>
        <v>0</v>
      </c>
      <c r="AH30" s="901"/>
      <c r="AI30" s="900"/>
      <c r="AJ30" s="900"/>
      <c r="AK30" s="898">
        <f t="shared" si="44"/>
        <v>0</v>
      </c>
      <c r="AL30" s="481"/>
      <c r="AM30" s="901"/>
      <c r="AN30" s="900"/>
      <c r="AO30" s="900"/>
      <c r="AP30" s="898">
        <f t="shared" si="45"/>
        <v>0</v>
      </c>
      <c r="AQ30" s="901"/>
      <c r="AR30" s="900"/>
      <c r="AS30" s="900"/>
      <c r="AT30" s="898">
        <f t="shared" si="46"/>
        <v>0</v>
      </c>
      <c r="AU30" s="481"/>
      <c r="AV30" s="901"/>
      <c r="AW30" s="900"/>
      <c r="AX30" s="900"/>
      <c r="AY30" s="898">
        <f t="shared" si="47"/>
        <v>0</v>
      </c>
      <c r="AZ30" s="901"/>
      <c r="BA30" s="900"/>
      <c r="BB30" s="900"/>
      <c r="BC30" s="898">
        <f t="shared" si="48"/>
        <v>0</v>
      </c>
      <c r="BD30" s="481"/>
      <c r="BE30" s="901"/>
      <c r="BF30" s="900"/>
      <c r="BG30" s="900"/>
      <c r="BH30" s="898">
        <f t="shared" si="49"/>
        <v>0</v>
      </c>
      <c r="BI30" s="901"/>
      <c r="BJ30" s="900"/>
      <c r="BK30" s="900"/>
      <c r="BL30" s="898">
        <f t="shared" si="50"/>
        <v>0</v>
      </c>
      <c r="BM30" s="481"/>
      <c r="BN30" s="901"/>
      <c r="BO30" s="900"/>
      <c r="BP30" s="900"/>
      <c r="BQ30" s="898">
        <f t="shared" si="51"/>
        <v>0</v>
      </c>
      <c r="BR30" s="901"/>
      <c r="BS30" s="900"/>
      <c r="BT30" s="900"/>
      <c r="BU30" s="898">
        <f t="shared" si="52"/>
        <v>0</v>
      </c>
      <c r="BV30" s="481"/>
      <c r="BW30" s="901"/>
      <c r="BX30" s="900"/>
      <c r="BY30" s="900"/>
      <c r="BZ30" s="898">
        <f t="shared" si="53"/>
        <v>0</v>
      </c>
      <c r="CA30" s="875"/>
      <c r="CB30" s="876"/>
      <c r="CC30" s="876"/>
      <c r="CD30" s="872">
        <f t="shared" si="54"/>
        <v>0</v>
      </c>
      <c r="CE30" s="327"/>
      <c r="CF30" s="301"/>
    </row>
    <row r="31">
      <c r="A31" s="301"/>
      <c r="B31" s="324"/>
      <c r="C31" s="875"/>
      <c r="D31" s="900"/>
      <c r="E31" s="900"/>
      <c r="F31" s="898">
        <f t="shared" si="37"/>
        <v>0</v>
      </c>
      <c r="G31" s="901"/>
      <c r="H31" s="900"/>
      <c r="I31" s="900"/>
      <c r="J31" s="898">
        <f t="shared" si="38"/>
        <v>0</v>
      </c>
      <c r="K31" s="481"/>
      <c r="L31" s="901"/>
      <c r="M31" s="900"/>
      <c r="N31" s="900"/>
      <c r="O31" s="898">
        <f t="shared" si="39"/>
        <v>0</v>
      </c>
      <c r="P31" s="901"/>
      <c r="Q31" s="900"/>
      <c r="R31" s="900"/>
      <c r="S31" s="898">
        <f t="shared" si="40"/>
        <v>0</v>
      </c>
      <c r="T31" s="481"/>
      <c r="U31" s="901"/>
      <c r="V31" s="900"/>
      <c r="W31" s="900"/>
      <c r="X31" s="898">
        <f t="shared" si="41"/>
        <v>0</v>
      </c>
      <c r="Y31" s="901"/>
      <c r="Z31" s="900"/>
      <c r="AA31" s="900"/>
      <c r="AB31" s="898">
        <f t="shared" si="42"/>
        <v>0</v>
      </c>
      <c r="AC31" s="481"/>
      <c r="AD31" s="901"/>
      <c r="AE31" s="900"/>
      <c r="AF31" s="900"/>
      <c r="AG31" s="898">
        <f t="shared" si="43"/>
        <v>0</v>
      </c>
      <c r="AH31" s="901"/>
      <c r="AI31" s="900"/>
      <c r="AJ31" s="900"/>
      <c r="AK31" s="898">
        <f t="shared" si="44"/>
        <v>0</v>
      </c>
      <c r="AL31" s="481"/>
      <c r="AM31" s="901"/>
      <c r="AN31" s="900"/>
      <c r="AO31" s="900"/>
      <c r="AP31" s="898">
        <f t="shared" si="45"/>
        <v>0</v>
      </c>
      <c r="AQ31" s="901"/>
      <c r="AR31" s="900"/>
      <c r="AS31" s="900"/>
      <c r="AT31" s="898">
        <f t="shared" si="46"/>
        <v>0</v>
      </c>
      <c r="AU31" s="481"/>
      <c r="AV31" s="901"/>
      <c r="AW31" s="900"/>
      <c r="AX31" s="900"/>
      <c r="AY31" s="898">
        <f t="shared" si="47"/>
        <v>0</v>
      </c>
      <c r="AZ31" s="901"/>
      <c r="BA31" s="900"/>
      <c r="BB31" s="900"/>
      <c r="BC31" s="898">
        <f t="shared" si="48"/>
        <v>0</v>
      </c>
      <c r="BD31" s="481"/>
      <c r="BE31" s="901"/>
      <c r="BF31" s="900"/>
      <c r="BG31" s="900"/>
      <c r="BH31" s="898">
        <f t="shared" si="49"/>
        <v>0</v>
      </c>
      <c r="BI31" s="901"/>
      <c r="BJ31" s="900"/>
      <c r="BK31" s="900"/>
      <c r="BL31" s="898">
        <f t="shared" si="50"/>
        <v>0</v>
      </c>
      <c r="BM31" s="481"/>
      <c r="BN31" s="901"/>
      <c r="BO31" s="900"/>
      <c r="BP31" s="900"/>
      <c r="BQ31" s="898">
        <f t="shared" si="51"/>
        <v>0</v>
      </c>
      <c r="BR31" s="901"/>
      <c r="BS31" s="900"/>
      <c r="BT31" s="900"/>
      <c r="BU31" s="898">
        <f t="shared" si="52"/>
        <v>0</v>
      </c>
      <c r="BV31" s="481"/>
      <c r="BW31" s="901"/>
      <c r="BX31" s="900"/>
      <c r="BY31" s="900"/>
      <c r="BZ31" s="898">
        <f t="shared" si="53"/>
        <v>0</v>
      </c>
      <c r="CA31" s="875"/>
      <c r="CB31" s="876"/>
      <c r="CC31" s="876"/>
      <c r="CD31" s="872">
        <f t="shared" si="54"/>
        <v>0</v>
      </c>
      <c r="CE31" s="327"/>
      <c r="CF31" s="301"/>
    </row>
    <row r="32">
      <c r="A32" s="301"/>
      <c r="B32" s="324"/>
      <c r="C32" s="875"/>
      <c r="D32" s="900"/>
      <c r="E32" s="900"/>
      <c r="F32" s="898">
        <f t="shared" si="37"/>
        <v>0</v>
      </c>
      <c r="G32" s="901"/>
      <c r="H32" s="900"/>
      <c r="I32" s="900"/>
      <c r="J32" s="898">
        <f t="shared" si="38"/>
        <v>0</v>
      </c>
      <c r="K32" s="481"/>
      <c r="L32" s="901"/>
      <c r="M32" s="900"/>
      <c r="N32" s="900"/>
      <c r="O32" s="898">
        <f t="shared" si="39"/>
        <v>0</v>
      </c>
      <c r="P32" s="901"/>
      <c r="Q32" s="900"/>
      <c r="R32" s="900"/>
      <c r="S32" s="898">
        <f t="shared" si="40"/>
        <v>0</v>
      </c>
      <c r="T32" s="481"/>
      <c r="U32" s="901"/>
      <c r="V32" s="900"/>
      <c r="W32" s="900"/>
      <c r="X32" s="898">
        <f t="shared" si="41"/>
        <v>0</v>
      </c>
      <c r="Y32" s="901"/>
      <c r="Z32" s="900"/>
      <c r="AA32" s="900"/>
      <c r="AB32" s="898">
        <f t="shared" si="42"/>
        <v>0</v>
      </c>
      <c r="AC32" s="481"/>
      <c r="AD32" s="901"/>
      <c r="AE32" s="900"/>
      <c r="AF32" s="900"/>
      <c r="AG32" s="898">
        <f t="shared" si="43"/>
        <v>0</v>
      </c>
      <c r="AH32" s="901"/>
      <c r="AI32" s="900"/>
      <c r="AJ32" s="900"/>
      <c r="AK32" s="898">
        <f t="shared" si="44"/>
        <v>0</v>
      </c>
      <c r="AL32" s="481"/>
      <c r="AM32" s="901"/>
      <c r="AN32" s="900"/>
      <c r="AO32" s="900"/>
      <c r="AP32" s="898">
        <f t="shared" si="45"/>
        <v>0</v>
      </c>
      <c r="AQ32" s="901"/>
      <c r="AR32" s="900"/>
      <c r="AS32" s="900"/>
      <c r="AT32" s="898">
        <f t="shared" si="46"/>
        <v>0</v>
      </c>
      <c r="AU32" s="481"/>
      <c r="AV32" s="901"/>
      <c r="AW32" s="900"/>
      <c r="AX32" s="900"/>
      <c r="AY32" s="898">
        <f t="shared" si="47"/>
        <v>0</v>
      </c>
      <c r="AZ32" s="901"/>
      <c r="BA32" s="900"/>
      <c r="BB32" s="900"/>
      <c r="BC32" s="898">
        <f t="shared" si="48"/>
        <v>0</v>
      </c>
      <c r="BD32" s="481"/>
      <c r="BE32" s="901"/>
      <c r="BF32" s="900"/>
      <c r="BG32" s="900"/>
      <c r="BH32" s="898">
        <f t="shared" si="49"/>
        <v>0</v>
      </c>
      <c r="BI32" s="901"/>
      <c r="BJ32" s="900"/>
      <c r="BK32" s="900"/>
      <c r="BL32" s="898">
        <f t="shared" si="50"/>
        <v>0</v>
      </c>
      <c r="BM32" s="481"/>
      <c r="BN32" s="901"/>
      <c r="BO32" s="900"/>
      <c r="BP32" s="900"/>
      <c r="BQ32" s="898">
        <f t="shared" si="51"/>
        <v>0</v>
      </c>
      <c r="BR32" s="901"/>
      <c r="BS32" s="900"/>
      <c r="BT32" s="900"/>
      <c r="BU32" s="898">
        <f t="shared" si="52"/>
        <v>0</v>
      </c>
      <c r="BV32" s="481"/>
      <c r="BW32" s="901"/>
      <c r="BX32" s="900"/>
      <c r="BY32" s="900"/>
      <c r="BZ32" s="898">
        <f t="shared" si="53"/>
        <v>0</v>
      </c>
      <c r="CA32" s="875"/>
      <c r="CB32" s="876"/>
      <c r="CC32" s="876"/>
      <c r="CD32" s="872">
        <f t="shared" si="54"/>
        <v>0</v>
      </c>
      <c r="CE32" s="327"/>
      <c r="CF32" s="301"/>
    </row>
    <row r="33">
      <c r="A33" s="301"/>
      <c r="B33" s="324"/>
      <c r="C33" s="877"/>
      <c r="D33" s="905"/>
      <c r="E33" s="905"/>
      <c r="F33" s="898">
        <f t="shared" si="37"/>
        <v>0</v>
      </c>
      <c r="G33" s="906"/>
      <c r="H33" s="905"/>
      <c r="I33" s="905"/>
      <c r="J33" s="898">
        <f t="shared" si="38"/>
        <v>0</v>
      </c>
      <c r="K33" s="481"/>
      <c r="L33" s="906"/>
      <c r="M33" s="905"/>
      <c r="N33" s="905"/>
      <c r="O33" s="898">
        <f t="shared" si="39"/>
        <v>0</v>
      </c>
      <c r="P33" s="906"/>
      <c r="Q33" s="905"/>
      <c r="R33" s="905"/>
      <c r="S33" s="898">
        <f t="shared" si="40"/>
        <v>0</v>
      </c>
      <c r="T33" s="481"/>
      <c r="U33" s="906"/>
      <c r="V33" s="905"/>
      <c r="W33" s="905"/>
      <c r="X33" s="898">
        <f t="shared" si="41"/>
        <v>0</v>
      </c>
      <c r="Y33" s="906"/>
      <c r="Z33" s="905"/>
      <c r="AA33" s="905"/>
      <c r="AB33" s="898">
        <f t="shared" si="42"/>
        <v>0</v>
      </c>
      <c r="AC33" s="481"/>
      <c r="AD33" s="906"/>
      <c r="AE33" s="905"/>
      <c r="AF33" s="905"/>
      <c r="AG33" s="898">
        <f t="shared" si="43"/>
        <v>0</v>
      </c>
      <c r="AH33" s="906"/>
      <c r="AI33" s="905"/>
      <c r="AJ33" s="905"/>
      <c r="AK33" s="898">
        <f t="shared" si="44"/>
        <v>0</v>
      </c>
      <c r="AL33" s="481"/>
      <c r="AM33" s="906"/>
      <c r="AN33" s="905"/>
      <c r="AO33" s="905"/>
      <c r="AP33" s="898">
        <f t="shared" si="45"/>
        <v>0</v>
      </c>
      <c r="AQ33" s="906"/>
      <c r="AR33" s="905"/>
      <c r="AS33" s="905"/>
      <c r="AT33" s="898">
        <f t="shared" si="46"/>
        <v>0</v>
      </c>
      <c r="AU33" s="481"/>
      <c r="AV33" s="906"/>
      <c r="AW33" s="905"/>
      <c r="AX33" s="905"/>
      <c r="AY33" s="898">
        <f t="shared" si="47"/>
        <v>0</v>
      </c>
      <c r="AZ33" s="906"/>
      <c r="BA33" s="905"/>
      <c r="BB33" s="905"/>
      <c r="BC33" s="898">
        <f t="shared" si="48"/>
        <v>0</v>
      </c>
      <c r="BD33" s="481"/>
      <c r="BE33" s="906"/>
      <c r="BF33" s="905"/>
      <c r="BG33" s="905"/>
      <c r="BH33" s="898">
        <f t="shared" si="49"/>
        <v>0</v>
      </c>
      <c r="BI33" s="906"/>
      <c r="BJ33" s="905"/>
      <c r="BK33" s="905"/>
      <c r="BL33" s="898">
        <f t="shared" si="50"/>
        <v>0</v>
      </c>
      <c r="BM33" s="481"/>
      <c r="BN33" s="906"/>
      <c r="BO33" s="905"/>
      <c r="BP33" s="905"/>
      <c r="BQ33" s="898">
        <f t="shared" si="51"/>
        <v>0</v>
      </c>
      <c r="BR33" s="906"/>
      <c r="BS33" s="905"/>
      <c r="BT33" s="905"/>
      <c r="BU33" s="898">
        <f t="shared" si="52"/>
        <v>0</v>
      </c>
      <c r="BV33" s="481"/>
      <c r="BW33" s="906"/>
      <c r="BX33" s="905"/>
      <c r="BY33" s="905"/>
      <c r="BZ33" s="898">
        <f t="shared" si="53"/>
        <v>0</v>
      </c>
      <c r="CA33" s="877"/>
      <c r="CB33" s="878"/>
      <c r="CC33" s="878"/>
      <c r="CD33" s="872">
        <f t="shared" si="54"/>
        <v>0</v>
      </c>
      <c r="CE33" s="327"/>
      <c r="CF33" s="301"/>
    </row>
    <row r="34">
      <c r="A34" s="301"/>
      <c r="B34" s="324"/>
      <c r="C34" s="880" t="s">
        <v>155</v>
      </c>
      <c r="D34" s="881">
        <f>SUM(F28:F33)</f>
        <v>0</v>
      </c>
      <c r="E34" s="706"/>
      <c r="F34" s="706"/>
      <c r="G34" s="910" t="s">
        <v>155</v>
      </c>
      <c r="H34" s="881">
        <f>SUM(J28:J33)</f>
        <v>0</v>
      </c>
      <c r="I34" s="706"/>
      <c r="J34" s="706"/>
      <c r="K34" s="481"/>
      <c r="L34" s="910" t="s">
        <v>155</v>
      </c>
      <c r="M34" s="881">
        <f>SUM(O28:O33)</f>
        <v>0</v>
      </c>
      <c r="N34" s="706"/>
      <c r="O34" s="706"/>
      <c r="P34" s="910" t="s">
        <v>155</v>
      </c>
      <c r="Q34" s="881">
        <f>SUM(S28:S33)</f>
        <v>0</v>
      </c>
      <c r="R34" s="706"/>
      <c r="S34" s="706"/>
      <c r="T34" s="481"/>
      <c r="U34" s="910" t="s">
        <v>155</v>
      </c>
      <c r="V34" s="881">
        <f>SUM(X28:X33)</f>
        <v>0</v>
      </c>
      <c r="W34" s="706"/>
      <c r="X34" s="706"/>
      <c r="Y34" s="910" t="s">
        <v>155</v>
      </c>
      <c r="Z34" s="881">
        <f>SUM(AB28:AB33)</f>
        <v>0</v>
      </c>
      <c r="AA34" s="706"/>
      <c r="AB34" s="706"/>
      <c r="AC34" s="481"/>
      <c r="AD34" s="910" t="s">
        <v>155</v>
      </c>
      <c r="AE34" s="917">
        <f>SUM(AG28:AG33)</f>
        <v>0</v>
      </c>
      <c r="AF34" s="706"/>
      <c r="AG34" s="706"/>
      <c r="AH34" s="910" t="s">
        <v>155</v>
      </c>
      <c r="AI34" s="917">
        <f>SUM(AK28:AK33)</f>
        <v>0</v>
      </c>
      <c r="AJ34" s="706"/>
      <c r="AK34" s="707"/>
      <c r="AL34" s="481"/>
      <c r="AM34" s="910" t="s">
        <v>155</v>
      </c>
      <c r="AN34" s="881">
        <f>SUM(AP28:AP33)</f>
        <v>0</v>
      </c>
      <c r="AO34" s="706"/>
      <c r="AP34" s="706"/>
      <c r="AQ34" s="910" t="s">
        <v>155</v>
      </c>
      <c r="AR34" s="881">
        <f>SUM(AT28:AT33)</f>
        <v>0</v>
      </c>
      <c r="AS34" s="706"/>
      <c r="AT34" s="706"/>
      <c r="AU34" s="481"/>
      <c r="AV34" s="910" t="s">
        <v>155</v>
      </c>
      <c r="AW34" s="881">
        <f>SUM(AY28:AY33)</f>
        <v>0</v>
      </c>
      <c r="AX34" s="706"/>
      <c r="AY34" s="706"/>
      <c r="AZ34" s="910" t="s">
        <v>155</v>
      </c>
      <c r="BA34" s="881">
        <f>SUM(BC28:BC33)</f>
        <v>0</v>
      </c>
      <c r="BB34" s="706"/>
      <c r="BC34" s="706"/>
      <c r="BD34" s="481"/>
      <c r="BE34" s="910" t="s">
        <v>155</v>
      </c>
      <c r="BF34" s="881">
        <f>SUM(BH28:BH33)</f>
        <v>0</v>
      </c>
      <c r="BG34" s="706"/>
      <c r="BH34" s="706"/>
      <c r="BI34" s="910" t="s">
        <v>155</v>
      </c>
      <c r="BJ34" s="881">
        <f>SUM(BL28:BL33)</f>
        <v>0</v>
      </c>
      <c r="BK34" s="706"/>
      <c r="BL34" s="706"/>
      <c r="BM34" s="481"/>
      <c r="BN34" s="910" t="s">
        <v>155</v>
      </c>
      <c r="BO34" s="881">
        <f>SUM(BQ28:BQ33)</f>
        <v>0</v>
      </c>
      <c r="BP34" s="706"/>
      <c r="BQ34" s="706"/>
      <c r="BR34" s="910" t="s">
        <v>155</v>
      </c>
      <c r="BS34" s="881">
        <f>SUM(BU28:BU33)</f>
        <v>0</v>
      </c>
      <c r="BT34" s="706"/>
      <c r="BU34" s="706"/>
      <c r="BV34" s="481"/>
      <c r="BW34" s="910" t="s">
        <v>155</v>
      </c>
      <c r="BX34" s="881">
        <f>SUM(BZ28:BZ33)</f>
        <v>0</v>
      </c>
      <c r="BY34" s="706"/>
      <c r="BZ34" s="706"/>
      <c r="CA34" s="880" t="s">
        <v>155</v>
      </c>
      <c r="CB34" s="881">
        <f>SUM(CD28:CD33)</f>
        <v>0</v>
      </c>
      <c r="CC34" s="706"/>
      <c r="CD34" s="706"/>
      <c r="CE34" s="327"/>
      <c r="CF34" s="301"/>
    </row>
    <row r="35">
      <c r="A35" s="5"/>
      <c r="B35" s="416"/>
      <c r="C35" s="883" t="s">
        <v>162</v>
      </c>
      <c r="D35" s="911"/>
      <c r="E35" s="124"/>
      <c r="F35" s="419"/>
      <c r="G35" s="912" t="s">
        <v>162</v>
      </c>
      <c r="H35" s="911"/>
      <c r="I35" s="124"/>
      <c r="J35" s="125"/>
      <c r="K35" s="470"/>
      <c r="L35" s="912" t="s">
        <v>162</v>
      </c>
      <c r="M35" s="911"/>
      <c r="N35" s="124"/>
      <c r="O35" s="419"/>
      <c r="P35" s="912" t="s">
        <v>162</v>
      </c>
      <c r="Q35" s="911"/>
      <c r="R35" s="124"/>
      <c r="S35" s="125"/>
      <c r="T35" s="470"/>
      <c r="U35" s="912" t="s">
        <v>162</v>
      </c>
      <c r="V35" s="911"/>
      <c r="W35" s="124"/>
      <c r="X35" s="419"/>
      <c r="Y35" s="912" t="s">
        <v>162</v>
      </c>
      <c r="Z35" s="911"/>
      <c r="AA35" s="124"/>
      <c r="AB35" s="125"/>
      <c r="AC35" s="470"/>
      <c r="AD35" s="912" t="s">
        <v>162</v>
      </c>
      <c r="AE35" s="911"/>
      <c r="AF35" s="124"/>
      <c r="AG35" s="419"/>
      <c r="AH35" s="912" t="s">
        <v>162</v>
      </c>
      <c r="AI35" s="911"/>
      <c r="AJ35" s="124"/>
      <c r="AK35" s="125"/>
      <c r="AL35" s="470"/>
      <c r="AM35" s="912" t="s">
        <v>162</v>
      </c>
      <c r="AN35" s="911"/>
      <c r="AO35" s="124"/>
      <c r="AP35" s="419"/>
      <c r="AQ35" s="912" t="s">
        <v>162</v>
      </c>
      <c r="AR35" s="911"/>
      <c r="AS35" s="124"/>
      <c r="AT35" s="125"/>
      <c r="AU35" s="470"/>
      <c r="AV35" s="912" t="s">
        <v>162</v>
      </c>
      <c r="AW35" s="911"/>
      <c r="AX35" s="124"/>
      <c r="AY35" s="419"/>
      <c r="AZ35" s="912" t="s">
        <v>162</v>
      </c>
      <c r="BA35" s="911"/>
      <c r="BB35" s="124"/>
      <c r="BC35" s="125"/>
      <c r="BD35" s="470"/>
      <c r="BE35" s="912" t="s">
        <v>162</v>
      </c>
      <c r="BF35" s="911"/>
      <c r="BG35" s="124"/>
      <c r="BH35" s="419"/>
      <c r="BI35" s="912" t="s">
        <v>162</v>
      </c>
      <c r="BJ35" s="911"/>
      <c r="BK35" s="124"/>
      <c r="BL35" s="125"/>
      <c r="BM35" s="470"/>
      <c r="BN35" s="912" t="s">
        <v>162</v>
      </c>
      <c r="BO35" s="911"/>
      <c r="BP35" s="124"/>
      <c r="BQ35" s="419"/>
      <c r="BR35" s="912" t="s">
        <v>162</v>
      </c>
      <c r="BS35" s="911"/>
      <c r="BT35" s="124"/>
      <c r="BU35" s="125"/>
      <c r="BV35" s="470"/>
      <c r="BW35" s="912" t="s">
        <v>162</v>
      </c>
      <c r="BX35" s="911"/>
      <c r="BY35" s="124"/>
      <c r="BZ35" s="419"/>
      <c r="CA35" s="883" t="s">
        <v>162</v>
      </c>
      <c r="CB35" s="884"/>
      <c r="CC35" s="124"/>
      <c r="CD35" s="125"/>
      <c r="CE35" s="440"/>
      <c r="CF35" s="5"/>
    </row>
    <row r="36">
      <c r="A36" s="5"/>
      <c r="B36" s="416"/>
      <c r="C36" s="885" t="s">
        <v>168</v>
      </c>
      <c r="D36" s="886">
        <v>1.0</v>
      </c>
      <c r="E36" s="886">
        <v>2.0</v>
      </c>
      <c r="F36" s="892">
        <v>3.0</v>
      </c>
      <c r="G36" s="887" t="s">
        <v>174</v>
      </c>
      <c r="H36" s="342"/>
      <c r="I36" s="888" t="str">
        <f>IF(D35=2,"W",IF(H35=2,"L",))</f>
        <v/>
      </c>
      <c r="J36" s="889" t="str">
        <f>IF(H35=2,"W",IF(D35=2,"L",))</f>
        <v/>
      </c>
      <c r="K36" s="470"/>
      <c r="L36" s="890" t="s">
        <v>168</v>
      </c>
      <c r="M36" s="892">
        <v>1.0</v>
      </c>
      <c r="N36" s="892">
        <v>2.0</v>
      </c>
      <c r="O36" s="892">
        <v>3.0</v>
      </c>
      <c r="P36" s="887" t="s">
        <v>174</v>
      </c>
      <c r="Q36" s="342"/>
      <c r="R36" s="888" t="str">
        <f>IF(M35=2,"W",IF(Q35=2,"L",))</f>
        <v/>
      </c>
      <c r="S36" s="889" t="str">
        <f>IF(Q35=2,"W",IF(M35=2,"L",))</f>
        <v/>
      </c>
      <c r="T36" s="470"/>
      <c r="U36" s="890" t="s">
        <v>168</v>
      </c>
      <c r="V36" s="886">
        <v>1.0</v>
      </c>
      <c r="W36" s="886">
        <v>2.0</v>
      </c>
      <c r="X36" s="886">
        <v>3.0</v>
      </c>
      <c r="Y36" s="887" t="s">
        <v>174</v>
      </c>
      <c r="Z36" s="342"/>
      <c r="AA36" s="888" t="str">
        <f>IF(V35=2,"W",IF(Z35=2,"L",))</f>
        <v/>
      </c>
      <c r="AB36" s="889" t="str">
        <f>IF(Z35=2,"W",IF(V35=2,"L",))</f>
        <v/>
      </c>
      <c r="AC36" s="470"/>
      <c r="AD36" s="890" t="s">
        <v>168</v>
      </c>
      <c r="AE36" s="886">
        <v>1.0</v>
      </c>
      <c r="AF36" s="886">
        <v>2.0</v>
      </c>
      <c r="AG36" s="886">
        <v>3.0</v>
      </c>
      <c r="AH36" s="887" t="s">
        <v>174</v>
      </c>
      <c r="AI36" s="342"/>
      <c r="AJ36" s="888" t="str">
        <f>IF(AE35=2,"W",IF(AI35=2,"L",))</f>
        <v/>
      </c>
      <c r="AK36" s="889" t="str">
        <f>IF(AI35=2,"W",IF(AE35=2,"L",))</f>
        <v/>
      </c>
      <c r="AL36" s="470"/>
      <c r="AM36" s="890" t="s">
        <v>168</v>
      </c>
      <c r="AN36" s="886">
        <v>1.0</v>
      </c>
      <c r="AO36" s="886">
        <v>2.0</v>
      </c>
      <c r="AP36" s="886">
        <v>3.0</v>
      </c>
      <c r="AQ36" s="887" t="s">
        <v>174</v>
      </c>
      <c r="AR36" s="342"/>
      <c r="AS36" s="888" t="str">
        <f>IF(AN35=2,"W",IF(AR35=2,"L",))</f>
        <v/>
      </c>
      <c r="AT36" s="889" t="str">
        <f>IF(AR35=2,"W",IF(AN35=2,"L",))</f>
        <v/>
      </c>
      <c r="AU36" s="470"/>
      <c r="AV36" s="890" t="s">
        <v>168</v>
      </c>
      <c r="AW36" s="886">
        <v>1.0</v>
      </c>
      <c r="AX36" s="886">
        <v>2.0</v>
      </c>
      <c r="AY36" s="886">
        <v>3.0</v>
      </c>
      <c r="AZ36" s="887" t="s">
        <v>174</v>
      </c>
      <c r="BA36" s="342"/>
      <c r="BB36" s="888" t="str">
        <f>IF(AW35=2,"W",IF(BA35=2,"L",))</f>
        <v/>
      </c>
      <c r="BC36" s="889" t="str">
        <f>IF(BA35=2,"W",IF(AW35=2,"L",))</f>
        <v/>
      </c>
      <c r="BD36" s="470"/>
      <c r="BE36" s="890" t="s">
        <v>168</v>
      </c>
      <c r="BF36" s="886">
        <v>1.0</v>
      </c>
      <c r="BG36" s="886">
        <v>2.0</v>
      </c>
      <c r="BH36" s="886">
        <v>3.0</v>
      </c>
      <c r="BI36" s="887" t="s">
        <v>174</v>
      </c>
      <c r="BJ36" s="342"/>
      <c r="BK36" s="888" t="str">
        <f>IF(BF35=2,"W",IF(BJ35=2,"L",))</f>
        <v/>
      </c>
      <c r="BL36" s="889" t="str">
        <f>IF(BJ35=2,"W",IF(BF35=2,"L",))</f>
        <v/>
      </c>
      <c r="BM36" s="470"/>
      <c r="BN36" s="890" t="s">
        <v>168</v>
      </c>
      <c r="BO36" s="886">
        <v>1.0</v>
      </c>
      <c r="BP36" s="886">
        <v>2.0</v>
      </c>
      <c r="BQ36" s="886">
        <v>3.0</v>
      </c>
      <c r="BR36" s="887" t="s">
        <v>174</v>
      </c>
      <c r="BS36" s="342"/>
      <c r="BT36" s="888" t="str">
        <f>IF(BO35=2,"W",IF(BS35=2,"L",))</f>
        <v/>
      </c>
      <c r="BU36" s="889" t="str">
        <f>IF(BS35=2,"W",IF(BO35=2,"L",))</f>
        <v/>
      </c>
      <c r="BV36" s="470"/>
      <c r="BW36" s="890" t="s">
        <v>168</v>
      </c>
      <c r="BX36" s="886">
        <v>1.0</v>
      </c>
      <c r="BY36" s="886">
        <v>2.0</v>
      </c>
      <c r="BZ36" s="892">
        <v>3.0</v>
      </c>
      <c r="CA36" s="894" t="s">
        <v>174</v>
      </c>
      <c r="CB36" s="342"/>
      <c r="CC36" s="895" t="str">
        <f>IF(BX35=2,"W",IF(CB35=2,"L",))</f>
        <v/>
      </c>
      <c r="CD36" s="896" t="str">
        <f>IF(CB35=2,"W",IF(BX35=2,"L",))</f>
        <v/>
      </c>
      <c r="CE36" s="440"/>
      <c r="CF36" s="5"/>
    </row>
    <row r="37" ht="7.5" customHeight="1">
      <c r="A37" s="301"/>
      <c r="B37" s="324"/>
      <c r="C37" s="325"/>
      <c r="D37" s="481"/>
      <c r="E37" s="481"/>
      <c r="F37" s="481"/>
      <c r="G37" s="481"/>
      <c r="H37" s="481"/>
      <c r="I37" s="481"/>
      <c r="J37" s="481"/>
      <c r="K37" s="481"/>
      <c r="L37" s="481"/>
      <c r="M37" s="481"/>
      <c r="N37" s="481"/>
      <c r="O37" s="481"/>
      <c r="P37" s="481"/>
      <c r="Q37" s="481"/>
      <c r="R37" s="481"/>
      <c r="S37" s="481"/>
      <c r="T37" s="481"/>
      <c r="U37" s="481"/>
      <c r="V37" s="481"/>
      <c r="W37" s="481"/>
      <c r="X37" s="481"/>
      <c r="Y37" s="481"/>
      <c r="Z37" s="481"/>
      <c r="AA37" s="481"/>
      <c r="AB37" s="481"/>
      <c r="AC37" s="481"/>
      <c r="AD37" s="481"/>
      <c r="AE37" s="481"/>
      <c r="AF37" s="481"/>
      <c r="AG37" s="481"/>
      <c r="AH37" s="481"/>
      <c r="AI37" s="481"/>
      <c r="AJ37" s="481"/>
      <c r="AK37" s="481"/>
      <c r="AL37" s="481"/>
      <c r="AM37" s="481"/>
      <c r="AN37" s="481"/>
      <c r="AO37" s="481"/>
      <c r="AP37" s="481"/>
      <c r="AQ37" s="481"/>
      <c r="AR37" s="481"/>
      <c r="AS37" s="481"/>
      <c r="AT37" s="481"/>
      <c r="AU37" s="481"/>
      <c r="AV37" s="481"/>
      <c r="AW37" s="481"/>
      <c r="AX37" s="481"/>
      <c r="AY37" s="481"/>
      <c r="AZ37" s="481"/>
      <c r="BA37" s="481"/>
      <c r="BB37" s="481"/>
      <c r="BC37" s="481"/>
      <c r="BD37" s="481"/>
      <c r="BE37" s="481"/>
      <c r="BF37" s="481"/>
      <c r="BG37" s="481"/>
      <c r="BH37" s="481"/>
      <c r="BI37" s="481"/>
      <c r="BJ37" s="481"/>
      <c r="BK37" s="481"/>
      <c r="BL37" s="481"/>
      <c r="BM37" s="481"/>
      <c r="BN37" s="481"/>
      <c r="BO37" s="481"/>
      <c r="BP37" s="481"/>
      <c r="BQ37" s="481"/>
      <c r="BR37" s="481"/>
      <c r="BS37" s="481"/>
      <c r="BT37" s="481"/>
      <c r="BU37" s="481"/>
      <c r="BV37" s="481"/>
      <c r="BW37" s="481"/>
      <c r="BX37" s="481"/>
      <c r="BY37" s="481"/>
      <c r="BZ37" s="481"/>
      <c r="CA37" s="325"/>
      <c r="CB37" s="325"/>
      <c r="CC37" s="325"/>
      <c r="CD37" s="325"/>
      <c r="CE37" s="327"/>
      <c r="CF37" s="301"/>
    </row>
    <row r="38">
      <c r="A38" s="301"/>
      <c r="B38" s="324"/>
      <c r="C38" s="328" t="str">
        <f>#REF!</f>
        <v>#REF!</v>
      </c>
      <c r="D38" s="482" t="s">
        <v>148</v>
      </c>
      <c r="E38" s="483" t="s">
        <v>149</v>
      </c>
      <c r="F38" s="483" t="s">
        <v>36</v>
      </c>
      <c r="G38" s="484" t="str">
        <f>#REF!</f>
        <v>#REF!</v>
      </c>
      <c r="H38" s="485" t="s">
        <v>148</v>
      </c>
      <c r="I38" s="486" t="s">
        <v>149</v>
      </c>
      <c r="J38" s="487" t="s">
        <v>36</v>
      </c>
      <c r="K38" s="481"/>
      <c r="L38" s="488" t="str">
        <f>#REF!</f>
        <v>#REF!</v>
      </c>
      <c r="M38" s="482" t="s">
        <v>148</v>
      </c>
      <c r="N38" s="483" t="s">
        <v>149</v>
      </c>
      <c r="O38" s="483" t="s">
        <v>36</v>
      </c>
      <c r="P38" s="484" t="str">
        <f>#REF!</f>
        <v>#REF!</v>
      </c>
      <c r="Q38" s="485" t="s">
        <v>148</v>
      </c>
      <c r="R38" s="486" t="s">
        <v>149</v>
      </c>
      <c r="S38" s="487" t="s">
        <v>36</v>
      </c>
      <c r="T38" s="481"/>
      <c r="U38" s="488" t="str">
        <f>#REF!</f>
        <v>#REF!</v>
      </c>
      <c r="V38" s="482" t="s">
        <v>148</v>
      </c>
      <c r="W38" s="483" t="s">
        <v>149</v>
      </c>
      <c r="X38" s="483" t="s">
        <v>36</v>
      </c>
      <c r="Y38" s="484" t="str">
        <f>#REF!</f>
        <v>#REF!</v>
      </c>
      <c r="Z38" s="485" t="s">
        <v>148</v>
      </c>
      <c r="AA38" s="486" t="s">
        <v>149</v>
      </c>
      <c r="AB38" s="487" t="s">
        <v>36</v>
      </c>
      <c r="AC38" s="481"/>
      <c r="AD38" s="488" t="str">
        <f>#REF!</f>
        <v>#REF!</v>
      </c>
      <c r="AE38" s="482" t="s">
        <v>148</v>
      </c>
      <c r="AF38" s="483" t="s">
        <v>149</v>
      </c>
      <c r="AG38" s="483" t="s">
        <v>36</v>
      </c>
      <c r="AH38" s="484" t="str">
        <f>#REF!</f>
        <v>#REF!</v>
      </c>
      <c r="AI38" s="485" t="s">
        <v>148</v>
      </c>
      <c r="AJ38" s="486" t="s">
        <v>149</v>
      </c>
      <c r="AK38" s="487" t="s">
        <v>36</v>
      </c>
      <c r="AL38" s="481"/>
      <c r="AM38" s="488" t="str">
        <f>#REF!</f>
        <v>#REF!</v>
      </c>
      <c r="AN38" s="482" t="s">
        <v>148</v>
      </c>
      <c r="AO38" s="483" t="s">
        <v>149</v>
      </c>
      <c r="AP38" s="483" t="s">
        <v>36</v>
      </c>
      <c r="AQ38" s="484" t="str">
        <f>#REF!</f>
        <v>#REF!</v>
      </c>
      <c r="AR38" s="485" t="s">
        <v>148</v>
      </c>
      <c r="AS38" s="486" t="s">
        <v>149</v>
      </c>
      <c r="AT38" s="487" t="s">
        <v>36</v>
      </c>
      <c r="AU38" s="481"/>
      <c r="AV38" s="488" t="str">
        <f>#REF!</f>
        <v>#REF!</v>
      </c>
      <c r="AW38" s="482" t="s">
        <v>148</v>
      </c>
      <c r="AX38" s="483" t="s">
        <v>149</v>
      </c>
      <c r="AY38" s="483" t="s">
        <v>36</v>
      </c>
      <c r="AZ38" s="484" t="str">
        <f>#REF!</f>
        <v>#REF!</v>
      </c>
      <c r="BA38" s="485" t="s">
        <v>148</v>
      </c>
      <c r="BB38" s="486" t="s">
        <v>149</v>
      </c>
      <c r="BC38" s="487" t="s">
        <v>36</v>
      </c>
      <c r="BD38" s="481"/>
      <c r="BE38" s="488" t="str">
        <f>#REF!</f>
        <v>#REF!</v>
      </c>
      <c r="BF38" s="482" t="s">
        <v>148</v>
      </c>
      <c r="BG38" s="483" t="s">
        <v>149</v>
      </c>
      <c r="BH38" s="483" t="s">
        <v>36</v>
      </c>
      <c r="BI38" s="484" t="str">
        <f>#REF!</f>
        <v>#REF!</v>
      </c>
      <c r="BJ38" s="485" t="s">
        <v>148</v>
      </c>
      <c r="BK38" s="486" t="s">
        <v>149</v>
      </c>
      <c r="BL38" s="487" t="s">
        <v>36</v>
      </c>
      <c r="BM38" s="481"/>
      <c r="BN38" s="488" t="str">
        <f>#REF!</f>
        <v>#REF!</v>
      </c>
      <c r="BO38" s="482" t="s">
        <v>148</v>
      </c>
      <c r="BP38" s="483" t="s">
        <v>149</v>
      </c>
      <c r="BQ38" s="483" t="s">
        <v>36</v>
      </c>
      <c r="BR38" s="484" t="str">
        <f>#REF!</f>
        <v>#REF!</v>
      </c>
      <c r="BS38" s="485" t="s">
        <v>148</v>
      </c>
      <c r="BT38" s="486" t="s">
        <v>149</v>
      </c>
      <c r="BU38" s="487" t="s">
        <v>36</v>
      </c>
      <c r="BV38" s="481"/>
      <c r="BW38" s="488" t="str">
        <f>#REF!</f>
        <v>#REF!</v>
      </c>
      <c r="BX38" s="482" t="s">
        <v>148</v>
      </c>
      <c r="BY38" s="483" t="s">
        <v>149</v>
      </c>
      <c r="BZ38" s="483" t="s">
        <v>36</v>
      </c>
      <c r="CA38" s="331" t="str">
        <f>#REF!</f>
        <v>#REF!</v>
      </c>
      <c r="CB38" s="332" t="s">
        <v>148</v>
      </c>
      <c r="CC38" s="336" t="s">
        <v>149</v>
      </c>
      <c r="CD38" s="337" t="s">
        <v>36</v>
      </c>
      <c r="CE38" s="327"/>
      <c r="CF38" s="301"/>
    </row>
    <row r="39">
      <c r="A39" s="301"/>
      <c r="B39" s="324"/>
      <c r="C39" s="870"/>
      <c r="D39" s="897"/>
      <c r="E39" s="897"/>
      <c r="F39" s="898">
        <f t="shared" ref="F39:F44" si="55">D39-E39</f>
        <v>0</v>
      </c>
      <c r="G39" s="899"/>
      <c r="H39" s="897"/>
      <c r="I39" s="897"/>
      <c r="J39" s="898">
        <f t="shared" ref="J39:J44" si="56">H39-I39</f>
        <v>0</v>
      </c>
      <c r="K39" s="481"/>
      <c r="L39" s="899"/>
      <c r="M39" s="897"/>
      <c r="N39" s="897"/>
      <c r="O39" s="898">
        <f t="shared" ref="O39:O44" si="57">M39-N39</f>
        <v>0</v>
      </c>
      <c r="P39" s="899"/>
      <c r="Q39" s="897"/>
      <c r="R39" s="897"/>
      <c r="S39" s="898">
        <f t="shared" ref="S39:S44" si="58">Q39-R39</f>
        <v>0</v>
      </c>
      <c r="T39" s="481"/>
      <c r="U39" s="899"/>
      <c r="V39" s="897"/>
      <c r="W39" s="897"/>
      <c r="X39" s="898">
        <f t="shared" ref="X39:X44" si="59">V39-W39</f>
        <v>0</v>
      </c>
      <c r="Y39" s="899"/>
      <c r="Z39" s="897"/>
      <c r="AA39" s="897"/>
      <c r="AB39" s="898">
        <f t="shared" ref="AB39:AB44" si="60">Z39-AA39</f>
        <v>0</v>
      </c>
      <c r="AC39" s="481"/>
      <c r="AD39" s="899"/>
      <c r="AE39" s="897"/>
      <c r="AF39" s="897"/>
      <c r="AG39" s="898">
        <f t="shared" ref="AG39:AG44" si="61">AE39-AF39</f>
        <v>0</v>
      </c>
      <c r="AH39" s="899"/>
      <c r="AI39" s="897"/>
      <c r="AJ39" s="897"/>
      <c r="AK39" s="898">
        <f t="shared" ref="AK39:AK44" si="62">AI39-AJ39</f>
        <v>0</v>
      </c>
      <c r="AL39" s="481"/>
      <c r="AM39" s="899"/>
      <c r="AN39" s="897"/>
      <c r="AO39" s="897"/>
      <c r="AP39" s="898">
        <f t="shared" ref="AP39:AP44" si="63">AN39-AO39</f>
        <v>0</v>
      </c>
      <c r="AQ39" s="899"/>
      <c r="AR39" s="897"/>
      <c r="AS39" s="897"/>
      <c r="AT39" s="898">
        <f t="shared" ref="AT39:AT44" si="64">AR39-AS39</f>
        <v>0</v>
      </c>
      <c r="AU39" s="481"/>
      <c r="AV39" s="899"/>
      <c r="AW39" s="897"/>
      <c r="AX39" s="897"/>
      <c r="AY39" s="898">
        <f t="shared" ref="AY39:AY44" si="65">AW39-AX39</f>
        <v>0</v>
      </c>
      <c r="AZ39" s="899"/>
      <c r="BA39" s="897"/>
      <c r="BB39" s="897"/>
      <c r="BC39" s="898">
        <f t="shared" ref="BC39:BC44" si="66">BA39-BB39</f>
        <v>0</v>
      </c>
      <c r="BD39" s="481"/>
      <c r="BE39" s="899"/>
      <c r="BF39" s="897"/>
      <c r="BG39" s="897"/>
      <c r="BH39" s="898">
        <f t="shared" ref="BH39:BH44" si="67">SUM(BF39-BG39)</f>
        <v>0</v>
      </c>
      <c r="BI39" s="899"/>
      <c r="BJ39" s="897"/>
      <c r="BK39" s="897"/>
      <c r="BL39" s="898">
        <f t="shared" ref="BL39:BL44" si="68">SUM(BJ39-BK39)</f>
        <v>0</v>
      </c>
      <c r="BM39" s="481"/>
      <c r="BN39" s="899"/>
      <c r="BO39" s="897"/>
      <c r="BP39" s="897"/>
      <c r="BQ39" s="898">
        <f t="shared" ref="BQ39:BQ44" si="69">BO39-BP39</f>
        <v>0</v>
      </c>
      <c r="BR39" s="899"/>
      <c r="BS39" s="897"/>
      <c r="BT39" s="897"/>
      <c r="BU39" s="898">
        <f t="shared" ref="BU39:BU44" si="70">BS39-BT39</f>
        <v>0</v>
      </c>
      <c r="BV39" s="481"/>
      <c r="BW39" s="899"/>
      <c r="BX39" s="897"/>
      <c r="BY39" s="897"/>
      <c r="BZ39" s="898">
        <f t="shared" ref="BZ39:BZ44" si="71">BX39-BY39</f>
        <v>0</v>
      </c>
      <c r="CA39" s="870"/>
      <c r="CB39" s="871"/>
      <c r="CC39" s="871"/>
      <c r="CD39" s="872">
        <f t="shared" ref="CD39:CD44" si="72">CB39-CC39</f>
        <v>0</v>
      </c>
      <c r="CE39" s="327"/>
      <c r="CF39" s="301"/>
    </row>
    <row r="40">
      <c r="A40" s="301"/>
      <c r="B40" s="324"/>
      <c r="C40" s="875"/>
      <c r="D40" s="900"/>
      <c r="E40" s="900"/>
      <c r="F40" s="898">
        <f t="shared" si="55"/>
        <v>0</v>
      </c>
      <c r="G40" s="901"/>
      <c r="H40" s="900"/>
      <c r="I40" s="900"/>
      <c r="J40" s="898">
        <f t="shared" si="56"/>
        <v>0</v>
      </c>
      <c r="K40" s="481"/>
      <c r="L40" s="901"/>
      <c r="M40" s="900"/>
      <c r="N40" s="900"/>
      <c r="O40" s="898">
        <f t="shared" si="57"/>
        <v>0</v>
      </c>
      <c r="P40" s="901"/>
      <c r="Q40" s="900"/>
      <c r="R40" s="900"/>
      <c r="S40" s="898">
        <f t="shared" si="58"/>
        <v>0</v>
      </c>
      <c r="T40" s="481"/>
      <c r="U40" s="901"/>
      <c r="V40" s="900"/>
      <c r="W40" s="900"/>
      <c r="X40" s="898">
        <f t="shared" si="59"/>
        <v>0</v>
      </c>
      <c r="Y40" s="901"/>
      <c r="Z40" s="900"/>
      <c r="AA40" s="900"/>
      <c r="AB40" s="898">
        <f t="shared" si="60"/>
        <v>0</v>
      </c>
      <c r="AC40" s="481"/>
      <c r="AD40" s="901"/>
      <c r="AE40" s="900"/>
      <c r="AF40" s="900"/>
      <c r="AG40" s="898">
        <f t="shared" si="61"/>
        <v>0</v>
      </c>
      <c r="AH40" s="901"/>
      <c r="AI40" s="900"/>
      <c r="AJ40" s="900"/>
      <c r="AK40" s="898">
        <f t="shared" si="62"/>
        <v>0</v>
      </c>
      <c r="AL40" s="481"/>
      <c r="AM40" s="901"/>
      <c r="AN40" s="900"/>
      <c r="AO40" s="900"/>
      <c r="AP40" s="898">
        <f t="shared" si="63"/>
        <v>0</v>
      </c>
      <c r="AQ40" s="901"/>
      <c r="AR40" s="900"/>
      <c r="AS40" s="900"/>
      <c r="AT40" s="898">
        <f t="shared" si="64"/>
        <v>0</v>
      </c>
      <c r="AU40" s="481"/>
      <c r="AV40" s="901"/>
      <c r="AW40" s="900"/>
      <c r="AX40" s="900"/>
      <c r="AY40" s="898">
        <f t="shared" si="65"/>
        <v>0</v>
      </c>
      <c r="AZ40" s="901"/>
      <c r="BA40" s="900"/>
      <c r="BB40" s="900"/>
      <c r="BC40" s="898">
        <f t="shared" si="66"/>
        <v>0</v>
      </c>
      <c r="BD40" s="481"/>
      <c r="BE40" s="901"/>
      <c r="BF40" s="900"/>
      <c r="BG40" s="900"/>
      <c r="BH40" s="898">
        <f t="shared" si="67"/>
        <v>0</v>
      </c>
      <c r="BI40" s="901"/>
      <c r="BJ40" s="900"/>
      <c r="BK40" s="900"/>
      <c r="BL40" s="898">
        <f t="shared" si="68"/>
        <v>0</v>
      </c>
      <c r="BM40" s="481"/>
      <c r="BN40" s="901"/>
      <c r="BO40" s="900"/>
      <c r="BP40" s="900"/>
      <c r="BQ40" s="898">
        <f t="shared" si="69"/>
        <v>0</v>
      </c>
      <c r="BR40" s="901"/>
      <c r="BS40" s="900"/>
      <c r="BT40" s="900"/>
      <c r="BU40" s="898">
        <f t="shared" si="70"/>
        <v>0</v>
      </c>
      <c r="BV40" s="481"/>
      <c r="BW40" s="901"/>
      <c r="BX40" s="900"/>
      <c r="BY40" s="900"/>
      <c r="BZ40" s="898">
        <f t="shared" si="71"/>
        <v>0</v>
      </c>
      <c r="CA40" s="875"/>
      <c r="CB40" s="876"/>
      <c r="CC40" s="876"/>
      <c r="CD40" s="872">
        <f t="shared" si="72"/>
        <v>0</v>
      </c>
      <c r="CE40" s="327"/>
      <c r="CF40" s="301"/>
    </row>
    <row r="41">
      <c r="A41" s="301"/>
      <c r="B41" s="324"/>
      <c r="C41" s="875"/>
      <c r="D41" s="900"/>
      <c r="E41" s="900"/>
      <c r="F41" s="898">
        <f t="shared" si="55"/>
        <v>0</v>
      </c>
      <c r="G41" s="901"/>
      <c r="H41" s="900"/>
      <c r="I41" s="900"/>
      <c r="J41" s="898">
        <f t="shared" si="56"/>
        <v>0</v>
      </c>
      <c r="K41" s="481"/>
      <c r="L41" s="901"/>
      <c r="M41" s="900"/>
      <c r="N41" s="900"/>
      <c r="O41" s="898">
        <f t="shared" si="57"/>
        <v>0</v>
      </c>
      <c r="P41" s="901"/>
      <c r="Q41" s="900"/>
      <c r="R41" s="900"/>
      <c r="S41" s="898">
        <f t="shared" si="58"/>
        <v>0</v>
      </c>
      <c r="T41" s="481"/>
      <c r="U41" s="901"/>
      <c r="V41" s="900"/>
      <c r="W41" s="900"/>
      <c r="X41" s="898">
        <f t="shared" si="59"/>
        <v>0</v>
      </c>
      <c r="Y41" s="901"/>
      <c r="Z41" s="900"/>
      <c r="AA41" s="900"/>
      <c r="AB41" s="898">
        <f t="shared" si="60"/>
        <v>0</v>
      </c>
      <c r="AC41" s="481"/>
      <c r="AD41" s="901"/>
      <c r="AE41" s="900"/>
      <c r="AF41" s="900"/>
      <c r="AG41" s="898">
        <f t="shared" si="61"/>
        <v>0</v>
      </c>
      <c r="AH41" s="901"/>
      <c r="AI41" s="900"/>
      <c r="AJ41" s="900"/>
      <c r="AK41" s="898">
        <f t="shared" si="62"/>
        <v>0</v>
      </c>
      <c r="AL41" s="481"/>
      <c r="AM41" s="901"/>
      <c r="AN41" s="900"/>
      <c r="AO41" s="900"/>
      <c r="AP41" s="898">
        <f t="shared" si="63"/>
        <v>0</v>
      </c>
      <c r="AQ41" s="901"/>
      <c r="AR41" s="900"/>
      <c r="AS41" s="900"/>
      <c r="AT41" s="898">
        <f t="shared" si="64"/>
        <v>0</v>
      </c>
      <c r="AU41" s="481"/>
      <c r="AV41" s="901"/>
      <c r="AW41" s="900"/>
      <c r="AX41" s="900"/>
      <c r="AY41" s="898">
        <f t="shared" si="65"/>
        <v>0</v>
      </c>
      <c r="AZ41" s="901"/>
      <c r="BA41" s="900"/>
      <c r="BB41" s="900"/>
      <c r="BC41" s="898">
        <f t="shared" si="66"/>
        <v>0</v>
      </c>
      <c r="BD41" s="481"/>
      <c r="BE41" s="901"/>
      <c r="BF41" s="900"/>
      <c r="BG41" s="900"/>
      <c r="BH41" s="898">
        <f t="shared" si="67"/>
        <v>0</v>
      </c>
      <c r="BI41" s="901"/>
      <c r="BJ41" s="900"/>
      <c r="BK41" s="900"/>
      <c r="BL41" s="898">
        <f t="shared" si="68"/>
        <v>0</v>
      </c>
      <c r="BM41" s="481"/>
      <c r="BN41" s="901"/>
      <c r="BO41" s="900"/>
      <c r="BP41" s="900"/>
      <c r="BQ41" s="898">
        <f t="shared" si="69"/>
        <v>0</v>
      </c>
      <c r="BR41" s="901"/>
      <c r="BS41" s="900"/>
      <c r="BT41" s="900"/>
      <c r="BU41" s="898">
        <f t="shared" si="70"/>
        <v>0</v>
      </c>
      <c r="BV41" s="481"/>
      <c r="BW41" s="901"/>
      <c r="BX41" s="900"/>
      <c r="BY41" s="900"/>
      <c r="BZ41" s="898">
        <f t="shared" si="71"/>
        <v>0</v>
      </c>
      <c r="CA41" s="875"/>
      <c r="CB41" s="876"/>
      <c r="CC41" s="876"/>
      <c r="CD41" s="872">
        <f t="shared" si="72"/>
        <v>0</v>
      </c>
      <c r="CE41" s="327"/>
      <c r="CF41" s="301"/>
    </row>
    <row r="42">
      <c r="A42" s="301"/>
      <c r="B42" s="324"/>
      <c r="C42" s="875"/>
      <c r="D42" s="900"/>
      <c r="E42" s="900"/>
      <c r="F42" s="898">
        <f t="shared" si="55"/>
        <v>0</v>
      </c>
      <c r="G42" s="901"/>
      <c r="H42" s="900"/>
      <c r="I42" s="900"/>
      <c r="J42" s="898">
        <f t="shared" si="56"/>
        <v>0</v>
      </c>
      <c r="K42" s="481"/>
      <c r="L42" s="901"/>
      <c r="M42" s="900"/>
      <c r="N42" s="900"/>
      <c r="O42" s="898">
        <f t="shared" si="57"/>
        <v>0</v>
      </c>
      <c r="P42" s="901"/>
      <c r="Q42" s="900"/>
      <c r="R42" s="900"/>
      <c r="S42" s="898">
        <f t="shared" si="58"/>
        <v>0</v>
      </c>
      <c r="T42" s="481"/>
      <c r="U42" s="901"/>
      <c r="V42" s="900"/>
      <c r="W42" s="900"/>
      <c r="X42" s="898">
        <f t="shared" si="59"/>
        <v>0</v>
      </c>
      <c r="Y42" s="901"/>
      <c r="Z42" s="900"/>
      <c r="AA42" s="900"/>
      <c r="AB42" s="898">
        <f t="shared" si="60"/>
        <v>0</v>
      </c>
      <c r="AC42" s="481"/>
      <c r="AD42" s="901"/>
      <c r="AE42" s="900"/>
      <c r="AF42" s="900"/>
      <c r="AG42" s="898">
        <f t="shared" si="61"/>
        <v>0</v>
      </c>
      <c r="AH42" s="901"/>
      <c r="AI42" s="900"/>
      <c r="AJ42" s="900"/>
      <c r="AK42" s="898">
        <f t="shared" si="62"/>
        <v>0</v>
      </c>
      <c r="AL42" s="481"/>
      <c r="AM42" s="901"/>
      <c r="AN42" s="900"/>
      <c r="AO42" s="900"/>
      <c r="AP42" s="898">
        <f t="shared" si="63"/>
        <v>0</v>
      </c>
      <c r="AQ42" s="901"/>
      <c r="AR42" s="900"/>
      <c r="AS42" s="900"/>
      <c r="AT42" s="898">
        <f t="shared" si="64"/>
        <v>0</v>
      </c>
      <c r="AU42" s="481"/>
      <c r="AV42" s="901"/>
      <c r="AW42" s="900"/>
      <c r="AX42" s="900"/>
      <c r="AY42" s="898">
        <f t="shared" si="65"/>
        <v>0</v>
      </c>
      <c r="AZ42" s="901"/>
      <c r="BA42" s="900"/>
      <c r="BB42" s="900"/>
      <c r="BC42" s="898">
        <f t="shared" si="66"/>
        <v>0</v>
      </c>
      <c r="BD42" s="481"/>
      <c r="BE42" s="901"/>
      <c r="BF42" s="900"/>
      <c r="BG42" s="900"/>
      <c r="BH42" s="898">
        <f t="shared" si="67"/>
        <v>0</v>
      </c>
      <c r="BI42" s="901"/>
      <c r="BJ42" s="900"/>
      <c r="BK42" s="900"/>
      <c r="BL42" s="898">
        <f t="shared" si="68"/>
        <v>0</v>
      </c>
      <c r="BM42" s="481"/>
      <c r="BN42" s="901"/>
      <c r="BO42" s="900"/>
      <c r="BP42" s="900"/>
      <c r="BQ42" s="898">
        <f t="shared" si="69"/>
        <v>0</v>
      </c>
      <c r="BR42" s="901"/>
      <c r="BS42" s="900"/>
      <c r="BT42" s="900"/>
      <c r="BU42" s="898">
        <f t="shared" si="70"/>
        <v>0</v>
      </c>
      <c r="BV42" s="481"/>
      <c r="BW42" s="901"/>
      <c r="BX42" s="900"/>
      <c r="BY42" s="900"/>
      <c r="BZ42" s="898">
        <f t="shared" si="71"/>
        <v>0</v>
      </c>
      <c r="CA42" s="875"/>
      <c r="CB42" s="876"/>
      <c r="CC42" s="876"/>
      <c r="CD42" s="872">
        <f t="shared" si="72"/>
        <v>0</v>
      </c>
      <c r="CE42" s="327"/>
      <c r="CF42" s="301"/>
    </row>
    <row r="43">
      <c r="A43" s="301"/>
      <c r="B43" s="324"/>
      <c r="C43" s="875"/>
      <c r="D43" s="900"/>
      <c r="E43" s="900"/>
      <c r="F43" s="898">
        <f t="shared" si="55"/>
        <v>0</v>
      </c>
      <c r="G43" s="901"/>
      <c r="H43" s="900"/>
      <c r="I43" s="900"/>
      <c r="J43" s="898">
        <f t="shared" si="56"/>
        <v>0</v>
      </c>
      <c r="K43" s="481"/>
      <c r="L43" s="901"/>
      <c r="M43" s="900"/>
      <c r="N43" s="900"/>
      <c r="O43" s="898">
        <f t="shared" si="57"/>
        <v>0</v>
      </c>
      <c r="P43" s="901"/>
      <c r="Q43" s="900"/>
      <c r="R43" s="900"/>
      <c r="S43" s="898">
        <f t="shared" si="58"/>
        <v>0</v>
      </c>
      <c r="T43" s="481"/>
      <c r="U43" s="901"/>
      <c r="V43" s="900"/>
      <c r="W43" s="900"/>
      <c r="X43" s="898">
        <f t="shared" si="59"/>
        <v>0</v>
      </c>
      <c r="Y43" s="901"/>
      <c r="Z43" s="900"/>
      <c r="AA43" s="900"/>
      <c r="AB43" s="898">
        <f t="shared" si="60"/>
        <v>0</v>
      </c>
      <c r="AC43" s="481"/>
      <c r="AD43" s="901"/>
      <c r="AE43" s="900"/>
      <c r="AF43" s="900"/>
      <c r="AG43" s="898">
        <f t="shared" si="61"/>
        <v>0</v>
      </c>
      <c r="AH43" s="901"/>
      <c r="AI43" s="900"/>
      <c r="AJ43" s="900"/>
      <c r="AK43" s="898">
        <f t="shared" si="62"/>
        <v>0</v>
      </c>
      <c r="AL43" s="481"/>
      <c r="AM43" s="901"/>
      <c r="AN43" s="900"/>
      <c r="AO43" s="900"/>
      <c r="AP43" s="898">
        <f t="shared" si="63"/>
        <v>0</v>
      </c>
      <c r="AQ43" s="901"/>
      <c r="AR43" s="900"/>
      <c r="AS43" s="900"/>
      <c r="AT43" s="898">
        <f t="shared" si="64"/>
        <v>0</v>
      </c>
      <c r="AU43" s="481"/>
      <c r="AV43" s="901"/>
      <c r="AW43" s="900"/>
      <c r="AX43" s="900"/>
      <c r="AY43" s="898">
        <f t="shared" si="65"/>
        <v>0</v>
      </c>
      <c r="AZ43" s="901"/>
      <c r="BA43" s="900"/>
      <c r="BB43" s="900"/>
      <c r="BC43" s="898">
        <f t="shared" si="66"/>
        <v>0</v>
      </c>
      <c r="BD43" s="481"/>
      <c r="BE43" s="901"/>
      <c r="BF43" s="900"/>
      <c r="BG43" s="900"/>
      <c r="BH43" s="898">
        <f t="shared" si="67"/>
        <v>0</v>
      </c>
      <c r="BI43" s="901"/>
      <c r="BJ43" s="900"/>
      <c r="BK43" s="900"/>
      <c r="BL43" s="898">
        <f t="shared" si="68"/>
        <v>0</v>
      </c>
      <c r="BM43" s="481"/>
      <c r="BN43" s="901"/>
      <c r="BO43" s="900"/>
      <c r="BP43" s="900"/>
      <c r="BQ43" s="898">
        <f t="shared" si="69"/>
        <v>0</v>
      </c>
      <c r="BR43" s="901"/>
      <c r="BS43" s="900"/>
      <c r="BT43" s="900"/>
      <c r="BU43" s="898">
        <f t="shared" si="70"/>
        <v>0</v>
      </c>
      <c r="BV43" s="481"/>
      <c r="BW43" s="901"/>
      <c r="BX43" s="900"/>
      <c r="BY43" s="900"/>
      <c r="BZ43" s="898">
        <f t="shared" si="71"/>
        <v>0</v>
      </c>
      <c r="CA43" s="875"/>
      <c r="CB43" s="876"/>
      <c r="CC43" s="876"/>
      <c r="CD43" s="872">
        <f t="shared" si="72"/>
        <v>0</v>
      </c>
      <c r="CE43" s="327"/>
      <c r="CF43" s="301"/>
    </row>
    <row r="44">
      <c r="A44" s="301"/>
      <c r="B44" s="324"/>
      <c r="C44" s="877"/>
      <c r="D44" s="905"/>
      <c r="E44" s="905"/>
      <c r="F44" s="898">
        <f t="shared" si="55"/>
        <v>0</v>
      </c>
      <c r="G44" s="906"/>
      <c r="H44" s="905"/>
      <c r="I44" s="905"/>
      <c r="J44" s="898">
        <f t="shared" si="56"/>
        <v>0</v>
      </c>
      <c r="K44" s="481"/>
      <c r="L44" s="906"/>
      <c r="M44" s="905"/>
      <c r="N44" s="905"/>
      <c r="O44" s="898">
        <f t="shared" si="57"/>
        <v>0</v>
      </c>
      <c r="P44" s="906"/>
      <c r="Q44" s="905"/>
      <c r="R44" s="905"/>
      <c r="S44" s="898">
        <f t="shared" si="58"/>
        <v>0</v>
      </c>
      <c r="T44" s="481"/>
      <c r="U44" s="906"/>
      <c r="V44" s="905"/>
      <c r="W44" s="905"/>
      <c r="X44" s="898">
        <f t="shared" si="59"/>
        <v>0</v>
      </c>
      <c r="Y44" s="906"/>
      <c r="Z44" s="905"/>
      <c r="AA44" s="905"/>
      <c r="AB44" s="898">
        <f t="shared" si="60"/>
        <v>0</v>
      </c>
      <c r="AC44" s="481"/>
      <c r="AD44" s="906"/>
      <c r="AE44" s="905"/>
      <c r="AF44" s="905"/>
      <c r="AG44" s="898">
        <f t="shared" si="61"/>
        <v>0</v>
      </c>
      <c r="AH44" s="906"/>
      <c r="AI44" s="905"/>
      <c r="AJ44" s="905"/>
      <c r="AK44" s="898">
        <f t="shared" si="62"/>
        <v>0</v>
      </c>
      <c r="AL44" s="481"/>
      <c r="AM44" s="906"/>
      <c r="AN44" s="905"/>
      <c r="AO44" s="905"/>
      <c r="AP44" s="898">
        <f t="shared" si="63"/>
        <v>0</v>
      </c>
      <c r="AQ44" s="906"/>
      <c r="AR44" s="905"/>
      <c r="AS44" s="905"/>
      <c r="AT44" s="898">
        <f t="shared" si="64"/>
        <v>0</v>
      </c>
      <c r="AU44" s="481"/>
      <c r="AV44" s="906"/>
      <c r="AW44" s="905"/>
      <c r="AX44" s="905"/>
      <c r="AY44" s="898">
        <f t="shared" si="65"/>
        <v>0</v>
      </c>
      <c r="AZ44" s="906"/>
      <c r="BA44" s="905"/>
      <c r="BB44" s="905"/>
      <c r="BC44" s="898">
        <f t="shared" si="66"/>
        <v>0</v>
      </c>
      <c r="BD44" s="481"/>
      <c r="BE44" s="906"/>
      <c r="BF44" s="905"/>
      <c r="BG44" s="905"/>
      <c r="BH44" s="898">
        <f t="shared" si="67"/>
        <v>0</v>
      </c>
      <c r="BI44" s="906"/>
      <c r="BJ44" s="905"/>
      <c r="BK44" s="905"/>
      <c r="BL44" s="898">
        <f t="shared" si="68"/>
        <v>0</v>
      </c>
      <c r="BM44" s="481"/>
      <c r="BN44" s="906"/>
      <c r="BO44" s="905"/>
      <c r="BP44" s="905"/>
      <c r="BQ44" s="898">
        <f t="shared" si="69"/>
        <v>0</v>
      </c>
      <c r="BR44" s="906"/>
      <c r="BS44" s="905"/>
      <c r="BT44" s="905"/>
      <c r="BU44" s="898">
        <f t="shared" si="70"/>
        <v>0</v>
      </c>
      <c r="BV44" s="481"/>
      <c r="BW44" s="906"/>
      <c r="BX44" s="905"/>
      <c r="BY44" s="905"/>
      <c r="BZ44" s="898">
        <f t="shared" si="71"/>
        <v>0</v>
      </c>
      <c r="CA44" s="877"/>
      <c r="CB44" s="878"/>
      <c r="CC44" s="878"/>
      <c r="CD44" s="872">
        <f t="shared" si="72"/>
        <v>0</v>
      </c>
      <c r="CE44" s="327"/>
      <c r="CF44" s="301"/>
    </row>
    <row r="45">
      <c r="A45" s="301"/>
      <c r="B45" s="324"/>
      <c r="C45" s="880" t="s">
        <v>155</v>
      </c>
      <c r="D45" s="881">
        <f>SUM(F39:F44)</f>
        <v>0</v>
      </c>
      <c r="E45" s="706"/>
      <c r="F45" s="706"/>
      <c r="G45" s="910" t="s">
        <v>155</v>
      </c>
      <c r="H45" s="881">
        <f>SUM(J39:J44)</f>
        <v>0</v>
      </c>
      <c r="I45" s="706"/>
      <c r="J45" s="706"/>
      <c r="K45" s="481"/>
      <c r="L45" s="910" t="s">
        <v>155</v>
      </c>
      <c r="M45" s="881">
        <f>SUM(O39:O44)</f>
        <v>0</v>
      </c>
      <c r="N45" s="706"/>
      <c r="O45" s="706"/>
      <c r="P45" s="910" t="s">
        <v>155</v>
      </c>
      <c r="Q45" s="881">
        <f>SUM(S39:S44)</f>
        <v>0</v>
      </c>
      <c r="R45" s="706"/>
      <c r="S45" s="706"/>
      <c r="T45" s="481"/>
      <c r="U45" s="910" t="s">
        <v>155</v>
      </c>
      <c r="V45" s="881">
        <f>SUM(X39:X44)</f>
        <v>0</v>
      </c>
      <c r="W45" s="706"/>
      <c r="X45" s="706"/>
      <c r="Y45" s="910" t="s">
        <v>155</v>
      </c>
      <c r="Z45" s="881">
        <f>SUM(AB39:AB44)</f>
        <v>0</v>
      </c>
      <c r="AA45" s="706"/>
      <c r="AB45" s="706"/>
      <c r="AC45" s="481"/>
      <c r="AD45" s="910" t="s">
        <v>155</v>
      </c>
      <c r="AE45" s="917">
        <f>SUM(AG39:AG44)</f>
        <v>0</v>
      </c>
      <c r="AF45" s="706"/>
      <c r="AG45" s="706"/>
      <c r="AH45" s="910" t="s">
        <v>155</v>
      </c>
      <c r="AI45" s="917">
        <f>SUM(AK39:AK44)</f>
        <v>0</v>
      </c>
      <c r="AJ45" s="706"/>
      <c r="AK45" s="707"/>
      <c r="AL45" s="481"/>
      <c r="AM45" s="910" t="s">
        <v>155</v>
      </c>
      <c r="AN45" s="881">
        <f>SUM(AP39:AP44)</f>
        <v>0</v>
      </c>
      <c r="AO45" s="706"/>
      <c r="AP45" s="706"/>
      <c r="AQ45" s="910" t="s">
        <v>155</v>
      </c>
      <c r="AR45" s="881">
        <f>SUM(AT39:AT44)</f>
        <v>0</v>
      </c>
      <c r="AS45" s="706"/>
      <c r="AT45" s="706"/>
      <c r="AU45" s="481"/>
      <c r="AV45" s="910" t="s">
        <v>155</v>
      </c>
      <c r="AW45" s="881">
        <f>SUM(AY39:AY44)</f>
        <v>0</v>
      </c>
      <c r="AX45" s="706"/>
      <c r="AY45" s="706"/>
      <c r="AZ45" s="910" t="s">
        <v>155</v>
      </c>
      <c r="BA45" s="881">
        <f>SUM(BC39:BC44)</f>
        <v>0</v>
      </c>
      <c r="BB45" s="706"/>
      <c r="BC45" s="706"/>
      <c r="BD45" s="481"/>
      <c r="BE45" s="910" t="s">
        <v>155</v>
      </c>
      <c r="BF45" s="881">
        <f>SUM(BH39:BH44)</f>
        <v>0</v>
      </c>
      <c r="BG45" s="706"/>
      <c r="BH45" s="706"/>
      <c r="BI45" s="910" t="s">
        <v>155</v>
      </c>
      <c r="BJ45" s="881">
        <f>SUM(BL39:BL44)</f>
        <v>0</v>
      </c>
      <c r="BK45" s="706"/>
      <c r="BL45" s="706"/>
      <c r="BM45" s="481"/>
      <c r="BN45" s="910" t="s">
        <v>155</v>
      </c>
      <c r="BO45" s="881">
        <f>SUM(BQ39:BQ44)</f>
        <v>0</v>
      </c>
      <c r="BP45" s="706"/>
      <c r="BQ45" s="706"/>
      <c r="BR45" s="910" t="s">
        <v>155</v>
      </c>
      <c r="BS45" s="881">
        <f>SUM(BU39:BU44)</f>
        <v>0</v>
      </c>
      <c r="BT45" s="706"/>
      <c r="BU45" s="706"/>
      <c r="BV45" s="481"/>
      <c r="BW45" s="910" t="s">
        <v>155</v>
      </c>
      <c r="BX45" s="881">
        <f>SUM(BZ39:BZ44)</f>
        <v>0</v>
      </c>
      <c r="BY45" s="706"/>
      <c r="BZ45" s="706"/>
      <c r="CA45" s="880" t="s">
        <v>155</v>
      </c>
      <c r="CB45" s="881">
        <f>SUM(CD39:CD44)</f>
        <v>0</v>
      </c>
      <c r="CC45" s="706"/>
      <c r="CD45" s="706"/>
      <c r="CE45" s="327"/>
      <c r="CF45" s="301"/>
    </row>
    <row r="46">
      <c r="A46" s="5"/>
      <c r="B46" s="416"/>
      <c r="C46" s="883" t="s">
        <v>162</v>
      </c>
      <c r="D46" s="911"/>
      <c r="E46" s="124"/>
      <c r="F46" s="419"/>
      <c r="G46" s="912" t="s">
        <v>162</v>
      </c>
      <c r="H46" s="911"/>
      <c r="I46" s="124"/>
      <c r="J46" s="125"/>
      <c r="K46" s="470"/>
      <c r="L46" s="912" t="s">
        <v>162</v>
      </c>
      <c r="M46" s="911"/>
      <c r="N46" s="124"/>
      <c r="O46" s="419"/>
      <c r="P46" s="912" t="s">
        <v>162</v>
      </c>
      <c r="Q46" s="911"/>
      <c r="R46" s="124"/>
      <c r="S46" s="125"/>
      <c r="T46" s="470"/>
      <c r="U46" s="912" t="s">
        <v>162</v>
      </c>
      <c r="V46" s="911"/>
      <c r="W46" s="124"/>
      <c r="X46" s="419"/>
      <c r="Y46" s="912" t="s">
        <v>162</v>
      </c>
      <c r="Z46" s="911"/>
      <c r="AA46" s="124"/>
      <c r="AB46" s="125"/>
      <c r="AC46" s="470"/>
      <c r="AD46" s="912" t="s">
        <v>162</v>
      </c>
      <c r="AE46" s="911"/>
      <c r="AF46" s="124"/>
      <c r="AG46" s="419"/>
      <c r="AH46" s="912" t="s">
        <v>162</v>
      </c>
      <c r="AI46" s="911"/>
      <c r="AJ46" s="124"/>
      <c r="AK46" s="125"/>
      <c r="AL46" s="470"/>
      <c r="AM46" s="912" t="s">
        <v>162</v>
      </c>
      <c r="AN46" s="911"/>
      <c r="AO46" s="124"/>
      <c r="AP46" s="419"/>
      <c r="AQ46" s="912" t="s">
        <v>162</v>
      </c>
      <c r="AR46" s="911"/>
      <c r="AS46" s="124"/>
      <c r="AT46" s="125"/>
      <c r="AU46" s="470"/>
      <c r="AV46" s="912" t="s">
        <v>162</v>
      </c>
      <c r="AW46" s="911"/>
      <c r="AX46" s="124"/>
      <c r="AY46" s="419"/>
      <c r="AZ46" s="912" t="s">
        <v>162</v>
      </c>
      <c r="BA46" s="911"/>
      <c r="BB46" s="124"/>
      <c r="BC46" s="125"/>
      <c r="BD46" s="470"/>
      <c r="BE46" s="912" t="s">
        <v>162</v>
      </c>
      <c r="BF46" s="911"/>
      <c r="BG46" s="124"/>
      <c r="BH46" s="419"/>
      <c r="BI46" s="912" t="s">
        <v>162</v>
      </c>
      <c r="BJ46" s="911"/>
      <c r="BK46" s="124"/>
      <c r="BL46" s="125"/>
      <c r="BM46" s="470"/>
      <c r="BN46" s="912" t="s">
        <v>162</v>
      </c>
      <c r="BO46" s="911"/>
      <c r="BP46" s="124"/>
      <c r="BQ46" s="419"/>
      <c r="BR46" s="912" t="s">
        <v>162</v>
      </c>
      <c r="BS46" s="911"/>
      <c r="BT46" s="124"/>
      <c r="BU46" s="125"/>
      <c r="BV46" s="470"/>
      <c r="BW46" s="912" t="s">
        <v>162</v>
      </c>
      <c r="BX46" s="911"/>
      <c r="BY46" s="124"/>
      <c r="BZ46" s="419"/>
      <c r="CA46" s="883" t="s">
        <v>162</v>
      </c>
      <c r="CB46" s="884"/>
      <c r="CC46" s="124"/>
      <c r="CD46" s="125"/>
      <c r="CE46" s="440"/>
      <c r="CF46" s="5"/>
    </row>
    <row r="47">
      <c r="A47" s="5"/>
      <c r="B47" s="416"/>
      <c r="C47" s="885" t="s">
        <v>168</v>
      </c>
      <c r="D47" s="886">
        <v>1.0</v>
      </c>
      <c r="E47" s="886">
        <v>2.0</v>
      </c>
      <c r="F47" s="892">
        <v>3.0</v>
      </c>
      <c r="G47" s="887" t="s">
        <v>174</v>
      </c>
      <c r="H47" s="342"/>
      <c r="I47" s="888" t="str">
        <f>IF(D46=2,"W",IF(H46=2,"L",))</f>
        <v/>
      </c>
      <c r="J47" s="889" t="str">
        <f>IF(H46=2,"W",IF(D46=2,"L",))</f>
        <v/>
      </c>
      <c r="K47" s="470"/>
      <c r="L47" s="890" t="s">
        <v>168</v>
      </c>
      <c r="M47" s="886">
        <v>1.0</v>
      </c>
      <c r="N47" s="886">
        <v>2.0</v>
      </c>
      <c r="O47" s="892">
        <v>3.0</v>
      </c>
      <c r="P47" s="887" t="s">
        <v>174</v>
      </c>
      <c r="Q47" s="342"/>
      <c r="R47" s="888" t="str">
        <f>IF(M46=2,"W",IF(Q46=2,"L",))</f>
        <v/>
      </c>
      <c r="S47" s="889" t="str">
        <f>IF(Q46=2,"W",IF(M46=2,"L",))</f>
        <v/>
      </c>
      <c r="T47" s="470"/>
      <c r="U47" s="890" t="s">
        <v>168</v>
      </c>
      <c r="V47" s="886">
        <v>1.0</v>
      </c>
      <c r="W47" s="886">
        <v>2.0</v>
      </c>
      <c r="X47" s="892">
        <v>3.0</v>
      </c>
      <c r="Y47" s="887" t="s">
        <v>174</v>
      </c>
      <c r="Z47" s="342"/>
      <c r="AA47" s="888" t="str">
        <f>IF(V46=2,"W",IF(Z46=2,"L",))</f>
        <v/>
      </c>
      <c r="AB47" s="889" t="str">
        <f>IF(Z46=2,"W",IF(V46=2,"L",))</f>
        <v/>
      </c>
      <c r="AC47" s="470"/>
      <c r="AD47" s="890" t="s">
        <v>168</v>
      </c>
      <c r="AE47" s="886">
        <v>1.0</v>
      </c>
      <c r="AF47" s="886">
        <v>2.0</v>
      </c>
      <c r="AG47" s="892">
        <v>3.0</v>
      </c>
      <c r="AH47" s="887" t="s">
        <v>174</v>
      </c>
      <c r="AI47" s="342"/>
      <c r="AJ47" s="888" t="str">
        <f>IF(AE46=2,"W",IF(AI46=2,"L",))</f>
        <v/>
      </c>
      <c r="AK47" s="889" t="str">
        <f>IF(AI46=2,"W",IF(AE46=2,"L",))</f>
        <v/>
      </c>
      <c r="AL47" s="470"/>
      <c r="AM47" s="890" t="s">
        <v>168</v>
      </c>
      <c r="AN47" s="886">
        <v>1.0</v>
      </c>
      <c r="AO47" s="886">
        <v>2.0</v>
      </c>
      <c r="AP47" s="892">
        <v>3.0</v>
      </c>
      <c r="AQ47" s="887" t="s">
        <v>174</v>
      </c>
      <c r="AR47" s="342"/>
      <c r="AS47" s="888" t="str">
        <f>IF(AN46=2,"W",IF(AR46=2,"L",))</f>
        <v/>
      </c>
      <c r="AT47" s="889" t="str">
        <f>IF(AR46=2,"W",IF(AN46=2,"L",))</f>
        <v/>
      </c>
      <c r="AU47" s="470"/>
      <c r="AV47" s="890" t="s">
        <v>168</v>
      </c>
      <c r="AW47" s="886">
        <v>1.0</v>
      </c>
      <c r="AX47" s="886">
        <v>2.0</v>
      </c>
      <c r="AY47" s="886">
        <v>3.0</v>
      </c>
      <c r="AZ47" s="887" t="s">
        <v>174</v>
      </c>
      <c r="BA47" s="342"/>
      <c r="BB47" s="888" t="str">
        <f>IF(AW46=2,"W",IF(BA46=2,"L",))</f>
        <v/>
      </c>
      <c r="BC47" s="889" t="str">
        <f>IF(BA46=2,"W",IF(AW46=2,"L",))</f>
        <v/>
      </c>
      <c r="BD47" s="470"/>
      <c r="BE47" s="890" t="s">
        <v>168</v>
      </c>
      <c r="BF47" s="886">
        <v>1.0</v>
      </c>
      <c r="BG47" s="886">
        <v>2.0</v>
      </c>
      <c r="BH47" s="886">
        <v>3.0</v>
      </c>
      <c r="BI47" s="887" t="s">
        <v>174</v>
      </c>
      <c r="BJ47" s="342"/>
      <c r="BK47" s="888" t="str">
        <f>IF(BF46=2,"W",IF(BJ46=2,"L",))</f>
        <v/>
      </c>
      <c r="BL47" s="889" t="str">
        <f>IF(BJ46=2,"W",IF(BF46=2,"L",))</f>
        <v/>
      </c>
      <c r="BM47" s="470"/>
      <c r="BN47" s="890" t="s">
        <v>168</v>
      </c>
      <c r="BO47" s="886">
        <v>1.0</v>
      </c>
      <c r="BP47" s="886">
        <v>2.0</v>
      </c>
      <c r="BQ47" s="886">
        <v>3.0</v>
      </c>
      <c r="BR47" s="887" t="s">
        <v>174</v>
      </c>
      <c r="BS47" s="342"/>
      <c r="BT47" s="888" t="str">
        <f>IF(BO46=2,"W",IF(BS46=2,"L",))</f>
        <v/>
      </c>
      <c r="BU47" s="889" t="str">
        <f>IF(BS46=2,"W",IF(BO46=2,"L",))</f>
        <v/>
      </c>
      <c r="BV47" s="470"/>
      <c r="BW47" s="890" t="s">
        <v>168</v>
      </c>
      <c r="BX47" s="886">
        <v>1.0</v>
      </c>
      <c r="BY47" s="886">
        <v>2.0</v>
      </c>
      <c r="BZ47" s="886">
        <v>3.0</v>
      </c>
      <c r="CA47" s="894" t="s">
        <v>174</v>
      </c>
      <c r="CB47" s="342"/>
      <c r="CC47" s="895" t="str">
        <f>IF(BX46=2,"W",IF(CB46=2,"L",))</f>
        <v/>
      </c>
      <c r="CD47" s="896" t="str">
        <f>IF(CB46=2,"W",IF(BX46=2,"L",))</f>
        <v/>
      </c>
      <c r="CE47" s="440"/>
      <c r="CF47" s="5"/>
    </row>
    <row r="48" ht="7.5" customHeight="1">
      <c r="A48" s="301"/>
      <c r="B48" s="324"/>
      <c r="C48" s="325"/>
      <c r="D48" s="481"/>
      <c r="E48" s="481"/>
      <c r="F48" s="481"/>
      <c r="G48" s="481"/>
      <c r="H48" s="481"/>
      <c r="I48" s="481"/>
      <c r="J48" s="481"/>
      <c r="K48" s="481"/>
      <c r="L48" s="481"/>
      <c r="M48" s="481"/>
      <c r="N48" s="481"/>
      <c r="O48" s="481"/>
      <c r="P48" s="481"/>
      <c r="Q48" s="481"/>
      <c r="R48" s="481"/>
      <c r="S48" s="481"/>
      <c r="T48" s="481"/>
      <c r="U48" s="481"/>
      <c r="V48" s="481"/>
      <c r="W48" s="481"/>
      <c r="X48" s="481"/>
      <c r="Y48" s="481"/>
      <c r="Z48" s="481"/>
      <c r="AA48" s="481"/>
      <c r="AB48" s="481"/>
      <c r="AC48" s="481"/>
      <c r="AD48" s="481"/>
      <c r="AE48" s="481"/>
      <c r="AF48" s="481"/>
      <c r="AG48" s="481"/>
      <c r="AH48" s="481"/>
      <c r="AI48" s="481"/>
      <c r="AJ48" s="481"/>
      <c r="AK48" s="481"/>
      <c r="AL48" s="481"/>
      <c r="AM48" s="481"/>
      <c r="AN48" s="481"/>
      <c r="AO48" s="481"/>
      <c r="AP48" s="481"/>
      <c r="AQ48" s="481"/>
      <c r="AR48" s="481"/>
      <c r="AS48" s="481"/>
      <c r="AT48" s="481"/>
      <c r="AU48" s="481"/>
      <c r="AV48" s="481"/>
      <c r="AW48" s="481"/>
      <c r="AX48" s="481"/>
      <c r="AY48" s="481"/>
      <c r="AZ48" s="481"/>
      <c r="BA48" s="481"/>
      <c r="BB48" s="481"/>
      <c r="BC48" s="481"/>
      <c r="BD48" s="481"/>
      <c r="BE48" s="481"/>
      <c r="BF48" s="481"/>
      <c r="BG48" s="481"/>
      <c r="BH48" s="481"/>
      <c r="BI48" s="481"/>
      <c r="BJ48" s="481"/>
      <c r="BK48" s="481"/>
      <c r="BL48" s="481"/>
      <c r="BM48" s="481"/>
      <c r="BN48" s="481"/>
      <c r="BO48" s="481"/>
      <c r="BP48" s="481"/>
      <c r="BQ48" s="481"/>
      <c r="BR48" s="481"/>
      <c r="BS48" s="481"/>
      <c r="BT48" s="481"/>
      <c r="BU48" s="481"/>
      <c r="BV48" s="481"/>
      <c r="BW48" s="481"/>
      <c r="BX48" s="481"/>
      <c r="BY48" s="481"/>
      <c r="BZ48" s="481"/>
      <c r="CA48" s="325"/>
      <c r="CB48" s="325"/>
      <c r="CC48" s="325"/>
      <c r="CD48" s="325"/>
      <c r="CE48" s="327"/>
      <c r="CF48" s="301"/>
    </row>
    <row r="49">
      <c r="A49" s="301"/>
      <c r="B49" s="324"/>
      <c r="C49" s="328" t="str">
        <f>#REF!</f>
        <v>#REF!</v>
      </c>
      <c r="D49" s="482" t="s">
        <v>148</v>
      </c>
      <c r="E49" s="483" t="s">
        <v>149</v>
      </c>
      <c r="F49" s="483" t="s">
        <v>36</v>
      </c>
      <c r="G49" s="484" t="str">
        <f>#REF!</f>
        <v>#REF!</v>
      </c>
      <c r="H49" s="485" t="s">
        <v>148</v>
      </c>
      <c r="I49" s="486" t="s">
        <v>149</v>
      </c>
      <c r="J49" s="487" t="s">
        <v>36</v>
      </c>
      <c r="K49" s="481"/>
      <c r="L49" s="488" t="str">
        <f>#REF!</f>
        <v>#REF!</v>
      </c>
      <c r="M49" s="482" t="s">
        <v>148</v>
      </c>
      <c r="N49" s="483" t="s">
        <v>149</v>
      </c>
      <c r="O49" s="483" t="s">
        <v>36</v>
      </c>
      <c r="P49" s="484" t="str">
        <f>#REF!</f>
        <v>#REF!</v>
      </c>
      <c r="Q49" s="485" t="s">
        <v>148</v>
      </c>
      <c r="R49" s="486" t="s">
        <v>149</v>
      </c>
      <c r="S49" s="487" t="s">
        <v>36</v>
      </c>
      <c r="T49" s="481"/>
      <c r="U49" s="488" t="str">
        <f>#REF!</f>
        <v>#REF!</v>
      </c>
      <c r="V49" s="482" t="s">
        <v>148</v>
      </c>
      <c r="W49" s="483" t="s">
        <v>149</v>
      </c>
      <c r="X49" s="483" t="s">
        <v>36</v>
      </c>
      <c r="Y49" s="484" t="str">
        <f>#REF!</f>
        <v>#REF!</v>
      </c>
      <c r="Z49" s="485" t="s">
        <v>148</v>
      </c>
      <c r="AA49" s="486" t="s">
        <v>149</v>
      </c>
      <c r="AB49" s="487" t="s">
        <v>36</v>
      </c>
      <c r="AC49" s="481"/>
      <c r="AD49" s="488" t="str">
        <f>#REF!</f>
        <v>#REF!</v>
      </c>
      <c r="AE49" s="482" t="s">
        <v>148</v>
      </c>
      <c r="AF49" s="483" t="s">
        <v>149</v>
      </c>
      <c r="AG49" s="483" t="s">
        <v>36</v>
      </c>
      <c r="AH49" s="484" t="str">
        <f>#REF!</f>
        <v>#REF!</v>
      </c>
      <c r="AI49" s="485" t="s">
        <v>148</v>
      </c>
      <c r="AJ49" s="486" t="s">
        <v>149</v>
      </c>
      <c r="AK49" s="487" t="s">
        <v>36</v>
      </c>
      <c r="AL49" s="481"/>
      <c r="AM49" s="488" t="str">
        <f>#REF!</f>
        <v>#REF!</v>
      </c>
      <c r="AN49" s="482" t="s">
        <v>148</v>
      </c>
      <c r="AO49" s="483" t="s">
        <v>149</v>
      </c>
      <c r="AP49" s="483" t="s">
        <v>36</v>
      </c>
      <c r="AQ49" s="484" t="str">
        <f>#REF!</f>
        <v>#REF!</v>
      </c>
      <c r="AR49" s="485" t="s">
        <v>148</v>
      </c>
      <c r="AS49" s="486" t="s">
        <v>149</v>
      </c>
      <c r="AT49" s="487" t="s">
        <v>36</v>
      </c>
      <c r="AU49" s="481"/>
      <c r="AV49" s="488" t="str">
        <f>#REF!</f>
        <v>#REF!</v>
      </c>
      <c r="AW49" s="482" t="s">
        <v>148</v>
      </c>
      <c r="AX49" s="483" t="s">
        <v>149</v>
      </c>
      <c r="AY49" s="483" t="s">
        <v>36</v>
      </c>
      <c r="AZ49" s="484" t="str">
        <f>#REF!</f>
        <v>#REF!</v>
      </c>
      <c r="BA49" s="485" t="s">
        <v>148</v>
      </c>
      <c r="BB49" s="486" t="s">
        <v>149</v>
      </c>
      <c r="BC49" s="487" t="s">
        <v>36</v>
      </c>
      <c r="BD49" s="481"/>
      <c r="BE49" s="488" t="str">
        <f>#REF!</f>
        <v>#REF!</v>
      </c>
      <c r="BF49" s="482" t="s">
        <v>148</v>
      </c>
      <c r="BG49" s="483" t="s">
        <v>149</v>
      </c>
      <c r="BH49" s="483" t="s">
        <v>36</v>
      </c>
      <c r="BI49" s="484" t="str">
        <f>#REF!</f>
        <v>#REF!</v>
      </c>
      <c r="BJ49" s="485" t="s">
        <v>148</v>
      </c>
      <c r="BK49" s="486" t="s">
        <v>149</v>
      </c>
      <c r="BL49" s="487" t="s">
        <v>36</v>
      </c>
      <c r="BM49" s="481"/>
      <c r="BN49" s="488" t="str">
        <f>#REF!</f>
        <v>#REF!</v>
      </c>
      <c r="BO49" s="482" t="s">
        <v>148</v>
      </c>
      <c r="BP49" s="483" t="s">
        <v>149</v>
      </c>
      <c r="BQ49" s="483" t="s">
        <v>36</v>
      </c>
      <c r="BR49" s="484" t="str">
        <f>#REF!</f>
        <v>#REF!</v>
      </c>
      <c r="BS49" s="485" t="s">
        <v>148</v>
      </c>
      <c r="BT49" s="486" t="s">
        <v>149</v>
      </c>
      <c r="BU49" s="487" t="s">
        <v>36</v>
      </c>
      <c r="BV49" s="481"/>
      <c r="BW49" s="488" t="str">
        <f>#REF!</f>
        <v>#REF!</v>
      </c>
      <c r="BX49" s="482" t="s">
        <v>148</v>
      </c>
      <c r="BY49" s="483" t="s">
        <v>149</v>
      </c>
      <c r="BZ49" s="483" t="s">
        <v>36</v>
      </c>
      <c r="CA49" s="331" t="str">
        <f>#REF!</f>
        <v>#REF!</v>
      </c>
      <c r="CB49" s="332" t="s">
        <v>148</v>
      </c>
      <c r="CC49" s="336" t="s">
        <v>149</v>
      </c>
      <c r="CD49" s="337" t="s">
        <v>36</v>
      </c>
      <c r="CE49" s="327"/>
      <c r="CF49" s="301"/>
    </row>
    <row r="50">
      <c r="A50" s="301"/>
      <c r="B50" s="324"/>
      <c r="C50" s="870"/>
      <c r="D50" s="897"/>
      <c r="E50" s="897"/>
      <c r="F50" s="898">
        <f t="shared" ref="F50:F55" si="73">D50-E50</f>
        <v>0</v>
      </c>
      <c r="G50" s="899"/>
      <c r="H50" s="897"/>
      <c r="I50" s="897"/>
      <c r="J50" s="898">
        <f t="shared" ref="J50:J55" si="74">H50-I50</f>
        <v>0</v>
      </c>
      <c r="K50" s="481"/>
      <c r="L50" s="899"/>
      <c r="M50" s="897"/>
      <c r="N50" s="897"/>
      <c r="O50" s="898">
        <f t="shared" ref="O50:O55" si="75">M50-N50</f>
        <v>0</v>
      </c>
      <c r="P50" s="899"/>
      <c r="Q50" s="897"/>
      <c r="R50" s="897"/>
      <c r="S50" s="898">
        <f t="shared" ref="S50:S55" si="76">Q50-R50</f>
        <v>0</v>
      </c>
      <c r="T50" s="481"/>
      <c r="U50" s="899"/>
      <c r="V50" s="897"/>
      <c r="W50" s="897"/>
      <c r="X50" s="898">
        <f t="shared" ref="X50:X55" si="77">V50-W50</f>
        <v>0</v>
      </c>
      <c r="Y50" s="899"/>
      <c r="Z50" s="897"/>
      <c r="AA50" s="897"/>
      <c r="AB50" s="898">
        <f t="shared" ref="AB50:AB55" si="78">Z50-AA50</f>
        <v>0</v>
      </c>
      <c r="AC50" s="481"/>
      <c r="AD50" s="899"/>
      <c r="AE50" s="897"/>
      <c r="AF50" s="897"/>
      <c r="AG50" s="898">
        <f t="shared" ref="AG50:AG55" si="79">AE50-AF50</f>
        <v>0</v>
      </c>
      <c r="AH50" s="899"/>
      <c r="AI50" s="897"/>
      <c r="AJ50" s="897"/>
      <c r="AK50" s="898">
        <f t="shared" ref="AK50:AK55" si="80">AI50-AJ50</f>
        <v>0</v>
      </c>
      <c r="AL50" s="481"/>
      <c r="AM50" s="899"/>
      <c r="AN50" s="897"/>
      <c r="AO50" s="897"/>
      <c r="AP50" s="898">
        <f t="shared" ref="AP50:AP55" si="81">AN50-AO50</f>
        <v>0</v>
      </c>
      <c r="AQ50" s="899"/>
      <c r="AR50" s="897"/>
      <c r="AS50" s="897"/>
      <c r="AT50" s="898">
        <f t="shared" ref="AT50:AT55" si="82">AR50-AS50</f>
        <v>0</v>
      </c>
      <c r="AU50" s="481"/>
      <c r="AV50" s="899"/>
      <c r="AW50" s="897"/>
      <c r="AX50" s="897"/>
      <c r="AY50" s="898">
        <f t="shared" ref="AY50:AY55" si="83">AW50-AX50</f>
        <v>0</v>
      </c>
      <c r="AZ50" s="979"/>
      <c r="BA50" s="897"/>
      <c r="BB50" s="897"/>
      <c r="BC50" s="898">
        <f t="shared" ref="BC50:BC55" si="84">BA50-BB50</f>
        <v>0</v>
      </c>
      <c r="BD50" s="481"/>
      <c r="BE50" s="899"/>
      <c r="BF50" s="897"/>
      <c r="BG50" s="897"/>
      <c r="BH50" s="898">
        <f t="shared" ref="BH50:BH55" si="85">BF50-BG50</f>
        <v>0</v>
      </c>
      <c r="BI50" s="899"/>
      <c r="BJ50" s="897"/>
      <c r="BK50" s="897"/>
      <c r="BL50" s="898">
        <f t="shared" ref="BL50:BL55" si="86">BJ50-BK50</f>
        <v>0</v>
      </c>
      <c r="BM50" s="481"/>
      <c r="BN50" s="899"/>
      <c r="BO50" s="897"/>
      <c r="BP50" s="897"/>
      <c r="BQ50" s="898">
        <f t="shared" ref="BQ50:BQ55" si="87">BO50-BP50</f>
        <v>0</v>
      </c>
      <c r="BR50" s="899"/>
      <c r="BS50" s="897"/>
      <c r="BT50" s="897"/>
      <c r="BU50" s="898">
        <f t="shared" ref="BU50:BU55" si="88">BS50-BT50</f>
        <v>0</v>
      </c>
      <c r="BV50" s="481"/>
      <c r="BW50" s="899"/>
      <c r="BX50" s="897"/>
      <c r="BY50" s="897"/>
      <c r="BZ50" s="898">
        <f t="shared" ref="BZ50:BZ55" si="89">BX50-BY50</f>
        <v>0</v>
      </c>
      <c r="CA50" s="870"/>
      <c r="CB50" s="871"/>
      <c r="CC50" s="871"/>
      <c r="CD50" s="872">
        <f t="shared" ref="CD50:CD55" si="90">CB50-CC50</f>
        <v>0</v>
      </c>
      <c r="CE50" s="327"/>
      <c r="CF50" s="301"/>
    </row>
    <row r="51">
      <c r="A51" s="301"/>
      <c r="B51" s="324"/>
      <c r="C51" s="875"/>
      <c r="D51" s="900"/>
      <c r="E51" s="900"/>
      <c r="F51" s="898">
        <f t="shared" si="73"/>
        <v>0</v>
      </c>
      <c r="G51" s="901"/>
      <c r="H51" s="900"/>
      <c r="I51" s="900"/>
      <c r="J51" s="898">
        <f t="shared" si="74"/>
        <v>0</v>
      </c>
      <c r="K51" s="481"/>
      <c r="L51" s="901"/>
      <c r="M51" s="900"/>
      <c r="N51" s="900"/>
      <c r="O51" s="898">
        <f t="shared" si="75"/>
        <v>0</v>
      </c>
      <c r="P51" s="901"/>
      <c r="Q51" s="900"/>
      <c r="R51" s="900"/>
      <c r="S51" s="898">
        <f t="shared" si="76"/>
        <v>0</v>
      </c>
      <c r="T51" s="481"/>
      <c r="U51" s="901"/>
      <c r="V51" s="900"/>
      <c r="W51" s="900"/>
      <c r="X51" s="898">
        <f t="shared" si="77"/>
        <v>0</v>
      </c>
      <c r="Y51" s="901"/>
      <c r="Z51" s="900"/>
      <c r="AA51" s="900"/>
      <c r="AB51" s="898">
        <f t="shared" si="78"/>
        <v>0</v>
      </c>
      <c r="AC51" s="481"/>
      <c r="AD51" s="901"/>
      <c r="AE51" s="900"/>
      <c r="AF51" s="900"/>
      <c r="AG51" s="898">
        <f t="shared" si="79"/>
        <v>0</v>
      </c>
      <c r="AH51" s="901"/>
      <c r="AI51" s="900"/>
      <c r="AJ51" s="900"/>
      <c r="AK51" s="898">
        <f t="shared" si="80"/>
        <v>0</v>
      </c>
      <c r="AL51" s="481"/>
      <c r="AM51" s="901"/>
      <c r="AN51" s="900"/>
      <c r="AO51" s="900"/>
      <c r="AP51" s="898">
        <f t="shared" si="81"/>
        <v>0</v>
      </c>
      <c r="AQ51" s="901"/>
      <c r="AR51" s="900"/>
      <c r="AS51" s="900"/>
      <c r="AT51" s="898">
        <f t="shared" si="82"/>
        <v>0</v>
      </c>
      <c r="AU51" s="481"/>
      <c r="AV51" s="901"/>
      <c r="AW51" s="900"/>
      <c r="AX51" s="900"/>
      <c r="AY51" s="898">
        <f t="shared" si="83"/>
        <v>0</v>
      </c>
      <c r="AZ51" s="982"/>
      <c r="BA51" s="900"/>
      <c r="BB51" s="900"/>
      <c r="BC51" s="898">
        <f t="shared" si="84"/>
        <v>0</v>
      </c>
      <c r="BD51" s="481"/>
      <c r="BE51" s="901"/>
      <c r="BF51" s="900"/>
      <c r="BG51" s="900"/>
      <c r="BH51" s="898">
        <f t="shared" si="85"/>
        <v>0</v>
      </c>
      <c r="BI51" s="901"/>
      <c r="BJ51" s="900"/>
      <c r="BK51" s="900"/>
      <c r="BL51" s="898">
        <f t="shared" si="86"/>
        <v>0</v>
      </c>
      <c r="BM51" s="481"/>
      <c r="BN51" s="901"/>
      <c r="BO51" s="900"/>
      <c r="BP51" s="900"/>
      <c r="BQ51" s="898">
        <f t="shared" si="87"/>
        <v>0</v>
      </c>
      <c r="BR51" s="901"/>
      <c r="BS51" s="900"/>
      <c r="BT51" s="900"/>
      <c r="BU51" s="898">
        <f t="shared" si="88"/>
        <v>0</v>
      </c>
      <c r="BV51" s="481"/>
      <c r="BW51" s="901"/>
      <c r="BX51" s="900"/>
      <c r="BY51" s="900"/>
      <c r="BZ51" s="898">
        <f t="shared" si="89"/>
        <v>0</v>
      </c>
      <c r="CA51" s="875"/>
      <c r="CB51" s="876"/>
      <c r="CC51" s="876"/>
      <c r="CD51" s="872">
        <f t="shared" si="90"/>
        <v>0</v>
      </c>
      <c r="CE51" s="327"/>
      <c r="CF51" s="301"/>
    </row>
    <row r="52">
      <c r="A52" s="301"/>
      <c r="B52" s="324"/>
      <c r="C52" s="875"/>
      <c r="D52" s="900"/>
      <c r="E52" s="900"/>
      <c r="F52" s="898">
        <f t="shared" si="73"/>
        <v>0</v>
      </c>
      <c r="G52" s="901"/>
      <c r="H52" s="900"/>
      <c r="I52" s="900"/>
      <c r="J52" s="898">
        <f t="shared" si="74"/>
        <v>0</v>
      </c>
      <c r="K52" s="481"/>
      <c r="L52" s="901"/>
      <c r="M52" s="900"/>
      <c r="N52" s="900"/>
      <c r="O52" s="898">
        <f t="shared" si="75"/>
        <v>0</v>
      </c>
      <c r="P52" s="901"/>
      <c r="Q52" s="900"/>
      <c r="R52" s="900"/>
      <c r="S52" s="898">
        <f t="shared" si="76"/>
        <v>0</v>
      </c>
      <c r="T52" s="481"/>
      <c r="U52" s="901"/>
      <c r="V52" s="900"/>
      <c r="W52" s="900"/>
      <c r="X52" s="898">
        <f t="shared" si="77"/>
        <v>0</v>
      </c>
      <c r="Y52" s="901"/>
      <c r="Z52" s="900"/>
      <c r="AA52" s="900"/>
      <c r="AB52" s="898">
        <f t="shared" si="78"/>
        <v>0</v>
      </c>
      <c r="AC52" s="481"/>
      <c r="AD52" s="901"/>
      <c r="AE52" s="900"/>
      <c r="AF52" s="900"/>
      <c r="AG52" s="898">
        <f t="shared" si="79"/>
        <v>0</v>
      </c>
      <c r="AH52" s="901"/>
      <c r="AI52" s="900"/>
      <c r="AJ52" s="900"/>
      <c r="AK52" s="898">
        <f t="shared" si="80"/>
        <v>0</v>
      </c>
      <c r="AL52" s="481"/>
      <c r="AM52" s="901"/>
      <c r="AN52" s="900"/>
      <c r="AO52" s="900"/>
      <c r="AP52" s="898">
        <f t="shared" si="81"/>
        <v>0</v>
      </c>
      <c r="AQ52" s="901"/>
      <c r="AR52" s="900"/>
      <c r="AS52" s="900"/>
      <c r="AT52" s="898">
        <f t="shared" si="82"/>
        <v>0</v>
      </c>
      <c r="AU52" s="481"/>
      <c r="AV52" s="901"/>
      <c r="AW52" s="900"/>
      <c r="AX52" s="900"/>
      <c r="AY52" s="898">
        <f t="shared" si="83"/>
        <v>0</v>
      </c>
      <c r="AZ52" s="982"/>
      <c r="BA52" s="900"/>
      <c r="BB52" s="900"/>
      <c r="BC52" s="898">
        <f t="shared" si="84"/>
        <v>0</v>
      </c>
      <c r="BD52" s="481"/>
      <c r="BE52" s="901"/>
      <c r="BF52" s="900"/>
      <c r="BG52" s="900"/>
      <c r="BH52" s="898">
        <f t="shared" si="85"/>
        <v>0</v>
      </c>
      <c r="BI52" s="901"/>
      <c r="BJ52" s="900"/>
      <c r="BK52" s="900"/>
      <c r="BL52" s="898">
        <f t="shared" si="86"/>
        <v>0</v>
      </c>
      <c r="BM52" s="481"/>
      <c r="BN52" s="901"/>
      <c r="BO52" s="900"/>
      <c r="BP52" s="900"/>
      <c r="BQ52" s="898">
        <f t="shared" si="87"/>
        <v>0</v>
      </c>
      <c r="BR52" s="901"/>
      <c r="BS52" s="900"/>
      <c r="BT52" s="900"/>
      <c r="BU52" s="898">
        <f t="shared" si="88"/>
        <v>0</v>
      </c>
      <c r="BV52" s="481"/>
      <c r="BW52" s="901"/>
      <c r="BX52" s="900"/>
      <c r="BY52" s="900"/>
      <c r="BZ52" s="898">
        <f t="shared" si="89"/>
        <v>0</v>
      </c>
      <c r="CA52" s="875"/>
      <c r="CB52" s="876"/>
      <c r="CC52" s="876"/>
      <c r="CD52" s="872">
        <f t="shared" si="90"/>
        <v>0</v>
      </c>
      <c r="CE52" s="327"/>
      <c r="CF52" s="301"/>
    </row>
    <row r="53">
      <c r="A53" s="301"/>
      <c r="B53" s="324"/>
      <c r="C53" s="875"/>
      <c r="D53" s="900"/>
      <c r="E53" s="900"/>
      <c r="F53" s="898">
        <f t="shared" si="73"/>
        <v>0</v>
      </c>
      <c r="G53" s="901"/>
      <c r="H53" s="900"/>
      <c r="I53" s="900"/>
      <c r="J53" s="898">
        <f t="shared" si="74"/>
        <v>0</v>
      </c>
      <c r="K53" s="481"/>
      <c r="L53" s="901"/>
      <c r="M53" s="900"/>
      <c r="N53" s="900"/>
      <c r="O53" s="898">
        <f t="shared" si="75"/>
        <v>0</v>
      </c>
      <c r="P53" s="901"/>
      <c r="Q53" s="900"/>
      <c r="R53" s="900"/>
      <c r="S53" s="898">
        <f t="shared" si="76"/>
        <v>0</v>
      </c>
      <c r="T53" s="481"/>
      <c r="U53" s="901"/>
      <c r="V53" s="900"/>
      <c r="W53" s="900"/>
      <c r="X53" s="898">
        <f t="shared" si="77"/>
        <v>0</v>
      </c>
      <c r="Y53" s="901"/>
      <c r="Z53" s="900"/>
      <c r="AA53" s="900"/>
      <c r="AB53" s="898">
        <f t="shared" si="78"/>
        <v>0</v>
      </c>
      <c r="AC53" s="481"/>
      <c r="AD53" s="901"/>
      <c r="AE53" s="900"/>
      <c r="AF53" s="900"/>
      <c r="AG53" s="898">
        <f t="shared" si="79"/>
        <v>0</v>
      </c>
      <c r="AH53" s="901"/>
      <c r="AI53" s="900"/>
      <c r="AJ53" s="900"/>
      <c r="AK53" s="898">
        <f t="shared" si="80"/>
        <v>0</v>
      </c>
      <c r="AL53" s="481"/>
      <c r="AM53" s="901"/>
      <c r="AN53" s="900"/>
      <c r="AO53" s="900"/>
      <c r="AP53" s="898">
        <f t="shared" si="81"/>
        <v>0</v>
      </c>
      <c r="AQ53" s="901"/>
      <c r="AR53" s="900"/>
      <c r="AS53" s="900"/>
      <c r="AT53" s="898">
        <f t="shared" si="82"/>
        <v>0</v>
      </c>
      <c r="AU53" s="481"/>
      <c r="AV53" s="901"/>
      <c r="AW53" s="900"/>
      <c r="AX53" s="900"/>
      <c r="AY53" s="898">
        <f t="shared" si="83"/>
        <v>0</v>
      </c>
      <c r="AZ53" s="982"/>
      <c r="BA53" s="900"/>
      <c r="BB53" s="900"/>
      <c r="BC53" s="898">
        <f t="shared" si="84"/>
        <v>0</v>
      </c>
      <c r="BD53" s="481"/>
      <c r="BE53" s="901"/>
      <c r="BF53" s="900"/>
      <c r="BG53" s="900"/>
      <c r="BH53" s="898">
        <f t="shared" si="85"/>
        <v>0</v>
      </c>
      <c r="BI53" s="901"/>
      <c r="BJ53" s="900"/>
      <c r="BK53" s="900"/>
      <c r="BL53" s="898">
        <f t="shared" si="86"/>
        <v>0</v>
      </c>
      <c r="BM53" s="481"/>
      <c r="BN53" s="901"/>
      <c r="BO53" s="900"/>
      <c r="BP53" s="900"/>
      <c r="BQ53" s="898">
        <f t="shared" si="87"/>
        <v>0</v>
      </c>
      <c r="BR53" s="901"/>
      <c r="BS53" s="900"/>
      <c r="BT53" s="900"/>
      <c r="BU53" s="898">
        <f t="shared" si="88"/>
        <v>0</v>
      </c>
      <c r="BV53" s="481"/>
      <c r="BW53" s="901"/>
      <c r="BX53" s="900"/>
      <c r="BY53" s="900"/>
      <c r="BZ53" s="898">
        <f t="shared" si="89"/>
        <v>0</v>
      </c>
      <c r="CA53" s="875"/>
      <c r="CB53" s="876"/>
      <c r="CC53" s="876"/>
      <c r="CD53" s="872">
        <f t="shared" si="90"/>
        <v>0</v>
      </c>
      <c r="CE53" s="327"/>
      <c r="CF53" s="301"/>
    </row>
    <row r="54">
      <c r="A54" s="301"/>
      <c r="B54" s="324"/>
      <c r="C54" s="875"/>
      <c r="D54" s="900"/>
      <c r="E54" s="900"/>
      <c r="F54" s="898">
        <f t="shared" si="73"/>
        <v>0</v>
      </c>
      <c r="G54" s="901"/>
      <c r="H54" s="900"/>
      <c r="I54" s="900"/>
      <c r="J54" s="898">
        <f t="shared" si="74"/>
        <v>0</v>
      </c>
      <c r="K54" s="481"/>
      <c r="L54" s="901"/>
      <c r="M54" s="900"/>
      <c r="N54" s="900"/>
      <c r="O54" s="898">
        <f t="shared" si="75"/>
        <v>0</v>
      </c>
      <c r="P54" s="901"/>
      <c r="Q54" s="900"/>
      <c r="R54" s="900"/>
      <c r="S54" s="898">
        <f t="shared" si="76"/>
        <v>0</v>
      </c>
      <c r="T54" s="481"/>
      <c r="U54" s="901"/>
      <c r="V54" s="900"/>
      <c r="W54" s="900"/>
      <c r="X54" s="898">
        <f t="shared" si="77"/>
        <v>0</v>
      </c>
      <c r="Y54" s="901"/>
      <c r="Z54" s="900"/>
      <c r="AA54" s="900"/>
      <c r="AB54" s="898">
        <f t="shared" si="78"/>
        <v>0</v>
      </c>
      <c r="AC54" s="481"/>
      <c r="AD54" s="901"/>
      <c r="AE54" s="900"/>
      <c r="AF54" s="900"/>
      <c r="AG54" s="898">
        <f t="shared" si="79"/>
        <v>0</v>
      </c>
      <c r="AH54" s="901"/>
      <c r="AI54" s="900"/>
      <c r="AJ54" s="900"/>
      <c r="AK54" s="898">
        <f t="shared" si="80"/>
        <v>0</v>
      </c>
      <c r="AL54" s="481"/>
      <c r="AM54" s="901"/>
      <c r="AN54" s="900"/>
      <c r="AO54" s="900"/>
      <c r="AP54" s="898">
        <f t="shared" si="81"/>
        <v>0</v>
      </c>
      <c r="AQ54" s="901"/>
      <c r="AR54" s="900"/>
      <c r="AS54" s="900"/>
      <c r="AT54" s="898">
        <f t="shared" si="82"/>
        <v>0</v>
      </c>
      <c r="AU54" s="481"/>
      <c r="AV54" s="901"/>
      <c r="AW54" s="900"/>
      <c r="AX54" s="900"/>
      <c r="AY54" s="898">
        <f t="shared" si="83"/>
        <v>0</v>
      </c>
      <c r="AZ54" s="982"/>
      <c r="BA54" s="900"/>
      <c r="BB54" s="900"/>
      <c r="BC54" s="898">
        <f t="shared" si="84"/>
        <v>0</v>
      </c>
      <c r="BD54" s="481"/>
      <c r="BE54" s="901"/>
      <c r="BF54" s="900"/>
      <c r="BG54" s="900"/>
      <c r="BH54" s="898">
        <f t="shared" si="85"/>
        <v>0</v>
      </c>
      <c r="BI54" s="901"/>
      <c r="BJ54" s="900"/>
      <c r="BK54" s="900"/>
      <c r="BL54" s="898">
        <f t="shared" si="86"/>
        <v>0</v>
      </c>
      <c r="BM54" s="481"/>
      <c r="BN54" s="901"/>
      <c r="BO54" s="900"/>
      <c r="BP54" s="900"/>
      <c r="BQ54" s="898">
        <f t="shared" si="87"/>
        <v>0</v>
      </c>
      <c r="BR54" s="901"/>
      <c r="BS54" s="900"/>
      <c r="BT54" s="900"/>
      <c r="BU54" s="898">
        <f t="shared" si="88"/>
        <v>0</v>
      </c>
      <c r="BV54" s="481"/>
      <c r="BW54" s="901"/>
      <c r="BX54" s="900"/>
      <c r="BY54" s="900"/>
      <c r="BZ54" s="898">
        <f t="shared" si="89"/>
        <v>0</v>
      </c>
      <c r="CA54" s="875"/>
      <c r="CB54" s="876"/>
      <c r="CC54" s="876"/>
      <c r="CD54" s="872">
        <f t="shared" si="90"/>
        <v>0</v>
      </c>
      <c r="CE54" s="327"/>
      <c r="CF54" s="301"/>
    </row>
    <row r="55">
      <c r="A55" s="301"/>
      <c r="B55" s="324"/>
      <c r="C55" s="877"/>
      <c r="D55" s="905"/>
      <c r="E55" s="905"/>
      <c r="F55" s="898">
        <f t="shared" si="73"/>
        <v>0</v>
      </c>
      <c r="G55" s="906"/>
      <c r="H55" s="905"/>
      <c r="I55" s="905"/>
      <c r="J55" s="898">
        <f t="shared" si="74"/>
        <v>0</v>
      </c>
      <c r="K55" s="481"/>
      <c r="L55" s="906"/>
      <c r="M55" s="905"/>
      <c r="N55" s="905"/>
      <c r="O55" s="898">
        <f t="shared" si="75"/>
        <v>0</v>
      </c>
      <c r="P55" s="906"/>
      <c r="Q55" s="905"/>
      <c r="R55" s="905"/>
      <c r="S55" s="898">
        <f t="shared" si="76"/>
        <v>0</v>
      </c>
      <c r="T55" s="481"/>
      <c r="U55" s="906"/>
      <c r="V55" s="905"/>
      <c r="W55" s="905"/>
      <c r="X55" s="898">
        <f t="shared" si="77"/>
        <v>0</v>
      </c>
      <c r="Y55" s="906"/>
      <c r="Z55" s="905"/>
      <c r="AA55" s="905"/>
      <c r="AB55" s="898">
        <f t="shared" si="78"/>
        <v>0</v>
      </c>
      <c r="AC55" s="481"/>
      <c r="AD55" s="906"/>
      <c r="AE55" s="905"/>
      <c r="AF55" s="905"/>
      <c r="AG55" s="898">
        <f t="shared" si="79"/>
        <v>0</v>
      </c>
      <c r="AH55" s="906"/>
      <c r="AI55" s="905"/>
      <c r="AJ55" s="905"/>
      <c r="AK55" s="898">
        <f t="shared" si="80"/>
        <v>0</v>
      </c>
      <c r="AL55" s="481"/>
      <c r="AM55" s="906"/>
      <c r="AN55" s="905"/>
      <c r="AO55" s="905"/>
      <c r="AP55" s="898">
        <f t="shared" si="81"/>
        <v>0</v>
      </c>
      <c r="AQ55" s="906"/>
      <c r="AR55" s="905"/>
      <c r="AS55" s="905"/>
      <c r="AT55" s="898">
        <f t="shared" si="82"/>
        <v>0</v>
      </c>
      <c r="AU55" s="481"/>
      <c r="AV55" s="906"/>
      <c r="AW55" s="905"/>
      <c r="AX55" s="905"/>
      <c r="AY55" s="898">
        <f t="shared" si="83"/>
        <v>0</v>
      </c>
      <c r="AZ55" s="985"/>
      <c r="BA55" s="905"/>
      <c r="BB55" s="905"/>
      <c r="BC55" s="898">
        <f t="shared" si="84"/>
        <v>0</v>
      </c>
      <c r="BD55" s="481"/>
      <c r="BE55" s="906"/>
      <c r="BF55" s="905"/>
      <c r="BG55" s="905"/>
      <c r="BH55" s="898">
        <f t="shared" si="85"/>
        <v>0</v>
      </c>
      <c r="BI55" s="906"/>
      <c r="BJ55" s="905"/>
      <c r="BK55" s="905"/>
      <c r="BL55" s="898">
        <f t="shared" si="86"/>
        <v>0</v>
      </c>
      <c r="BM55" s="481"/>
      <c r="BN55" s="906"/>
      <c r="BO55" s="905"/>
      <c r="BP55" s="905"/>
      <c r="BQ55" s="898">
        <f t="shared" si="87"/>
        <v>0</v>
      </c>
      <c r="BR55" s="906"/>
      <c r="BS55" s="905"/>
      <c r="BT55" s="905"/>
      <c r="BU55" s="898">
        <f t="shared" si="88"/>
        <v>0</v>
      </c>
      <c r="BV55" s="481"/>
      <c r="BW55" s="906"/>
      <c r="BX55" s="905"/>
      <c r="BY55" s="905"/>
      <c r="BZ55" s="898">
        <f t="shared" si="89"/>
        <v>0</v>
      </c>
      <c r="CA55" s="877"/>
      <c r="CB55" s="878"/>
      <c r="CC55" s="878"/>
      <c r="CD55" s="872">
        <f t="shared" si="90"/>
        <v>0</v>
      </c>
      <c r="CE55" s="327"/>
      <c r="CF55" s="301"/>
    </row>
    <row r="56">
      <c r="A56" s="301"/>
      <c r="B56" s="324"/>
      <c r="C56" s="880" t="s">
        <v>155</v>
      </c>
      <c r="D56" s="881">
        <f>SUM(F50:F55)</f>
        <v>0</v>
      </c>
      <c r="E56" s="706"/>
      <c r="F56" s="706"/>
      <c r="G56" s="910" t="s">
        <v>155</v>
      </c>
      <c r="H56" s="881">
        <f>SUM(J50:J55)</f>
        <v>0</v>
      </c>
      <c r="I56" s="706"/>
      <c r="J56" s="706"/>
      <c r="K56" s="481"/>
      <c r="L56" s="910" t="s">
        <v>155</v>
      </c>
      <c r="M56" s="881">
        <f>SUM(O50:O55)</f>
        <v>0</v>
      </c>
      <c r="N56" s="706"/>
      <c r="O56" s="706"/>
      <c r="P56" s="910" t="s">
        <v>155</v>
      </c>
      <c r="Q56" s="881">
        <f>SUM(S50:S55)</f>
        <v>0</v>
      </c>
      <c r="R56" s="706"/>
      <c r="S56" s="706"/>
      <c r="T56" s="481"/>
      <c r="U56" s="910" t="s">
        <v>155</v>
      </c>
      <c r="V56" s="881">
        <f>SUM(X50:X55)</f>
        <v>0</v>
      </c>
      <c r="W56" s="706"/>
      <c r="X56" s="706"/>
      <c r="Y56" s="910" t="s">
        <v>155</v>
      </c>
      <c r="Z56" s="881">
        <f>SUM(AB50:AB55)</f>
        <v>0</v>
      </c>
      <c r="AA56" s="706"/>
      <c r="AB56" s="706"/>
      <c r="AC56" s="481"/>
      <c r="AD56" s="910" t="s">
        <v>155</v>
      </c>
      <c r="AE56" s="881">
        <f>SUM(AG50:AG55)</f>
        <v>0</v>
      </c>
      <c r="AF56" s="706"/>
      <c r="AG56" s="706"/>
      <c r="AH56" s="910" t="s">
        <v>155</v>
      </c>
      <c r="AI56" s="881">
        <f>SUM(AK50:AK55)</f>
        <v>0</v>
      </c>
      <c r="AJ56" s="706"/>
      <c r="AK56" s="706"/>
      <c r="AL56" s="481"/>
      <c r="AM56" s="910" t="s">
        <v>155</v>
      </c>
      <c r="AN56" s="881">
        <f>SUM(AP50:AP55)</f>
        <v>0</v>
      </c>
      <c r="AO56" s="706"/>
      <c r="AP56" s="706"/>
      <c r="AQ56" s="910" t="s">
        <v>155</v>
      </c>
      <c r="AR56" s="881">
        <f>SUM(AT50:AT55)</f>
        <v>0</v>
      </c>
      <c r="AS56" s="706"/>
      <c r="AT56" s="706"/>
      <c r="AU56" s="481"/>
      <c r="AV56" s="910" t="s">
        <v>155</v>
      </c>
      <c r="AW56" s="881">
        <f>SUM(AY50:AY55)</f>
        <v>0</v>
      </c>
      <c r="AX56" s="706"/>
      <c r="AY56" s="706"/>
      <c r="AZ56" s="910" t="s">
        <v>155</v>
      </c>
      <c r="BA56" s="881">
        <f>SUM(BC50:BC55)</f>
        <v>0</v>
      </c>
      <c r="BB56" s="706"/>
      <c r="BC56" s="706"/>
      <c r="BD56" s="481"/>
      <c r="BE56" s="910" t="s">
        <v>155</v>
      </c>
      <c r="BF56" s="881">
        <f>SUM(BH50:BH55)</f>
        <v>0</v>
      </c>
      <c r="BG56" s="706"/>
      <c r="BH56" s="706"/>
      <c r="BI56" s="910" t="s">
        <v>155</v>
      </c>
      <c r="BJ56" s="881">
        <f>SUM(BL50:BL55)</f>
        <v>0</v>
      </c>
      <c r="BK56" s="706"/>
      <c r="BL56" s="706"/>
      <c r="BM56" s="481"/>
      <c r="BN56" s="910" t="s">
        <v>155</v>
      </c>
      <c r="BO56" s="881">
        <f>SUM(BQ50:BQ55)</f>
        <v>0</v>
      </c>
      <c r="BP56" s="706"/>
      <c r="BQ56" s="706"/>
      <c r="BR56" s="910" t="s">
        <v>155</v>
      </c>
      <c r="BS56" s="881">
        <f>SUM(BU50:BU55)</f>
        <v>0</v>
      </c>
      <c r="BT56" s="706"/>
      <c r="BU56" s="706"/>
      <c r="BV56" s="481"/>
      <c r="BW56" s="910" t="s">
        <v>155</v>
      </c>
      <c r="BX56" s="881">
        <f>SUM(BZ50:BZ55)</f>
        <v>0</v>
      </c>
      <c r="BY56" s="706"/>
      <c r="BZ56" s="706"/>
      <c r="CA56" s="880" t="s">
        <v>155</v>
      </c>
      <c r="CB56" s="881">
        <f>SUM(CD50:CD55)</f>
        <v>0</v>
      </c>
      <c r="CC56" s="706"/>
      <c r="CD56" s="706"/>
      <c r="CE56" s="327"/>
      <c r="CF56" s="301"/>
    </row>
    <row r="57">
      <c r="A57" s="5"/>
      <c r="B57" s="416"/>
      <c r="C57" s="883" t="s">
        <v>162</v>
      </c>
      <c r="D57" s="911"/>
      <c r="E57" s="124"/>
      <c r="F57" s="419"/>
      <c r="G57" s="912" t="s">
        <v>162</v>
      </c>
      <c r="H57" s="911"/>
      <c r="I57" s="124"/>
      <c r="J57" s="125"/>
      <c r="K57" s="470"/>
      <c r="L57" s="912" t="s">
        <v>162</v>
      </c>
      <c r="M57" s="911"/>
      <c r="N57" s="124"/>
      <c r="O57" s="419"/>
      <c r="P57" s="912" t="s">
        <v>162</v>
      </c>
      <c r="Q57" s="911"/>
      <c r="R57" s="124"/>
      <c r="S57" s="125"/>
      <c r="T57" s="470"/>
      <c r="U57" s="912" t="s">
        <v>162</v>
      </c>
      <c r="V57" s="911"/>
      <c r="W57" s="124"/>
      <c r="X57" s="419"/>
      <c r="Y57" s="912" t="s">
        <v>162</v>
      </c>
      <c r="Z57" s="911"/>
      <c r="AA57" s="124"/>
      <c r="AB57" s="125"/>
      <c r="AC57" s="470"/>
      <c r="AD57" s="912" t="s">
        <v>162</v>
      </c>
      <c r="AE57" s="911"/>
      <c r="AF57" s="124"/>
      <c r="AG57" s="419"/>
      <c r="AH57" s="912" t="s">
        <v>162</v>
      </c>
      <c r="AI57" s="911"/>
      <c r="AJ57" s="124"/>
      <c r="AK57" s="125"/>
      <c r="AL57" s="470"/>
      <c r="AM57" s="912" t="s">
        <v>162</v>
      </c>
      <c r="AN57" s="911"/>
      <c r="AO57" s="124"/>
      <c r="AP57" s="419"/>
      <c r="AQ57" s="912" t="s">
        <v>162</v>
      </c>
      <c r="AR57" s="911"/>
      <c r="AS57" s="124"/>
      <c r="AT57" s="125"/>
      <c r="AU57" s="470"/>
      <c r="AV57" s="912" t="s">
        <v>162</v>
      </c>
      <c r="AW57" s="911"/>
      <c r="AX57" s="124"/>
      <c r="AY57" s="419"/>
      <c r="AZ57" s="912" t="s">
        <v>162</v>
      </c>
      <c r="BA57" s="911"/>
      <c r="BB57" s="124"/>
      <c r="BC57" s="125"/>
      <c r="BD57" s="470"/>
      <c r="BE57" s="912" t="s">
        <v>162</v>
      </c>
      <c r="BF57" s="911"/>
      <c r="BG57" s="124"/>
      <c r="BH57" s="419"/>
      <c r="BI57" s="912" t="s">
        <v>162</v>
      </c>
      <c r="BJ57" s="911"/>
      <c r="BK57" s="124"/>
      <c r="BL57" s="125"/>
      <c r="BM57" s="470"/>
      <c r="BN57" s="912" t="s">
        <v>162</v>
      </c>
      <c r="BO57" s="911"/>
      <c r="BP57" s="124"/>
      <c r="BQ57" s="419"/>
      <c r="BR57" s="912" t="s">
        <v>162</v>
      </c>
      <c r="BS57" s="911"/>
      <c r="BT57" s="124"/>
      <c r="BU57" s="125"/>
      <c r="BV57" s="470"/>
      <c r="BW57" s="912" t="s">
        <v>162</v>
      </c>
      <c r="BX57" s="911"/>
      <c r="BY57" s="124"/>
      <c r="BZ57" s="419"/>
      <c r="CA57" s="883" t="s">
        <v>162</v>
      </c>
      <c r="CB57" s="884"/>
      <c r="CC57" s="124"/>
      <c r="CD57" s="125"/>
      <c r="CE57" s="440"/>
      <c r="CF57" s="5"/>
    </row>
    <row r="58">
      <c r="A58" s="5"/>
      <c r="B58" s="416"/>
      <c r="C58" s="885" t="s">
        <v>168</v>
      </c>
      <c r="D58" s="886">
        <v>1.0</v>
      </c>
      <c r="E58" s="886">
        <v>2.0</v>
      </c>
      <c r="F58" s="886">
        <v>3.0</v>
      </c>
      <c r="G58" s="887" t="s">
        <v>174</v>
      </c>
      <c r="H58" s="342"/>
      <c r="I58" s="888" t="str">
        <f>IF(D57=2,"W",IF(H57=2,"L",))</f>
        <v/>
      </c>
      <c r="J58" s="889" t="str">
        <f>IF(H57=2,"W",IF(D57=2,"L",))</f>
        <v/>
      </c>
      <c r="K58" s="470"/>
      <c r="L58" s="890" t="s">
        <v>168</v>
      </c>
      <c r="M58" s="886">
        <v>1.0</v>
      </c>
      <c r="N58" s="886">
        <v>2.0</v>
      </c>
      <c r="O58" s="892">
        <v>3.0</v>
      </c>
      <c r="P58" s="887" t="s">
        <v>174</v>
      </c>
      <c r="Q58" s="342"/>
      <c r="R58" s="888" t="str">
        <f>IF(M57=2,"W",IF(Q57=2,"L",))</f>
        <v/>
      </c>
      <c r="S58" s="889" t="str">
        <f>IF(Q57=2,"W",IF(M57=2,"L",))</f>
        <v/>
      </c>
      <c r="T58" s="470"/>
      <c r="U58" s="890" t="s">
        <v>168</v>
      </c>
      <c r="V58" s="886">
        <v>1.0</v>
      </c>
      <c r="W58" s="886">
        <v>2.0</v>
      </c>
      <c r="X58" s="886">
        <v>3.0</v>
      </c>
      <c r="Y58" s="887" t="s">
        <v>174</v>
      </c>
      <c r="Z58" s="342"/>
      <c r="AA58" s="888" t="str">
        <f>IF(V57=2,"W",IF(Z57=2,"L",))</f>
        <v/>
      </c>
      <c r="AB58" s="889" t="str">
        <f>IF(Z57=2,"W",IF(V57=2,"L",))</f>
        <v/>
      </c>
      <c r="AC58" s="470"/>
      <c r="AD58" s="890" t="s">
        <v>168</v>
      </c>
      <c r="AE58" s="886">
        <v>1.0</v>
      </c>
      <c r="AF58" s="886">
        <v>2.0</v>
      </c>
      <c r="AG58" s="886">
        <v>3.0</v>
      </c>
      <c r="AH58" s="887" t="s">
        <v>174</v>
      </c>
      <c r="AI58" s="342"/>
      <c r="AJ58" s="888" t="str">
        <f>IF(AE57=2,"W",IF(AI57=2,"L",))</f>
        <v/>
      </c>
      <c r="AK58" s="889" t="str">
        <f>IF(AI57=2,"W",IF(AE57=2,"L",))</f>
        <v/>
      </c>
      <c r="AL58" s="470"/>
      <c r="AM58" s="890" t="s">
        <v>168</v>
      </c>
      <c r="AN58" s="886">
        <v>1.0</v>
      </c>
      <c r="AO58" s="886">
        <v>2.0</v>
      </c>
      <c r="AP58" s="892">
        <v>3.0</v>
      </c>
      <c r="AQ58" s="887" t="s">
        <v>174</v>
      </c>
      <c r="AR58" s="342"/>
      <c r="AS58" s="888" t="str">
        <f>IF(AN57=2,"W",IF(AR57=2,"L",))</f>
        <v/>
      </c>
      <c r="AT58" s="889" t="str">
        <f>IF(AR57=2,"W",IF(AN57=2,"L",))</f>
        <v/>
      </c>
      <c r="AU58" s="470"/>
      <c r="AV58" s="890" t="s">
        <v>168</v>
      </c>
      <c r="AW58" s="886">
        <v>1.0</v>
      </c>
      <c r="AX58" s="886">
        <v>2.0</v>
      </c>
      <c r="AY58" s="892">
        <v>3.0</v>
      </c>
      <c r="AZ58" s="887" t="s">
        <v>174</v>
      </c>
      <c r="BA58" s="342"/>
      <c r="BB58" s="888" t="str">
        <f>IF(AW57=2,"W",IF(BA57=2,"L",))</f>
        <v/>
      </c>
      <c r="BC58" s="889" t="str">
        <f>IF(BA57=2,"W",IF(AW57=2,"L",))</f>
        <v/>
      </c>
      <c r="BD58" s="470"/>
      <c r="BE58" s="890" t="s">
        <v>168</v>
      </c>
      <c r="BF58" s="886">
        <v>1.0</v>
      </c>
      <c r="BG58" s="886">
        <v>2.0</v>
      </c>
      <c r="BH58" s="892">
        <v>3.0</v>
      </c>
      <c r="BI58" s="887" t="s">
        <v>174</v>
      </c>
      <c r="BJ58" s="342"/>
      <c r="BK58" s="888" t="str">
        <f>IF(BF57=2,"W",IF(BJ57=2,"L",))</f>
        <v/>
      </c>
      <c r="BL58" s="889" t="str">
        <f>IF(BJ57=2,"W",IF(BF57=2,"L",))</f>
        <v/>
      </c>
      <c r="BM58" s="470"/>
      <c r="BN58" s="890" t="s">
        <v>168</v>
      </c>
      <c r="BO58" s="886">
        <v>1.0</v>
      </c>
      <c r="BP58" s="886">
        <v>2.0</v>
      </c>
      <c r="BQ58" s="892">
        <v>3.0</v>
      </c>
      <c r="BR58" s="887" t="s">
        <v>174</v>
      </c>
      <c r="BS58" s="342"/>
      <c r="BT58" s="888" t="str">
        <f>IF(BO57=2,"W",IF(BS57=2,"L",))</f>
        <v/>
      </c>
      <c r="BU58" s="889" t="str">
        <f>IF(BS57=2,"W",IF(BO57=2,"L",))</f>
        <v/>
      </c>
      <c r="BV58" s="470"/>
      <c r="BW58" s="890" t="s">
        <v>168</v>
      </c>
      <c r="BX58" s="892">
        <v>1.0</v>
      </c>
      <c r="BY58" s="892">
        <v>2.0</v>
      </c>
      <c r="BZ58" s="892">
        <v>3.0</v>
      </c>
      <c r="CA58" s="894" t="s">
        <v>174</v>
      </c>
      <c r="CB58" s="342"/>
      <c r="CC58" s="895" t="str">
        <f>IF(BX57=2,"W",IF(CB57=2,"L",))</f>
        <v/>
      </c>
      <c r="CD58" s="896" t="str">
        <f>IF(CB57=2,"W",IF(BX57=2,"L",))</f>
        <v/>
      </c>
      <c r="CE58" s="440"/>
      <c r="CF58" s="5"/>
    </row>
    <row r="59" ht="7.5" customHeight="1">
      <c r="A59" s="301"/>
      <c r="B59" s="324"/>
      <c r="C59" s="325"/>
      <c r="D59" s="481"/>
      <c r="E59" s="481"/>
      <c r="F59" s="481"/>
      <c r="G59" s="481"/>
      <c r="H59" s="481"/>
      <c r="I59" s="481"/>
      <c r="J59" s="481"/>
      <c r="K59" s="481"/>
      <c r="L59" s="481"/>
      <c r="M59" s="481"/>
      <c r="N59" s="481"/>
      <c r="O59" s="481"/>
      <c r="P59" s="481"/>
      <c r="Q59" s="481"/>
      <c r="R59" s="481"/>
      <c r="S59" s="481"/>
      <c r="T59" s="481"/>
      <c r="U59" s="481"/>
      <c r="V59" s="481"/>
      <c r="W59" s="481"/>
      <c r="X59" s="481"/>
      <c r="Y59" s="481"/>
      <c r="Z59" s="481"/>
      <c r="AA59" s="481"/>
      <c r="AB59" s="481"/>
      <c r="AC59" s="481"/>
      <c r="AD59" s="481"/>
      <c r="AE59" s="481"/>
      <c r="AF59" s="481"/>
      <c r="AG59" s="481"/>
      <c r="AH59" s="481"/>
      <c r="AI59" s="481"/>
      <c r="AJ59" s="481"/>
      <c r="AK59" s="481"/>
      <c r="AL59" s="481"/>
      <c r="AM59" s="481"/>
      <c r="AN59" s="481"/>
      <c r="AO59" s="481"/>
      <c r="AP59" s="481"/>
      <c r="AQ59" s="481"/>
      <c r="AR59" s="481"/>
      <c r="AS59" s="481"/>
      <c r="AT59" s="481"/>
      <c r="AU59" s="481"/>
      <c r="AV59" s="481"/>
      <c r="AW59" s="481"/>
      <c r="AX59" s="481"/>
      <c r="AY59" s="481"/>
      <c r="AZ59" s="481"/>
      <c r="BA59" s="481"/>
      <c r="BB59" s="481"/>
      <c r="BC59" s="481"/>
      <c r="BD59" s="481"/>
      <c r="BE59" s="481"/>
      <c r="BF59" s="481"/>
      <c r="BG59" s="481"/>
      <c r="BH59" s="481"/>
      <c r="BI59" s="481"/>
      <c r="BJ59" s="481"/>
      <c r="BK59" s="481"/>
      <c r="BL59" s="481"/>
      <c r="BM59" s="481"/>
      <c r="BN59" s="481"/>
      <c r="BO59" s="481"/>
      <c r="BP59" s="481"/>
      <c r="BQ59" s="481"/>
      <c r="BR59" s="481"/>
      <c r="BS59" s="481"/>
      <c r="BT59" s="481"/>
      <c r="BU59" s="481"/>
      <c r="BV59" s="481"/>
      <c r="BW59" s="481"/>
      <c r="BX59" s="481"/>
      <c r="BY59" s="481"/>
      <c r="BZ59" s="481"/>
      <c r="CA59" s="325"/>
      <c r="CB59" s="325"/>
      <c r="CC59" s="325"/>
      <c r="CD59" s="325"/>
      <c r="CE59" s="327"/>
      <c r="CF59" s="301"/>
    </row>
    <row r="60">
      <c r="A60" s="301"/>
      <c r="B60" s="324"/>
      <c r="C60" s="328" t="str">
        <f>#REF!</f>
        <v>#REF!</v>
      </c>
      <c r="D60" s="482" t="s">
        <v>148</v>
      </c>
      <c r="E60" s="483" t="s">
        <v>149</v>
      </c>
      <c r="F60" s="483" t="s">
        <v>36</v>
      </c>
      <c r="G60" s="484" t="str">
        <f>#REF!</f>
        <v>#REF!</v>
      </c>
      <c r="H60" s="485" t="s">
        <v>148</v>
      </c>
      <c r="I60" s="486" t="s">
        <v>149</v>
      </c>
      <c r="J60" s="487" t="s">
        <v>36</v>
      </c>
      <c r="K60" s="481"/>
      <c r="L60" s="488" t="str">
        <f>#REF!</f>
        <v>#REF!</v>
      </c>
      <c r="M60" s="482" t="s">
        <v>148</v>
      </c>
      <c r="N60" s="483" t="s">
        <v>149</v>
      </c>
      <c r="O60" s="483" t="s">
        <v>36</v>
      </c>
      <c r="P60" s="484" t="str">
        <f>#REF!</f>
        <v>#REF!</v>
      </c>
      <c r="Q60" s="485" t="s">
        <v>148</v>
      </c>
      <c r="R60" s="486" t="s">
        <v>149</v>
      </c>
      <c r="S60" s="487" t="s">
        <v>36</v>
      </c>
      <c r="T60" s="481"/>
      <c r="U60" s="488" t="str">
        <f>#REF!</f>
        <v>#REF!</v>
      </c>
      <c r="V60" s="482" t="s">
        <v>148</v>
      </c>
      <c r="W60" s="483" t="s">
        <v>149</v>
      </c>
      <c r="X60" s="483" t="s">
        <v>36</v>
      </c>
      <c r="Y60" s="484" t="str">
        <f>#REF!</f>
        <v>#REF!</v>
      </c>
      <c r="Z60" s="485" t="s">
        <v>148</v>
      </c>
      <c r="AA60" s="486" t="s">
        <v>149</v>
      </c>
      <c r="AB60" s="487" t="s">
        <v>36</v>
      </c>
      <c r="AC60" s="481"/>
      <c r="AD60" s="488" t="str">
        <f>#REF!</f>
        <v>#REF!</v>
      </c>
      <c r="AE60" s="482" t="s">
        <v>148</v>
      </c>
      <c r="AF60" s="483" t="s">
        <v>149</v>
      </c>
      <c r="AG60" s="483" t="s">
        <v>36</v>
      </c>
      <c r="AH60" s="484" t="str">
        <f>#REF!</f>
        <v>#REF!</v>
      </c>
      <c r="AI60" s="485" t="s">
        <v>148</v>
      </c>
      <c r="AJ60" s="486" t="s">
        <v>149</v>
      </c>
      <c r="AK60" s="487" t="s">
        <v>36</v>
      </c>
      <c r="AL60" s="481"/>
      <c r="AM60" s="488" t="str">
        <f>#REF!</f>
        <v>#REF!</v>
      </c>
      <c r="AN60" s="482" t="s">
        <v>148</v>
      </c>
      <c r="AO60" s="483" t="s">
        <v>149</v>
      </c>
      <c r="AP60" s="483" t="s">
        <v>36</v>
      </c>
      <c r="AQ60" s="484" t="str">
        <f>#REF!</f>
        <v>#REF!</v>
      </c>
      <c r="AR60" s="485" t="s">
        <v>148</v>
      </c>
      <c r="AS60" s="486" t="s">
        <v>149</v>
      </c>
      <c r="AT60" s="487" t="s">
        <v>36</v>
      </c>
      <c r="AU60" s="481"/>
      <c r="AV60" s="488" t="str">
        <f>#REF!</f>
        <v>#REF!</v>
      </c>
      <c r="AW60" s="482" t="s">
        <v>148</v>
      </c>
      <c r="AX60" s="483" t="s">
        <v>149</v>
      </c>
      <c r="AY60" s="483" t="s">
        <v>36</v>
      </c>
      <c r="AZ60" s="484" t="str">
        <f>#REF!</f>
        <v>#REF!</v>
      </c>
      <c r="BA60" s="485" t="s">
        <v>148</v>
      </c>
      <c r="BB60" s="486" t="s">
        <v>149</v>
      </c>
      <c r="BC60" s="487" t="s">
        <v>36</v>
      </c>
      <c r="BD60" s="481"/>
      <c r="BE60" s="488" t="str">
        <f>#REF!</f>
        <v>#REF!</v>
      </c>
      <c r="BF60" s="482" t="s">
        <v>148</v>
      </c>
      <c r="BG60" s="483" t="s">
        <v>149</v>
      </c>
      <c r="BH60" s="483" t="s">
        <v>36</v>
      </c>
      <c r="BI60" s="484" t="str">
        <f>#REF!</f>
        <v>#REF!</v>
      </c>
      <c r="BJ60" s="485" t="s">
        <v>148</v>
      </c>
      <c r="BK60" s="486" t="s">
        <v>149</v>
      </c>
      <c r="BL60" s="487" t="s">
        <v>36</v>
      </c>
      <c r="BM60" s="481"/>
      <c r="BN60" s="488" t="str">
        <f>#REF!</f>
        <v>#REF!</v>
      </c>
      <c r="BO60" s="482" t="s">
        <v>148</v>
      </c>
      <c r="BP60" s="483" t="s">
        <v>149</v>
      </c>
      <c r="BQ60" s="483" t="s">
        <v>36</v>
      </c>
      <c r="BR60" s="484" t="str">
        <f>#REF!</f>
        <v>#REF!</v>
      </c>
      <c r="BS60" s="485" t="s">
        <v>148</v>
      </c>
      <c r="BT60" s="486" t="s">
        <v>149</v>
      </c>
      <c r="BU60" s="487" t="s">
        <v>36</v>
      </c>
      <c r="BV60" s="481"/>
      <c r="BW60" s="488" t="str">
        <f>#REF!</f>
        <v>#REF!</v>
      </c>
      <c r="BX60" s="482" t="s">
        <v>148</v>
      </c>
      <c r="BY60" s="483" t="s">
        <v>149</v>
      </c>
      <c r="BZ60" s="483" t="s">
        <v>36</v>
      </c>
      <c r="CA60" s="331" t="str">
        <f>#REF!</f>
        <v>#REF!</v>
      </c>
      <c r="CB60" s="332" t="s">
        <v>148</v>
      </c>
      <c r="CC60" s="336" t="s">
        <v>149</v>
      </c>
      <c r="CD60" s="337" t="s">
        <v>36</v>
      </c>
      <c r="CE60" s="327"/>
      <c r="CF60" s="301"/>
    </row>
    <row r="61">
      <c r="A61" s="301"/>
      <c r="B61" s="324"/>
      <c r="C61" s="870"/>
      <c r="D61" s="897"/>
      <c r="E61" s="897"/>
      <c r="F61" s="898">
        <f t="shared" ref="F61:F66" si="91">D61-E61</f>
        <v>0</v>
      </c>
      <c r="G61" s="899"/>
      <c r="H61" s="897"/>
      <c r="I61" s="897"/>
      <c r="J61" s="898">
        <f t="shared" ref="J61:J66" si="92">H61-I61</f>
        <v>0</v>
      </c>
      <c r="K61" s="481"/>
      <c r="L61" s="899"/>
      <c r="M61" s="897"/>
      <c r="N61" s="897"/>
      <c r="O61" s="898">
        <f t="shared" ref="O61:O66" si="93">M61-N61</f>
        <v>0</v>
      </c>
      <c r="P61" s="899"/>
      <c r="Q61" s="897"/>
      <c r="R61" s="897"/>
      <c r="S61" s="898">
        <f t="shared" ref="S61:S66" si="94">Q61-R61</f>
        <v>0</v>
      </c>
      <c r="T61" s="481"/>
      <c r="U61" s="899"/>
      <c r="V61" s="897"/>
      <c r="W61" s="897"/>
      <c r="X61" s="898">
        <f t="shared" ref="X61:X66" si="95">V61-W61</f>
        <v>0</v>
      </c>
      <c r="Y61" s="899"/>
      <c r="Z61" s="897"/>
      <c r="AA61" s="897"/>
      <c r="AB61" s="898">
        <f t="shared" ref="AB61:AB66" si="96">Z61-AA61</f>
        <v>0</v>
      </c>
      <c r="AC61" s="481"/>
      <c r="AD61" s="899"/>
      <c r="AE61" s="897"/>
      <c r="AF61" s="897"/>
      <c r="AG61" s="898">
        <f t="shared" ref="AG61:AG66" si="97">AE61-AF61</f>
        <v>0</v>
      </c>
      <c r="AH61" s="899"/>
      <c r="AI61" s="897"/>
      <c r="AJ61" s="897"/>
      <c r="AK61" s="898">
        <f t="shared" ref="AK61:AK66" si="98">AI61-AJ61</f>
        <v>0</v>
      </c>
      <c r="AL61" s="481"/>
      <c r="AM61" s="899"/>
      <c r="AN61" s="897"/>
      <c r="AO61" s="897"/>
      <c r="AP61" s="898">
        <f t="shared" ref="AP61:AP66" si="99">AN61-AO61</f>
        <v>0</v>
      </c>
      <c r="AQ61" s="899"/>
      <c r="AR61" s="897"/>
      <c r="AS61" s="897"/>
      <c r="AT61" s="898">
        <f t="shared" ref="AT61:AT66" si="100">AR61-AS61</f>
        <v>0</v>
      </c>
      <c r="AU61" s="481"/>
      <c r="AV61" s="899"/>
      <c r="AW61" s="897"/>
      <c r="AX61" s="897"/>
      <c r="AY61" s="898">
        <f t="shared" ref="AY61:AY66" si="101">AW61-AX61</f>
        <v>0</v>
      </c>
      <c r="AZ61" s="899"/>
      <c r="BA61" s="897"/>
      <c r="BB61" s="897"/>
      <c r="BC61" s="898">
        <f t="shared" ref="BC61:BC66" si="102">BA61-BB61</f>
        <v>0</v>
      </c>
      <c r="BD61" s="481"/>
      <c r="BE61" s="899"/>
      <c r="BF61" s="897"/>
      <c r="BG61" s="897"/>
      <c r="BH61" s="898">
        <f t="shared" ref="BH61:BH66" si="103">BF61-BG61</f>
        <v>0</v>
      </c>
      <c r="BI61" s="899"/>
      <c r="BJ61" s="897"/>
      <c r="BK61" s="897"/>
      <c r="BL61" s="898">
        <f t="shared" ref="BL61:BL66" si="104">BJ61-BK61</f>
        <v>0</v>
      </c>
      <c r="BM61" s="481"/>
      <c r="BN61" s="899"/>
      <c r="BO61" s="897"/>
      <c r="BP61" s="897"/>
      <c r="BQ61" s="898">
        <f t="shared" ref="BQ61:BQ66" si="105">BO61-BP61</f>
        <v>0</v>
      </c>
      <c r="BR61" s="899"/>
      <c r="BS61" s="897"/>
      <c r="BT61" s="897"/>
      <c r="BU61" s="898">
        <f t="shared" ref="BU61:BU66" si="106">BS61-BT61</f>
        <v>0</v>
      </c>
      <c r="BV61" s="481"/>
      <c r="BW61" s="899"/>
      <c r="BX61" s="897"/>
      <c r="BY61" s="897"/>
      <c r="BZ61" s="898">
        <f t="shared" ref="BZ61:BZ66" si="107">BX61-BY61</f>
        <v>0</v>
      </c>
      <c r="CA61" s="870"/>
      <c r="CB61" s="871"/>
      <c r="CC61" s="871"/>
      <c r="CD61" s="872">
        <f t="shared" ref="CD61:CD66" si="108">CB61-CC61</f>
        <v>0</v>
      </c>
      <c r="CE61" s="327"/>
      <c r="CF61" s="301"/>
    </row>
    <row r="62">
      <c r="A62" s="301"/>
      <c r="B62" s="324"/>
      <c r="C62" s="875"/>
      <c r="D62" s="900"/>
      <c r="E62" s="900"/>
      <c r="F62" s="898">
        <f t="shared" si="91"/>
        <v>0</v>
      </c>
      <c r="G62" s="901"/>
      <c r="H62" s="900"/>
      <c r="I62" s="900"/>
      <c r="J62" s="898">
        <f t="shared" si="92"/>
        <v>0</v>
      </c>
      <c r="K62" s="481"/>
      <c r="L62" s="901"/>
      <c r="M62" s="900"/>
      <c r="N62" s="900"/>
      <c r="O62" s="898">
        <f t="shared" si="93"/>
        <v>0</v>
      </c>
      <c r="P62" s="901"/>
      <c r="Q62" s="900"/>
      <c r="R62" s="900"/>
      <c r="S62" s="898">
        <f t="shared" si="94"/>
        <v>0</v>
      </c>
      <c r="T62" s="481"/>
      <c r="U62" s="901"/>
      <c r="V62" s="900"/>
      <c r="W62" s="900"/>
      <c r="X62" s="898">
        <f t="shared" si="95"/>
        <v>0</v>
      </c>
      <c r="Y62" s="901"/>
      <c r="Z62" s="900"/>
      <c r="AA62" s="900"/>
      <c r="AB62" s="898">
        <f t="shared" si="96"/>
        <v>0</v>
      </c>
      <c r="AC62" s="481"/>
      <c r="AD62" s="901"/>
      <c r="AE62" s="900"/>
      <c r="AF62" s="900"/>
      <c r="AG62" s="898">
        <f t="shared" si="97"/>
        <v>0</v>
      </c>
      <c r="AH62" s="901"/>
      <c r="AI62" s="900"/>
      <c r="AJ62" s="900"/>
      <c r="AK62" s="898">
        <f t="shared" si="98"/>
        <v>0</v>
      </c>
      <c r="AL62" s="481"/>
      <c r="AM62" s="901"/>
      <c r="AN62" s="900"/>
      <c r="AO62" s="900"/>
      <c r="AP62" s="898">
        <f t="shared" si="99"/>
        <v>0</v>
      </c>
      <c r="AQ62" s="901"/>
      <c r="AR62" s="900"/>
      <c r="AS62" s="900"/>
      <c r="AT62" s="898">
        <f t="shared" si="100"/>
        <v>0</v>
      </c>
      <c r="AU62" s="481"/>
      <c r="AV62" s="901"/>
      <c r="AW62" s="900"/>
      <c r="AX62" s="900"/>
      <c r="AY62" s="898">
        <f t="shared" si="101"/>
        <v>0</v>
      </c>
      <c r="AZ62" s="901"/>
      <c r="BA62" s="900"/>
      <c r="BB62" s="900"/>
      <c r="BC62" s="898">
        <f t="shared" si="102"/>
        <v>0</v>
      </c>
      <c r="BD62" s="481"/>
      <c r="BE62" s="901"/>
      <c r="BF62" s="900"/>
      <c r="BG62" s="900"/>
      <c r="BH62" s="898">
        <f t="shared" si="103"/>
        <v>0</v>
      </c>
      <c r="BI62" s="901"/>
      <c r="BJ62" s="900"/>
      <c r="BK62" s="900"/>
      <c r="BL62" s="898">
        <f t="shared" si="104"/>
        <v>0</v>
      </c>
      <c r="BM62" s="481"/>
      <c r="BN62" s="901"/>
      <c r="BO62" s="900"/>
      <c r="BP62" s="900"/>
      <c r="BQ62" s="898">
        <f t="shared" si="105"/>
        <v>0</v>
      </c>
      <c r="BR62" s="901"/>
      <c r="BS62" s="900"/>
      <c r="BT62" s="900"/>
      <c r="BU62" s="898">
        <f t="shared" si="106"/>
        <v>0</v>
      </c>
      <c r="BV62" s="481"/>
      <c r="BW62" s="901"/>
      <c r="BX62" s="900"/>
      <c r="BY62" s="900"/>
      <c r="BZ62" s="898">
        <f t="shared" si="107"/>
        <v>0</v>
      </c>
      <c r="CA62" s="875"/>
      <c r="CB62" s="876"/>
      <c r="CC62" s="876"/>
      <c r="CD62" s="872">
        <f t="shared" si="108"/>
        <v>0</v>
      </c>
      <c r="CE62" s="327"/>
      <c r="CF62" s="301"/>
    </row>
    <row r="63">
      <c r="A63" s="301"/>
      <c r="B63" s="324"/>
      <c r="C63" s="875"/>
      <c r="D63" s="900"/>
      <c r="E63" s="900"/>
      <c r="F63" s="898">
        <f t="shared" si="91"/>
        <v>0</v>
      </c>
      <c r="G63" s="901"/>
      <c r="H63" s="900"/>
      <c r="I63" s="900"/>
      <c r="J63" s="898">
        <f t="shared" si="92"/>
        <v>0</v>
      </c>
      <c r="K63" s="481"/>
      <c r="L63" s="901"/>
      <c r="M63" s="900"/>
      <c r="N63" s="900"/>
      <c r="O63" s="898">
        <f t="shared" si="93"/>
        <v>0</v>
      </c>
      <c r="P63" s="901"/>
      <c r="Q63" s="900"/>
      <c r="R63" s="900"/>
      <c r="S63" s="898">
        <f t="shared" si="94"/>
        <v>0</v>
      </c>
      <c r="T63" s="481"/>
      <c r="U63" s="901"/>
      <c r="V63" s="900"/>
      <c r="W63" s="900"/>
      <c r="X63" s="898">
        <f t="shared" si="95"/>
        <v>0</v>
      </c>
      <c r="Y63" s="901"/>
      <c r="Z63" s="900"/>
      <c r="AA63" s="900"/>
      <c r="AB63" s="898">
        <f t="shared" si="96"/>
        <v>0</v>
      </c>
      <c r="AC63" s="481"/>
      <c r="AD63" s="901"/>
      <c r="AE63" s="900"/>
      <c r="AF63" s="900"/>
      <c r="AG63" s="898">
        <f t="shared" si="97"/>
        <v>0</v>
      </c>
      <c r="AH63" s="901"/>
      <c r="AI63" s="900"/>
      <c r="AJ63" s="900"/>
      <c r="AK63" s="898">
        <f t="shared" si="98"/>
        <v>0</v>
      </c>
      <c r="AL63" s="481"/>
      <c r="AM63" s="901"/>
      <c r="AN63" s="900"/>
      <c r="AO63" s="900"/>
      <c r="AP63" s="898">
        <f t="shared" si="99"/>
        <v>0</v>
      </c>
      <c r="AQ63" s="901"/>
      <c r="AR63" s="900"/>
      <c r="AS63" s="900"/>
      <c r="AT63" s="898">
        <f t="shared" si="100"/>
        <v>0</v>
      </c>
      <c r="AU63" s="481"/>
      <c r="AV63" s="901"/>
      <c r="AW63" s="900"/>
      <c r="AX63" s="900"/>
      <c r="AY63" s="898">
        <f t="shared" si="101"/>
        <v>0</v>
      </c>
      <c r="AZ63" s="901"/>
      <c r="BA63" s="900"/>
      <c r="BB63" s="900"/>
      <c r="BC63" s="898">
        <f t="shared" si="102"/>
        <v>0</v>
      </c>
      <c r="BD63" s="481"/>
      <c r="BE63" s="901"/>
      <c r="BF63" s="900"/>
      <c r="BG63" s="900"/>
      <c r="BH63" s="898">
        <f t="shared" si="103"/>
        <v>0</v>
      </c>
      <c r="BI63" s="901"/>
      <c r="BJ63" s="900"/>
      <c r="BK63" s="900"/>
      <c r="BL63" s="898">
        <f t="shared" si="104"/>
        <v>0</v>
      </c>
      <c r="BM63" s="481"/>
      <c r="BN63" s="901"/>
      <c r="BO63" s="900"/>
      <c r="BP63" s="900"/>
      <c r="BQ63" s="898">
        <f t="shared" si="105"/>
        <v>0</v>
      </c>
      <c r="BR63" s="901"/>
      <c r="BS63" s="900"/>
      <c r="BT63" s="900"/>
      <c r="BU63" s="898">
        <f t="shared" si="106"/>
        <v>0</v>
      </c>
      <c r="BV63" s="481"/>
      <c r="BW63" s="901"/>
      <c r="BX63" s="900"/>
      <c r="BY63" s="900"/>
      <c r="BZ63" s="898">
        <f t="shared" si="107"/>
        <v>0</v>
      </c>
      <c r="CA63" s="875"/>
      <c r="CB63" s="876"/>
      <c r="CC63" s="876"/>
      <c r="CD63" s="872">
        <f t="shared" si="108"/>
        <v>0</v>
      </c>
      <c r="CE63" s="327"/>
      <c r="CF63" s="301"/>
    </row>
    <row r="64">
      <c r="A64" s="301"/>
      <c r="B64" s="324"/>
      <c r="C64" s="875"/>
      <c r="D64" s="900"/>
      <c r="E64" s="900"/>
      <c r="F64" s="898">
        <f t="shared" si="91"/>
        <v>0</v>
      </c>
      <c r="G64" s="901"/>
      <c r="H64" s="900"/>
      <c r="I64" s="900"/>
      <c r="J64" s="898">
        <f t="shared" si="92"/>
        <v>0</v>
      </c>
      <c r="K64" s="481"/>
      <c r="L64" s="901"/>
      <c r="M64" s="900"/>
      <c r="N64" s="900"/>
      <c r="O64" s="898">
        <f t="shared" si="93"/>
        <v>0</v>
      </c>
      <c r="P64" s="901"/>
      <c r="Q64" s="900"/>
      <c r="R64" s="900"/>
      <c r="S64" s="898">
        <f t="shared" si="94"/>
        <v>0</v>
      </c>
      <c r="T64" s="481"/>
      <c r="U64" s="901"/>
      <c r="V64" s="900"/>
      <c r="W64" s="900"/>
      <c r="X64" s="898">
        <f t="shared" si="95"/>
        <v>0</v>
      </c>
      <c r="Y64" s="901"/>
      <c r="Z64" s="900"/>
      <c r="AA64" s="900"/>
      <c r="AB64" s="898">
        <f t="shared" si="96"/>
        <v>0</v>
      </c>
      <c r="AC64" s="481"/>
      <c r="AD64" s="901"/>
      <c r="AE64" s="900"/>
      <c r="AF64" s="900"/>
      <c r="AG64" s="898">
        <f t="shared" si="97"/>
        <v>0</v>
      </c>
      <c r="AH64" s="901"/>
      <c r="AI64" s="900"/>
      <c r="AJ64" s="900"/>
      <c r="AK64" s="898">
        <f t="shared" si="98"/>
        <v>0</v>
      </c>
      <c r="AL64" s="481"/>
      <c r="AM64" s="901"/>
      <c r="AN64" s="900"/>
      <c r="AO64" s="900"/>
      <c r="AP64" s="898">
        <f t="shared" si="99"/>
        <v>0</v>
      </c>
      <c r="AQ64" s="901"/>
      <c r="AR64" s="900"/>
      <c r="AS64" s="900"/>
      <c r="AT64" s="898">
        <f t="shared" si="100"/>
        <v>0</v>
      </c>
      <c r="AU64" s="481"/>
      <c r="AV64" s="901"/>
      <c r="AW64" s="900"/>
      <c r="AX64" s="900"/>
      <c r="AY64" s="898">
        <f t="shared" si="101"/>
        <v>0</v>
      </c>
      <c r="AZ64" s="901"/>
      <c r="BA64" s="900"/>
      <c r="BB64" s="900"/>
      <c r="BC64" s="898">
        <f t="shared" si="102"/>
        <v>0</v>
      </c>
      <c r="BD64" s="481"/>
      <c r="BE64" s="901"/>
      <c r="BF64" s="900"/>
      <c r="BG64" s="900"/>
      <c r="BH64" s="898">
        <f t="shared" si="103"/>
        <v>0</v>
      </c>
      <c r="BI64" s="901"/>
      <c r="BJ64" s="900"/>
      <c r="BK64" s="900"/>
      <c r="BL64" s="898">
        <f t="shared" si="104"/>
        <v>0</v>
      </c>
      <c r="BM64" s="481"/>
      <c r="BN64" s="901"/>
      <c r="BO64" s="900"/>
      <c r="BP64" s="900"/>
      <c r="BQ64" s="898">
        <f t="shared" si="105"/>
        <v>0</v>
      </c>
      <c r="BR64" s="901"/>
      <c r="BS64" s="900"/>
      <c r="BT64" s="900"/>
      <c r="BU64" s="898">
        <f t="shared" si="106"/>
        <v>0</v>
      </c>
      <c r="BV64" s="481"/>
      <c r="BW64" s="901"/>
      <c r="BX64" s="900"/>
      <c r="BY64" s="900"/>
      <c r="BZ64" s="898">
        <f t="shared" si="107"/>
        <v>0</v>
      </c>
      <c r="CA64" s="875"/>
      <c r="CB64" s="876"/>
      <c r="CC64" s="876"/>
      <c r="CD64" s="872">
        <f t="shared" si="108"/>
        <v>0</v>
      </c>
      <c r="CE64" s="327"/>
      <c r="CF64" s="301"/>
    </row>
    <row r="65">
      <c r="A65" s="301"/>
      <c r="B65" s="324"/>
      <c r="C65" s="875"/>
      <c r="D65" s="900"/>
      <c r="E65" s="900"/>
      <c r="F65" s="898">
        <f t="shared" si="91"/>
        <v>0</v>
      </c>
      <c r="G65" s="901"/>
      <c r="H65" s="900"/>
      <c r="I65" s="900"/>
      <c r="J65" s="898">
        <f t="shared" si="92"/>
        <v>0</v>
      </c>
      <c r="K65" s="481"/>
      <c r="L65" s="901"/>
      <c r="M65" s="900"/>
      <c r="N65" s="900"/>
      <c r="O65" s="898">
        <f t="shared" si="93"/>
        <v>0</v>
      </c>
      <c r="P65" s="901"/>
      <c r="Q65" s="900"/>
      <c r="R65" s="900"/>
      <c r="S65" s="898">
        <f t="shared" si="94"/>
        <v>0</v>
      </c>
      <c r="T65" s="481"/>
      <c r="U65" s="901"/>
      <c r="V65" s="900"/>
      <c r="W65" s="900"/>
      <c r="X65" s="898">
        <f t="shared" si="95"/>
        <v>0</v>
      </c>
      <c r="Y65" s="901"/>
      <c r="Z65" s="900"/>
      <c r="AA65" s="900"/>
      <c r="AB65" s="898">
        <f t="shared" si="96"/>
        <v>0</v>
      </c>
      <c r="AC65" s="481"/>
      <c r="AD65" s="901"/>
      <c r="AE65" s="900"/>
      <c r="AF65" s="900"/>
      <c r="AG65" s="898">
        <f t="shared" si="97"/>
        <v>0</v>
      </c>
      <c r="AH65" s="901"/>
      <c r="AI65" s="900"/>
      <c r="AJ65" s="900"/>
      <c r="AK65" s="898">
        <f t="shared" si="98"/>
        <v>0</v>
      </c>
      <c r="AL65" s="481"/>
      <c r="AM65" s="901"/>
      <c r="AN65" s="900"/>
      <c r="AO65" s="900"/>
      <c r="AP65" s="898">
        <f t="shared" si="99"/>
        <v>0</v>
      </c>
      <c r="AQ65" s="901"/>
      <c r="AR65" s="900"/>
      <c r="AS65" s="900"/>
      <c r="AT65" s="898">
        <f t="shared" si="100"/>
        <v>0</v>
      </c>
      <c r="AU65" s="481"/>
      <c r="AV65" s="901"/>
      <c r="AW65" s="900"/>
      <c r="AX65" s="900"/>
      <c r="AY65" s="898">
        <f t="shared" si="101"/>
        <v>0</v>
      </c>
      <c r="AZ65" s="901"/>
      <c r="BA65" s="900"/>
      <c r="BB65" s="900"/>
      <c r="BC65" s="898">
        <f t="shared" si="102"/>
        <v>0</v>
      </c>
      <c r="BD65" s="481"/>
      <c r="BE65" s="901"/>
      <c r="BF65" s="900"/>
      <c r="BG65" s="900"/>
      <c r="BH65" s="898">
        <f t="shared" si="103"/>
        <v>0</v>
      </c>
      <c r="BI65" s="901"/>
      <c r="BJ65" s="900"/>
      <c r="BK65" s="900"/>
      <c r="BL65" s="898">
        <f t="shared" si="104"/>
        <v>0</v>
      </c>
      <c r="BM65" s="481"/>
      <c r="BN65" s="901"/>
      <c r="BO65" s="900"/>
      <c r="BP65" s="900"/>
      <c r="BQ65" s="898">
        <f t="shared" si="105"/>
        <v>0</v>
      </c>
      <c r="BR65" s="901"/>
      <c r="BS65" s="900"/>
      <c r="BT65" s="900"/>
      <c r="BU65" s="898">
        <f t="shared" si="106"/>
        <v>0</v>
      </c>
      <c r="BV65" s="481"/>
      <c r="BW65" s="901"/>
      <c r="BX65" s="900"/>
      <c r="BY65" s="900"/>
      <c r="BZ65" s="898">
        <f t="shared" si="107"/>
        <v>0</v>
      </c>
      <c r="CA65" s="875"/>
      <c r="CB65" s="876"/>
      <c r="CC65" s="876"/>
      <c r="CD65" s="872">
        <f t="shared" si="108"/>
        <v>0</v>
      </c>
      <c r="CE65" s="327"/>
      <c r="CF65" s="301"/>
    </row>
    <row r="66">
      <c r="A66" s="301"/>
      <c r="B66" s="324"/>
      <c r="C66" s="877"/>
      <c r="D66" s="905"/>
      <c r="E66" s="905"/>
      <c r="F66" s="898">
        <f t="shared" si="91"/>
        <v>0</v>
      </c>
      <c r="G66" s="906"/>
      <c r="H66" s="905"/>
      <c r="I66" s="905"/>
      <c r="J66" s="898">
        <f t="shared" si="92"/>
        <v>0</v>
      </c>
      <c r="K66" s="481"/>
      <c r="L66" s="906"/>
      <c r="M66" s="905"/>
      <c r="N66" s="905"/>
      <c r="O66" s="898">
        <f t="shared" si="93"/>
        <v>0</v>
      </c>
      <c r="P66" s="906"/>
      <c r="Q66" s="905"/>
      <c r="R66" s="905"/>
      <c r="S66" s="898">
        <f t="shared" si="94"/>
        <v>0</v>
      </c>
      <c r="T66" s="481"/>
      <c r="U66" s="906"/>
      <c r="V66" s="905"/>
      <c r="W66" s="905"/>
      <c r="X66" s="898">
        <f t="shared" si="95"/>
        <v>0</v>
      </c>
      <c r="Y66" s="906"/>
      <c r="Z66" s="905"/>
      <c r="AA66" s="905"/>
      <c r="AB66" s="898">
        <f t="shared" si="96"/>
        <v>0</v>
      </c>
      <c r="AC66" s="481"/>
      <c r="AD66" s="906"/>
      <c r="AE66" s="905"/>
      <c r="AF66" s="905"/>
      <c r="AG66" s="898">
        <f t="shared" si="97"/>
        <v>0</v>
      </c>
      <c r="AH66" s="906"/>
      <c r="AI66" s="905"/>
      <c r="AJ66" s="905"/>
      <c r="AK66" s="898">
        <f t="shared" si="98"/>
        <v>0</v>
      </c>
      <c r="AL66" s="481"/>
      <c r="AM66" s="906"/>
      <c r="AN66" s="905"/>
      <c r="AO66" s="905"/>
      <c r="AP66" s="898">
        <f t="shared" si="99"/>
        <v>0</v>
      </c>
      <c r="AQ66" s="906"/>
      <c r="AR66" s="905"/>
      <c r="AS66" s="905"/>
      <c r="AT66" s="898">
        <f t="shared" si="100"/>
        <v>0</v>
      </c>
      <c r="AU66" s="481"/>
      <c r="AV66" s="906"/>
      <c r="AW66" s="905"/>
      <c r="AX66" s="905"/>
      <c r="AY66" s="898">
        <f t="shared" si="101"/>
        <v>0</v>
      </c>
      <c r="AZ66" s="906"/>
      <c r="BA66" s="905"/>
      <c r="BB66" s="905"/>
      <c r="BC66" s="898">
        <f t="shared" si="102"/>
        <v>0</v>
      </c>
      <c r="BD66" s="481"/>
      <c r="BE66" s="906"/>
      <c r="BF66" s="905"/>
      <c r="BG66" s="905"/>
      <c r="BH66" s="898">
        <f t="shared" si="103"/>
        <v>0</v>
      </c>
      <c r="BI66" s="906"/>
      <c r="BJ66" s="905"/>
      <c r="BK66" s="905"/>
      <c r="BL66" s="898">
        <f t="shared" si="104"/>
        <v>0</v>
      </c>
      <c r="BM66" s="481"/>
      <c r="BN66" s="906"/>
      <c r="BO66" s="905"/>
      <c r="BP66" s="905"/>
      <c r="BQ66" s="898">
        <f t="shared" si="105"/>
        <v>0</v>
      </c>
      <c r="BR66" s="906"/>
      <c r="BS66" s="905"/>
      <c r="BT66" s="905"/>
      <c r="BU66" s="898">
        <f t="shared" si="106"/>
        <v>0</v>
      </c>
      <c r="BV66" s="481"/>
      <c r="BW66" s="906"/>
      <c r="BX66" s="905"/>
      <c r="BY66" s="905"/>
      <c r="BZ66" s="898">
        <f t="shared" si="107"/>
        <v>0</v>
      </c>
      <c r="CA66" s="877"/>
      <c r="CB66" s="878"/>
      <c r="CC66" s="878"/>
      <c r="CD66" s="872">
        <f t="shared" si="108"/>
        <v>0</v>
      </c>
      <c r="CE66" s="327"/>
      <c r="CF66" s="301"/>
    </row>
    <row r="67">
      <c r="A67" s="301"/>
      <c r="B67" s="324"/>
      <c r="C67" s="880" t="s">
        <v>155</v>
      </c>
      <c r="D67" s="881">
        <f>SUM(F61:F66)</f>
        <v>0</v>
      </c>
      <c r="E67" s="706"/>
      <c r="F67" s="706"/>
      <c r="G67" s="910" t="s">
        <v>155</v>
      </c>
      <c r="H67" s="881">
        <f>SUM(J61:J66)</f>
        <v>0</v>
      </c>
      <c r="I67" s="706"/>
      <c r="J67" s="706"/>
      <c r="K67" s="481"/>
      <c r="L67" s="910" t="s">
        <v>155</v>
      </c>
      <c r="M67" s="881">
        <f>SUM(O61:O66)</f>
        <v>0</v>
      </c>
      <c r="N67" s="706"/>
      <c r="O67" s="706"/>
      <c r="P67" s="910" t="s">
        <v>155</v>
      </c>
      <c r="Q67" s="881">
        <f>SUM(S61:S66)</f>
        <v>0</v>
      </c>
      <c r="R67" s="706"/>
      <c r="S67" s="706"/>
      <c r="T67" s="481"/>
      <c r="U67" s="910" t="s">
        <v>155</v>
      </c>
      <c r="V67" s="881">
        <f>SUM(X61:X66)</f>
        <v>0</v>
      </c>
      <c r="W67" s="706"/>
      <c r="X67" s="706"/>
      <c r="Y67" s="910" t="s">
        <v>155</v>
      </c>
      <c r="Z67" s="881">
        <f>SUM(AB61:AB66)</f>
        <v>0</v>
      </c>
      <c r="AA67" s="706"/>
      <c r="AB67" s="706"/>
      <c r="AC67" s="481"/>
      <c r="AD67" s="910" t="s">
        <v>155</v>
      </c>
      <c r="AE67" s="881">
        <f>SUM(AG61:AG66)</f>
        <v>0</v>
      </c>
      <c r="AF67" s="706"/>
      <c r="AG67" s="706"/>
      <c r="AH67" s="910" t="s">
        <v>155</v>
      </c>
      <c r="AI67" s="881">
        <f>SUM(AK61:AK66)</f>
        <v>0</v>
      </c>
      <c r="AJ67" s="706"/>
      <c r="AK67" s="706"/>
      <c r="AL67" s="481"/>
      <c r="AM67" s="910" t="s">
        <v>155</v>
      </c>
      <c r="AN67" s="881">
        <f>SUM(AP61:AP66)</f>
        <v>0</v>
      </c>
      <c r="AO67" s="706"/>
      <c r="AP67" s="706"/>
      <c r="AQ67" s="910" t="s">
        <v>155</v>
      </c>
      <c r="AR67" s="881">
        <f>SUM(AT61:AT66)</f>
        <v>0</v>
      </c>
      <c r="AS67" s="706"/>
      <c r="AT67" s="706"/>
      <c r="AU67" s="481"/>
      <c r="AV67" s="910" t="s">
        <v>155</v>
      </c>
      <c r="AW67" s="881">
        <f>SUM(AY61:AY66)</f>
        <v>0</v>
      </c>
      <c r="AX67" s="706"/>
      <c r="AY67" s="706"/>
      <c r="AZ67" s="910" t="s">
        <v>155</v>
      </c>
      <c r="BA67" s="881">
        <f>SUM(BC61:BC66)</f>
        <v>0</v>
      </c>
      <c r="BB67" s="706"/>
      <c r="BC67" s="706"/>
      <c r="BD67" s="481"/>
      <c r="BE67" s="910" t="s">
        <v>155</v>
      </c>
      <c r="BF67" s="881">
        <f>SUM(BH61:BH66)</f>
        <v>0</v>
      </c>
      <c r="BG67" s="706"/>
      <c r="BH67" s="706"/>
      <c r="BI67" s="910" t="s">
        <v>155</v>
      </c>
      <c r="BJ67" s="881">
        <f>SUM(BL61:BL66)</f>
        <v>0</v>
      </c>
      <c r="BK67" s="706"/>
      <c r="BL67" s="706"/>
      <c r="BM67" s="481"/>
      <c r="BN67" s="910" t="s">
        <v>155</v>
      </c>
      <c r="BO67" s="881">
        <f>SUM(BQ61:BQ66)</f>
        <v>0</v>
      </c>
      <c r="BP67" s="706"/>
      <c r="BQ67" s="706"/>
      <c r="BR67" s="910" t="s">
        <v>155</v>
      </c>
      <c r="BS67" s="881">
        <f>SUM(BU61:BU66)</f>
        <v>0</v>
      </c>
      <c r="BT67" s="706"/>
      <c r="BU67" s="706"/>
      <c r="BV67" s="481"/>
      <c r="BW67" s="910" t="s">
        <v>155</v>
      </c>
      <c r="BX67" s="881">
        <f>SUM(BZ61:BZ66)</f>
        <v>0</v>
      </c>
      <c r="BY67" s="706"/>
      <c r="BZ67" s="706"/>
      <c r="CA67" s="880" t="s">
        <v>155</v>
      </c>
      <c r="CB67" s="881">
        <f>SUM(CD61:CD66)</f>
        <v>0</v>
      </c>
      <c r="CC67" s="706"/>
      <c r="CD67" s="706"/>
      <c r="CE67" s="327"/>
      <c r="CF67" s="301"/>
    </row>
    <row r="68">
      <c r="A68" s="5"/>
      <c r="B68" s="416"/>
      <c r="C68" s="883" t="s">
        <v>162</v>
      </c>
      <c r="D68" s="911"/>
      <c r="E68" s="124"/>
      <c r="F68" s="419"/>
      <c r="G68" s="912" t="s">
        <v>162</v>
      </c>
      <c r="H68" s="911"/>
      <c r="I68" s="124"/>
      <c r="J68" s="125"/>
      <c r="K68" s="470"/>
      <c r="L68" s="912" t="s">
        <v>162</v>
      </c>
      <c r="M68" s="911"/>
      <c r="N68" s="124"/>
      <c r="O68" s="419"/>
      <c r="P68" s="912" t="s">
        <v>162</v>
      </c>
      <c r="Q68" s="911"/>
      <c r="R68" s="124"/>
      <c r="S68" s="125"/>
      <c r="T68" s="470"/>
      <c r="U68" s="912" t="s">
        <v>162</v>
      </c>
      <c r="V68" s="911"/>
      <c r="W68" s="124"/>
      <c r="X68" s="419"/>
      <c r="Y68" s="912" t="s">
        <v>162</v>
      </c>
      <c r="Z68" s="911"/>
      <c r="AA68" s="124"/>
      <c r="AB68" s="125"/>
      <c r="AC68" s="470"/>
      <c r="AD68" s="912" t="s">
        <v>162</v>
      </c>
      <c r="AE68" s="911"/>
      <c r="AF68" s="124"/>
      <c r="AG68" s="419"/>
      <c r="AH68" s="912" t="s">
        <v>162</v>
      </c>
      <c r="AI68" s="911"/>
      <c r="AJ68" s="124"/>
      <c r="AK68" s="125"/>
      <c r="AL68" s="470"/>
      <c r="AM68" s="912" t="s">
        <v>162</v>
      </c>
      <c r="AN68" s="911"/>
      <c r="AO68" s="124"/>
      <c r="AP68" s="419"/>
      <c r="AQ68" s="912" t="s">
        <v>162</v>
      </c>
      <c r="AR68" s="911"/>
      <c r="AS68" s="124"/>
      <c r="AT68" s="125"/>
      <c r="AU68" s="470"/>
      <c r="AV68" s="912" t="s">
        <v>162</v>
      </c>
      <c r="AW68" s="911"/>
      <c r="AX68" s="124"/>
      <c r="AY68" s="419"/>
      <c r="AZ68" s="912" t="s">
        <v>162</v>
      </c>
      <c r="BA68" s="911"/>
      <c r="BB68" s="124"/>
      <c r="BC68" s="125"/>
      <c r="BD68" s="470"/>
      <c r="BE68" s="912" t="s">
        <v>162</v>
      </c>
      <c r="BF68" s="911"/>
      <c r="BG68" s="124"/>
      <c r="BH68" s="419"/>
      <c r="BI68" s="912" t="s">
        <v>162</v>
      </c>
      <c r="BJ68" s="911"/>
      <c r="BK68" s="124"/>
      <c r="BL68" s="125"/>
      <c r="BM68" s="470"/>
      <c r="BN68" s="912" t="s">
        <v>162</v>
      </c>
      <c r="BO68" s="911"/>
      <c r="BP68" s="124"/>
      <c r="BQ68" s="419"/>
      <c r="BR68" s="912" t="s">
        <v>162</v>
      </c>
      <c r="BS68" s="911"/>
      <c r="BT68" s="124"/>
      <c r="BU68" s="125"/>
      <c r="BV68" s="470"/>
      <c r="BW68" s="912" t="s">
        <v>162</v>
      </c>
      <c r="BX68" s="911"/>
      <c r="BY68" s="124"/>
      <c r="BZ68" s="419"/>
      <c r="CA68" s="883" t="s">
        <v>162</v>
      </c>
      <c r="CB68" s="884"/>
      <c r="CC68" s="124"/>
      <c r="CD68" s="125"/>
      <c r="CE68" s="440"/>
      <c r="CF68" s="5"/>
    </row>
    <row r="69">
      <c r="A69" s="5"/>
      <c r="B69" s="416"/>
      <c r="C69" s="885" t="s">
        <v>168</v>
      </c>
      <c r="D69" s="886">
        <v>1.0</v>
      </c>
      <c r="E69" s="886">
        <v>2.0</v>
      </c>
      <c r="F69" s="886">
        <v>3.0</v>
      </c>
      <c r="G69" s="887" t="s">
        <v>174</v>
      </c>
      <c r="H69" s="342"/>
      <c r="I69" s="888" t="str">
        <f>IF(D68=2,"W",IF(H68=2,"L",))</f>
        <v/>
      </c>
      <c r="J69" s="889" t="str">
        <f>IF(H68=2,"W",IF(D68=2,"L",))</f>
        <v/>
      </c>
      <c r="K69" s="470"/>
      <c r="L69" s="890" t="s">
        <v>168</v>
      </c>
      <c r="M69" s="886">
        <v>1.0</v>
      </c>
      <c r="N69" s="886">
        <v>2.0</v>
      </c>
      <c r="O69" s="892">
        <v>3.0</v>
      </c>
      <c r="P69" s="887" t="s">
        <v>174</v>
      </c>
      <c r="Q69" s="342"/>
      <c r="R69" s="888" t="str">
        <f>IF(M68=2,"W",IF(Q68=2,"L",))</f>
        <v/>
      </c>
      <c r="S69" s="889" t="str">
        <f>IF(Q68=2,"W",IF(M68=2,"L",))</f>
        <v/>
      </c>
      <c r="T69" s="470"/>
      <c r="U69" s="890" t="s">
        <v>168</v>
      </c>
      <c r="V69" s="886">
        <v>1.0</v>
      </c>
      <c r="W69" s="886">
        <v>2.0</v>
      </c>
      <c r="X69" s="892">
        <v>3.0</v>
      </c>
      <c r="Y69" s="887" t="s">
        <v>174</v>
      </c>
      <c r="Z69" s="342"/>
      <c r="AA69" s="888" t="str">
        <f>IF(V68=2,"W",IF(Z68=2,"L",))</f>
        <v/>
      </c>
      <c r="AB69" s="889" t="str">
        <f>IF(Z68=2,"W",IF(V68=2,"L",))</f>
        <v/>
      </c>
      <c r="AC69" s="470"/>
      <c r="AD69" s="890" t="s">
        <v>168</v>
      </c>
      <c r="AE69" s="886">
        <v>1.0</v>
      </c>
      <c r="AF69" s="886">
        <v>2.0</v>
      </c>
      <c r="AG69" s="892">
        <v>3.0</v>
      </c>
      <c r="AH69" s="887" t="s">
        <v>174</v>
      </c>
      <c r="AI69" s="342"/>
      <c r="AJ69" s="888" t="str">
        <f>IF(AE68=2,"W",IF(AI68=2,"L",))</f>
        <v/>
      </c>
      <c r="AK69" s="889" t="str">
        <f>IF(AI68=2,"W",IF(AE68=2,"L",))</f>
        <v/>
      </c>
      <c r="AL69" s="470"/>
      <c r="AM69" s="890" t="s">
        <v>168</v>
      </c>
      <c r="AN69" s="886">
        <v>1.0</v>
      </c>
      <c r="AO69" s="886">
        <v>2.0</v>
      </c>
      <c r="AP69" s="886">
        <v>3.0</v>
      </c>
      <c r="AQ69" s="887" t="s">
        <v>174</v>
      </c>
      <c r="AR69" s="342"/>
      <c r="AS69" s="888" t="str">
        <f>IF(AN68=2,"W",IF(AR68=2,"L",))</f>
        <v/>
      </c>
      <c r="AT69" s="889" t="str">
        <f>IF(AR68=2,"W",IF(AN68=2,"L",))</f>
        <v/>
      </c>
      <c r="AU69" s="470"/>
      <c r="AV69" s="890" t="s">
        <v>168</v>
      </c>
      <c r="AW69" s="886">
        <v>1.0</v>
      </c>
      <c r="AX69" s="886">
        <v>2.0</v>
      </c>
      <c r="AY69" s="886">
        <v>3.0</v>
      </c>
      <c r="AZ69" s="887" t="s">
        <v>174</v>
      </c>
      <c r="BA69" s="342"/>
      <c r="BB69" s="888" t="str">
        <f>IF(AW68=2,"W",IF(BA68=2,"L",))</f>
        <v/>
      </c>
      <c r="BC69" s="889" t="str">
        <f>IF(BA68=2,"W",IF(AW68=2,"L",))</f>
        <v/>
      </c>
      <c r="BD69" s="470"/>
      <c r="BE69" s="890" t="s">
        <v>168</v>
      </c>
      <c r="BF69" s="892">
        <v>1.0</v>
      </c>
      <c r="BG69" s="892">
        <v>2.0</v>
      </c>
      <c r="BH69" s="892">
        <v>3.0</v>
      </c>
      <c r="BI69" s="887" t="s">
        <v>174</v>
      </c>
      <c r="BJ69" s="342"/>
      <c r="BK69" s="888" t="str">
        <f>IF(BF68=2,"W",IF(BJ68=2,"L",))</f>
        <v/>
      </c>
      <c r="BL69" s="889" t="str">
        <f>IF(BJ68=2,"W",IF(BF68=2,"L",))</f>
        <v/>
      </c>
      <c r="BM69" s="470"/>
      <c r="BN69" s="890" t="s">
        <v>168</v>
      </c>
      <c r="BO69" s="892">
        <v>1.0</v>
      </c>
      <c r="BP69" s="892">
        <v>2.0</v>
      </c>
      <c r="BQ69" s="892">
        <v>3.0</v>
      </c>
      <c r="BR69" s="887" t="s">
        <v>174</v>
      </c>
      <c r="BS69" s="342"/>
      <c r="BT69" s="914" t="s">
        <v>140</v>
      </c>
      <c r="BU69" s="915" t="s">
        <v>140</v>
      </c>
      <c r="BV69" s="470"/>
      <c r="BW69" s="890" t="s">
        <v>168</v>
      </c>
      <c r="BX69" s="886">
        <v>1.0</v>
      </c>
      <c r="BY69" s="886">
        <v>2.0</v>
      </c>
      <c r="BZ69" s="892">
        <v>3.0</v>
      </c>
      <c r="CA69" s="894" t="s">
        <v>174</v>
      </c>
      <c r="CB69" s="342"/>
      <c r="CC69" s="895" t="str">
        <f>IF(BX68=2,"W",IF(CB68=2,"L",))</f>
        <v/>
      </c>
      <c r="CD69" s="896" t="str">
        <f>IF(CB68=2,"W",IF(BX68=2,"L",))</f>
        <v/>
      </c>
      <c r="CE69" s="440"/>
      <c r="CF69" s="5"/>
    </row>
    <row r="70" ht="7.5" customHeight="1">
      <c r="A70" s="301"/>
      <c r="B70" s="324"/>
      <c r="C70" s="325"/>
      <c r="D70" s="481"/>
      <c r="E70" s="481"/>
      <c r="F70" s="481"/>
      <c r="G70" s="481"/>
      <c r="H70" s="481"/>
      <c r="I70" s="481"/>
      <c r="J70" s="481"/>
      <c r="K70" s="481"/>
      <c r="L70" s="481"/>
      <c r="M70" s="481"/>
      <c r="N70" s="481"/>
      <c r="O70" s="481"/>
      <c r="P70" s="481"/>
      <c r="Q70" s="481"/>
      <c r="R70" s="481"/>
      <c r="S70" s="481"/>
      <c r="T70" s="481"/>
      <c r="U70" s="481"/>
      <c r="V70" s="481"/>
      <c r="W70" s="481"/>
      <c r="X70" s="481"/>
      <c r="Y70" s="481"/>
      <c r="Z70" s="481"/>
      <c r="AA70" s="481"/>
      <c r="AB70" s="481"/>
      <c r="AC70" s="481"/>
      <c r="AD70" s="481"/>
      <c r="AE70" s="481"/>
      <c r="AF70" s="481"/>
      <c r="AG70" s="481"/>
      <c r="AH70" s="481"/>
      <c r="AI70" s="481"/>
      <c r="AJ70" s="481"/>
      <c r="AK70" s="481"/>
      <c r="AL70" s="481"/>
      <c r="AM70" s="481"/>
      <c r="AN70" s="481"/>
      <c r="AO70" s="481"/>
      <c r="AP70" s="481"/>
      <c r="AQ70" s="481"/>
      <c r="AR70" s="481"/>
      <c r="AS70" s="481"/>
      <c r="AT70" s="481"/>
      <c r="AU70" s="481"/>
      <c r="AV70" s="481"/>
      <c r="AW70" s="481"/>
      <c r="AX70" s="481"/>
      <c r="AY70" s="481"/>
      <c r="AZ70" s="481"/>
      <c r="BA70" s="481"/>
      <c r="BB70" s="481"/>
      <c r="BC70" s="481"/>
      <c r="BD70" s="481"/>
      <c r="BE70" s="481"/>
      <c r="BF70" s="481"/>
      <c r="BG70" s="481"/>
      <c r="BH70" s="481"/>
      <c r="BI70" s="481"/>
      <c r="BJ70" s="481"/>
      <c r="BK70" s="481"/>
      <c r="BL70" s="481"/>
      <c r="BM70" s="481"/>
      <c r="BN70" s="481"/>
      <c r="BO70" s="481"/>
      <c r="BP70" s="481"/>
      <c r="BQ70" s="481"/>
      <c r="BR70" s="481"/>
      <c r="BS70" s="481"/>
      <c r="BT70" s="481"/>
      <c r="BU70" s="481"/>
      <c r="BV70" s="481"/>
      <c r="BW70" s="481"/>
      <c r="BX70" s="481"/>
      <c r="BY70" s="481"/>
      <c r="BZ70" s="481"/>
      <c r="CA70" s="325"/>
      <c r="CB70" s="325"/>
      <c r="CC70" s="325"/>
      <c r="CD70" s="325"/>
      <c r="CE70" s="327"/>
      <c r="CF70" s="301"/>
    </row>
    <row r="71">
      <c r="A71" s="301"/>
      <c r="B71" s="324"/>
      <c r="C71" s="328" t="str">
        <f>#REF!</f>
        <v>#REF!</v>
      </c>
      <c r="D71" s="482" t="s">
        <v>148</v>
      </c>
      <c r="E71" s="483" t="s">
        <v>149</v>
      </c>
      <c r="F71" s="483" t="s">
        <v>36</v>
      </c>
      <c r="G71" s="484" t="str">
        <f>#REF!</f>
        <v>#REF!</v>
      </c>
      <c r="H71" s="485" t="s">
        <v>148</v>
      </c>
      <c r="I71" s="486" t="s">
        <v>149</v>
      </c>
      <c r="J71" s="487" t="s">
        <v>36</v>
      </c>
      <c r="K71" s="481"/>
      <c r="L71" s="488" t="str">
        <f>#REF!</f>
        <v>#REF!</v>
      </c>
      <c r="M71" s="482" t="s">
        <v>148</v>
      </c>
      <c r="N71" s="483" t="s">
        <v>149</v>
      </c>
      <c r="O71" s="483" t="s">
        <v>36</v>
      </c>
      <c r="P71" s="484" t="str">
        <f>#REF!</f>
        <v>#REF!</v>
      </c>
      <c r="Q71" s="485" t="s">
        <v>148</v>
      </c>
      <c r="R71" s="486" t="s">
        <v>149</v>
      </c>
      <c r="S71" s="487" t="s">
        <v>36</v>
      </c>
      <c r="T71" s="481"/>
      <c r="U71" s="488" t="str">
        <f>#REF!</f>
        <v>#REF!</v>
      </c>
      <c r="V71" s="482" t="s">
        <v>148</v>
      </c>
      <c r="W71" s="483" t="s">
        <v>149</v>
      </c>
      <c r="X71" s="483" t="s">
        <v>36</v>
      </c>
      <c r="Y71" s="484" t="str">
        <f>#REF!</f>
        <v>#REF!</v>
      </c>
      <c r="Z71" s="485" t="s">
        <v>148</v>
      </c>
      <c r="AA71" s="486" t="s">
        <v>149</v>
      </c>
      <c r="AB71" s="487" t="s">
        <v>36</v>
      </c>
      <c r="AC71" s="481"/>
      <c r="AD71" s="488" t="str">
        <f>#REF!</f>
        <v>#REF!</v>
      </c>
      <c r="AE71" s="482" t="s">
        <v>148</v>
      </c>
      <c r="AF71" s="483" t="s">
        <v>149</v>
      </c>
      <c r="AG71" s="483" t="s">
        <v>36</v>
      </c>
      <c r="AH71" s="484" t="str">
        <f>#REF!</f>
        <v>#REF!</v>
      </c>
      <c r="AI71" s="485" t="s">
        <v>148</v>
      </c>
      <c r="AJ71" s="486" t="s">
        <v>149</v>
      </c>
      <c r="AK71" s="487" t="s">
        <v>36</v>
      </c>
      <c r="AL71" s="481"/>
      <c r="AM71" s="488" t="str">
        <f>#REF!</f>
        <v>#REF!</v>
      </c>
      <c r="AN71" s="482" t="s">
        <v>148</v>
      </c>
      <c r="AO71" s="483" t="s">
        <v>149</v>
      </c>
      <c r="AP71" s="483" t="s">
        <v>36</v>
      </c>
      <c r="AQ71" s="484" t="str">
        <f>#REF!</f>
        <v>#REF!</v>
      </c>
      <c r="AR71" s="485" t="s">
        <v>148</v>
      </c>
      <c r="AS71" s="486" t="s">
        <v>149</v>
      </c>
      <c r="AT71" s="487" t="s">
        <v>36</v>
      </c>
      <c r="AU71" s="481"/>
      <c r="AV71" s="488" t="str">
        <f>#REF!</f>
        <v>#REF!</v>
      </c>
      <c r="AW71" s="482" t="s">
        <v>148</v>
      </c>
      <c r="AX71" s="483" t="s">
        <v>149</v>
      </c>
      <c r="AY71" s="483" t="s">
        <v>36</v>
      </c>
      <c r="AZ71" s="484" t="str">
        <f>#REF!</f>
        <v>#REF!</v>
      </c>
      <c r="BA71" s="485" t="s">
        <v>148</v>
      </c>
      <c r="BB71" s="486" t="s">
        <v>149</v>
      </c>
      <c r="BC71" s="487" t="s">
        <v>36</v>
      </c>
      <c r="BD71" s="481"/>
      <c r="BE71" s="488" t="str">
        <f>#REF!</f>
        <v>#REF!</v>
      </c>
      <c r="BF71" s="482" t="s">
        <v>148</v>
      </c>
      <c r="BG71" s="483" t="s">
        <v>149</v>
      </c>
      <c r="BH71" s="483" t="s">
        <v>36</v>
      </c>
      <c r="BI71" s="484" t="str">
        <f>#REF!</f>
        <v>#REF!</v>
      </c>
      <c r="BJ71" s="485" t="s">
        <v>148</v>
      </c>
      <c r="BK71" s="486" t="s">
        <v>149</v>
      </c>
      <c r="BL71" s="487" t="s">
        <v>36</v>
      </c>
      <c r="BM71" s="481"/>
      <c r="BN71" s="488" t="str">
        <f>#REF!</f>
        <v>#REF!</v>
      </c>
      <c r="BO71" s="482" t="s">
        <v>148</v>
      </c>
      <c r="BP71" s="483" t="s">
        <v>149</v>
      </c>
      <c r="BQ71" s="483" t="s">
        <v>36</v>
      </c>
      <c r="BR71" s="484" t="str">
        <f>#REF!</f>
        <v>#REF!</v>
      </c>
      <c r="BS71" s="485" t="s">
        <v>148</v>
      </c>
      <c r="BT71" s="486" t="s">
        <v>149</v>
      </c>
      <c r="BU71" s="487" t="s">
        <v>36</v>
      </c>
      <c r="BV71" s="481"/>
      <c r="BW71" s="488" t="str">
        <f>#REF!</f>
        <v>#REF!</v>
      </c>
      <c r="BX71" s="482" t="s">
        <v>148</v>
      </c>
      <c r="BY71" s="483" t="s">
        <v>149</v>
      </c>
      <c r="BZ71" s="483" t="s">
        <v>36</v>
      </c>
      <c r="CA71" s="331" t="str">
        <f>#REF!</f>
        <v>#REF!</v>
      </c>
      <c r="CB71" s="332" t="s">
        <v>148</v>
      </c>
      <c r="CC71" s="336" t="s">
        <v>149</v>
      </c>
      <c r="CD71" s="337" t="s">
        <v>36</v>
      </c>
      <c r="CE71" s="327"/>
      <c r="CF71" s="301"/>
    </row>
    <row r="72">
      <c r="A72" s="301"/>
      <c r="B72" s="324"/>
      <c r="C72" s="870"/>
      <c r="D72" s="897"/>
      <c r="E72" s="897"/>
      <c r="F72" s="898">
        <f t="shared" ref="F72:F77" si="109">D72-E72</f>
        <v>0</v>
      </c>
      <c r="G72" s="899"/>
      <c r="H72" s="897"/>
      <c r="I72" s="897"/>
      <c r="J72" s="898">
        <f t="shared" ref="J72:J77" si="110">H72-I72</f>
        <v>0</v>
      </c>
      <c r="K72" s="481"/>
      <c r="L72" s="899"/>
      <c r="M72" s="897"/>
      <c r="N72" s="897"/>
      <c r="O72" s="898">
        <f t="shared" ref="O72:O77" si="111">M72-N72</f>
        <v>0</v>
      </c>
      <c r="P72" s="899"/>
      <c r="Q72" s="897"/>
      <c r="R72" s="897"/>
      <c r="S72" s="898">
        <f t="shared" ref="S72:S77" si="112">Q72-R72</f>
        <v>0</v>
      </c>
      <c r="T72" s="481"/>
      <c r="U72" s="899"/>
      <c r="V72" s="897"/>
      <c r="W72" s="897"/>
      <c r="X72" s="898">
        <f t="shared" ref="X72:X77" si="113">V72-W72</f>
        <v>0</v>
      </c>
      <c r="Y72" s="899"/>
      <c r="Z72" s="897"/>
      <c r="AA72" s="897"/>
      <c r="AB72" s="898">
        <f t="shared" ref="AB72:AB77" si="114">Z72-AA72</f>
        <v>0</v>
      </c>
      <c r="AC72" s="481"/>
      <c r="AD72" s="899"/>
      <c r="AE72" s="897"/>
      <c r="AF72" s="897"/>
      <c r="AG72" s="898">
        <f t="shared" ref="AG72:AG77" si="115">AE72-AF72</f>
        <v>0</v>
      </c>
      <c r="AH72" s="899"/>
      <c r="AI72" s="897"/>
      <c r="AJ72" s="897"/>
      <c r="AK72" s="898">
        <f t="shared" ref="AK72:AK77" si="116">AI72-AJ72</f>
        <v>0</v>
      </c>
      <c r="AL72" s="481"/>
      <c r="AM72" s="899"/>
      <c r="AN72" s="897"/>
      <c r="AO72" s="897"/>
      <c r="AP72" s="898">
        <f t="shared" ref="AP72:AP77" si="117">AN72-AO72</f>
        <v>0</v>
      </c>
      <c r="AQ72" s="899"/>
      <c r="AR72" s="897"/>
      <c r="AS72" s="897"/>
      <c r="AT72" s="898">
        <f t="shared" ref="AT72:AT77" si="118">AR72-AS72</f>
        <v>0</v>
      </c>
      <c r="AU72" s="481"/>
      <c r="AV72" s="899"/>
      <c r="AW72" s="897"/>
      <c r="AX72" s="897"/>
      <c r="AY72" s="898">
        <f t="shared" ref="AY72:AY77" si="119">AW72-AX72</f>
        <v>0</v>
      </c>
      <c r="AZ72" s="899"/>
      <c r="BA72" s="897"/>
      <c r="BB72" s="897"/>
      <c r="BC72" s="898">
        <f t="shared" ref="BC72:BC77" si="120">BA72-BB72</f>
        <v>0</v>
      </c>
      <c r="BD72" s="481"/>
      <c r="BE72" s="899"/>
      <c r="BF72" s="897"/>
      <c r="BG72" s="897"/>
      <c r="BH72" s="898">
        <f t="shared" ref="BH72:BH77" si="121">BF72-BG72</f>
        <v>0</v>
      </c>
      <c r="BI72" s="899"/>
      <c r="BJ72" s="897"/>
      <c r="BK72" s="897"/>
      <c r="BL72" s="898">
        <f t="shared" ref="BL72:BL77" si="122">BJ72-BK72</f>
        <v>0</v>
      </c>
      <c r="BM72" s="481"/>
      <c r="BN72" s="899"/>
      <c r="BO72" s="897"/>
      <c r="BP72" s="897"/>
      <c r="BQ72" s="898">
        <f t="shared" ref="BQ72:BQ77" si="123">BO72-BP72</f>
        <v>0</v>
      </c>
      <c r="BR72" s="899"/>
      <c r="BS72" s="897"/>
      <c r="BT72" s="897"/>
      <c r="BU72" s="898">
        <f t="shared" ref="BU72:BU77" si="124">BS72-BT72</f>
        <v>0</v>
      </c>
      <c r="BV72" s="481"/>
      <c r="BW72" s="899"/>
      <c r="BX72" s="897"/>
      <c r="BY72" s="897"/>
      <c r="BZ72" s="898">
        <f t="shared" ref="BZ72:BZ77" si="125">BX72-BY72</f>
        <v>0</v>
      </c>
      <c r="CA72" s="870"/>
      <c r="CB72" s="871"/>
      <c r="CC72" s="871"/>
      <c r="CD72" s="872">
        <f t="shared" ref="CD72:CD77" si="126">CB72-CC72</f>
        <v>0</v>
      </c>
      <c r="CE72" s="327"/>
      <c r="CF72" s="301"/>
    </row>
    <row r="73">
      <c r="A73" s="301"/>
      <c r="B73" s="324"/>
      <c r="C73" s="875"/>
      <c r="D73" s="900"/>
      <c r="E73" s="900"/>
      <c r="F73" s="898">
        <f t="shared" si="109"/>
        <v>0</v>
      </c>
      <c r="G73" s="901"/>
      <c r="H73" s="900"/>
      <c r="I73" s="900"/>
      <c r="J73" s="898">
        <f t="shared" si="110"/>
        <v>0</v>
      </c>
      <c r="K73" s="481"/>
      <c r="L73" s="901"/>
      <c r="M73" s="900"/>
      <c r="N73" s="900"/>
      <c r="O73" s="898">
        <f t="shared" si="111"/>
        <v>0</v>
      </c>
      <c r="P73" s="901"/>
      <c r="Q73" s="900"/>
      <c r="R73" s="900"/>
      <c r="S73" s="898">
        <f t="shared" si="112"/>
        <v>0</v>
      </c>
      <c r="T73" s="481"/>
      <c r="U73" s="901"/>
      <c r="V73" s="900"/>
      <c r="W73" s="900"/>
      <c r="X73" s="898">
        <f t="shared" si="113"/>
        <v>0</v>
      </c>
      <c r="Y73" s="901"/>
      <c r="Z73" s="900"/>
      <c r="AA73" s="900"/>
      <c r="AB73" s="898">
        <f t="shared" si="114"/>
        <v>0</v>
      </c>
      <c r="AC73" s="481"/>
      <c r="AD73" s="901"/>
      <c r="AE73" s="900"/>
      <c r="AF73" s="900"/>
      <c r="AG73" s="898">
        <f t="shared" si="115"/>
        <v>0</v>
      </c>
      <c r="AH73" s="901"/>
      <c r="AI73" s="900"/>
      <c r="AJ73" s="900"/>
      <c r="AK73" s="898">
        <f t="shared" si="116"/>
        <v>0</v>
      </c>
      <c r="AL73" s="481"/>
      <c r="AM73" s="901"/>
      <c r="AN73" s="900"/>
      <c r="AO73" s="900"/>
      <c r="AP73" s="898">
        <f t="shared" si="117"/>
        <v>0</v>
      </c>
      <c r="AQ73" s="901"/>
      <c r="AR73" s="900"/>
      <c r="AS73" s="900"/>
      <c r="AT73" s="898">
        <f t="shared" si="118"/>
        <v>0</v>
      </c>
      <c r="AU73" s="481"/>
      <c r="AV73" s="901"/>
      <c r="AW73" s="900"/>
      <c r="AX73" s="900"/>
      <c r="AY73" s="898">
        <f t="shared" si="119"/>
        <v>0</v>
      </c>
      <c r="AZ73" s="901"/>
      <c r="BA73" s="900"/>
      <c r="BB73" s="900"/>
      <c r="BC73" s="898">
        <f t="shared" si="120"/>
        <v>0</v>
      </c>
      <c r="BD73" s="481"/>
      <c r="BE73" s="901"/>
      <c r="BF73" s="900"/>
      <c r="BG73" s="900"/>
      <c r="BH73" s="898">
        <f t="shared" si="121"/>
        <v>0</v>
      </c>
      <c r="BI73" s="901"/>
      <c r="BJ73" s="900"/>
      <c r="BK73" s="900"/>
      <c r="BL73" s="898">
        <f t="shared" si="122"/>
        <v>0</v>
      </c>
      <c r="BM73" s="481"/>
      <c r="BN73" s="901"/>
      <c r="BO73" s="900"/>
      <c r="BP73" s="900"/>
      <c r="BQ73" s="898">
        <f t="shared" si="123"/>
        <v>0</v>
      </c>
      <c r="BR73" s="901"/>
      <c r="BS73" s="900"/>
      <c r="BT73" s="900"/>
      <c r="BU73" s="898">
        <f t="shared" si="124"/>
        <v>0</v>
      </c>
      <c r="BV73" s="481"/>
      <c r="BW73" s="901"/>
      <c r="BX73" s="900"/>
      <c r="BY73" s="900"/>
      <c r="BZ73" s="898">
        <f t="shared" si="125"/>
        <v>0</v>
      </c>
      <c r="CA73" s="875"/>
      <c r="CB73" s="876"/>
      <c r="CC73" s="876"/>
      <c r="CD73" s="872">
        <f t="shared" si="126"/>
        <v>0</v>
      </c>
      <c r="CE73" s="327"/>
      <c r="CF73" s="301"/>
    </row>
    <row r="74">
      <c r="A74" s="301"/>
      <c r="B74" s="324"/>
      <c r="C74" s="875"/>
      <c r="D74" s="900"/>
      <c r="E74" s="900"/>
      <c r="F74" s="898">
        <f t="shared" si="109"/>
        <v>0</v>
      </c>
      <c r="G74" s="901"/>
      <c r="H74" s="900"/>
      <c r="I74" s="900"/>
      <c r="J74" s="898">
        <f t="shared" si="110"/>
        <v>0</v>
      </c>
      <c r="K74" s="481"/>
      <c r="L74" s="901"/>
      <c r="M74" s="900"/>
      <c r="N74" s="900"/>
      <c r="O74" s="898">
        <f t="shared" si="111"/>
        <v>0</v>
      </c>
      <c r="P74" s="901"/>
      <c r="Q74" s="900"/>
      <c r="R74" s="900"/>
      <c r="S74" s="898">
        <f t="shared" si="112"/>
        <v>0</v>
      </c>
      <c r="T74" s="481"/>
      <c r="U74" s="901"/>
      <c r="V74" s="900"/>
      <c r="W74" s="900"/>
      <c r="X74" s="898">
        <f t="shared" si="113"/>
        <v>0</v>
      </c>
      <c r="Y74" s="901"/>
      <c r="Z74" s="900"/>
      <c r="AA74" s="900"/>
      <c r="AB74" s="898">
        <f t="shared" si="114"/>
        <v>0</v>
      </c>
      <c r="AC74" s="481"/>
      <c r="AD74" s="901"/>
      <c r="AE74" s="900"/>
      <c r="AF74" s="900"/>
      <c r="AG74" s="898">
        <f t="shared" si="115"/>
        <v>0</v>
      </c>
      <c r="AH74" s="901"/>
      <c r="AI74" s="900"/>
      <c r="AJ74" s="900"/>
      <c r="AK74" s="898">
        <f t="shared" si="116"/>
        <v>0</v>
      </c>
      <c r="AL74" s="481"/>
      <c r="AM74" s="901"/>
      <c r="AN74" s="900"/>
      <c r="AO74" s="900"/>
      <c r="AP74" s="898">
        <f t="shared" si="117"/>
        <v>0</v>
      </c>
      <c r="AQ74" s="901"/>
      <c r="AR74" s="900"/>
      <c r="AS74" s="900"/>
      <c r="AT74" s="898">
        <f t="shared" si="118"/>
        <v>0</v>
      </c>
      <c r="AU74" s="481"/>
      <c r="AV74" s="901"/>
      <c r="AW74" s="900"/>
      <c r="AX74" s="900"/>
      <c r="AY74" s="898">
        <f t="shared" si="119"/>
        <v>0</v>
      </c>
      <c r="AZ74" s="901"/>
      <c r="BA74" s="900"/>
      <c r="BB74" s="900"/>
      <c r="BC74" s="898">
        <f t="shared" si="120"/>
        <v>0</v>
      </c>
      <c r="BD74" s="481"/>
      <c r="BE74" s="901"/>
      <c r="BF74" s="900"/>
      <c r="BG74" s="900"/>
      <c r="BH74" s="898">
        <f t="shared" si="121"/>
        <v>0</v>
      </c>
      <c r="BI74" s="901"/>
      <c r="BJ74" s="900"/>
      <c r="BK74" s="900"/>
      <c r="BL74" s="898">
        <f t="shared" si="122"/>
        <v>0</v>
      </c>
      <c r="BM74" s="481"/>
      <c r="BN74" s="901"/>
      <c r="BO74" s="900"/>
      <c r="BP74" s="900"/>
      <c r="BQ74" s="898">
        <f t="shared" si="123"/>
        <v>0</v>
      </c>
      <c r="BR74" s="901"/>
      <c r="BS74" s="900"/>
      <c r="BT74" s="900"/>
      <c r="BU74" s="898">
        <f t="shared" si="124"/>
        <v>0</v>
      </c>
      <c r="BV74" s="481"/>
      <c r="BW74" s="901"/>
      <c r="BX74" s="900"/>
      <c r="BY74" s="900"/>
      <c r="BZ74" s="898">
        <f t="shared" si="125"/>
        <v>0</v>
      </c>
      <c r="CA74" s="875"/>
      <c r="CB74" s="876"/>
      <c r="CC74" s="876"/>
      <c r="CD74" s="872">
        <f t="shared" si="126"/>
        <v>0</v>
      </c>
      <c r="CE74" s="327"/>
      <c r="CF74" s="301"/>
    </row>
    <row r="75">
      <c r="A75" s="301"/>
      <c r="B75" s="324"/>
      <c r="C75" s="875"/>
      <c r="D75" s="900"/>
      <c r="E75" s="900"/>
      <c r="F75" s="898">
        <f t="shared" si="109"/>
        <v>0</v>
      </c>
      <c r="G75" s="901"/>
      <c r="H75" s="900"/>
      <c r="I75" s="900"/>
      <c r="J75" s="898">
        <f t="shared" si="110"/>
        <v>0</v>
      </c>
      <c r="K75" s="481"/>
      <c r="L75" s="901"/>
      <c r="M75" s="900"/>
      <c r="N75" s="900"/>
      <c r="O75" s="898">
        <f t="shared" si="111"/>
        <v>0</v>
      </c>
      <c r="P75" s="901"/>
      <c r="Q75" s="900"/>
      <c r="R75" s="900"/>
      <c r="S75" s="898">
        <f t="shared" si="112"/>
        <v>0</v>
      </c>
      <c r="T75" s="481"/>
      <c r="U75" s="901"/>
      <c r="V75" s="900"/>
      <c r="W75" s="900"/>
      <c r="X75" s="898">
        <f t="shared" si="113"/>
        <v>0</v>
      </c>
      <c r="Y75" s="901"/>
      <c r="Z75" s="900"/>
      <c r="AA75" s="900"/>
      <c r="AB75" s="898">
        <f t="shared" si="114"/>
        <v>0</v>
      </c>
      <c r="AC75" s="481"/>
      <c r="AD75" s="901"/>
      <c r="AE75" s="900"/>
      <c r="AF75" s="900"/>
      <c r="AG75" s="898">
        <f t="shared" si="115"/>
        <v>0</v>
      </c>
      <c r="AH75" s="901"/>
      <c r="AI75" s="900"/>
      <c r="AJ75" s="900"/>
      <c r="AK75" s="898">
        <f t="shared" si="116"/>
        <v>0</v>
      </c>
      <c r="AL75" s="481"/>
      <c r="AM75" s="901"/>
      <c r="AN75" s="900"/>
      <c r="AO75" s="900"/>
      <c r="AP75" s="898">
        <f t="shared" si="117"/>
        <v>0</v>
      </c>
      <c r="AQ75" s="901"/>
      <c r="AR75" s="900"/>
      <c r="AS75" s="900"/>
      <c r="AT75" s="898">
        <f t="shared" si="118"/>
        <v>0</v>
      </c>
      <c r="AU75" s="481"/>
      <c r="AV75" s="901"/>
      <c r="AW75" s="900"/>
      <c r="AX75" s="900"/>
      <c r="AY75" s="898">
        <f t="shared" si="119"/>
        <v>0</v>
      </c>
      <c r="AZ75" s="901"/>
      <c r="BA75" s="900"/>
      <c r="BB75" s="900"/>
      <c r="BC75" s="898">
        <f t="shared" si="120"/>
        <v>0</v>
      </c>
      <c r="BD75" s="481"/>
      <c r="BE75" s="901"/>
      <c r="BF75" s="900"/>
      <c r="BG75" s="900"/>
      <c r="BH75" s="898">
        <f t="shared" si="121"/>
        <v>0</v>
      </c>
      <c r="BI75" s="901"/>
      <c r="BJ75" s="900"/>
      <c r="BK75" s="900"/>
      <c r="BL75" s="898">
        <f t="shared" si="122"/>
        <v>0</v>
      </c>
      <c r="BM75" s="481"/>
      <c r="BN75" s="901"/>
      <c r="BO75" s="900"/>
      <c r="BP75" s="900"/>
      <c r="BQ75" s="898">
        <f t="shared" si="123"/>
        <v>0</v>
      </c>
      <c r="BR75" s="901"/>
      <c r="BS75" s="900"/>
      <c r="BT75" s="900"/>
      <c r="BU75" s="898">
        <f t="shared" si="124"/>
        <v>0</v>
      </c>
      <c r="BV75" s="481"/>
      <c r="BW75" s="901"/>
      <c r="BX75" s="900"/>
      <c r="BY75" s="900"/>
      <c r="BZ75" s="898">
        <f t="shared" si="125"/>
        <v>0</v>
      </c>
      <c r="CA75" s="875"/>
      <c r="CB75" s="1000"/>
      <c r="CC75" s="1000"/>
      <c r="CD75" s="872">
        <f t="shared" si="126"/>
        <v>0</v>
      </c>
      <c r="CE75" s="327"/>
      <c r="CF75" s="301"/>
    </row>
    <row r="76">
      <c r="A76" s="301"/>
      <c r="B76" s="324"/>
      <c r="C76" s="875"/>
      <c r="D76" s="900"/>
      <c r="E76" s="900"/>
      <c r="F76" s="898">
        <f t="shared" si="109"/>
        <v>0</v>
      </c>
      <c r="G76" s="901"/>
      <c r="H76" s="900"/>
      <c r="I76" s="900"/>
      <c r="J76" s="898">
        <f t="shared" si="110"/>
        <v>0</v>
      </c>
      <c r="K76" s="481"/>
      <c r="L76" s="901"/>
      <c r="M76" s="900"/>
      <c r="N76" s="900"/>
      <c r="O76" s="898">
        <f t="shared" si="111"/>
        <v>0</v>
      </c>
      <c r="P76" s="901"/>
      <c r="Q76" s="900"/>
      <c r="R76" s="900"/>
      <c r="S76" s="898">
        <f t="shared" si="112"/>
        <v>0</v>
      </c>
      <c r="T76" s="481"/>
      <c r="U76" s="901"/>
      <c r="V76" s="900"/>
      <c r="W76" s="900"/>
      <c r="X76" s="898">
        <f t="shared" si="113"/>
        <v>0</v>
      </c>
      <c r="Y76" s="901"/>
      <c r="Z76" s="900"/>
      <c r="AA76" s="900"/>
      <c r="AB76" s="898">
        <f t="shared" si="114"/>
        <v>0</v>
      </c>
      <c r="AC76" s="481"/>
      <c r="AD76" s="901"/>
      <c r="AE76" s="900"/>
      <c r="AF76" s="900"/>
      <c r="AG76" s="898">
        <f t="shared" si="115"/>
        <v>0</v>
      </c>
      <c r="AH76" s="901"/>
      <c r="AI76" s="900"/>
      <c r="AJ76" s="900"/>
      <c r="AK76" s="898">
        <f t="shared" si="116"/>
        <v>0</v>
      </c>
      <c r="AL76" s="481"/>
      <c r="AM76" s="901"/>
      <c r="AN76" s="900"/>
      <c r="AO76" s="900"/>
      <c r="AP76" s="898">
        <f t="shared" si="117"/>
        <v>0</v>
      </c>
      <c r="AQ76" s="901"/>
      <c r="AR76" s="900"/>
      <c r="AS76" s="900"/>
      <c r="AT76" s="898">
        <f t="shared" si="118"/>
        <v>0</v>
      </c>
      <c r="AU76" s="481"/>
      <c r="AV76" s="901"/>
      <c r="AW76" s="900"/>
      <c r="AX76" s="900"/>
      <c r="AY76" s="898">
        <f t="shared" si="119"/>
        <v>0</v>
      </c>
      <c r="AZ76" s="901"/>
      <c r="BA76" s="900"/>
      <c r="BB76" s="900"/>
      <c r="BC76" s="898">
        <f t="shared" si="120"/>
        <v>0</v>
      </c>
      <c r="BD76" s="481"/>
      <c r="BE76" s="901"/>
      <c r="BF76" s="900"/>
      <c r="BG76" s="900"/>
      <c r="BH76" s="898">
        <f t="shared" si="121"/>
        <v>0</v>
      </c>
      <c r="BI76" s="901"/>
      <c r="BJ76" s="900"/>
      <c r="BK76" s="900"/>
      <c r="BL76" s="898">
        <f t="shared" si="122"/>
        <v>0</v>
      </c>
      <c r="BM76" s="481"/>
      <c r="BN76" s="901"/>
      <c r="BO76" s="900"/>
      <c r="BP76" s="900"/>
      <c r="BQ76" s="898">
        <f t="shared" si="123"/>
        <v>0</v>
      </c>
      <c r="BR76" s="901"/>
      <c r="BS76" s="900"/>
      <c r="BT76" s="900"/>
      <c r="BU76" s="898">
        <f t="shared" si="124"/>
        <v>0</v>
      </c>
      <c r="BV76" s="481"/>
      <c r="BW76" s="901"/>
      <c r="BX76" s="900"/>
      <c r="BY76" s="900"/>
      <c r="BZ76" s="898">
        <f t="shared" si="125"/>
        <v>0</v>
      </c>
      <c r="CA76" s="875"/>
      <c r="CB76" s="1000"/>
      <c r="CC76" s="876"/>
      <c r="CD76" s="872">
        <f t="shared" si="126"/>
        <v>0</v>
      </c>
      <c r="CE76" s="327"/>
      <c r="CF76" s="301"/>
    </row>
    <row r="77">
      <c r="A77" s="301"/>
      <c r="B77" s="324"/>
      <c r="C77" s="877"/>
      <c r="D77" s="905"/>
      <c r="E77" s="905"/>
      <c r="F77" s="898">
        <f t="shared" si="109"/>
        <v>0</v>
      </c>
      <c r="G77" s="906"/>
      <c r="H77" s="905"/>
      <c r="I77" s="905"/>
      <c r="J77" s="898">
        <f t="shared" si="110"/>
        <v>0</v>
      </c>
      <c r="K77" s="481"/>
      <c r="L77" s="906"/>
      <c r="M77" s="905"/>
      <c r="N77" s="905"/>
      <c r="O77" s="898">
        <f t="shared" si="111"/>
        <v>0</v>
      </c>
      <c r="P77" s="906"/>
      <c r="Q77" s="905"/>
      <c r="R77" s="905"/>
      <c r="S77" s="898">
        <f t="shared" si="112"/>
        <v>0</v>
      </c>
      <c r="T77" s="481"/>
      <c r="U77" s="906"/>
      <c r="V77" s="905"/>
      <c r="W77" s="905"/>
      <c r="X77" s="898">
        <f t="shared" si="113"/>
        <v>0</v>
      </c>
      <c r="Y77" s="906"/>
      <c r="Z77" s="905"/>
      <c r="AA77" s="905"/>
      <c r="AB77" s="898">
        <f t="shared" si="114"/>
        <v>0</v>
      </c>
      <c r="AC77" s="481"/>
      <c r="AD77" s="906"/>
      <c r="AE77" s="905"/>
      <c r="AF77" s="905"/>
      <c r="AG77" s="898">
        <f t="shared" si="115"/>
        <v>0</v>
      </c>
      <c r="AH77" s="906"/>
      <c r="AI77" s="905"/>
      <c r="AJ77" s="905"/>
      <c r="AK77" s="898">
        <f t="shared" si="116"/>
        <v>0</v>
      </c>
      <c r="AL77" s="481"/>
      <c r="AM77" s="906"/>
      <c r="AN77" s="905"/>
      <c r="AO77" s="905"/>
      <c r="AP77" s="898">
        <f t="shared" si="117"/>
        <v>0</v>
      </c>
      <c r="AQ77" s="906"/>
      <c r="AR77" s="905"/>
      <c r="AS77" s="905"/>
      <c r="AT77" s="898">
        <f t="shared" si="118"/>
        <v>0</v>
      </c>
      <c r="AU77" s="481"/>
      <c r="AV77" s="906"/>
      <c r="AW77" s="905"/>
      <c r="AX77" s="905"/>
      <c r="AY77" s="898">
        <f t="shared" si="119"/>
        <v>0</v>
      </c>
      <c r="AZ77" s="906"/>
      <c r="BA77" s="905"/>
      <c r="BB77" s="905"/>
      <c r="BC77" s="898">
        <f t="shared" si="120"/>
        <v>0</v>
      </c>
      <c r="BD77" s="481"/>
      <c r="BE77" s="906"/>
      <c r="BF77" s="905"/>
      <c r="BG77" s="905"/>
      <c r="BH77" s="898">
        <f t="shared" si="121"/>
        <v>0</v>
      </c>
      <c r="BI77" s="906"/>
      <c r="BJ77" s="905"/>
      <c r="BK77" s="905"/>
      <c r="BL77" s="898">
        <f t="shared" si="122"/>
        <v>0</v>
      </c>
      <c r="BM77" s="481"/>
      <c r="BN77" s="906"/>
      <c r="BO77" s="905"/>
      <c r="BP77" s="905"/>
      <c r="BQ77" s="898">
        <f t="shared" si="123"/>
        <v>0</v>
      </c>
      <c r="BR77" s="906"/>
      <c r="BS77" s="905"/>
      <c r="BT77" s="905"/>
      <c r="BU77" s="898">
        <f t="shared" si="124"/>
        <v>0</v>
      </c>
      <c r="BV77" s="481"/>
      <c r="BW77" s="906"/>
      <c r="BX77" s="1001"/>
      <c r="BY77" s="1001"/>
      <c r="BZ77" s="898">
        <f t="shared" si="125"/>
        <v>0</v>
      </c>
      <c r="CA77" s="877"/>
      <c r="CB77" s="878"/>
      <c r="CC77" s="878"/>
      <c r="CD77" s="872">
        <f t="shared" si="126"/>
        <v>0</v>
      </c>
      <c r="CE77" s="327"/>
      <c r="CF77" s="301"/>
    </row>
    <row r="78">
      <c r="A78" s="301"/>
      <c r="B78" s="324"/>
      <c r="C78" s="880" t="s">
        <v>155</v>
      </c>
      <c r="D78" s="881">
        <f>SUM(F72:F77)</f>
        <v>0</v>
      </c>
      <c r="E78" s="706"/>
      <c r="F78" s="706"/>
      <c r="G78" s="910" t="s">
        <v>155</v>
      </c>
      <c r="H78" s="881">
        <f>SUM(J72:J77)</f>
        <v>0</v>
      </c>
      <c r="I78" s="706"/>
      <c r="J78" s="706"/>
      <c r="K78" s="481"/>
      <c r="L78" s="910" t="s">
        <v>155</v>
      </c>
      <c r="M78" s="881">
        <f>SUM(O72:O77)</f>
        <v>0</v>
      </c>
      <c r="N78" s="706"/>
      <c r="O78" s="706"/>
      <c r="P78" s="910" t="s">
        <v>155</v>
      </c>
      <c r="Q78" s="881">
        <f>SUM(S72:S77)</f>
        <v>0</v>
      </c>
      <c r="R78" s="706"/>
      <c r="S78" s="706"/>
      <c r="T78" s="481"/>
      <c r="U78" s="910" t="s">
        <v>155</v>
      </c>
      <c r="V78" s="881">
        <f>SUM(X72:X77)</f>
        <v>0</v>
      </c>
      <c r="W78" s="706"/>
      <c r="X78" s="706"/>
      <c r="Y78" s="910" t="s">
        <v>155</v>
      </c>
      <c r="Z78" s="881">
        <f>SUM(AB72:AB77)</f>
        <v>0</v>
      </c>
      <c r="AA78" s="706"/>
      <c r="AB78" s="706"/>
      <c r="AC78" s="481"/>
      <c r="AD78" s="910" t="s">
        <v>155</v>
      </c>
      <c r="AE78" s="917">
        <f>SUM(AG72:AG77)</f>
        <v>0</v>
      </c>
      <c r="AF78" s="706"/>
      <c r="AG78" s="706"/>
      <c r="AH78" s="910" t="s">
        <v>155</v>
      </c>
      <c r="AI78" s="917">
        <f>SUM(AK72:AK77)</f>
        <v>0</v>
      </c>
      <c r="AJ78" s="706"/>
      <c r="AK78" s="707"/>
      <c r="AL78" s="481"/>
      <c r="AM78" s="910" t="s">
        <v>155</v>
      </c>
      <c r="AN78" s="881">
        <f>SUM(AP72:AP77)</f>
        <v>0</v>
      </c>
      <c r="AO78" s="706"/>
      <c r="AP78" s="706"/>
      <c r="AQ78" s="910" t="s">
        <v>155</v>
      </c>
      <c r="AR78" s="881">
        <f>SUM(AT72:AT77)</f>
        <v>0</v>
      </c>
      <c r="AS78" s="706"/>
      <c r="AT78" s="706"/>
      <c r="AU78" s="481"/>
      <c r="AV78" s="910" t="s">
        <v>155</v>
      </c>
      <c r="AW78" s="881">
        <f>SUM(AY72:AY77)</f>
        <v>0</v>
      </c>
      <c r="AX78" s="706"/>
      <c r="AY78" s="706"/>
      <c r="AZ78" s="910" t="s">
        <v>155</v>
      </c>
      <c r="BA78" s="881">
        <f>SUM(BC72:BC77)</f>
        <v>0</v>
      </c>
      <c r="BB78" s="706"/>
      <c r="BC78" s="706"/>
      <c r="BD78" s="481"/>
      <c r="BE78" s="910" t="s">
        <v>155</v>
      </c>
      <c r="BF78" s="881">
        <f>SUM(BH72:BH77)</f>
        <v>0</v>
      </c>
      <c r="BG78" s="706"/>
      <c r="BH78" s="706"/>
      <c r="BI78" s="910" t="s">
        <v>155</v>
      </c>
      <c r="BJ78" s="881">
        <f>SUM(BL72:BL77)</f>
        <v>0</v>
      </c>
      <c r="BK78" s="706"/>
      <c r="BL78" s="706"/>
      <c r="BM78" s="481"/>
      <c r="BN78" s="910" t="s">
        <v>155</v>
      </c>
      <c r="BO78" s="881">
        <f>SUM(BQ72:BQ77)</f>
        <v>0</v>
      </c>
      <c r="BP78" s="706"/>
      <c r="BQ78" s="706"/>
      <c r="BR78" s="910" t="s">
        <v>155</v>
      </c>
      <c r="BS78" s="881">
        <f>SUM(BU72:BU77)</f>
        <v>0</v>
      </c>
      <c r="BT78" s="706"/>
      <c r="BU78" s="706"/>
      <c r="BV78" s="481"/>
      <c r="BW78" s="910" t="s">
        <v>155</v>
      </c>
      <c r="BX78" s="881">
        <f>SUM(BZ72:BZ77)</f>
        <v>0</v>
      </c>
      <c r="BY78" s="706"/>
      <c r="BZ78" s="706"/>
      <c r="CA78" s="880" t="s">
        <v>155</v>
      </c>
      <c r="CB78" s="881">
        <f>SUM(CD72:CD77)</f>
        <v>0</v>
      </c>
      <c r="CC78" s="706"/>
      <c r="CD78" s="706"/>
      <c r="CE78" s="327"/>
      <c r="CF78" s="301"/>
    </row>
    <row r="79">
      <c r="A79" s="5"/>
      <c r="B79" s="416"/>
      <c r="C79" s="883" t="s">
        <v>162</v>
      </c>
      <c r="D79" s="911"/>
      <c r="E79" s="124"/>
      <c r="F79" s="419"/>
      <c r="G79" s="912" t="s">
        <v>162</v>
      </c>
      <c r="H79" s="911"/>
      <c r="I79" s="124"/>
      <c r="J79" s="125"/>
      <c r="K79" s="470"/>
      <c r="L79" s="912" t="s">
        <v>162</v>
      </c>
      <c r="M79" s="911"/>
      <c r="N79" s="124"/>
      <c r="O79" s="419"/>
      <c r="P79" s="912" t="s">
        <v>162</v>
      </c>
      <c r="Q79" s="911"/>
      <c r="R79" s="124"/>
      <c r="S79" s="125"/>
      <c r="T79" s="470"/>
      <c r="U79" s="912" t="s">
        <v>162</v>
      </c>
      <c r="V79" s="911"/>
      <c r="W79" s="124"/>
      <c r="X79" s="419"/>
      <c r="Y79" s="912" t="s">
        <v>162</v>
      </c>
      <c r="Z79" s="911"/>
      <c r="AA79" s="124"/>
      <c r="AB79" s="125"/>
      <c r="AC79" s="470"/>
      <c r="AD79" s="912" t="s">
        <v>162</v>
      </c>
      <c r="AE79" s="911"/>
      <c r="AF79" s="124"/>
      <c r="AG79" s="419"/>
      <c r="AH79" s="912" t="s">
        <v>162</v>
      </c>
      <c r="AI79" s="911"/>
      <c r="AJ79" s="124"/>
      <c r="AK79" s="125"/>
      <c r="AL79" s="470"/>
      <c r="AM79" s="912" t="s">
        <v>162</v>
      </c>
      <c r="AN79" s="911"/>
      <c r="AO79" s="124"/>
      <c r="AP79" s="419"/>
      <c r="AQ79" s="912" t="s">
        <v>162</v>
      </c>
      <c r="AR79" s="911"/>
      <c r="AS79" s="124"/>
      <c r="AT79" s="125"/>
      <c r="AU79" s="470"/>
      <c r="AV79" s="912" t="s">
        <v>162</v>
      </c>
      <c r="AW79" s="911"/>
      <c r="AX79" s="124"/>
      <c r="AY79" s="419"/>
      <c r="AZ79" s="912" t="s">
        <v>162</v>
      </c>
      <c r="BA79" s="911"/>
      <c r="BB79" s="124"/>
      <c r="BC79" s="125"/>
      <c r="BD79" s="470"/>
      <c r="BE79" s="912" t="s">
        <v>162</v>
      </c>
      <c r="BF79" s="911"/>
      <c r="BG79" s="124"/>
      <c r="BH79" s="419"/>
      <c r="BI79" s="912" t="s">
        <v>162</v>
      </c>
      <c r="BJ79" s="911"/>
      <c r="BK79" s="124"/>
      <c r="BL79" s="125"/>
      <c r="BM79" s="470"/>
      <c r="BN79" s="912" t="s">
        <v>162</v>
      </c>
      <c r="BO79" s="911"/>
      <c r="BP79" s="124"/>
      <c r="BQ79" s="419"/>
      <c r="BR79" s="912" t="s">
        <v>162</v>
      </c>
      <c r="BS79" s="911"/>
      <c r="BT79" s="124"/>
      <c r="BU79" s="125"/>
      <c r="BV79" s="470"/>
      <c r="BW79" s="912" t="s">
        <v>162</v>
      </c>
      <c r="BX79" s="911"/>
      <c r="BY79" s="124"/>
      <c r="BZ79" s="419"/>
      <c r="CA79" s="883" t="s">
        <v>162</v>
      </c>
      <c r="CB79" s="884"/>
      <c r="CC79" s="124"/>
      <c r="CD79" s="125"/>
      <c r="CE79" s="440"/>
      <c r="CF79" s="5"/>
    </row>
    <row r="80">
      <c r="A80" s="5"/>
      <c r="B80" s="416"/>
      <c r="C80" s="885" t="s">
        <v>168</v>
      </c>
      <c r="D80" s="886">
        <v>1.0</v>
      </c>
      <c r="E80" s="886">
        <v>2.0</v>
      </c>
      <c r="F80" s="892">
        <v>3.0</v>
      </c>
      <c r="G80" s="887" t="s">
        <v>174</v>
      </c>
      <c r="H80" s="342"/>
      <c r="I80" s="888" t="str">
        <f>IF(D79=2,"W",IF(H79=2,"L",))</f>
        <v/>
      </c>
      <c r="J80" s="889" t="str">
        <f>IF(H79=2,"W",IF(D79=2,"L",))</f>
        <v/>
      </c>
      <c r="K80" s="470"/>
      <c r="L80" s="890" t="s">
        <v>168</v>
      </c>
      <c r="M80" s="886">
        <v>1.0</v>
      </c>
      <c r="N80" s="886">
        <v>2.0</v>
      </c>
      <c r="O80" s="886">
        <v>3.0</v>
      </c>
      <c r="P80" s="887" t="s">
        <v>174</v>
      </c>
      <c r="Q80" s="342"/>
      <c r="R80" s="888" t="str">
        <f>IF(M79=2,"W",IF(Q79=2,"L",))</f>
        <v/>
      </c>
      <c r="S80" s="889" t="str">
        <f>IF(Q79=2,"W",IF(M79=2,"L",))</f>
        <v/>
      </c>
      <c r="T80" s="470"/>
      <c r="U80" s="890" t="s">
        <v>168</v>
      </c>
      <c r="V80" s="886">
        <v>1.0</v>
      </c>
      <c r="W80" s="886">
        <v>2.0</v>
      </c>
      <c r="X80" s="886">
        <v>3.0</v>
      </c>
      <c r="Y80" s="887" t="s">
        <v>174</v>
      </c>
      <c r="Z80" s="342"/>
      <c r="AA80" s="888" t="str">
        <f>IF(V79=2,"W",IF(Z79=2,"L",))</f>
        <v/>
      </c>
      <c r="AB80" s="889" t="str">
        <f>IF(Z79=2,"W",IF(V79=2,"L",))</f>
        <v/>
      </c>
      <c r="AC80" s="470"/>
      <c r="AD80" s="890" t="s">
        <v>168</v>
      </c>
      <c r="AE80" s="886">
        <v>1.0</v>
      </c>
      <c r="AF80" s="886">
        <v>2.0</v>
      </c>
      <c r="AG80" s="886">
        <v>3.0</v>
      </c>
      <c r="AH80" s="887" t="s">
        <v>174</v>
      </c>
      <c r="AI80" s="342"/>
      <c r="AJ80" s="888" t="str">
        <f>IF(AE79=2,"W",IF(AI79=2,"L",))</f>
        <v/>
      </c>
      <c r="AK80" s="889" t="str">
        <f>IF(AI79=2,"W",IF(AE79=2,"L",))</f>
        <v/>
      </c>
      <c r="AL80" s="470"/>
      <c r="AM80" s="890" t="s">
        <v>168</v>
      </c>
      <c r="AN80" s="886">
        <v>1.0</v>
      </c>
      <c r="AO80" s="886">
        <v>2.0</v>
      </c>
      <c r="AP80" s="892">
        <v>3.0</v>
      </c>
      <c r="AQ80" s="887" t="s">
        <v>174</v>
      </c>
      <c r="AR80" s="342"/>
      <c r="AS80" s="888" t="str">
        <f>IF(AN79=2,"W",IF(AR79=2,"L",))</f>
        <v/>
      </c>
      <c r="AT80" s="889" t="str">
        <f>IF(AR79=2,"W",IF(AN79=2,"L",))</f>
        <v/>
      </c>
      <c r="AU80" s="470"/>
      <c r="AV80" s="890" t="s">
        <v>168</v>
      </c>
      <c r="AW80" s="886">
        <v>1.0</v>
      </c>
      <c r="AX80" s="886">
        <v>2.0</v>
      </c>
      <c r="AY80" s="892">
        <v>3.0</v>
      </c>
      <c r="AZ80" s="887" t="s">
        <v>174</v>
      </c>
      <c r="BA80" s="342"/>
      <c r="BB80" s="888" t="str">
        <f>IF(AW79=2,"W",IF(BA79=2,"L",))</f>
        <v/>
      </c>
      <c r="BC80" s="889" t="str">
        <f>IF(BA79=2,"W",IF(AW79=2,"L",))</f>
        <v/>
      </c>
      <c r="BD80" s="470"/>
      <c r="BE80" s="890" t="s">
        <v>168</v>
      </c>
      <c r="BF80" s="886">
        <v>1.0</v>
      </c>
      <c r="BG80" s="886">
        <v>2.0</v>
      </c>
      <c r="BH80" s="892">
        <v>3.0</v>
      </c>
      <c r="BI80" s="887" t="s">
        <v>174</v>
      </c>
      <c r="BJ80" s="342"/>
      <c r="BK80" s="888" t="str">
        <f>IF(BF79=2,"W",IF(BJ79=2,"L",))</f>
        <v/>
      </c>
      <c r="BL80" s="889" t="str">
        <f>IF(BJ79=2,"W",IF(BF79=2,"L",))</f>
        <v/>
      </c>
      <c r="BM80" s="470"/>
      <c r="BN80" s="890" t="s">
        <v>168</v>
      </c>
      <c r="BO80" s="892">
        <v>1.0</v>
      </c>
      <c r="BP80" s="892">
        <v>2.0</v>
      </c>
      <c r="BQ80" s="892">
        <v>3.0</v>
      </c>
      <c r="BR80" s="887" t="s">
        <v>174</v>
      </c>
      <c r="BS80" s="342"/>
      <c r="BT80" s="888" t="str">
        <f>IF(BO79=2,"W",IF(BS79=2,"L",))</f>
        <v/>
      </c>
      <c r="BU80" s="889" t="str">
        <f>IF(BS79=2,"W",IF(BO79=2,"L",))</f>
        <v/>
      </c>
      <c r="BV80" s="470"/>
      <c r="BW80" s="890" t="s">
        <v>168</v>
      </c>
      <c r="BX80" s="892">
        <v>1.0</v>
      </c>
      <c r="BY80" s="892">
        <v>2.0</v>
      </c>
      <c r="BZ80" s="892">
        <v>3.0</v>
      </c>
      <c r="CA80" s="894" t="s">
        <v>174</v>
      </c>
      <c r="CB80" s="342"/>
      <c r="CC80" s="895" t="str">
        <f>IF(BX79=2,"W",IF(CB79=2,"L",))</f>
        <v/>
      </c>
      <c r="CD80" s="896" t="str">
        <f>IF(CB79=2,"W",IF(BX79=2,"L",))</f>
        <v/>
      </c>
      <c r="CE80" s="440"/>
      <c r="CF80" s="5"/>
    </row>
    <row r="81" ht="7.5" customHeight="1">
      <c r="A81" s="301"/>
      <c r="B81" s="324"/>
      <c r="C81" s="325"/>
      <c r="D81" s="481"/>
      <c r="E81" s="481"/>
      <c r="F81" s="481"/>
      <c r="G81" s="481"/>
      <c r="H81" s="481"/>
      <c r="I81" s="481"/>
      <c r="J81" s="481"/>
      <c r="K81" s="481"/>
      <c r="L81" s="481"/>
      <c r="M81" s="481"/>
      <c r="N81" s="481"/>
      <c r="O81" s="481"/>
      <c r="P81" s="481"/>
      <c r="Q81" s="481"/>
      <c r="R81" s="481"/>
      <c r="S81" s="481"/>
      <c r="T81" s="481"/>
      <c r="U81" s="481"/>
      <c r="V81" s="481"/>
      <c r="W81" s="481"/>
      <c r="X81" s="481"/>
      <c r="Y81" s="481"/>
      <c r="Z81" s="481"/>
      <c r="AA81" s="481"/>
      <c r="AB81" s="481"/>
      <c r="AC81" s="481"/>
      <c r="AD81" s="481"/>
      <c r="AE81" s="481"/>
      <c r="AF81" s="481"/>
      <c r="AG81" s="481"/>
      <c r="AH81" s="481"/>
      <c r="AI81" s="481"/>
      <c r="AJ81" s="481"/>
      <c r="AK81" s="481"/>
      <c r="AL81" s="481"/>
      <c r="AM81" s="481"/>
      <c r="AN81" s="481"/>
      <c r="AO81" s="481"/>
      <c r="AP81" s="481"/>
      <c r="AQ81" s="481"/>
      <c r="AR81" s="481"/>
      <c r="AS81" s="481"/>
      <c r="AT81" s="481"/>
      <c r="AU81" s="481"/>
      <c r="AV81" s="481"/>
      <c r="AW81" s="481"/>
      <c r="AX81" s="481"/>
      <c r="AY81" s="481"/>
      <c r="AZ81" s="481"/>
      <c r="BA81" s="481"/>
      <c r="BB81" s="481"/>
      <c r="BC81" s="481"/>
      <c r="BD81" s="481"/>
      <c r="BE81" s="481"/>
      <c r="BF81" s="481"/>
      <c r="BG81" s="481"/>
      <c r="BH81" s="481"/>
      <c r="BI81" s="481"/>
      <c r="BJ81" s="481"/>
      <c r="BK81" s="481"/>
      <c r="BL81" s="481"/>
      <c r="BM81" s="481"/>
      <c r="BN81" s="481"/>
      <c r="BO81" s="481"/>
      <c r="BP81" s="481"/>
      <c r="BQ81" s="481"/>
      <c r="BR81" s="481"/>
      <c r="BS81" s="481"/>
      <c r="BT81" s="481"/>
      <c r="BU81" s="481"/>
      <c r="BV81" s="481"/>
      <c r="BW81" s="481"/>
      <c r="BX81" s="481"/>
      <c r="BY81" s="481"/>
      <c r="BZ81" s="481"/>
      <c r="CA81" s="325"/>
      <c r="CB81" s="325"/>
      <c r="CC81" s="325"/>
      <c r="CD81" s="325"/>
      <c r="CE81" s="327"/>
      <c r="CF81" s="301"/>
    </row>
    <row r="82">
      <c r="A82" s="301"/>
      <c r="B82" s="324"/>
      <c r="C82" s="328" t="str">
        <f>#REF!</f>
        <v>#REF!</v>
      </c>
      <c r="D82" s="482" t="s">
        <v>148</v>
      </c>
      <c r="E82" s="483" t="s">
        <v>149</v>
      </c>
      <c r="F82" s="483" t="s">
        <v>36</v>
      </c>
      <c r="G82" s="484" t="str">
        <f>#REF!</f>
        <v>#REF!</v>
      </c>
      <c r="H82" s="485" t="s">
        <v>148</v>
      </c>
      <c r="I82" s="486" t="s">
        <v>149</v>
      </c>
      <c r="J82" s="487" t="s">
        <v>36</v>
      </c>
      <c r="K82" s="481"/>
      <c r="L82" s="488" t="str">
        <f>#REF!</f>
        <v>#REF!</v>
      </c>
      <c r="M82" s="482" t="s">
        <v>148</v>
      </c>
      <c r="N82" s="483" t="s">
        <v>149</v>
      </c>
      <c r="O82" s="483" t="s">
        <v>36</v>
      </c>
      <c r="P82" s="484" t="str">
        <f>#REF!</f>
        <v>#REF!</v>
      </c>
      <c r="Q82" s="485" t="s">
        <v>148</v>
      </c>
      <c r="R82" s="486" t="s">
        <v>149</v>
      </c>
      <c r="S82" s="487" t="s">
        <v>36</v>
      </c>
      <c r="T82" s="481"/>
      <c r="U82" s="488" t="str">
        <f>#REF!</f>
        <v>#REF!</v>
      </c>
      <c r="V82" s="482" t="s">
        <v>148</v>
      </c>
      <c r="W82" s="483" t="s">
        <v>149</v>
      </c>
      <c r="X82" s="483" t="s">
        <v>36</v>
      </c>
      <c r="Y82" s="484" t="str">
        <f>#REF!</f>
        <v>#REF!</v>
      </c>
      <c r="Z82" s="485" t="s">
        <v>148</v>
      </c>
      <c r="AA82" s="486" t="s">
        <v>149</v>
      </c>
      <c r="AB82" s="487" t="s">
        <v>36</v>
      </c>
      <c r="AC82" s="481"/>
      <c r="AD82" s="488" t="str">
        <f>#REF!</f>
        <v>#REF!</v>
      </c>
      <c r="AE82" s="482" t="s">
        <v>148</v>
      </c>
      <c r="AF82" s="483" t="s">
        <v>149</v>
      </c>
      <c r="AG82" s="483" t="s">
        <v>36</v>
      </c>
      <c r="AH82" s="484" t="str">
        <f>#REF!</f>
        <v>#REF!</v>
      </c>
      <c r="AI82" s="485" t="s">
        <v>148</v>
      </c>
      <c r="AJ82" s="486" t="s">
        <v>149</v>
      </c>
      <c r="AK82" s="487" t="s">
        <v>36</v>
      </c>
      <c r="AL82" s="481"/>
      <c r="AM82" s="488" t="str">
        <f>#REF!</f>
        <v>#REF!</v>
      </c>
      <c r="AN82" s="482" t="s">
        <v>148</v>
      </c>
      <c r="AO82" s="483" t="s">
        <v>149</v>
      </c>
      <c r="AP82" s="483" t="s">
        <v>36</v>
      </c>
      <c r="AQ82" s="484" t="str">
        <f>#REF!</f>
        <v>#REF!</v>
      </c>
      <c r="AR82" s="485" t="s">
        <v>148</v>
      </c>
      <c r="AS82" s="486" t="s">
        <v>149</v>
      </c>
      <c r="AT82" s="487" t="s">
        <v>36</v>
      </c>
      <c r="AU82" s="481"/>
      <c r="AV82" s="488" t="str">
        <f>#REF!</f>
        <v>#REF!</v>
      </c>
      <c r="AW82" s="482" t="s">
        <v>148</v>
      </c>
      <c r="AX82" s="483" t="s">
        <v>149</v>
      </c>
      <c r="AY82" s="483" t="s">
        <v>36</v>
      </c>
      <c r="AZ82" s="484" t="str">
        <f>#REF!</f>
        <v>#REF!</v>
      </c>
      <c r="BA82" s="485" t="s">
        <v>148</v>
      </c>
      <c r="BB82" s="486" t="s">
        <v>149</v>
      </c>
      <c r="BC82" s="487" t="s">
        <v>36</v>
      </c>
      <c r="BD82" s="481"/>
      <c r="BE82" s="488" t="str">
        <f>#REF!</f>
        <v>#REF!</v>
      </c>
      <c r="BF82" s="482" t="s">
        <v>148</v>
      </c>
      <c r="BG82" s="483" t="s">
        <v>149</v>
      </c>
      <c r="BH82" s="483" t="s">
        <v>36</v>
      </c>
      <c r="BI82" s="484" t="str">
        <f>#REF!</f>
        <v>#REF!</v>
      </c>
      <c r="BJ82" s="485" t="s">
        <v>148</v>
      </c>
      <c r="BK82" s="486" t="s">
        <v>149</v>
      </c>
      <c r="BL82" s="487" t="s">
        <v>36</v>
      </c>
      <c r="BM82" s="481"/>
      <c r="BN82" s="488" t="str">
        <f>#REF!</f>
        <v>#REF!</v>
      </c>
      <c r="BO82" s="482" t="s">
        <v>148</v>
      </c>
      <c r="BP82" s="483" t="s">
        <v>149</v>
      </c>
      <c r="BQ82" s="483" t="s">
        <v>36</v>
      </c>
      <c r="BR82" s="484" t="str">
        <f>#REF!</f>
        <v>#REF!</v>
      </c>
      <c r="BS82" s="485" t="s">
        <v>148</v>
      </c>
      <c r="BT82" s="486" t="s">
        <v>149</v>
      </c>
      <c r="BU82" s="487" t="s">
        <v>36</v>
      </c>
      <c r="BV82" s="481"/>
      <c r="BW82" s="488" t="str">
        <f>#REF!</f>
        <v>#REF!</v>
      </c>
      <c r="BX82" s="482" t="s">
        <v>148</v>
      </c>
      <c r="BY82" s="483" t="s">
        <v>149</v>
      </c>
      <c r="BZ82" s="483" t="s">
        <v>36</v>
      </c>
      <c r="CA82" s="331" t="str">
        <f>#REF!</f>
        <v>#REF!</v>
      </c>
      <c r="CB82" s="332" t="s">
        <v>148</v>
      </c>
      <c r="CC82" s="336" t="s">
        <v>149</v>
      </c>
      <c r="CD82" s="337" t="s">
        <v>36</v>
      </c>
      <c r="CE82" s="327"/>
      <c r="CF82" s="301"/>
    </row>
    <row r="83">
      <c r="A83" s="301"/>
      <c r="B83" s="324"/>
      <c r="C83" s="870"/>
      <c r="D83" s="897"/>
      <c r="E83" s="897"/>
      <c r="F83" s="898">
        <f t="shared" ref="F83:F88" si="127">D83-E83</f>
        <v>0</v>
      </c>
      <c r="G83" s="899"/>
      <c r="H83" s="897"/>
      <c r="I83" s="897"/>
      <c r="J83" s="898">
        <f t="shared" ref="J83:J88" si="128">H83-I83</f>
        <v>0</v>
      </c>
      <c r="K83" s="481"/>
      <c r="L83" s="899"/>
      <c r="M83" s="897"/>
      <c r="N83" s="897"/>
      <c r="O83" s="898">
        <f t="shared" ref="O83:O88" si="129">M83-N83</f>
        <v>0</v>
      </c>
      <c r="P83" s="899"/>
      <c r="Q83" s="897"/>
      <c r="R83" s="897"/>
      <c r="S83" s="898">
        <f t="shared" ref="S83:S88" si="130">Q83-R83</f>
        <v>0</v>
      </c>
      <c r="T83" s="481"/>
      <c r="U83" s="899"/>
      <c r="V83" s="897"/>
      <c r="W83" s="897"/>
      <c r="X83" s="898">
        <f t="shared" ref="X83:X88" si="131">V83-W83</f>
        <v>0</v>
      </c>
      <c r="Y83" s="899"/>
      <c r="Z83" s="897"/>
      <c r="AA83" s="897"/>
      <c r="AB83" s="898">
        <f t="shared" ref="AB83:AB88" si="132">Z83-AA83</f>
        <v>0</v>
      </c>
      <c r="AC83" s="481"/>
      <c r="AD83" s="899"/>
      <c r="AE83" s="897"/>
      <c r="AF83" s="897"/>
      <c r="AG83" s="898">
        <f t="shared" ref="AG83:AG88" si="133">AE83-AF83</f>
        <v>0</v>
      </c>
      <c r="AH83" s="899"/>
      <c r="AI83" s="897"/>
      <c r="AJ83" s="897"/>
      <c r="AK83" s="898">
        <f t="shared" ref="AK83:AK88" si="134">AI83-AJ83</f>
        <v>0</v>
      </c>
      <c r="AL83" s="481"/>
      <c r="AM83" s="899"/>
      <c r="AN83" s="897"/>
      <c r="AO83" s="897"/>
      <c r="AP83" s="898">
        <f t="shared" ref="AP83:AP88" si="135">AN83-AO83</f>
        <v>0</v>
      </c>
      <c r="AQ83" s="899"/>
      <c r="AR83" s="897"/>
      <c r="AS83" s="897"/>
      <c r="AT83" s="898">
        <f t="shared" ref="AT83:AT88" si="136">AR83-AS83</f>
        <v>0</v>
      </c>
      <c r="AU83" s="481"/>
      <c r="AV83" s="899"/>
      <c r="AW83" s="897"/>
      <c r="AX83" s="897"/>
      <c r="AY83" s="898">
        <f t="shared" ref="AY83:AY88" si="137">AW83-AX83</f>
        <v>0</v>
      </c>
      <c r="AZ83" s="899"/>
      <c r="BA83" s="897"/>
      <c r="BB83" s="897"/>
      <c r="BC83" s="898">
        <f t="shared" ref="BC83:BC88" si="138">BA83-BB83</f>
        <v>0</v>
      </c>
      <c r="BD83" s="481"/>
      <c r="BE83" s="899"/>
      <c r="BF83" s="897"/>
      <c r="BG83" s="897"/>
      <c r="BH83" s="898">
        <f t="shared" ref="BH83:BH88" si="139">BF83-BG83</f>
        <v>0</v>
      </c>
      <c r="BI83" s="899"/>
      <c r="BJ83" s="897"/>
      <c r="BK83" s="897"/>
      <c r="BL83" s="898">
        <f t="shared" ref="BL83:BL88" si="140">BJ83-BK83</f>
        <v>0</v>
      </c>
      <c r="BM83" s="481"/>
      <c r="BN83" s="899"/>
      <c r="BO83" s="897"/>
      <c r="BP83" s="897"/>
      <c r="BQ83" s="898">
        <f t="shared" ref="BQ83:BQ88" si="141">BO83-BP83</f>
        <v>0</v>
      </c>
      <c r="BR83" s="899"/>
      <c r="BS83" s="897"/>
      <c r="BT83" s="897"/>
      <c r="BU83" s="898">
        <f t="shared" ref="BU83:BU88" si="142">BS83-BT83</f>
        <v>0</v>
      </c>
      <c r="BV83" s="481"/>
      <c r="BW83" s="899"/>
      <c r="BX83" s="897"/>
      <c r="BY83" s="897"/>
      <c r="BZ83" s="898">
        <f t="shared" ref="BZ83:BZ88" si="143">BX83-BY83</f>
        <v>0</v>
      </c>
      <c r="CA83" s="870"/>
      <c r="CB83" s="871"/>
      <c r="CC83" s="871"/>
      <c r="CD83" s="872">
        <f t="shared" ref="CD83:CD88" si="144">CB83-CC83</f>
        <v>0</v>
      </c>
      <c r="CE83" s="327"/>
      <c r="CF83" s="301"/>
    </row>
    <row r="84">
      <c r="A84" s="301"/>
      <c r="B84" s="324"/>
      <c r="C84" s="875"/>
      <c r="D84" s="900"/>
      <c r="E84" s="900"/>
      <c r="F84" s="898">
        <f t="shared" si="127"/>
        <v>0</v>
      </c>
      <c r="G84" s="901"/>
      <c r="H84" s="900"/>
      <c r="I84" s="900"/>
      <c r="J84" s="898">
        <f t="shared" si="128"/>
        <v>0</v>
      </c>
      <c r="K84" s="481"/>
      <c r="L84" s="901"/>
      <c r="M84" s="900"/>
      <c r="N84" s="900"/>
      <c r="O84" s="898">
        <f t="shared" si="129"/>
        <v>0</v>
      </c>
      <c r="P84" s="901"/>
      <c r="Q84" s="900"/>
      <c r="R84" s="900"/>
      <c r="S84" s="898">
        <f t="shared" si="130"/>
        <v>0</v>
      </c>
      <c r="T84" s="481"/>
      <c r="U84" s="901"/>
      <c r="V84" s="900"/>
      <c r="W84" s="900"/>
      <c r="X84" s="898">
        <f t="shared" si="131"/>
        <v>0</v>
      </c>
      <c r="Y84" s="901"/>
      <c r="Z84" s="900"/>
      <c r="AA84" s="900"/>
      <c r="AB84" s="898">
        <f t="shared" si="132"/>
        <v>0</v>
      </c>
      <c r="AC84" s="481"/>
      <c r="AD84" s="901"/>
      <c r="AE84" s="900"/>
      <c r="AF84" s="900"/>
      <c r="AG84" s="898">
        <f t="shared" si="133"/>
        <v>0</v>
      </c>
      <c r="AH84" s="901"/>
      <c r="AI84" s="900"/>
      <c r="AJ84" s="900"/>
      <c r="AK84" s="898">
        <f t="shared" si="134"/>
        <v>0</v>
      </c>
      <c r="AL84" s="481"/>
      <c r="AM84" s="901"/>
      <c r="AN84" s="900"/>
      <c r="AO84" s="900"/>
      <c r="AP84" s="898">
        <f t="shared" si="135"/>
        <v>0</v>
      </c>
      <c r="AQ84" s="901"/>
      <c r="AR84" s="900"/>
      <c r="AS84" s="900"/>
      <c r="AT84" s="898">
        <f t="shared" si="136"/>
        <v>0</v>
      </c>
      <c r="AU84" s="481"/>
      <c r="AV84" s="901"/>
      <c r="AW84" s="900"/>
      <c r="AX84" s="900"/>
      <c r="AY84" s="898">
        <f t="shared" si="137"/>
        <v>0</v>
      </c>
      <c r="AZ84" s="901"/>
      <c r="BA84" s="900"/>
      <c r="BB84" s="900"/>
      <c r="BC84" s="898">
        <f t="shared" si="138"/>
        <v>0</v>
      </c>
      <c r="BD84" s="481"/>
      <c r="BE84" s="901"/>
      <c r="BF84" s="900"/>
      <c r="BG84" s="900"/>
      <c r="BH84" s="898">
        <f t="shared" si="139"/>
        <v>0</v>
      </c>
      <c r="BI84" s="901"/>
      <c r="BJ84" s="900"/>
      <c r="BK84" s="900"/>
      <c r="BL84" s="898">
        <f t="shared" si="140"/>
        <v>0</v>
      </c>
      <c r="BM84" s="481"/>
      <c r="BN84" s="901"/>
      <c r="BO84" s="900"/>
      <c r="BP84" s="900"/>
      <c r="BQ84" s="898">
        <f t="shared" si="141"/>
        <v>0</v>
      </c>
      <c r="BR84" s="901"/>
      <c r="BS84" s="900"/>
      <c r="BT84" s="900"/>
      <c r="BU84" s="898">
        <f t="shared" si="142"/>
        <v>0</v>
      </c>
      <c r="BV84" s="481"/>
      <c r="BW84" s="901"/>
      <c r="BX84" s="900"/>
      <c r="BY84" s="900"/>
      <c r="BZ84" s="898">
        <f t="shared" si="143"/>
        <v>0</v>
      </c>
      <c r="CA84" s="875"/>
      <c r="CB84" s="876"/>
      <c r="CC84" s="876"/>
      <c r="CD84" s="872">
        <f t="shared" si="144"/>
        <v>0</v>
      </c>
      <c r="CE84" s="327"/>
      <c r="CF84" s="301"/>
    </row>
    <row r="85">
      <c r="A85" s="301"/>
      <c r="B85" s="324"/>
      <c r="C85" s="875"/>
      <c r="D85" s="900"/>
      <c r="E85" s="900"/>
      <c r="F85" s="898">
        <f t="shared" si="127"/>
        <v>0</v>
      </c>
      <c r="G85" s="901"/>
      <c r="H85" s="900"/>
      <c r="I85" s="900"/>
      <c r="J85" s="898">
        <f t="shared" si="128"/>
        <v>0</v>
      </c>
      <c r="K85" s="481"/>
      <c r="L85" s="901"/>
      <c r="M85" s="900"/>
      <c r="N85" s="900"/>
      <c r="O85" s="898">
        <f t="shared" si="129"/>
        <v>0</v>
      </c>
      <c r="P85" s="901"/>
      <c r="Q85" s="900"/>
      <c r="R85" s="900"/>
      <c r="S85" s="898">
        <f t="shared" si="130"/>
        <v>0</v>
      </c>
      <c r="T85" s="481"/>
      <c r="U85" s="901"/>
      <c r="V85" s="900"/>
      <c r="W85" s="900"/>
      <c r="X85" s="898">
        <f t="shared" si="131"/>
        <v>0</v>
      </c>
      <c r="Y85" s="901"/>
      <c r="Z85" s="900"/>
      <c r="AA85" s="900"/>
      <c r="AB85" s="898">
        <f t="shared" si="132"/>
        <v>0</v>
      </c>
      <c r="AC85" s="481"/>
      <c r="AD85" s="901"/>
      <c r="AE85" s="900"/>
      <c r="AF85" s="900"/>
      <c r="AG85" s="898">
        <f t="shared" si="133"/>
        <v>0</v>
      </c>
      <c r="AH85" s="901"/>
      <c r="AI85" s="900"/>
      <c r="AJ85" s="900"/>
      <c r="AK85" s="898">
        <f t="shared" si="134"/>
        <v>0</v>
      </c>
      <c r="AL85" s="481"/>
      <c r="AM85" s="901"/>
      <c r="AN85" s="900"/>
      <c r="AO85" s="900"/>
      <c r="AP85" s="898">
        <f t="shared" si="135"/>
        <v>0</v>
      </c>
      <c r="AQ85" s="901"/>
      <c r="AR85" s="900"/>
      <c r="AS85" s="900"/>
      <c r="AT85" s="898">
        <f t="shared" si="136"/>
        <v>0</v>
      </c>
      <c r="AU85" s="481"/>
      <c r="AV85" s="901"/>
      <c r="AW85" s="900"/>
      <c r="AX85" s="900"/>
      <c r="AY85" s="898">
        <f t="shared" si="137"/>
        <v>0</v>
      </c>
      <c r="AZ85" s="901"/>
      <c r="BA85" s="900"/>
      <c r="BB85" s="900"/>
      <c r="BC85" s="898">
        <f t="shared" si="138"/>
        <v>0</v>
      </c>
      <c r="BD85" s="481"/>
      <c r="BE85" s="901"/>
      <c r="BF85" s="900"/>
      <c r="BG85" s="900"/>
      <c r="BH85" s="898">
        <f t="shared" si="139"/>
        <v>0</v>
      </c>
      <c r="BI85" s="901"/>
      <c r="BJ85" s="900"/>
      <c r="BK85" s="900"/>
      <c r="BL85" s="898">
        <f t="shared" si="140"/>
        <v>0</v>
      </c>
      <c r="BM85" s="481"/>
      <c r="BN85" s="901"/>
      <c r="BO85" s="900"/>
      <c r="BP85" s="900"/>
      <c r="BQ85" s="898">
        <f t="shared" si="141"/>
        <v>0</v>
      </c>
      <c r="BR85" s="901"/>
      <c r="BS85" s="900"/>
      <c r="BT85" s="900"/>
      <c r="BU85" s="898">
        <f t="shared" si="142"/>
        <v>0</v>
      </c>
      <c r="BV85" s="481"/>
      <c r="BW85" s="901"/>
      <c r="BX85" s="900"/>
      <c r="BY85" s="900"/>
      <c r="BZ85" s="898">
        <f t="shared" si="143"/>
        <v>0</v>
      </c>
      <c r="CA85" s="875"/>
      <c r="CB85" s="876"/>
      <c r="CC85" s="876"/>
      <c r="CD85" s="872">
        <f t="shared" si="144"/>
        <v>0</v>
      </c>
      <c r="CE85" s="327"/>
      <c r="CF85" s="301"/>
    </row>
    <row r="86">
      <c r="A86" s="301"/>
      <c r="B86" s="324"/>
      <c r="C86" s="875"/>
      <c r="D86" s="900"/>
      <c r="E86" s="900"/>
      <c r="F86" s="898">
        <f t="shared" si="127"/>
        <v>0</v>
      </c>
      <c r="G86" s="901"/>
      <c r="H86" s="900"/>
      <c r="I86" s="900"/>
      <c r="J86" s="898">
        <f t="shared" si="128"/>
        <v>0</v>
      </c>
      <c r="K86" s="481"/>
      <c r="L86" s="901"/>
      <c r="M86" s="900"/>
      <c r="N86" s="900"/>
      <c r="O86" s="898">
        <f t="shared" si="129"/>
        <v>0</v>
      </c>
      <c r="P86" s="901"/>
      <c r="Q86" s="900"/>
      <c r="R86" s="900"/>
      <c r="S86" s="898">
        <f t="shared" si="130"/>
        <v>0</v>
      </c>
      <c r="T86" s="481"/>
      <c r="U86" s="901"/>
      <c r="V86" s="900"/>
      <c r="W86" s="900"/>
      <c r="X86" s="898">
        <f t="shared" si="131"/>
        <v>0</v>
      </c>
      <c r="Y86" s="901"/>
      <c r="Z86" s="900"/>
      <c r="AA86" s="900"/>
      <c r="AB86" s="898">
        <f t="shared" si="132"/>
        <v>0</v>
      </c>
      <c r="AC86" s="481"/>
      <c r="AD86" s="901"/>
      <c r="AE86" s="900"/>
      <c r="AF86" s="900"/>
      <c r="AG86" s="898">
        <f t="shared" si="133"/>
        <v>0</v>
      </c>
      <c r="AH86" s="901"/>
      <c r="AI86" s="900"/>
      <c r="AJ86" s="900"/>
      <c r="AK86" s="898">
        <f t="shared" si="134"/>
        <v>0</v>
      </c>
      <c r="AL86" s="481"/>
      <c r="AM86" s="901"/>
      <c r="AN86" s="900"/>
      <c r="AO86" s="900"/>
      <c r="AP86" s="898">
        <f t="shared" si="135"/>
        <v>0</v>
      </c>
      <c r="AQ86" s="901"/>
      <c r="AR86" s="900"/>
      <c r="AS86" s="900"/>
      <c r="AT86" s="898">
        <f t="shared" si="136"/>
        <v>0</v>
      </c>
      <c r="AU86" s="481"/>
      <c r="AV86" s="901"/>
      <c r="AW86" s="900"/>
      <c r="AX86" s="900"/>
      <c r="AY86" s="898">
        <f t="shared" si="137"/>
        <v>0</v>
      </c>
      <c r="AZ86" s="901"/>
      <c r="BA86" s="900"/>
      <c r="BB86" s="900"/>
      <c r="BC86" s="898">
        <f t="shared" si="138"/>
        <v>0</v>
      </c>
      <c r="BD86" s="481"/>
      <c r="BE86" s="901"/>
      <c r="BF86" s="900"/>
      <c r="BG86" s="900"/>
      <c r="BH86" s="898">
        <f t="shared" si="139"/>
        <v>0</v>
      </c>
      <c r="BI86" s="901"/>
      <c r="BJ86" s="900"/>
      <c r="BK86" s="900"/>
      <c r="BL86" s="898">
        <f t="shared" si="140"/>
        <v>0</v>
      </c>
      <c r="BM86" s="481"/>
      <c r="BN86" s="901"/>
      <c r="BO86" s="900"/>
      <c r="BP86" s="900"/>
      <c r="BQ86" s="898">
        <f t="shared" si="141"/>
        <v>0</v>
      </c>
      <c r="BR86" s="901"/>
      <c r="BS86" s="900"/>
      <c r="BT86" s="900"/>
      <c r="BU86" s="898">
        <f t="shared" si="142"/>
        <v>0</v>
      </c>
      <c r="BV86" s="481"/>
      <c r="BW86" s="901"/>
      <c r="BX86" s="900"/>
      <c r="BY86" s="900"/>
      <c r="BZ86" s="898">
        <f t="shared" si="143"/>
        <v>0</v>
      </c>
      <c r="CA86" s="875"/>
      <c r="CB86" s="876"/>
      <c r="CC86" s="876"/>
      <c r="CD86" s="872">
        <f t="shared" si="144"/>
        <v>0</v>
      </c>
      <c r="CE86" s="327"/>
      <c r="CF86" s="301"/>
    </row>
    <row r="87">
      <c r="A87" s="301"/>
      <c r="B87" s="324"/>
      <c r="C87" s="875"/>
      <c r="D87" s="900"/>
      <c r="E87" s="900"/>
      <c r="F87" s="898">
        <f t="shared" si="127"/>
        <v>0</v>
      </c>
      <c r="G87" s="901"/>
      <c r="H87" s="900"/>
      <c r="I87" s="900"/>
      <c r="J87" s="898">
        <f t="shared" si="128"/>
        <v>0</v>
      </c>
      <c r="K87" s="481"/>
      <c r="L87" s="901"/>
      <c r="M87" s="900"/>
      <c r="N87" s="900"/>
      <c r="O87" s="898">
        <f t="shared" si="129"/>
        <v>0</v>
      </c>
      <c r="P87" s="901"/>
      <c r="Q87" s="900"/>
      <c r="R87" s="900"/>
      <c r="S87" s="898">
        <f t="shared" si="130"/>
        <v>0</v>
      </c>
      <c r="T87" s="481"/>
      <c r="U87" s="901"/>
      <c r="V87" s="900"/>
      <c r="W87" s="900"/>
      <c r="X87" s="898">
        <f t="shared" si="131"/>
        <v>0</v>
      </c>
      <c r="Y87" s="901"/>
      <c r="Z87" s="900"/>
      <c r="AA87" s="900"/>
      <c r="AB87" s="898">
        <f t="shared" si="132"/>
        <v>0</v>
      </c>
      <c r="AC87" s="481"/>
      <c r="AD87" s="901"/>
      <c r="AE87" s="900"/>
      <c r="AF87" s="900"/>
      <c r="AG87" s="898">
        <f t="shared" si="133"/>
        <v>0</v>
      </c>
      <c r="AH87" s="901"/>
      <c r="AI87" s="900"/>
      <c r="AJ87" s="900"/>
      <c r="AK87" s="898">
        <f t="shared" si="134"/>
        <v>0</v>
      </c>
      <c r="AL87" s="481"/>
      <c r="AM87" s="901"/>
      <c r="AN87" s="900"/>
      <c r="AO87" s="900"/>
      <c r="AP87" s="898">
        <f t="shared" si="135"/>
        <v>0</v>
      </c>
      <c r="AQ87" s="901"/>
      <c r="AR87" s="900"/>
      <c r="AS87" s="900"/>
      <c r="AT87" s="898">
        <f t="shared" si="136"/>
        <v>0</v>
      </c>
      <c r="AU87" s="481"/>
      <c r="AV87" s="901"/>
      <c r="AW87" s="900"/>
      <c r="AX87" s="900"/>
      <c r="AY87" s="898">
        <f t="shared" si="137"/>
        <v>0</v>
      </c>
      <c r="AZ87" s="901"/>
      <c r="BA87" s="900"/>
      <c r="BB87" s="900"/>
      <c r="BC87" s="898">
        <f t="shared" si="138"/>
        <v>0</v>
      </c>
      <c r="BD87" s="481"/>
      <c r="BE87" s="901"/>
      <c r="BF87" s="900"/>
      <c r="BG87" s="900"/>
      <c r="BH87" s="898">
        <f t="shared" si="139"/>
        <v>0</v>
      </c>
      <c r="BI87" s="901"/>
      <c r="BJ87" s="900"/>
      <c r="BK87" s="900"/>
      <c r="BL87" s="898">
        <f t="shared" si="140"/>
        <v>0</v>
      </c>
      <c r="BM87" s="481"/>
      <c r="BN87" s="901"/>
      <c r="BO87" s="900"/>
      <c r="BP87" s="900"/>
      <c r="BQ87" s="898">
        <f t="shared" si="141"/>
        <v>0</v>
      </c>
      <c r="BR87" s="901"/>
      <c r="BS87" s="900"/>
      <c r="BT87" s="900"/>
      <c r="BU87" s="898">
        <f t="shared" si="142"/>
        <v>0</v>
      </c>
      <c r="BV87" s="481"/>
      <c r="BW87" s="901"/>
      <c r="BX87" s="900"/>
      <c r="BY87" s="900"/>
      <c r="BZ87" s="898">
        <f t="shared" si="143"/>
        <v>0</v>
      </c>
      <c r="CA87" s="875"/>
      <c r="CB87" s="876"/>
      <c r="CC87" s="876"/>
      <c r="CD87" s="872">
        <f t="shared" si="144"/>
        <v>0</v>
      </c>
      <c r="CE87" s="327"/>
      <c r="CF87" s="301"/>
    </row>
    <row r="88">
      <c r="A88" s="301"/>
      <c r="B88" s="324"/>
      <c r="C88" s="877"/>
      <c r="D88" s="905"/>
      <c r="E88" s="905"/>
      <c r="F88" s="898">
        <f t="shared" si="127"/>
        <v>0</v>
      </c>
      <c r="G88" s="906"/>
      <c r="H88" s="905"/>
      <c r="I88" s="905"/>
      <c r="J88" s="898">
        <f t="shared" si="128"/>
        <v>0</v>
      </c>
      <c r="K88" s="481"/>
      <c r="L88" s="906"/>
      <c r="M88" s="905"/>
      <c r="N88" s="905"/>
      <c r="O88" s="898">
        <f t="shared" si="129"/>
        <v>0</v>
      </c>
      <c r="P88" s="906"/>
      <c r="Q88" s="905"/>
      <c r="R88" s="905"/>
      <c r="S88" s="898">
        <f t="shared" si="130"/>
        <v>0</v>
      </c>
      <c r="T88" s="481"/>
      <c r="U88" s="906"/>
      <c r="V88" s="905"/>
      <c r="W88" s="905"/>
      <c r="X88" s="898">
        <f t="shared" si="131"/>
        <v>0</v>
      </c>
      <c r="Y88" s="906"/>
      <c r="Z88" s="905"/>
      <c r="AA88" s="905"/>
      <c r="AB88" s="898">
        <f t="shared" si="132"/>
        <v>0</v>
      </c>
      <c r="AC88" s="481"/>
      <c r="AD88" s="906"/>
      <c r="AE88" s="905"/>
      <c r="AF88" s="905"/>
      <c r="AG88" s="898">
        <f t="shared" si="133"/>
        <v>0</v>
      </c>
      <c r="AH88" s="906"/>
      <c r="AI88" s="905"/>
      <c r="AJ88" s="905"/>
      <c r="AK88" s="898">
        <f t="shared" si="134"/>
        <v>0</v>
      </c>
      <c r="AL88" s="481"/>
      <c r="AM88" s="906"/>
      <c r="AN88" s="905"/>
      <c r="AO88" s="905"/>
      <c r="AP88" s="898">
        <f t="shared" si="135"/>
        <v>0</v>
      </c>
      <c r="AQ88" s="906"/>
      <c r="AR88" s="905"/>
      <c r="AS88" s="905"/>
      <c r="AT88" s="898">
        <f t="shared" si="136"/>
        <v>0</v>
      </c>
      <c r="AU88" s="481"/>
      <c r="AV88" s="906"/>
      <c r="AW88" s="905"/>
      <c r="AX88" s="905"/>
      <c r="AY88" s="898">
        <f t="shared" si="137"/>
        <v>0</v>
      </c>
      <c r="AZ88" s="906"/>
      <c r="BA88" s="905"/>
      <c r="BB88" s="905"/>
      <c r="BC88" s="898">
        <f t="shared" si="138"/>
        <v>0</v>
      </c>
      <c r="BD88" s="481"/>
      <c r="BE88" s="906"/>
      <c r="BF88" s="905"/>
      <c r="BG88" s="905"/>
      <c r="BH88" s="898">
        <f t="shared" si="139"/>
        <v>0</v>
      </c>
      <c r="BI88" s="906"/>
      <c r="BJ88" s="905"/>
      <c r="BK88" s="905"/>
      <c r="BL88" s="898">
        <f t="shared" si="140"/>
        <v>0</v>
      </c>
      <c r="BM88" s="481"/>
      <c r="BN88" s="906"/>
      <c r="BO88" s="905"/>
      <c r="BP88" s="905"/>
      <c r="BQ88" s="898">
        <f t="shared" si="141"/>
        <v>0</v>
      </c>
      <c r="BR88" s="906"/>
      <c r="BS88" s="905"/>
      <c r="BT88" s="905"/>
      <c r="BU88" s="898">
        <f t="shared" si="142"/>
        <v>0</v>
      </c>
      <c r="BV88" s="481"/>
      <c r="BW88" s="906"/>
      <c r="BX88" s="905"/>
      <c r="BY88" s="905"/>
      <c r="BZ88" s="898">
        <f t="shared" si="143"/>
        <v>0</v>
      </c>
      <c r="CA88" s="877"/>
      <c r="CB88" s="878"/>
      <c r="CC88" s="878"/>
      <c r="CD88" s="872">
        <f t="shared" si="144"/>
        <v>0</v>
      </c>
      <c r="CE88" s="327"/>
      <c r="CF88" s="301"/>
    </row>
    <row r="89">
      <c r="A89" s="301"/>
      <c r="B89" s="324"/>
      <c r="C89" s="880" t="s">
        <v>155</v>
      </c>
      <c r="D89" s="881">
        <f>SUM(F83:F88)</f>
        <v>0</v>
      </c>
      <c r="E89" s="706"/>
      <c r="F89" s="706"/>
      <c r="G89" s="910" t="s">
        <v>155</v>
      </c>
      <c r="H89" s="881">
        <f>SUM(J83:J88)</f>
        <v>0</v>
      </c>
      <c r="I89" s="706"/>
      <c r="J89" s="706"/>
      <c r="K89" s="481"/>
      <c r="L89" s="910" t="s">
        <v>155</v>
      </c>
      <c r="M89" s="881">
        <f>SUM(O83:O88)</f>
        <v>0</v>
      </c>
      <c r="N89" s="706"/>
      <c r="O89" s="706"/>
      <c r="P89" s="910" t="s">
        <v>155</v>
      </c>
      <c r="Q89" s="881">
        <f>SUM(S83:S88)</f>
        <v>0</v>
      </c>
      <c r="R89" s="706"/>
      <c r="S89" s="706"/>
      <c r="T89" s="481"/>
      <c r="U89" s="910" t="s">
        <v>155</v>
      </c>
      <c r="V89" s="881">
        <f>SUM(X83:X88)</f>
        <v>0</v>
      </c>
      <c r="W89" s="706"/>
      <c r="X89" s="706"/>
      <c r="Y89" s="910" t="s">
        <v>155</v>
      </c>
      <c r="Z89" s="881">
        <f>SUM(AB83:AB88)</f>
        <v>0</v>
      </c>
      <c r="AA89" s="706"/>
      <c r="AB89" s="706"/>
      <c r="AC89" s="481"/>
      <c r="AD89" s="910" t="s">
        <v>155</v>
      </c>
      <c r="AE89" s="881">
        <f>SUM(AG83:AG88)</f>
        <v>0</v>
      </c>
      <c r="AF89" s="706"/>
      <c r="AG89" s="706"/>
      <c r="AH89" s="910" t="s">
        <v>155</v>
      </c>
      <c r="AI89" s="881">
        <f>SUM(AK83:AK88)</f>
        <v>0</v>
      </c>
      <c r="AJ89" s="706"/>
      <c r="AK89" s="706"/>
      <c r="AL89" s="481"/>
      <c r="AM89" s="910" t="s">
        <v>155</v>
      </c>
      <c r="AN89" s="881">
        <f>SUM(AP83:AP88)</f>
        <v>0</v>
      </c>
      <c r="AO89" s="706"/>
      <c r="AP89" s="706"/>
      <c r="AQ89" s="910" t="s">
        <v>155</v>
      </c>
      <c r="AR89" s="881">
        <f>SUM(AT83:AT88)</f>
        <v>0</v>
      </c>
      <c r="AS89" s="706"/>
      <c r="AT89" s="706"/>
      <c r="AU89" s="481"/>
      <c r="AV89" s="910" t="s">
        <v>155</v>
      </c>
      <c r="AW89" s="881">
        <f>SUM(AY83:AY88)</f>
        <v>0</v>
      </c>
      <c r="AX89" s="706"/>
      <c r="AY89" s="706"/>
      <c r="AZ89" s="910" t="s">
        <v>155</v>
      </c>
      <c r="BA89" s="881">
        <f>SUM(BC83:BC88)</f>
        <v>0</v>
      </c>
      <c r="BB89" s="706"/>
      <c r="BC89" s="706"/>
      <c r="BD89" s="481"/>
      <c r="BE89" s="910" t="s">
        <v>155</v>
      </c>
      <c r="BF89" s="881">
        <f>SUM(BH83:BH88)</f>
        <v>0</v>
      </c>
      <c r="BG89" s="706"/>
      <c r="BH89" s="706"/>
      <c r="BI89" s="910" t="s">
        <v>155</v>
      </c>
      <c r="BJ89" s="881">
        <f>SUM(BL83:BL88)</f>
        <v>0</v>
      </c>
      <c r="BK89" s="706"/>
      <c r="BL89" s="706"/>
      <c r="BM89" s="481"/>
      <c r="BN89" s="910" t="s">
        <v>155</v>
      </c>
      <c r="BO89" s="881">
        <f>SUM(BQ83:BQ88)</f>
        <v>0</v>
      </c>
      <c r="BP89" s="706"/>
      <c r="BQ89" s="706"/>
      <c r="BR89" s="910" t="s">
        <v>155</v>
      </c>
      <c r="BS89" s="881">
        <f>SUM(BU83:BU88)</f>
        <v>0</v>
      </c>
      <c r="BT89" s="706"/>
      <c r="BU89" s="706"/>
      <c r="BV89" s="481"/>
      <c r="BW89" s="910" t="s">
        <v>155</v>
      </c>
      <c r="BX89" s="881">
        <f>SUM(BZ83:BZ88)</f>
        <v>0</v>
      </c>
      <c r="BY89" s="706"/>
      <c r="BZ89" s="706"/>
      <c r="CA89" s="880" t="s">
        <v>155</v>
      </c>
      <c r="CB89" s="881">
        <f>SUM(CD83:CD88)</f>
        <v>0</v>
      </c>
      <c r="CC89" s="706"/>
      <c r="CD89" s="706"/>
      <c r="CE89" s="327"/>
      <c r="CF89" s="301"/>
    </row>
    <row r="90">
      <c r="A90" s="5"/>
      <c r="B90" s="416"/>
      <c r="C90" s="883" t="s">
        <v>162</v>
      </c>
      <c r="D90" s="911"/>
      <c r="E90" s="124"/>
      <c r="F90" s="419"/>
      <c r="G90" s="912" t="s">
        <v>162</v>
      </c>
      <c r="H90" s="911"/>
      <c r="I90" s="124"/>
      <c r="J90" s="125"/>
      <c r="K90" s="470"/>
      <c r="L90" s="912" t="s">
        <v>162</v>
      </c>
      <c r="M90" s="911"/>
      <c r="N90" s="124"/>
      <c r="O90" s="419"/>
      <c r="P90" s="912" t="s">
        <v>162</v>
      </c>
      <c r="Q90" s="911"/>
      <c r="R90" s="124"/>
      <c r="S90" s="125"/>
      <c r="T90" s="470"/>
      <c r="U90" s="912" t="s">
        <v>162</v>
      </c>
      <c r="V90" s="911"/>
      <c r="W90" s="124"/>
      <c r="X90" s="419"/>
      <c r="Y90" s="912" t="s">
        <v>162</v>
      </c>
      <c r="Z90" s="911"/>
      <c r="AA90" s="124"/>
      <c r="AB90" s="125"/>
      <c r="AC90" s="470"/>
      <c r="AD90" s="912" t="s">
        <v>162</v>
      </c>
      <c r="AE90" s="911"/>
      <c r="AF90" s="124"/>
      <c r="AG90" s="419"/>
      <c r="AH90" s="912" t="s">
        <v>162</v>
      </c>
      <c r="AI90" s="911"/>
      <c r="AJ90" s="124"/>
      <c r="AK90" s="125"/>
      <c r="AL90" s="470"/>
      <c r="AM90" s="912" t="s">
        <v>162</v>
      </c>
      <c r="AN90" s="911"/>
      <c r="AO90" s="124"/>
      <c r="AP90" s="419"/>
      <c r="AQ90" s="912" t="s">
        <v>162</v>
      </c>
      <c r="AR90" s="911"/>
      <c r="AS90" s="124"/>
      <c r="AT90" s="125"/>
      <c r="AU90" s="470"/>
      <c r="AV90" s="912" t="s">
        <v>162</v>
      </c>
      <c r="AW90" s="911"/>
      <c r="AX90" s="124"/>
      <c r="AY90" s="419"/>
      <c r="AZ90" s="912" t="s">
        <v>162</v>
      </c>
      <c r="BA90" s="911"/>
      <c r="BB90" s="124"/>
      <c r="BC90" s="125"/>
      <c r="BD90" s="470"/>
      <c r="BE90" s="912" t="s">
        <v>162</v>
      </c>
      <c r="BF90" s="911"/>
      <c r="BG90" s="124"/>
      <c r="BH90" s="419"/>
      <c r="BI90" s="912" t="s">
        <v>162</v>
      </c>
      <c r="BJ90" s="911"/>
      <c r="BK90" s="124"/>
      <c r="BL90" s="125"/>
      <c r="BM90" s="470"/>
      <c r="BN90" s="912" t="s">
        <v>162</v>
      </c>
      <c r="BO90" s="911"/>
      <c r="BP90" s="124"/>
      <c r="BQ90" s="419"/>
      <c r="BR90" s="912" t="s">
        <v>162</v>
      </c>
      <c r="BS90" s="911"/>
      <c r="BT90" s="124"/>
      <c r="BU90" s="125"/>
      <c r="BV90" s="470"/>
      <c r="BW90" s="912" t="s">
        <v>162</v>
      </c>
      <c r="BX90" s="911"/>
      <c r="BY90" s="124"/>
      <c r="BZ90" s="419"/>
      <c r="CA90" s="883" t="s">
        <v>162</v>
      </c>
      <c r="CB90" s="884"/>
      <c r="CC90" s="124"/>
      <c r="CD90" s="125"/>
      <c r="CE90" s="440"/>
      <c r="CF90" s="5"/>
    </row>
    <row r="91">
      <c r="A91" s="5"/>
      <c r="B91" s="416"/>
      <c r="C91" s="885" t="s">
        <v>168</v>
      </c>
      <c r="D91" s="886">
        <v>1.0</v>
      </c>
      <c r="E91" s="886">
        <v>2.0</v>
      </c>
      <c r="F91" s="886">
        <v>3.0</v>
      </c>
      <c r="G91" s="887" t="s">
        <v>174</v>
      </c>
      <c r="H91" s="342"/>
      <c r="I91" s="888" t="str">
        <f>IF(D90=2,"W",IF(H90=2,"L",))</f>
        <v/>
      </c>
      <c r="J91" s="889" t="str">
        <f>IF(H90=2,"W",IF(D90=2,"L",))</f>
        <v/>
      </c>
      <c r="K91" s="470"/>
      <c r="L91" s="890" t="s">
        <v>168</v>
      </c>
      <c r="M91" s="886">
        <v>1.0</v>
      </c>
      <c r="N91" s="886">
        <v>2.0</v>
      </c>
      <c r="O91" s="892">
        <v>3.0</v>
      </c>
      <c r="P91" s="887" t="s">
        <v>174</v>
      </c>
      <c r="Q91" s="342"/>
      <c r="R91" s="888" t="str">
        <f>IF(M90=2,"W",IF(Q90=2,"L",))</f>
        <v/>
      </c>
      <c r="S91" s="889" t="str">
        <f>IF(Q90=2,"W",IF(M90=2,"L",))</f>
        <v/>
      </c>
      <c r="T91" s="470"/>
      <c r="U91" s="890" t="s">
        <v>168</v>
      </c>
      <c r="V91" s="886">
        <v>1.0</v>
      </c>
      <c r="W91" s="886">
        <v>2.0</v>
      </c>
      <c r="X91" s="886">
        <v>3.0</v>
      </c>
      <c r="Y91" s="887" t="s">
        <v>174</v>
      </c>
      <c r="Z91" s="342"/>
      <c r="AA91" s="888" t="str">
        <f>IF(V90=2,"W",IF(Z90=2,"L",))</f>
        <v/>
      </c>
      <c r="AB91" s="889" t="str">
        <f>IF(Z90=2,"W",IF(V90=2,"L",))</f>
        <v/>
      </c>
      <c r="AC91" s="470"/>
      <c r="AD91" s="890" t="s">
        <v>168</v>
      </c>
      <c r="AE91" s="886">
        <v>1.0</v>
      </c>
      <c r="AF91" s="886">
        <v>2.0</v>
      </c>
      <c r="AG91" s="892">
        <v>3.0</v>
      </c>
      <c r="AH91" s="887" t="s">
        <v>174</v>
      </c>
      <c r="AI91" s="342"/>
      <c r="AJ91" s="888" t="str">
        <f>IF(AE90=2,"W",IF(AI90=2,"L",))</f>
        <v/>
      </c>
      <c r="AK91" s="889" t="str">
        <f>IF(AI90=2,"W",IF(AE90=2,"L",))</f>
        <v/>
      </c>
      <c r="AL91" s="470"/>
      <c r="AM91" s="890" t="s">
        <v>168</v>
      </c>
      <c r="AN91" s="886">
        <v>1.0</v>
      </c>
      <c r="AO91" s="886">
        <v>2.0</v>
      </c>
      <c r="AP91" s="892">
        <v>3.0</v>
      </c>
      <c r="AQ91" s="887" t="s">
        <v>174</v>
      </c>
      <c r="AR91" s="342"/>
      <c r="AS91" s="888" t="str">
        <f>IF(AN90=2,"W",IF(AR90=2,"L",))</f>
        <v/>
      </c>
      <c r="AT91" s="889" t="str">
        <f>IF(AR90=2,"W",IF(AN90=2,"L",))</f>
        <v/>
      </c>
      <c r="AU91" s="470"/>
      <c r="AV91" s="890" t="s">
        <v>168</v>
      </c>
      <c r="AW91" s="886">
        <v>1.0</v>
      </c>
      <c r="AX91" s="886">
        <v>2.0</v>
      </c>
      <c r="AY91" s="886">
        <v>3.0</v>
      </c>
      <c r="AZ91" s="887" t="s">
        <v>174</v>
      </c>
      <c r="BA91" s="342"/>
      <c r="BB91" s="888" t="str">
        <f>IF(AW90=2,"W",IF(BA90=2,"L",))</f>
        <v/>
      </c>
      <c r="BC91" s="889" t="str">
        <f>IF(BA90=2,"W",IF(AW90=2,"L",))</f>
        <v/>
      </c>
      <c r="BD91" s="470"/>
      <c r="BE91" s="890" t="s">
        <v>168</v>
      </c>
      <c r="BF91" s="886">
        <v>1.0</v>
      </c>
      <c r="BG91" s="886">
        <v>2.0</v>
      </c>
      <c r="BH91" s="892">
        <v>3.0</v>
      </c>
      <c r="BI91" s="887" t="s">
        <v>174</v>
      </c>
      <c r="BJ91" s="342"/>
      <c r="BK91" s="888" t="str">
        <f>IF(BF90=2,"W",IF(BJ90=2,"L",))</f>
        <v/>
      </c>
      <c r="BL91" s="889" t="str">
        <f>IF(BJ90=2,"W",IF(BF90=2,"L",))</f>
        <v/>
      </c>
      <c r="BM91" s="470"/>
      <c r="BN91" s="890" t="s">
        <v>168</v>
      </c>
      <c r="BO91" s="886">
        <v>1.0</v>
      </c>
      <c r="BP91" s="886">
        <v>2.0</v>
      </c>
      <c r="BQ91" s="892">
        <v>3.0</v>
      </c>
      <c r="BR91" s="887" t="s">
        <v>174</v>
      </c>
      <c r="BS91" s="342"/>
      <c r="BT91" s="888" t="str">
        <f>IF(BO90=2,"W",IF(BS90=2,"L",))</f>
        <v/>
      </c>
      <c r="BU91" s="889" t="str">
        <f>IF(BS90=2,"W",IF(BO90=2,"L",))</f>
        <v/>
      </c>
      <c r="BV91" s="470"/>
      <c r="BW91" s="890" t="s">
        <v>168</v>
      </c>
      <c r="BX91" s="892">
        <v>1.0</v>
      </c>
      <c r="BY91" s="892">
        <v>2.0</v>
      </c>
      <c r="BZ91" s="892">
        <v>3.0</v>
      </c>
      <c r="CA91" s="894" t="s">
        <v>174</v>
      </c>
      <c r="CB91" s="342"/>
      <c r="CC91" s="895" t="str">
        <f>IF(BX90=2,"W",IF(CB90=2,"L",))</f>
        <v/>
      </c>
      <c r="CD91" s="896" t="str">
        <f>IF(CB90=2,"W",IF(BX90=2,"L",))</f>
        <v/>
      </c>
      <c r="CE91" s="440"/>
      <c r="CF91" s="5"/>
    </row>
    <row r="92" ht="7.5" customHeight="1">
      <c r="A92" s="301"/>
      <c r="B92" s="623"/>
      <c r="C92" s="624"/>
      <c r="D92" s="624"/>
      <c r="E92" s="624"/>
      <c r="F92" s="624"/>
      <c r="G92" s="624"/>
      <c r="H92" s="624"/>
      <c r="I92" s="624"/>
      <c r="J92" s="624"/>
      <c r="K92" s="624"/>
      <c r="L92" s="624"/>
      <c r="M92" s="624"/>
      <c r="N92" s="624"/>
      <c r="O92" s="624"/>
      <c r="P92" s="624"/>
      <c r="Q92" s="624"/>
      <c r="R92" s="624"/>
      <c r="S92" s="624"/>
      <c r="T92" s="624"/>
      <c r="U92" s="624"/>
      <c r="V92" s="624"/>
      <c r="W92" s="624"/>
      <c r="X92" s="624"/>
      <c r="Y92" s="624"/>
      <c r="Z92" s="624"/>
      <c r="AA92" s="624"/>
      <c r="AB92" s="624"/>
      <c r="AC92" s="624"/>
      <c r="AD92" s="624"/>
      <c r="AE92" s="624"/>
      <c r="AF92" s="624"/>
      <c r="AG92" s="624"/>
      <c r="AH92" s="624"/>
      <c r="AI92" s="624"/>
      <c r="AJ92" s="624"/>
      <c r="AK92" s="624"/>
      <c r="AL92" s="624"/>
      <c r="AM92" s="624"/>
      <c r="AN92" s="624"/>
      <c r="AO92" s="624"/>
      <c r="AP92" s="624"/>
      <c r="AQ92" s="624"/>
      <c r="AR92" s="624"/>
      <c r="AS92" s="624"/>
      <c r="AT92" s="624"/>
      <c r="AU92" s="624"/>
      <c r="AV92" s="624"/>
      <c r="AW92" s="624"/>
      <c r="AX92" s="624"/>
      <c r="AY92" s="624"/>
      <c r="AZ92" s="624"/>
      <c r="BA92" s="624"/>
      <c r="BB92" s="624"/>
      <c r="BC92" s="624"/>
      <c r="BD92" s="624"/>
      <c r="BE92" s="624"/>
      <c r="BF92" s="624"/>
      <c r="BG92" s="624"/>
      <c r="BH92" s="624"/>
      <c r="BI92" s="624"/>
      <c r="BJ92" s="624"/>
      <c r="BK92" s="624"/>
      <c r="BL92" s="624"/>
      <c r="BM92" s="624"/>
      <c r="BN92" s="624"/>
      <c r="BO92" s="624"/>
      <c r="BP92" s="624"/>
      <c r="BQ92" s="624"/>
      <c r="BR92" s="624"/>
      <c r="BS92" s="624"/>
      <c r="BT92" s="624"/>
      <c r="BU92" s="624"/>
      <c r="BV92" s="624"/>
      <c r="BW92" s="624"/>
      <c r="BX92" s="624"/>
      <c r="BY92" s="624"/>
      <c r="BZ92" s="624"/>
      <c r="CA92" s="624"/>
      <c r="CB92" s="624"/>
      <c r="CC92" s="624"/>
      <c r="CD92" s="624"/>
      <c r="CE92" s="627"/>
      <c r="CF92" s="301"/>
    </row>
    <row r="93" ht="7.5" customHeight="1">
      <c r="A93" s="301"/>
      <c r="B93" s="301"/>
      <c r="C93" s="301"/>
      <c r="D93" s="301"/>
      <c r="E93" s="301"/>
      <c r="F93" s="301"/>
      <c r="G93" s="301"/>
      <c r="H93" s="301"/>
      <c r="I93" s="301"/>
      <c r="J93" s="301"/>
      <c r="K93" s="301"/>
      <c r="L93" s="301"/>
      <c r="M93" s="301"/>
      <c r="N93" s="301"/>
      <c r="O93" s="301"/>
      <c r="P93" s="301"/>
      <c r="Q93" s="301"/>
      <c r="R93" s="301"/>
      <c r="S93" s="301"/>
      <c r="T93" s="301"/>
      <c r="U93" s="301"/>
      <c r="V93" s="301"/>
      <c r="W93" s="301"/>
      <c r="X93" s="301"/>
      <c r="Y93" s="301"/>
      <c r="Z93" s="301"/>
      <c r="AA93" s="301"/>
      <c r="AB93" s="301"/>
      <c r="AC93" s="301"/>
      <c r="AD93" s="301"/>
      <c r="AE93" s="301"/>
      <c r="AF93" s="301"/>
      <c r="AG93" s="301"/>
      <c r="AH93" s="301"/>
      <c r="AI93" s="301"/>
      <c r="AJ93" s="301"/>
      <c r="AK93" s="301"/>
      <c r="AL93" s="301"/>
      <c r="AM93" s="301"/>
      <c r="AN93" s="301"/>
      <c r="AO93" s="301"/>
      <c r="AP93" s="301"/>
      <c r="AQ93" s="301"/>
      <c r="AR93" s="301"/>
      <c r="AS93" s="301"/>
      <c r="AT93" s="301"/>
      <c r="AU93" s="301"/>
      <c r="AV93" s="301"/>
      <c r="AW93" s="301"/>
      <c r="AX93" s="301"/>
      <c r="AY93" s="301"/>
      <c r="AZ93" s="301"/>
      <c r="BA93" s="301"/>
      <c r="BB93" s="301"/>
      <c r="BC93" s="301"/>
      <c r="BD93" s="301"/>
      <c r="BE93" s="301"/>
      <c r="BF93" s="301"/>
      <c r="BG93" s="301"/>
      <c r="BH93" s="301"/>
      <c r="BI93" s="301"/>
      <c r="BJ93" s="301"/>
      <c r="BK93" s="301"/>
      <c r="BL93" s="301"/>
      <c r="BM93" s="301"/>
      <c r="BN93" s="301"/>
      <c r="BO93" s="301"/>
      <c r="BP93" s="301"/>
      <c r="BQ93" s="301"/>
      <c r="BR93" s="301"/>
      <c r="BS93" s="301"/>
      <c r="BT93" s="301"/>
      <c r="BU93" s="301"/>
      <c r="BV93" s="301"/>
      <c r="BW93" s="301"/>
      <c r="BX93" s="301"/>
      <c r="BY93" s="301"/>
      <c r="BZ93" s="301"/>
      <c r="CA93" s="301"/>
      <c r="CB93" s="301"/>
      <c r="CC93" s="301"/>
      <c r="CD93" s="301"/>
      <c r="CE93" s="301"/>
      <c r="CF93" s="301"/>
    </row>
  </sheetData>
  <mergeCells count="369">
    <mergeCell ref="Y69:Z69"/>
    <mergeCell ref="AH69:AI69"/>
    <mergeCell ref="AQ69:AR69"/>
    <mergeCell ref="AZ69:BA69"/>
    <mergeCell ref="BI69:BJ69"/>
    <mergeCell ref="BR69:BS69"/>
    <mergeCell ref="CA69:CB69"/>
    <mergeCell ref="D67:F67"/>
    <mergeCell ref="M67:O67"/>
    <mergeCell ref="V67:X67"/>
    <mergeCell ref="AE67:AG67"/>
    <mergeCell ref="D68:F68"/>
    <mergeCell ref="V68:X68"/>
    <mergeCell ref="G69:H69"/>
    <mergeCell ref="AW78:AY78"/>
    <mergeCell ref="BA78:BC78"/>
    <mergeCell ref="BF78:BH78"/>
    <mergeCell ref="BJ78:BL78"/>
    <mergeCell ref="BO78:BQ78"/>
    <mergeCell ref="BS78:BU78"/>
    <mergeCell ref="BX78:BZ78"/>
    <mergeCell ref="CB78:CD78"/>
    <mergeCell ref="Z67:AB67"/>
    <mergeCell ref="Z68:AB68"/>
    <mergeCell ref="Z78:AB78"/>
    <mergeCell ref="AE78:AG78"/>
    <mergeCell ref="AI78:AK78"/>
    <mergeCell ref="AN78:AP78"/>
    <mergeCell ref="AR78:AT78"/>
    <mergeCell ref="AW79:AY79"/>
    <mergeCell ref="BA79:BC79"/>
    <mergeCell ref="BF79:BH79"/>
    <mergeCell ref="BJ79:BL79"/>
    <mergeCell ref="BO79:BQ79"/>
    <mergeCell ref="BS79:BU79"/>
    <mergeCell ref="BX79:BZ79"/>
    <mergeCell ref="CB79:CD79"/>
    <mergeCell ref="Q78:S78"/>
    <mergeCell ref="Q79:S79"/>
    <mergeCell ref="Z79:AB79"/>
    <mergeCell ref="AE79:AG79"/>
    <mergeCell ref="AI79:AK79"/>
    <mergeCell ref="AN79:AP79"/>
    <mergeCell ref="AR79:AT79"/>
    <mergeCell ref="BR80:BS80"/>
    <mergeCell ref="CA80:CB80"/>
    <mergeCell ref="M79:O79"/>
    <mergeCell ref="P80:Q80"/>
    <mergeCell ref="Y80:Z80"/>
    <mergeCell ref="AH80:AI80"/>
    <mergeCell ref="AQ80:AR80"/>
    <mergeCell ref="AZ80:BA80"/>
    <mergeCell ref="BI80:BJ80"/>
    <mergeCell ref="AI90:AK90"/>
    <mergeCell ref="AH91:AI91"/>
    <mergeCell ref="Q89:S89"/>
    <mergeCell ref="Q90:S90"/>
    <mergeCell ref="V90:X90"/>
    <mergeCell ref="Z90:AB90"/>
    <mergeCell ref="AE90:AG90"/>
    <mergeCell ref="AN90:AP90"/>
    <mergeCell ref="Y91:Z91"/>
    <mergeCell ref="BA90:BC90"/>
    <mergeCell ref="AZ91:BA91"/>
    <mergeCell ref="AR90:AT90"/>
    <mergeCell ref="AW90:AY90"/>
    <mergeCell ref="BF90:BH90"/>
    <mergeCell ref="BJ90:BL90"/>
    <mergeCell ref="BO90:BQ90"/>
    <mergeCell ref="AQ91:AR91"/>
    <mergeCell ref="BI91:BJ91"/>
    <mergeCell ref="M68:O68"/>
    <mergeCell ref="P69:Q69"/>
    <mergeCell ref="D78:F78"/>
    <mergeCell ref="M78:O78"/>
    <mergeCell ref="V78:X78"/>
    <mergeCell ref="D79:F79"/>
    <mergeCell ref="V79:X79"/>
    <mergeCell ref="BA89:BC89"/>
    <mergeCell ref="BF89:BH89"/>
    <mergeCell ref="BJ89:BL89"/>
    <mergeCell ref="BO89:BQ89"/>
    <mergeCell ref="BS89:BU89"/>
    <mergeCell ref="BX89:BZ89"/>
    <mergeCell ref="CB89:CD89"/>
    <mergeCell ref="V89:X89"/>
    <mergeCell ref="Z89:AB89"/>
    <mergeCell ref="AE89:AG89"/>
    <mergeCell ref="AI89:AK89"/>
    <mergeCell ref="AN89:AP89"/>
    <mergeCell ref="AR89:AT89"/>
    <mergeCell ref="AW89:AY89"/>
    <mergeCell ref="H89:J89"/>
    <mergeCell ref="H90:J90"/>
    <mergeCell ref="G91:H91"/>
    <mergeCell ref="P91:Q91"/>
    <mergeCell ref="H78:J78"/>
    <mergeCell ref="H79:J79"/>
    <mergeCell ref="G80:H80"/>
    <mergeCell ref="D89:F89"/>
    <mergeCell ref="M89:O89"/>
    <mergeCell ref="D90:F90"/>
    <mergeCell ref="M90:O90"/>
    <mergeCell ref="BX90:BZ90"/>
    <mergeCell ref="CB90:CD90"/>
    <mergeCell ref="CA91:CB91"/>
    <mergeCell ref="BS90:BU90"/>
    <mergeCell ref="BR91:BS91"/>
    <mergeCell ref="BN3:BU3"/>
    <mergeCell ref="BW3:CD3"/>
    <mergeCell ref="C3:J3"/>
    <mergeCell ref="L3:S3"/>
    <mergeCell ref="U3:AB3"/>
    <mergeCell ref="AD3:AK3"/>
    <mergeCell ref="AM3:AT3"/>
    <mergeCell ref="AV3:BC3"/>
    <mergeCell ref="BE3:BL3"/>
    <mergeCell ref="BO12:BQ12"/>
    <mergeCell ref="BS12:BU12"/>
    <mergeCell ref="BX12:BZ12"/>
    <mergeCell ref="CB12:CD12"/>
    <mergeCell ref="AI12:AK12"/>
    <mergeCell ref="AN12:AP12"/>
    <mergeCell ref="AR12:AT12"/>
    <mergeCell ref="AW12:AY12"/>
    <mergeCell ref="BA12:BC12"/>
    <mergeCell ref="BF12:BH12"/>
    <mergeCell ref="BJ12:BL12"/>
    <mergeCell ref="H12:J12"/>
    <mergeCell ref="H13:J13"/>
    <mergeCell ref="Q12:S12"/>
    <mergeCell ref="Q13:S13"/>
    <mergeCell ref="BJ13:BL13"/>
    <mergeCell ref="BO13:BQ13"/>
    <mergeCell ref="BS13:BU13"/>
    <mergeCell ref="BX13:BZ13"/>
    <mergeCell ref="CB13:CD13"/>
    <mergeCell ref="AE13:AG13"/>
    <mergeCell ref="AI13:AK13"/>
    <mergeCell ref="AN13:AP13"/>
    <mergeCell ref="AR13:AT13"/>
    <mergeCell ref="AW13:AY13"/>
    <mergeCell ref="BA13:BC13"/>
    <mergeCell ref="BF13:BH13"/>
    <mergeCell ref="Y14:Z14"/>
    <mergeCell ref="AH14:AI14"/>
    <mergeCell ref="AQ14:AR14"/>
    <mergeCell ref="AZ14:BA14"/>
    <mergeCell ref="BI14:BJ14"/>
    <mergeCell ref="BR14:BS14"/>
    <mergeCell ref="CA14:CB14"/>
    <mergeCell ref="D12:F12"/>
    <mergeCell ref="M12:O12"/>
    <mergeCell ref="V12:X12"/>
    <mergeCell ref="AE12:AG12"/>
    <mergeCell ref="D13:F13"/>
    <mergeCell ref="V13:X13"/>
    <mergeCell ref="G14:H14"/>
    <mergeCell ref="AW23:AY23"/>
    <mergeCell ref="BA23:BC23"/>
    <mergeCell ref="BF23:BH23"/>
    <mergeCell ref="BJ23:BL23"/>
    <mergeCell ref="BO23:BQ23"/>
    <mergeCell ref="BS23:BU23"/>
    <mergeCell ref="BX23:BZ23"/>
    <mergeCell ref="CB23:CD23"/>
    <mergeCell ref="Z12:AB12"/>
    <mergeCell ref="Z13:AB13"/>
    <mergeCell ref="Z23:AB23"/>
    <mergeCell ref="AE23:AG23"/>
    <mergeCell ref="AI23:AK23"/>
    <mergeCell ref="AN23:AP23"/>
    <mergeCell ref="AR23:AT23"/>
    <mergeCell ref="AW24:AY24"/>
    <mergeCell ref="BA24:BC24"/>
    <mergeCell ref="BF24:BH24"/>
    <mergeCell ref="BJ24:BL24"/>
    <mergeCell ref="BO24:BQ24"/>
    <mergeCell ref="BS24:BU24"/>
    <mergeCell ref="BX24:BZ24"/>
    <mergeCell ref="CB24:CD24"/>
    <mergeCell ref="Q23:S23"/>
    <mergeCell ref="Q24:S24"/>
    <mergeCell ref="Z24:AB24"/>
    <mergeCell ref="AE24:AG24"/>
    <mergeCell ref="AI24:AK24"/>
    <mergeCell ref="AN24:AP24"/>
    <mergeCell ref="AR24:AT24"/>
    <mergeCell ref="BR25:BS25"/>
    <mergeCell ref="CA25:CB25"/>
    <mergeCell ref="M24:O24"/>
    <mergeCell ref="P25:Q25"/>
    <mergeCell ref="Y25:Z25"/>
    <mergeCell ref="AH25:AI25"/>
    <mergeCell ref="AQ25:AR25"/>
    <mergeCell ref="AZ25:BA25"/>
    <mergeCell ref="BI25:BJ25"/>
    <mergeCell ref="BA35:BC35"/>
    <mergeCell ref="AZ36:BA36"/>
    <mergeCell ref="AR35:AT35"/>
    <mergeCell ref="AW35:AY35"/>
    <mergeCell ref="BF35:BH35"/>
    <mergeCell ref="BJ35:BL35"/>
    <mergeCell ref="BO35:BQ35"/>
    <mergeCell ref="AQ36:AR36"/>
    <mergeCell ref="BI36:BJ36"/>
    <mergeCell ref="M13:O13"/>
    <mergeCell ref="P14:Q14"/>
    <mergeCell ref="D23:F23"/>
    <mergeCell ref="M23:O23"/>
    <mergeCell ref="V23:X23"/>
    <mergeCell ref="D24:F24"/>
    <mergeCell ref="V24:X24"/>
    <mergeCell ref="BA34:BC34"/>
    <mergeCell ref="BF34:BH34"/>
    <mergeCell ref="BJ34:BL34"/>
    <mergeCell ref="BO34:BQ34"/>
    <mergeCell ref="BS34:BU34"/>
    <mergeCell ref="BX34:BZ34"/>
    <mergeCell ref="CB34:CD34"/>
    <mergeCell ref="V34:X34"/>
    <mergeCell ref="Z34:AB34"/>
    <mergeCell ref="AE34:AG34"/>
    <mergeCell ref="AI34:AK34"/>
    <mergeCell ref="AN34:AP34"/>
    <mergeCell ref="AR34:AT34"/>
    <mergeCell ref="AW34:AY34"/>
    <mergeCell ref="H34:J34"/>
    <mergeCell ref="H35:J35"/>
    <mergeCell ref="G36:H36"/>
    <mergeCell ref="P36:Q36"/>
    <mergeCell ref="H23:J23"/>
    <mergeCell ref="H24:J24"/>
    <mergeCell ref="G25:H25"/>
    <mergeCell ref="D34:F34"/>
    <mergeCell ref="M34:O34"/>
    <mergeCell ref="D35:F35"/>
    <mergeCell ref="M35:O35"/>
    <mergeCell ref="BX35:BZ35"/>
    <mergeCell ref="CB35:CD35"/>
    <mergeCell ref="CA36:CB36"/>
    <mergeCell ref="BS35:BU35"/>
    <mergeCell ref="BR36:BS36"/>
    <mergeCell ref="Q34:S34"/>
    <mergeCell ref="Q35:S35"/>
    <mergeCell ref="V35:X35"/>
    <mergeCell ref="Z35:AB35"/>
    <mergeCell ref="AE35:AG35"/>
    <mergeCell ref="AN35:AP35"/>
    <mergeCell ref="Y36:Z36"/>
    <mergeCell ref="BJ45:BL45"/>
    <mergeCell ref="BO45:BQ45"/>
    <mergeCell ref="BS45:BU45"/>
    <mergeCell ref="BX45:BZ45"/>
    <mergeCell ref="CB45:CD45"/>
    <mergeCell ref="Z45:AB45"/>
    <mergeCell ref="AE45:AG45"/>
    <mergeCell ref="AN45:AP45"/>
    <mergeCell ref="AR45:AT45"/>
    <mergeCell ref="AW45:AY45"/>
    <mergeCell ref="BA45:BC45"/>
    <mergeCell ref="BF45:BH45"/>
    <mergeCell ref="AI35:AK35"/>
    <mergeCell ref="AH36:AI36"/>
    <mergeCell ref="H45:J45"/>
    <mergeCell ref="M45:O45"/>
    <mergeCell ref="Q45:S45"/>
    <mergeCell ref="V45:X45"/>
    <mergeCell ref="AI45:AK45"/>
    <mergeCell ref="BJ46:BL46"/>
    <mergeCell ref="BO46:BQ46"/>
    <mergeCell ref="BS46:BU46"/>
    <mergeCell ref="BX46:BZ46"/>
    <mergeCell ref="CB46:CD46"/>
    <mergeCell ref="AE46:AG46"/>
    <mergeCell ref="AI46:AK46"/>
    <mergeCell ref="AN46:AP46"/>
    <mergeCell ref="AR46:AT46"/>
    <mergeCell ref="AW46:AY46"/>
    <mergeCell ref="BA46:BC46"/>
    <mergeCell ref="BF46:BH46"/>
    <mergeCell ref="Y47:Z47"/>
    <mergeCell ref="AH47:AI47"/>
    <mergeCell ref="AQ47:AR47"/>
    <mergeCell ref="AZ47:BA47"/>
    <mergeCell ref="BI47:BJ47"/>
    <mergeCell ref="BR47:BS47"/>
    <mergeCell ref="CA47:CB47"/>
    <mergeCell ref="D45:F45"/>
    <mergeCell ref="D46:F46"/>
    <mergeCell ref="H46:J46"/>
    <mergeCell ref="M46:O46"/>
    <mergeCell ref="V46:X46"/>
    <mergeCell ref="Z46:AB46"/>
    <mergeCell ref="G47:H47"/>
    <mergeCell ref="BF56:BH56"/>
    <mergeCell ref="BJ56:BL56"/>
    <mergeCell ref="BO56:BQ56"/>
    <mergeCell ref="BS56:BU56"/>
    <mergeCell ref="BX56:BZ56"/>
    <mergeCell ref="CB56:CD56"/>
    <mergeCell ref="Z56:AB56"/>
    <mergeCell ref="AE56:AG56"/>
    <mergeCell ref="AI56:AK56"/>
    <mergeCell ref="AN56:AP56"/>
    <mergeCell ref="AR56:AT56"/>
    <mergeCell ref="AW56:AY56"/>
    <mergeCell ref="BA56:BC56"/>
    <mergeCell ref="H56:J56"/>
    <mergeCell ref="H57:J57"/>
    <mergeCell ref="G58:H58"/>
    <mergeCell ref="AW57:AY57"/>
    <mergeCell ref="BA57:BC57"/>
    <mergeCell ref="BF57:BH57"/>
    <mergeCell ref="BJ57:BL57"/>
    <mergeCell ref="BO57:BQ57"/>
    <mergeCell ref="BS57:BU57"/>
    <mergeCell ref="BX57:BZ57"/>
    <mergeCell ref="CB57:CD57"/>
    <mergeCell ref="Q46:S46"/>
    <mergeCell ref="P47:Q47"/>
    <mergeCell ref="D56:F56"/>
    <mergeCell ref="M56:O56"/>
    <mergeCell ref="V56:X56"/>
    <mergeCell ref="D57:F57"/>
    <mergeCell ref="V57:X57"/>
    <mergeCell ref="BR58:BS58"/>
    <mergeCell ref="CA58:CB58"/>
    <mergeCell ref="M57:O57"/>
    <mergeCell ref="P58:Q58"/>
    <mergeCell ref="Y58:Z58"/>
    <mergeCell ref="AH58:AI58"/>
    <mergeCell ref="AQ58:AR58"/>
    <mergeCell ref="AZ58:BA58"/>
    <mergeCell ref="BI58:BJ58"/>
    <mergeCell ref="Q56:S56"/>
    <mergeCell ref="Q57:S57"/>
    <mergeCell ref="Z57:AB57"/>
    <mergeCell ref="AE57:AG57"/>
    <mergeCell ref="AI57:AK57"/>
    <mergeCell ref="AN57:AP57"/>
    <mergeCell ref="AR57:AT57"/>
    <mergeCell ref="BO67:BQ67"/>
    <mergeCell ref="BS67:BU67"/>
    <mergeCell ref="BX67:BZ67"/>
    <mergeCell ref="CB67:CD67"/>
    <mergeCell ref="AI67:AK67"/>
    <mergeCell ref="AN67:AP67"/>
    <mergeCell ref="AR67:AT67"/>
    <mergeCell ref="AW67:AY67"/>
    <mergeCell ref="BA67:BC67"/>
    <mergeCell ref="BF67:BH67"/>
    <mergeCell ref="BJ67:BL67"/>
    <mergeCell ref="H67:J67"/>
    <mergeCell ref="H68:J68"/>
    <mergeCell ref="Q67:S67"/>
    <mergeCell ref="Q68:S68"/>
    <mergeCell ref="BJ68:BL68"/>
    <mergeCell ref="BO68:BQ68"/>
    <mergeCell ref="BS68:BU68"/>
    <mergeCell ref="BX68:BZ68"/>
    <mergeCell ref="CB68:CD68"/>
    <mergeCell ref="AE68:AG68"/>
    <mergeCell ref="AI68:AK68"/>
    <mergeCell ref="AN68:AP68"/>
    <mergeCell ref="AR68:AT68"/>
    <mergeCell ref="AW68:AY68"/>
    <mergeCell ref="BA68:BC68"/>
    <mergeCell ref="BF68:BH68"/>
  </mergeCells>
  <conditionalFormatting sqref="C12 G12 L12 P12 U12 Y12 AD12 AH12 AM12 AQ12 AV12 AZ12 BE12 BI12 BN12 BR12 BW12 CA12 C23 G23 L23 P23 U23 Y23 AD23 AH23 AM23 AQ23 AV23 AZ23 BE23 BI23 BN23 BR23 BW23 CA23 C34 G34 L34 P34 U34 Y34 AD34 AH34 AM34 AQ34 AV34 AZ34 BE34 BI34 BN34 BR34 BW34 CA34 C45 G45 L45 P45 U45 Y45 AD45 AH45 AM45 AQ45 AV45 AZ45 BE45 BI45 BN45 BR45 BW45 CA45 C56 G56 L56 P56 U56 Y56 AD56 AH56 AM56 AQ56 AV56 AZ56 BE56 BI56 BN56 BR56 BW56 CA56 C67 G67 L67 P67 U67 Y67 AD67 AH67 AM67 AQ67 AV67 AZ67 BE67 BI67 BN67 BR67 BW67 CA67 C78 G78 L78 P78 U78 Y78 AD78 AH78 AM78 AQ78 AV78 AZ78 BE78 BI78 BN78 BR78 BW78 CA78 C89 G89 L89 P89 U89 Y89 AD89 AH89 AM89 AQ89 AV89 AZ89 BE89 BI89 BN89 BR89 BW89 CA89">
    <cfRule type="cellIs" dxfId="0" priority="1" operator="equal">
      <formula>"W"</formula>
    </cfRule>
  </conditionalFormatting>
  <conditionalFormatting sqref="C12 G12 L12 P12 U12 Y12 AD12 AH12 AM12 AQ12 AV12 AZ12 BE12 BI12 BN12 BR12 BW12 CA12 C23 G23 L23 P23 U23 Y23 AD23 AH23 AM23 AQ23 AV23 AZ23 BE23 BI23 BN23 BR23 BW23 CA23 C34 G34 L34 P34 U34 Y34 AD34 AH34 AM34 AQ34 AV34 AZ34 BE34 BI34 BN34 BR34 BW34 CA34 C45 G45 L45 P45 U45 Y45 AD45 AH45 AM45 AQ45 AV45 AZ45 BE45 BI45 BN45 BR45 BW45 CA45 C56 G56 L56 P56 U56 Y56 AD56 AH56 AM56 AQ56 AV56 AZ56 BE56 BI56 BN56 BR56 BW56 CA56 C67 G67 L67 P67 U67 Y67 AD67 AH67 AM67 AQ67 AV67 AZ67 BE67 BI67 BN67 BR67 BW67 CA67 C78 G78 L78 P78 U78 Y78 AD78 AH78 AM78 AQ78 AV78 AZ78 BE78 BI78 BN78 BR78 BW78 CA78 C89 G89 L89 P89 U89 Y89 AD89 AH89 AM89 AQ89 AV89 AZ89 BE89 BI89 BN89 BR89 BW89 CA89">
    <cfRule type="cellIs" dxfId="1" priority="2" operator="equal">
      <formula>"L"</formula>
    </cfRule>
  </conditionalFormatting>
  <conditionalFormatting sqref="D12:F12 H12 M12:O12 Q12 V12:X12 Z12 AE12:AG12 AI12 AN12:AP12 AR12 AW12:AY12 BA12 BF12:BH12 BJ12 BO12:BQ12 BS12 BX12:BZ12 CB12 D23:F23 H23 M23:O23 Q23 V23:X23 Z23 AE23:AG23 AI23 AN23:AP23 AR23 AW23:AY23 BA23 BF23:BH23 BJ23 BO23:BQ23 BS23 BX23:BZ23 CB23 D34:F34 H34 M34:O34 Q34 V34:X34 Z34 AE34:AG34 AI34 AN34:AP34 AR34 AW34:AY34 BA34 BF34:BH34 BJ34 BO34:BQ34 BS34 BX34:BZ34 CB34 D45:F45 H45 M45:O45 Q45 V45:X45 Z45 AE45:AG45 AI45 AN45:AP45 AR45 AW45:AY45 BA45 BF45:BH45 BJ45 BO45:BQ45 BS45 BX45:BZ45 CB45 D56:F56 H56 M56:O56 Q56 V56:X56 Z56 AE56:AG56 AI56 AN56:AP56 AR56 AW56:AY56 BA56 BF56:BH56 BJ56 BO56:BQ56 BS56 BX56:BZ56 CB56 D67:F67 H67 M67:O67 Q67 V67:X67 Z67 AE67:AG67 AI67 AN67:AP67 AR67 AW67:AY67 BA67 BF67:BH67 BJ67 BO67:BQ67 BS67 BX67:BZ67 CB67 D78:F78 H78 M78:O78 Q78 V78:X78 Z78 AE78:AG78 AI78 AN78:AP78 AR78 AW78:AY78 BA78 BF78:BH78 BJ78 BO78:BQ78 BS78 BX78:BZ78 CB78 D89:F89 H89 M89:O89 Q89 V89:X89 Z89 AE89:AG89 AI89 AN89:AP89 AR89 AW89:AY89 BA89 BF89:BH89 BJ89 BO89:BQ89 BS89 BX89:BZ89 CB89">
    <cfRule type="cellIs" dxfId="1" priority="3" operator="lessThan">
      <formula>0</formula>
    </cfRule>
  </conditionalFormatting>
  <conditionalFormatting sqref="D12:F12 H12 M12:O12 Q12 V12:X12 Z12 AE12:AG12 AI12 AN12:AP12 AR12 AW12:AY12 BA12 BF12:BH12 BJ12 BO12:BQ12 BS12 BX12:BZ12 CB12 D23:F23 H23 M23:O23 Q23 V23:X23 Z23 AE23:AG23 AI23 AN23:AP23 AR23 AW23:AY23 BA23 BF23:BH23 BJ23 BO23:BQ23 BS23 BX23:BZ23 CB23 D34:F34 H34 M34:O34 Q34 V34:X34 Z34 AE34:AG34 AI34 AN34:AP34 AR34 AW34:AY34 BA34 BF34:BH34 BJ34 BO34:BQ34 BS34 BX34:BZ34 CB34 D45:F45 H45 M45:O45 Q45 V45:X45 Z45 AE45:AG45 AI45 AN45:AP45 AR45 AW45:AY45 BA45 BF45:BH45 BJ45 BO45:BQ45 BS45 BX45:BZ45 CB45 D56:F56 H56 M56:O56 Q56 V56:X56 Z56 AE56:AG56 AI56 AN56:AP56 AR56 AW56:AY56 BA56 BF56:BH56 BJ56 BO56:BQ56 BS56 BX56:BZ56 CB56 D67:F67 H67 M67:O67 Q67 V67:X67 Z67 AE67:AG67 AI67 AN67:AP67 AR67 AW67:AY67 BA67 BF67:BH67 BJ67 BO67:BQ67 BS67 BX67:BZ67 CB67 D78:F78 H78 M78:O78 Q78 V78:X78 Z78 AE78:AG78 AI78 AN78:AP78 AR78 AW78:AY78 BA78 BF78:BH78 BJ78 BO78:BQ78 BS78 BX78:BZ78 CB78 D89:F89 H89 M89:O89 Q89 V89:X89 Z89 AE89:AG89 AI89 AN89:AP89 AR89 AW89:AY89 BA89 BF89:BH89 BJ89 BO89:BQ89 BS89 BX89:BZ89 CB89">
    <cfRule type="cellIs" dxfId="0" priority="4" operator="greaterThan">
      <formula>0</formula>
    </cfRule>
  </conditionalFormatting>
  <conditionalFormatting sqref="I14:J14 R14:S14 AA14:AB14 AJ14:AK14 AS14:AT14 BB14:BC14 BK14:BL14 BT14:BU14 CC14:CD14 I25:J25 R25:S25 AA25:AB25 AJ25:AK25 AS25:AT25 BB25:BC25 BK25:BL25 BT25:BU25 CC25:CD25 I36:J36 R36:S36 AA36:AB36 AJ36:AK36 AS36:AT36 BB36:BC36 BK36:BL36 BT36:BU36 CC36:CD36 I47:J47 R47:S47 AA47:AB47 AJ47:AK47 AS47:AT47 BB47:BC47 BK47:BL47 BT47:BU47 CC47:CD47 I58:J58 R58:S58 AA58:AB58 AJ58:AK58 AS58:AT58 BB58:BC58 BK58:BL58 BT58:BU58 CC58:CD58 I69:J69 R69:S69 AA69:AB69 AJ69:AK69 AS69:AT69 BB69:BC69 BK69:BL69 BT69:BU69 CC69:CD69 I80:J80 R80:S80 AA80:AB80 AJ80:AK80 AS80:AT80 BB80:BC80 BK80:BL80 BT80:BU80 CC80:CD80 I91:J91 R91:S91 AA91:AB91 AJ91:AK91 AS91:AT91 BB91:BC91 BK91:BL91 BT91:BU91 CC91:CD91">
    <cfRule type="cellIs" dxfId="1" priority="5" operator="equal">
      <formula>"L"</formula>
    </cfRule>
  </conditionalFormatting>
  <conditionalFormatting sqref="I14:J14 R14:S14 AA14:AB14 AJ14:AK14 AS14:AT14 BB14:BC14 BK14:BL14 BT14:BU14 CC14:CD14 I25:J25 R25:S25 AA25:AB25 AJ25:AK25 AS25:AT25 BB25:BC25 BK25:BL25 BT25:BU25 CC25:CD25 I36:J36 R36:S36 AA36:AB36 AJ36:AK36 AS36:AT36 BB36:BC36 BK36:BL36 BT36:BU36 CC36:CD36 I47:J47 R47:S47 AA47:AB47 AJ47:AK47 AS47:AT47 BB47:BC47 BK47:BL47 BT47:BU47 CC47:CD47 I58:J58 R58:S58 AA58:AB58 AJ58:AK58 AS58:AT58 BB58:BC58 BK58:BL58 BT58:BU58 CC58:CD58 I69:J69 R69:S69 AA69:AB69 AJ69:AK69 AS69:AT69 BB69:BC69 BK69:BL69 BT69:BU69 CC69:CD69 I80:J80 R80:S80 AA80:AB80 AJ80:AK80 AS80:AT80 BB80:BC80 BK80:BL80 BT80:BU80 CC80:CD80 I91:J91 R91:S91 AA91:AB91 AJ91:AK91 AS91:AT91 BB91:BC91 BK91:BL91 BT91:BU91 CC91:CD91">
    <cfRule type="cellIs" dxfId="0" priority="6" operator="equal">
      <formula>"W"</formula>
    </cfRule>
  </conditionalFormatting>
  <dataValidations>
    <dataValidation type="list" allowBlank="1" sqref="C6:C11 G6:G11 L6:L11 P6:P11 U6:U11 Y6:Y11 AD6:AD11 AH6:AH11 AM6:AM11 AQ6:AQ11 AV6:AV11 AZ6:AZ11 BE6:BE11 BI6:BI11 BN6:BN11 BR6:BR11 BW6:BW11 CA6:CA11 C17:C22 G17:G22 L17:L22 P17:P22 U17:U22 Y17:Y22 AD17:AD22 AH17:AH22 AM17:AM22 AQ17:AQ22 AV17:AV22 AZ17:AZ22 BE17:BE22 BI17:BI22 BN17:BN22 BR17:BR22 BW17:BW22 CA17:CA22 C28:C33 G28:G33 L28:L33 P28:P33 U28:U33 Y28:Y33 AD28:AD33 AH28:AH33 AM28:AM33 AQ28:AQ33 AV28:AV33 AZ28:AZ33 BE28:BE33 BI28:BI33 BN28:BN33 BR28:BR33 BW28:BW33 CA28:CA33 C39:C44 G39:G44 L39:L44 P39:P44 U39:U44 Y39:Y44 AD39:AD44 AH39:AH44 AM39:AM44 AQ39:AQ44 AV39:AV44 AZ39:AZ44 BE39:BE44 BI39:BI44 BN39:BN44 BR39:BR44 BW39:BW44 CA39:CA44 C50:C55 G50:G55 L50:L55 P50:P55 U50:U55 Y50:Y55 AD50:AD55 AH50:AH55 AM50:AM55 AQ50:AQ55 AV50:AV55 AZ50:AZ55 BE50:BE55 BI50:BI55 BN50:BN55 BR50:BR55 BW50:BW55 CA50:CA55 C61:C66 G61:G66 L61:L66 P61:P66 U61:U66 Y61:Y66 AD61:AD66 AH61:AH66 AM61:AM66 AQ61:AQ66 AV61:AV66 AZ61:AZ66 BE61:BE66 BI61:BI66 BN61:BN66 BR61:BR66 BW61:BW66 CA61:CA66 C72:C77 G72:G77 L72:L77 P72:P77 U72:U77 Y72:Y77 AD72:AD77 AH72:AH77 AM72:AM77 AQ72:AQ77 AV72:AV77 AZ72:AZ77 BE72:BE77 BI72:BI77 BN72:BN77 BR72:BR77 BW72:BW77 CA72:CA77 C83:C88 G83:G88 L83:L88 P83:P88 U83:U88 Y83:Y88 AD83:AD88 AH83:AH88 AM83:AM88 AQ83:AQ88 AV83:AV88 AZ83:AZ88 BE83:BE88 BI83:BI88 BN83:BN88 BR83:BR88 BW83:BW88 CA83:CA88">
      <formula1>Source!$B$2:$B93</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8"/>
    <col customWidth="1" min="2" max="2" width="7.0"/>
    <col customWidth="1" min="3" max="5" width="15.13"/>
    <col customWidth="1" min="6" max="6" width="1.38"/>
    <col customWidth="1" min="7" max="7" width="3.25"/>
    <col customWidth="1" min="8" max="8" width="4.13"/>
    <col customWidth="1" min="9" max="9" width="15.13"/>
    <col customWidth="1" min="10" max="11" width="6.38"/>
    <col customWidth="1" min="12" max="20" width="3.88"/>
    <col customWidth="1" min="21" max="38" width="7.0"/>
    <col customWidth="1" min="39" max="41" width="12.63"/>
    <col customWidth="1" min="42" max="42" width="1.38"/>
    <col customWidth="1" min="43" max="44" width="12.13"/>
    <col customWidth="1" min="45" max="45" width="1.38"/>
  </cols>
  <sheetData>
    <row r="1">
      <c r="A1" s="918"/>
      <c r="B1" s="919" t="s">
        <v>688</v>
      </c>
      <c r="C1" s="920" t="s">
        <v>689</v>
      </c>
      <c r="D1" s="921" t="s">
        <v>690</v>
      </c>
      <c r="E1" s="922" t="s">
        <v>691</v>
      </c>
      <c r="F1" s="923"/>
      <c r="G1" s="924" t="s">
        <v>692</v>
      </c>
      <c r="H1" s="925" t="s">
        <v>693</v>
      </c>
      <c r="I1" s="926" t="s">
        <v>694</v>
      </c>
      <c r="J1" s="921" t="s">
        <v>695</v>
      </c>
      <c r="K1" s="437"/>
      <c r="L1" s="927" t="s">
        <v>696</v>
      </c>
      <c r="M1" s="920" t="s">
        <v>697</v>
      </c>
      <c r="N1" s="920" t="s">
        <v>698</v>
      </c>
      <c r="O1" s="920" t="s">
        <v>699</v>
      </c>
      <c r="P1" s="920" t="s">
        <v>700</v>
      </c>
      <c r="Q1" s="921" t="s">
        <v>701</v>
      </c>
      <c r="R1" s="920">
        <v>0.0</v>
      </c>
      <c r="S1" s="920">
        <v>252.0</v>
      </c>
      <c r="T1" s="920" t="s">
        <v>702</v>
      </c>
      <c r="U1" s="921" t="s">
        <v>703</v>
      </c>
      <c r="V1" s="921" t="s">
        <v>704</v>
      </c>
      <c r="W1" s="921" t="s">
        <v>705</v>
      </c>
      <c r="X1" s="921" t="s">
        <v>706</v>
      </c>
      <c r="Y1" s="921" t="s">
        <v>707</v>
      </c>
      <c r="Z1" s="921" t="s">
        <v>708</v>
      </c>
      <c r="AA1" s="921" t="s">
        <v>709</v>
      </c>
      <c r="AB1" s="921" t="s">
        <v>710</v>
      </c>
      <c r="AC1" s="921" t="s">
        <v>711</v>
      </c>
      <c r="AD1" s="921" t="s">
        <v>712</v>
      </c>
      <c r="AE1" s="921" t="s">
        <v>713</v>
      </c>
      <c r="AF1" s="921" t="s">
        <v>714</v>
      </c>
      <c r="AG1" s="921" t="s">
        <v>715</v>
      </c>
      <c r="AH1" s="921" t="s">
        <v>716</v>
      </c>
      <c r="AI1" s="921" t="s">
        <v>717</v>
      </c>
      <c r="AJ1" s="921" t="s">
        <v>718</v>
      </c>
      <c r="AK1" s="921" t="s">
        <v>719</v>
      </c>
      <c r="AL1" s="921" t="s">
        <v>720</v>
      </c>
      <c r="AM1" s="920" t="s">
        <v>721</v>
      </c>
      <c r="AN1" s="927" t="s">
        <v>722</v>
      </c>
      <c r="AO1" s="928" t="s">
        <v>723</v>
      </c>
      <c r="AP1" s="918"/>
      <c r="AQ1" s="929" t="s">
        <v>724</v>
      </c>
      <c r="AR1" s="930" t="s">
        <v>725</v>
      </c>
      <c r="AS1" s="918"/>
    </row>
    <row r="2" ht="15.75" customHeight="1">
      <c r="A2" s="931"/>
      <c r="B2" s="932" t="s">
        <v>158</v>
      </c>
      <c r="C2" s="933" t="s">
        <v>158</v>
      </c>
      <c r="D2" s="933" t="s">
        <v>158</v>
      </c>
      <c r="E2" s="934" t="s">
        <v>158</v>
      </c>
      <c r="F2" s="935"/>
      <c r="G2" s="936"/>
      <c r="H2" s="937" t="s">
        <v>158</v>
      </c>
      <c r="I2" s="933" t="s">
        <v>158</v>
      </c>
      <c r="J2" s="933" t="s">
        <v>158</v>
      </c>
      <c r="K2" s="933" t="s">
        <v>158</v>
      </c>
      <c r="L2" s="938" t="s">
        <v>158</v>
      </c>
      <c r="M2" s="938" t="s">
        <v>158</v>
      </c>
      <c r="N2" s="938" t="s">
        <v>158</v>
      </c>
      <c r="O2" s="938" t="s">
        <v>158</v>
      </c>
      <c r="P2" s="938" t="s">
        <v>158</v>
      </c>
      <c r="Q2" s="938" t="s">
        <v>158</v>
      </c>
      <c r="R2" s="938" t="s">
        <v>158</v>
      </c>
      <c r="S2" s="938" t="s">
        <v>158</v>
      </c>
      <c r="T2" s="938" t="s">
        <v>158</v>
      </c>
      <c r="U2" s="938" t="s">
        <v>158</v>
      </c>
      <c r="V2" s="938" t="s">
        <v>158</v>
      </c>
      <c r="W2" s="938" t="s">
        <v>158</v>
      </c>
      <c r="X2" s="938" t="s">
        <v>158</v>
      </c>
      <c r="Y2" s="938" t="s">
        <v>158</v>
      </c>
      <c r="Z2" s="938" t="s">
        <v>158</v>
      </c>
      <c r="AA2" s="938" t="s">
        <v>158</v>
      </c>
      <c r="AB2" s="938" t="s">
        <v>158</v>
      </c>
      <c r="AC2" s="938" t="s">
        <v>158</v>
      </c>
      <c r="AD2" s="938" t="s">
        <v>158</v>
      </c>
      <c r="AE2" s="938" t="s">
        <v>158</v>
      </c>
      <c r="AF2" s="938" t="s">
        <v>158</v>
      </c>
      <c r="AG2" s="938" t="s">
        <v>158</v>
      </c>
      <c r="AH2" s="938" t="s">
        <v>158</v>
      </c>
      <c r="AI2" s="938" t="s">
        <v>158</v>
      </c>
      <c r="AJ2" s="938" t="s">
        <v>158</v>
      </c>
      <c r="AK2" s="938" t="s">
        <v>158</v>
      </c>
      <c r="AL2" s="938" t="s">
        <v>158</v>
      </c>
      <c r="AM2" s="933" t="s">
        <v>158</v>
      </c>
      <c r="AN2" s="933" t="s">
        <v>158</v>
      </c>
      <c r="AO2" s="934" t="s">
        <v>158</v>
      </c>
      <c r="AP2" s="931"/>
      <c r="AQ2" s="939" t="s">
        <v>158</v>
      </c>
      <c r="AR2" s="940" t="s">
        <v>158</v>
      </c>
      <c r="AS2" s="931"/>
    </row>
    <row r="3" ht="15.75" customHeight="1">
      <c r="A3" s="931"/>
      <c r="B3" s="941" t="s">
        <v>726</v>
      </c>
      <c r="C3" s="942" t="s">
        <v>727</v>
      </c>
      <c r="D3" s="942" t="s">
        <v>727</v>
      </c>
      <c r="E3" s="943" t="s">
        <v>727</v>
      </c>
      <c r="F3" s="935"/>
      <c r="G3" s="944"/>
      <c r="H3" s="945" t="str">
        <f t="array" ref="H3:H1243">IMAGE("https://raw.githubusercontent.com/Autumnchi/coloured-box-sprites/main/"&amp;C3:C1243&amp;".png",3)</f>
        <v/>
      </c>
      <c r="I3" s="946" t="s">
        <v>728</v>
      </c>
      <c r="J3" s="947" t="s">
        <v>708</v>
      </c>
      <c r="K3" s="948" t="s">
        <v>709</v>
      </c>
      <c r="L3" s="949">
        <v>45.0</v>
      </c>
      <c r="M3" s="949">
        <v>49.0</v>
      </c>
      <c r="N3" s="949">
        <v>49.0</v>
      </c>
      <c r="O3" s="949">
        <v>65.0</v>
      </c>
      <c r="P3" s="949">
        <v>65.0</v>
      </c>
      <c r="Q3" s="949">
        <v>45.0</v>
      </c>
      <c r="R3" s="949">
        <f t="array" ref="R3:R1243">IF(Q3:Q1243="","",Q3:Q1243*2+36)</f>
        <v>126</v>
      </c>
      <c r="S3" s="949">
        <f t="array" ref="S3:S1243">IF(Q3:Q1243="","",Q3:Q1243*2+99)</f>
        <v>189</v>
      </c>
      <c r="T3" s="949">
        <f t="array" ref="T3:T1243">IF(Q3:Q1243="","",ROUNDDOWN((Q3:Q1243*2+99)*1.1,0))</f>
        <v>207</v>
      </c>
      <c r="U3" s="949"/>
      <c r="V3" s="949"/>
      <c r="W3" s="949"/>
      <c r="X3" s="949"/>
      <c r="Y3" s="949"/>
      <c r="Z3" s="949"/>
      <c r="AA3" s="949"/>
      <c r="AB3" s="949"/>
      <c r="AC3" s="949"/>
      <c r="AD3" s="949"/>
      <c r="AE3" s="949"/>
      <c r="AF3" s="949"/>
      <c r="AG3" s="949"/>
      <c r="AH3" s="949"/>
      <c r="AI3" s="949"/>
      <c r="AJ3" s="949"/>
      <c r="AK3" s="949"/>
      <c r="AL3" s="949"/>
      <c r="AM3" s="953" t="s">
        <v>735</v>
      </c>
      <c r="AN3" s="954"/>
      <c r="AO3" s="955" t="s">
        <v>736</v>
      </c>
      <c r="AP3" s="931"/>
      <c r="AQ3" s="956"/>
      <c r="AR3" s="957"/>
      <c r="AS3" s="931"/>
    </row>
    <row r="4" ht="15.75" customHeight="1">
      <c r="A4" s="931"/>
      <c r="B4" s="941" t="s">
        <v>737</v>
      </c>
      <c r="C4" s="942" t="s">
        <v>738</v>
      </c>
      <c r="D4" s="942" t="s">
        <v>738</v>
      </c>
      <c r="E4" s="943" t="s">
        <v>738</v>
      </c>
      <c r="F4" s="935"/>
      <c r="G4" s="944"/>
      <c r="H4" s="944"/>
      <c r="I4" s="946" t="s">
        <v>739</v>
      </c>
      <c r="J4" s="947" t="s">
        <v>708</v>
      </c>
      <c r="K4" s="948" t="s">
        <v>709</v>
      </c>
      <c r="L4" s="949">
        <v>60.0</v>
      </c>
      <c r="M4" s="949">
        <v>62.0</v>
      </c>
      <c r="N4" s="949">
        <v>63.0</v>
      </c>
      <c r="O4" s="949">
        <v>80.0</v>
      </c>
      <c r="P4" s="949">
        <v>80.0</v>
      </c>
      <c r="Q4" s="949">
        <v>60.0</v>
      </c>
      <c r="R4" s="949">
        <v>156.0</v>
      </c>
      <c r="S4" s="949">
        <v>219.0</v>
      </c>
      <c r="T4" s="949">
        <v>240.0</v>
      </c>
      <c r="U4" s="949"/>
      <c r="V4" s="949"/>
      <c r="W4" s="949"/>
      <c r="X4" s="949"/>
      <c r="Y4" s="949"/>
      <c r="Z4" s="949"/>
      <c r="AA4" s="949"/>
      <c r="AB4" s="949"/>
      <c r="AC4" s="949"/>
      <c r="AD4" s="949"/>
      <c r="AE4" s="949"/>
      <c r="AF4" s="949"/>
      <c r="AG4" s="949"/>
      <c r="AH4" s="949"/>
      <c r="AI4" s="949"/>
      <c r="AJ4" s="949"/>
      <c r="AK4" s="949"/>
      <c r="AL4" s="949"/>
      <c r="AM4" s="953" t="s">
        <v>735</v>
      </c>
      <c r="AN4" s="954"/>
      <c r="AO4" s="955" t="s">
        <v>736</v>
      </c>
      <c r="AP4" s="931"/>
      <c r="AQ4" s="956"/>
      <c r="AR4" s="957"/>
      <c r="AS4" s="931"/>
    </row>
    <row r="5" ht="15.75" customHeight="1">
      <c r="A5" s="931"/>
      <c r="B5" s="941" t="s">
        <v>740</v>
      </c>
      <c r="C5" s="942" t="s">
        <v>741</v>
      </c>
      <c r="D5" s="942" t="s">
        <v>741</v>
      </c>
      <c r="E5" s="943" t="s">
        <v>741</v>
      </c>
      <c r="F5" s="935"/>
      <c r="G5" s="944"/>
      <c r="H5" s="944"/>
      <c r="I5" s="946" t="s">
        <v>742</v>
      </c>
      <c r="J5" s="947" t="s">
        <v>708</v>
      </c>
      <c r="K5" s="948" t="s">
        <v>709</v>
      </c>
      <c r="L5" s="949">
        <v>80.0</v>
      </c>
      <c r="M5" s="949">
        <v>82.0</v>
      </c>
      <c r="N5" s="949">
        <v>83.0</v>
      </c>
      <c r="O5" s="949">
        <v>100.0</v>
      </c>
      <c r="P5" s="949">
        <v>100.0</v>
      </c>
      <c r="Q5" s="949">
        <v>80.0</v>
      </c>
      <c r="R5" s="949">
        <v>196.0</v>
      </c>
      <c r="S5" s="949">
        <v>259.0</v>
      </c>
      <c r="T5" s="949">
        <v>284.0</v>
      </c>
      <c r="U5" s="949"/>
      <c r="V5" s="949"/>
      <c r="W5" s="949"/>
      <c r="X5" s="949"/>
      <c r="Y5" s="949"/>
      <c r="Z5" s="949"/>
      <c r="AA5" s="949"/>
      <c r="AB5" s="949"/>
      <c r="AC5" s="949"/>
      <c r="AD5" s="949"/>
      <c r="AE5" s="949"/>
      <c r="AF5" s="949"/>
      <c r="AG5" s="949"/>
      <c r="AH5" s="949"/>
      <c r="AI5" s="949"/>
      <c r="AJ5" s="949"/>
      <c r="AK5" s="949"/>
      <c r="AL5" s="949"/>
      <c r="AM5" s="953" t="s">
        <v>735</v>
      </c>
      <c r="AN5" s="954"/>
      <c r="AO5" s="955" t="s">
        <v>736</v>
      </c>
      <c r="AP5" s="931"/>
      <c r="AQ5" s="956"/>
      <c r="AR5" s="957"/>
      <c r="AS5" s="931"/>
    </row>
    <row r="6" ht="15.75" customHeight="1">
      <c r="A6" s="931"/>
      <c r="B6" s="941" t="s">
        <v>743</v>
      </c>
      <c r="C6" s="942" t="s">
        <v>744</v>
      </c>
      <c r="D6" s="942" t="s">
        <v>744</v>
      </c>
      <c r="E6" s="943" t="s">
        <v>744</v>
      </c>
      <c r="F6" s="935"/>
      <c r="G6" s="944"/>
      <c r="H6" s="944"/>
      <c r="I6" s="946" t="s">
        <v>745</v>
      </c>
      <c r="J6" s="947" t="s">
        <v>708</v>
      </c>
      <c r="K6" s="948" t="s">
        <v>709</v>
      </c>
      <c r="L6" s="949">
        <v>80.0</v>
      </c>
      <c r="M6" s="949">
        <v>100.0</v>
      </c>
      <c r="N6" s="949">
        <v>123.0</v>
      </c>
      <c r="O6" s="949">
        <v>122.0</v>
      </c>
      <c r="P6" s="949">
        <v>120.0</v>
      </c>
      <c r="Q6" s="949">
        <v>80.0</v>
      </c>
      <c r="R6" s="949">
        <v>196.0</v>
      </c>
      <c r="S6" s="949">
        <v>259.0</v>
      </c>
      <c r="T6" s="949">
        <v>284.0</v>
      </c>
      <c r="U6" s="949"/>
      <c r="V6" s="949"/>
      <c r="W6" s="949"/>
      <c r="X6" s="949"/>
      <c r="Y6" s="949"/>
      <c r="Z6" s="949"/>
      <c r="AA6" s="949"/>
      <c r="AB6" s="949"/>
      <c r="AC6" s="949"/>
      <c r="AD6" s="949"/>
      <c r="AE6" s="949"/>
      <c r="AF6" s="949"/>
      <c r="AG6" s="949"/>
      <c r="AH6" s="949"/>
      <c r="AI6" s="949"/>
      <c r="AJ6" s="949"/>
      <c r="AK6" s="949"/>
      <c r="AL6" s="949"/>
      <c r="AM6" s="953" t="s">
        <v>746</v>
      </c>
      <c r="AN6" s="954"/>
      <c r="AO6" s="955"/>
      <c r="AP6" s="931"/>
      <c r="AQ6" s="956"/>
      <c r="AR6" s="957"/>
      <c r="AS6" s="931"/>
    </row>
    <row r="7" ht="15.75" customHeight="1">
      <c r="A7" s="931"/>
      <c r="B7" s="941" t="s">
        <v>747</v>
      </c>
      <c r="C7" s="942" t="s">
        <v>748</v>
      </c>
      <c r="D7" s="942" t="s">
        <v>748</v>
      </c>
      <c r="E7" s="943" t="s">
        <v>748</v>
      </c>
      <c r="F7" s="935"/>
      <c r="G7" s="944"/>
      <c r="H7" s="944"/>
      <c r="I7" s="946" t="s">
        <v>749</v>
      </c>
      <c r="J7" s="958" t="s">
        <v>704</v>
      </c>
      <c r="K7" s="954" t="s">
        <v>158</v>
      </c>
      <c r="L7" s="949">
        <v>39.0</v>
      </c>
      <c r="M7" s="949">
        <v>52.0</v>
      </c>
      <c r="N7" s="949">
        <v>43.0</v>
      </c>
      <c r="O7" s="949">
        <v>60.0</v>
      </c>
      <c r="P7" s="949">
        <v>50.0</v>
      </c>
      <c r="Q7" s="949">
        <v>65.0</v>
      </c>
      <c r="R7" s="949">
        <v>166.0</v>
      </c>
      <c r="S7" s="949">
        <v>229.0</v>
      </c>
      <c r="T7" s="949">
        <v>251.0</v>
      </c>
      <c r="U7" s="949"/>
      <c r="V7" s="949"/>
      <c r="W7" s="949"/>
      <c r="X7" s="949"/>
      <c r="Y7" s="949"/>
      <c r="Z7" s="949"/>
      <c r="AA7" s="949"/>
      <c r="AB7" s="949"/>
      <c r="AC7" s="949"/>
      <c r="AD7" s="949"/>
      <c r="AE7" s="949"/>
      <c r="AF7" s="949"/>
      <c r="AG7" s="949"/>
      <c r="AH7" s="949"/>
      <c r="AI7" s="949"/>
      <c r="AJ7" s="949"/>
      <c r="AK7" s="949"/>
      <c r="AL7" s="949"/>
      <c r="AM7" s="953" t="s">
        <v>750</v>
      </c>
      <c r="AN7" s="954"/>
      <c r="AO7" s="955" t="s">
        <v>751</v>
      </c>
      <c r="AP7" s="931"/>
      <c r="AQ7" s="956"/>
      <c r="AR7" s="957"/>
      <c r="AS7" s="931"/>
    </row>
    <row r="8" ht="15.75" customHeight="1">
      <c r="A8" s="931"/>
      <c r="B8" s="941" t="s">
        <v>752</v>
      </c>
      <c r="C8" s="942" t="s">
        <v>753</v>
      </c>
      <c r="D8" s="942" t="s">
        <v>753</v>
      </c>
      <c r="E8" s="943" t="s">
        <v>753</v>
      </c>
      <c r="F8" s="935"/>
      <c r="G8" s="944"/>
      <c r="H8" s="944"/>
      <c r="I8" s="959" t="s">
        <v>754</v>
      </c>
      <c r="J8" s="958" t="s">
        <v>704</v>
      </c>
      <c r="K8" s="954" t="s">
        <v>158</v>
      </c>
      <c r="L8" s="949">
        <v>58.0</v>
      </c>
      <c r="M8" s="949">
        <v>64.0</v>
      </c>
      <c r="N8" s="949">
        <v>58.0</v>
      </c>
      <c r="O8" s="949">
        <v>80.0</v>
      </c>
      <c r="P8" s="949">
        <v>65.0</v>
      </c>
      <c r="Q8" s="949">
        <v>80.0</v>
      </c>
      <c r="R8" s="949">
        <v>196.0</v>
      </c>
      <c r="S8" s="949">
        <v>259.0</v>
      </c>
      <c r="T8" s="949">
        <v>284.0</v>
      </c>
      <c r="U8" s="949"/>
      <c r="V8" s="949"/>
      <c r="W8" s="949"/>
      <c r="X8" s="949"/>
      <c r="Y8" s="949"/>
      <c r="Z8" s="949"/>
      <c r="AA8" s="949"/>
      <c r="AB8" s="949"/>
      <c r="AC8" s="949"/>
      <c r="AD8" s="949"/>
      <c r="AE8" s="949"/>
      <c r="AF8" s="949"/>
      <c r="AG8" s="949"/>
      <c r="AH8" s="949"/>
      <c r="AI8" s="949"/>
      <c r="AJ8" s="949"/>
      <c r="AK8" s="949"/>
      <c r="AL8" s="949"/>
      <c r="AM8" s="953" t="s">
        <v>750</v>
      </c>
      <c r="AN8" s="954"/>
      <c r="AO8" s="955" t="s">
        <v>751</v>
      </c>
      <c r="AP8" s="931"/>
      <c r="AQ8" s="956"/>
      <c r="AR8" s="957"/>
      <c r="AS8" s="931"/>
    </row>
    <row r="9" ht="15.75" customHeight="1">
      <c r="A9" s="931"/>
      <c r="B9" s="941" t="s">
        <v>755</v>
      </c>
      <c r="C9" s="942" t="s">
        <v>756</v>
      </c>
      <c r="D9" s="942" t="s">
        <v>756</v>
      </c>
      <c r="E9" s="943" t="s">
        <v>756</v>
      </c>
      <c r="F9" s="935"/>
      <c r="G9" s="944"/>
      <c r="H9" s="944"/>
      <c r="I9" s="946" t="s">
        <v>757</v>
      </c>
      <c r="J9" s="958" t="s">
        <v>704</v>
      </c>
      <c r="K9" s="960" t="s">
        <v>707</v>
      </c>
      <c r="L9" s="949">
        <v>78.0</v>
      </c>
      <c r="M9" s="949">
        <v>84.0</v>
      </c>
      <c r="N9" s="949">
        <v>78.0</v>
      </c>
      <c r="O9" s="949">
        <v>109.0</v>
      </c>
      <c r="P9" s="949">
        <v>85.0</v>
      </c>
      <c r="Q9" s="949">
        <v>100.0</v>
      </c>
      <c r="R9" s="949">
        <v>236.0</v>
      </c>
      <c r="S9" s="949">
        <v>299.0</v>
      </c>
      <c r="T9" s="949">
        <v>328.0</v>
      </c>
      <c r="U9" s="949"/>
      <c r="V9" s="949"/>
      <c r="W9" s="949"/>
      <c r="X9" s="949"/>
      <c r="Y9" s="949"/>
      <c r="Z9" s="949"/>
      <c r="AA9" s="949"/>
      <c r="AB9" s="949"/>
      <c r="AC9" s="949"/>
      <c r="AD9" s="949"/>
      <c r="AE9" s="949"/>
      <c r="AF9" s="949"/>
      <c r="AG9" s="949"/>
      <c r="AH9" s="949"/>
      <c r="AI9" s="949"/>
      <c r="AJ9" s="949"/>
      <c r="AK9" s="949"/>
      <c r="AL9" s="949"/>
      <c r="AM9" s="953" t="s">
        <v>750</v>
      </c>
      <c r="AN9" s="954"/>
      <c r="AO9" s="955" t="s">
        <v>751</v>
      </c>
      <c r="AP9" s="931"/>
      <c r="AQ9" s="956"/>
      <c r="AR9" s="957"/>
      <c r="AS9" s="931"/>
    </row>
    <row r="10" ht="15.75" customHeight="1">
      <c r="A10" s="931"/>
      <c r="B10" s="941" t="s">
        <v>758</v>
      </c>
      <c r="C10" s="942" t="s">
        <v>759</v>
      </c>
      <c r="D10" s="942" t="s">
        <v>760</v>
      </c>
      <c r="E10" s="943" t="s">
        <v>759</v>
      </c>
      <c r="F10" s="935"/>
      <c r="G10" s="944"/>
      <c r="H10" s="944"/>
      <c r="I10" s="946" t="s">
        <v>761</v>
      </c>
      <c r="J10" s="958" t="s">
        <v>704</v>
      </c>
      <c r="K10" s="961" t="s">
        <v>716</v>
      </c>
      <c r="L10" s="949">
        <v>78.0</v>
      </c>
      <c r="M10" s="949">
        <v>130.0</v>
      </c>
      <c r="N10" s="949">
        <v>111.0</v>
      </c>
      <c r="O10" s="949">
        <v>130.0</v>
      </c>
      <c r="P10" s="949">
        <v>85.0</v>
      </c>
      <c r="Q10" s="949">
        <v>100.0</v>
      </c>
      <c r="R10" s="949">
        <v>236.0</v>
      </c>
      <c r="S10" s="949">
        <v>299.0</v>
      </c>
      <c r="T10" s="949">
        <v>328.0</v>
      </c>
      <c r="U10" s="949"/>
      <c r="V10" s="949"/>
      <c r="W10" s="949"/>
      <c r="X10" s="949"/>
      <c r="Y10" s="949"/>
      <c r="Z10" s="949"/>
      <c r="AA10" s="949"/>
      <c r="AB10" s="949"/>
      <c r="AC10" s="949"/>
      <c r="AD10" s="949"/>
      <c r="AE10" s="949"/>
      <c r="AF10" s="949"/>
      <c r="AG10" s="949"/>
      <c r="AH10" s="949"/>
      <c r="AI10" s="949"/>
      <c r="AJ10" s="949"/>
      <c r="AK10" s="949"/>
      <c r="AL10" s="949"/>
      <c r="AM10" s="953" t="s">
        <v>762</v>
      </c>
      <c r="AN10" s="954"/>
      <c r="AO10" s="955"/>
      <c r="AP10" s="931"/>
      <c r="AQ10" s="956"/>
      <c r="AR10" s="957"/>
      <c r="AS10" s="931"/>
    </row>
    <row r="11" ht="15.75" customHeight="1">
      <c r="A11" s="931"/>
      <c r="B11" s="941" t="s">
        <v>763</v>
      </c>
      <c r="C11" s="942" t="s">
        <v>764</v>
      </c>
      <c r="D11" s="942" t="s">
        <v>765</v>
      </c>
      <c r="E11" s="943" t="s">
        <v>764</v>
      </c>
      <c r="F11" s="935"/>
      <c r="G11" s="944"/>
      <c r="H11" s="944"/>
      <c r="I11" s="946" t="s">
        <v>766</v>
      </c>
      <c r="J11" s="958" t="s">
        <v>704</v>
      </c>
      <c r="K11" s="960" t="s">
        <v>707</v>
      </c>
      <c r="L11" s="949">
        <v>78.0</v>
      </c>
      <c r="M11" s="949">
        <v>104.0</v>
      </c>
      <c r="N11" s="949">
        <v>78.0</v>
      </c>
      <c r="O11" s="949">
        <v>159.0</v>
      </c>
      <c r="P11" s="949">
        <v>115.0</v>
      </c>
      <c r="Q11" s="949">
        <v>100.0</v>
      </c>
      <c r="R11" s="949">
        <v>236.0</v>
      </c>
      <c r="S11" s="949">
        <v>299.0</v>
      </c>
      <c r="T11" s="949">
        <v>328.0</v>
      </c>
      <c r="U11" s="949"/>
      <c r="V11" s="949"/>
      <c r="W11" s="949"/>
      <c r="X11" s="949"/>
      <c r="Y11" s="949"/>
      <c r="Z11" s="949"/>
      <c r="AA11" s="949"/>
      <c r="AB11" s="949"/>
      <c r="AC11" s="949"/>
      <c r="AD11" s="949"/>
      <c r="AE11" s="949"/>
      <c r="AF11" s="949"/>
      <c r="AG11" s="949"/>
      <c r="AH11" s="949"/>
      <c r="AI11" s="949"/>
      <c r="AJ11" s="949"/>
      <c r="AK11" s="949"/>
      <c r="AL11" s="949"/>
      <c r="AM11" s="953" t="s">
        <v>767</v>
      </c>
      <c r="AN11" s="954"/>
      <c r="AO11" s="955"/>
      <c r="AP11" s="931"/>
      <c r="AQ11" s="956"/>
      <c r="AR11" s="957"/>
      <c r="AS11" s="931"/>
    </row>
    <row r="12" ht="15.75" customHeight="1">
      <c r="A12" s="931"/>
      <c r="B12" s="941" t="s">
        <v>768</v>
      </c>
      <c r="C12" s="942" t="s">
        <v>769</v>
      </c>
      <c r="D12" s="942" t="s">
        <v>769</v>
      </c>
      <c r="E12" s="943" t="s">
        <v>769</v>
      </c>
      <c r="F12" s="935"/>
      <c r="G12" s="944"/>
      <c r="H12" s="944"/>
      <c r="I12" s="946" t="s">
        <v>770</v>
      </c>
      <c r="J12" s="962" t="s">
        <v>706</v>
      </c>
      <c r="K12" s="954" t="s">
        <v>158</v>
      </c>
      <c r="L12" s="949">
        <v>44.0</v>
      </c>
      <c r="M12" s="949">
        <v>48.0</v>
      </c>
      <c r="N12" s="949">
        <v>65.0</v>
      </c>
      <c r="O12" s="949">
        <v>50.0</v>
      </c>
      <c r="P12" s="949">
        <v>64.0</v>
      </c>
      <c r="Q12" s="949">
        <v>43.0</v>
      </c>
      <c r="R12" s="949">
        <v>122.0</v>
      </c>
      <c r="S12" s="949">
        <v>185.0</v>
      </c>
      <c r="T12" s="949">
        <v>203.0</v>
      </c>
      <c r="U12" s="949"/>
      <c r="V12" s="949"/>
      <c r="W12" s="949"/>
      <c r="X12" s="949"/>
      <c r="Y12" s="949"/>
      <c r="Z12" s="949"/>
      <c r="AA12" s="949"/>
      <c r="AB12" s="949"/>
      <c r="AC12" s="949"/>
      <c r="AD12" s="949"/>
      <c r="AE12" s="949"/>
      <c r="AF12" s="949"/>
      <c r="AG12" s="949"/>
      <c r="AH12" s="949"/>
      <c r="AI12" s="949"/>
      <c r="AJ12" s="949"/>
      <c r="AK12" s="949"/>
      <c r="AL12" s="949"/>
      <c r="AM12" s="953" t="s">
        <v>771</v>
      </c>
      <c r="AN12" s="954"/>
      <c r="AO12" s="955" t="s">
        <v>772</v>
      </c>
      <c r="AP12" s="931"/>
      <c r="AQ12" s="956"/>
      <c r="AR12" s="957"/>
      <c r="AS12" s="931"/>
    </row>
    <row r="13" ht="15.75" customHeight="1">
      <c r="A13" s="963"/>
      <c r="B13" s="941" t="s">
        <v>773</v>
      </c>
      <c r="C13" s="942" t="s">
        <v>774</v>
      </c>
      <c r="D13" s="942" t="s">
        <v>774</v>
      </c>
      <c r="E13" s="943" t="s">
        <v>774</v>
      </c>
      <c r="F13" s="935"/>
      <c r="G13" s="944"/>
      <c r="H13" s="944"/>
      <c r="I13" s="946" t="s">
        <v>775</v>
      </c>
      <c r="J13" s="962" t="s">
        <v>706</v>
      </c>
      <c r="K13" s="954" t="s">
        <v>158</v>
      </c>
      <c r="L13" s="949">
        <v>59.0</v>
      </c>
      <c r="M13" s="949">
        <v>63.0</v>
      </c>
      <c r="N13" s="949">
        <v>80.0</v>
      </c>
      <c r="O13" s="949">
        <v>65.0</v>
      </c>
      <c r="P13" s="949">
        <v>80.0</v>
      </c>
      <c r="Q13" s="949">
        <v>58.0</v>
      </c>
      <c r="R13" s="949">
        <v>152.0</v>
      </c>
      <c r="S13" s="949">
        <v>215.0</v>
      </c>
      <c r="T13" s="949">
        <v>236.0</v>
      </c>
      <c r="U13" s="949"/>
      <c r="V13" s="949"/>
      <c r="W13" s="949"/>
      <c r="X13" s="949"/>
      <c r="Y13" s="949"/>
      <c r="Z13" s="949"/>
      <c r="AA13" s="949"/>
      <c r="AB13" s="949"/>
      <c r="AC13" s="949"/>
      <c r="AD13" s="949"/>
      <c r="AE13" s="949"/>
      <c r="AF13" s="949"/>
      <c r="AG13" s="949"/>
      <c r="AH13" s="949"/>
      <c r="AI13" s="949"/>
      <c r="AJ13" s="949"/>
      <c r="AK13" s="949"/>
      <c r="AL13" s="949"/>
      <c r="AM13" s="964" t="s">
        <v>771</v>
      </c>
      <c r="AN13" s="954"/>
      <c r="AO13" s="965" t="s">
        <v>772</v>
      </c>
      <c r="AP13" s="931"/>
      <c r="AQ13" s="956"/>
      <c r="AR13" s="957"/>
      <c r="AS13" s="931"/>
    </row>
    <row r="14" ht="15.75" customHeight="1">
      <c r="A14" s="931"/>
      <c r="B14" s="941" t="s">
        <v>776</v>
      </c>
      <c r="C14" s="942" t="s">
        <v>777</v>
      </c>
      <c r="D14" s="942" t="s">
        <v>777</v>
      </c>
      <c r="E14" s="966" t="s">
        <v>777</v>
      </c>
      <c r="F14" s="935"/>
      <c r="G14" s="944"/>
      <c r="H14" s="944"/>
      <c r="I14" s="959" t="s">
        <v>778</v>
      </c>
      <c r="J14" s="962" t="s">
        <v>706</v>
      </c>
      <c r="K14" s="954" t="s">
        <v>158</v>
      </c>
      <c r="L14" s="949">
        <v>79.0</v>
      </c>
      <c r="M14" s="949">
        <v>83.0</v>
      </c>
      <c r="N14" s="949">
        <v>100.0</v>
      </c>
      <c r="O14" s="949">
        <v>85.0</v>
      </c>
      <c r="P14" s="949">
        <v>105.0</v>
      </c>
      <c r="Q14" s="949">
        <v>78.0</v>
      </c>
      <c r="R14" s="949">
        <v>192.0</v>
      </c>
      <c r="S14" s="949">
        <v>255.0</v>
      </c>
      <c r="T14" s="949">
        <v>280.0</v>
      </c>
      <c r="U14" s="949"/>
      <c r="V14" s="949"/>
      <c r="W14" s="949"/>
      <c r="X14" s="949"/>
      <c r="Y14" s="949"/>
      <c r="Z14" s="949"/>
      <c r="AA14" s="949"/>
      <c r="AB14" s="949"/>
      <c r="AC14" s="949"/>
      <c r="AD14" s="949"/>
      <c r="AE14" s="949"/>
      <c r="AF14" s="949"/>
      <c r="AG14" s="949"/>
      <c r="AH14" s="949"/>
      <c r="AI14" s="949"/>
      <c r="AJ14" s="949"/>
      <c r="AK14" s="949"/>
      <c r="AL14" s="949"/>
      <c r="AM14" s="953" t="s">
        <v>771</v>
      </c>
      <c r="AN14" s="954"/>
      <c r="AO14" s="955" t="s">
        <v>772</v>
      </c>
      <c r="AP14" s="931"/>
      <c r="AQ14" s="956"/>
      <c r="AR14" s="957"/>
      <c r="AS14" s="931"/>
    </row>
    <row r="15" ht="15.75" customHeight="1">
      <c r="A15" s="931"/>
      <c r="B15" s="941" t="s">
        <v>779</v>
      </c>
      <c r="C15" s="942" t="s">
        <v>780</v>
      </c>
      <c r="D15" s="942" t="s">
        <v>780</v>
      </c>
      <c r="E15" s="966" t="s">
        <v>780</v>
      </c>
      <c r="F15" s="935"/>
      <c r="G15" s="944"/>
      <c r="H15" s="944"/>
      <c r="I15" s="959" t="s">
        <v>781</v>
      </c>
      <c r="J15" s="962" t="s">
        <v>706</v>
      </c>
      <c r="K15" s="954" t="s">
        <v>158</v>
      </c>
      <c r="L15" s="949">
        <v>79.0</v>
      </c>
      <c r="M15" s="949">
        <v>103.0</v>
      </c>
      <c r="N15" s="949">
        <v>120.0</v>
      </c>
      <c r="O15" s="949">
        <v>135.0</v>
      </c>
      <c r="P15" s="949">
        <v>115.0</v>
      </c>
      <c r="Q15" s="949">
        <v>78.0</v>
      </c>
      <c r="R15" s="949">
        <v>192.0</v>
      </c>
      <c r="S15" s="949">
        <v>255.0</v>
      </c>
      <c r="T15" s="949">
        <v>280.0</v>
      </c>
      <c r="U15" s="949"/>
      <c r="V15" s="949"/>
      <c r="W15" s="949"/>
      <c r="X15" s="949"/>
      <c r="Y15" s="949"/>
      <c r="Z15" s="949"/>
      <c r="AA15" s="949"/>
      <c r="AB15" s="949"/>
      <c r="AC15" s="949"/>
      <c r="AD15" s="949"/>
      <c r="AE15" s="949"/>
      <c r="AF15" s="949"/>
      <c r="AG15" s="949"/>
      <c r="AH15" s="949"/>
      <c r="AI15" s="949"/>
      <c r="AJ15" s="949"/>
      <c r="AK15" s="949"/>
      <c r="AL15" s="949"/>
      <c r="AM15" s="953" t="s">
        <v>782</v>
      </c>
      <c r="AN15" s="954"/>
      <c r="AO15" s="955"/>
      <c r="AP15" s="931"/>
      <c r="AQ15" s="956"/>
      <c r="AR15" s="957"/>
      <c r="AS15" s="931"/>
    </row>
    <row r="16" ht="15.75" customHeight="1">
      <c r="A16" s="931"/>
      <c r="B16" s="941" t="s">
        <v>783</v>
      </c>
      <c r="C16" s="942" t="s">
        <v>784</v>
      </c>
      <c r="D16" s="942" t="s">
        <v>784</v>
      </c>
      <c r="E16" s="966" t="s">
        <v>784</v>
      </c>
      <c r="F16" s="935"/>
      <c r="G16" s="944"/>
      <c r="H16" s="944"/>
      <c r="I16" s="959" t="s">
        <v>785</v>
      </c>
      <c r="J16" s="967" t="s">
        <v>715</v>
      </c>
      <c r="K16" s="954" t="s">
        <v>158</v>
      </c>
      <c r="L16" s="949">
        <v>45.0</v>
      </c>
      <c r="M16" s="949">
        <v>30.0</v>
      </c>
      <c r="N16" s="949">
        <v>35.0</v>
      </c>
      <c r="O16" s="949">
        <v>20.0</v>
      </c>
      <c r="P16" s="949">
        <v>20.0</v>
      </c>
      <c r="Q16" s="949">
        <v>45.0</v>
      </c>
      <c r="R16" s="949">
        <v>126.0</v>
      </c>
      <c r="S16" s="949">
        <v>189.0</v>
      </c>
      <c r="T16" s="949">
        <v>207.0</v>
      </c>
      <c r="U16" s="949"/>
      <c r="V16" s="949"/>
      <c r="W16" s="949"/>
      <c r="X16" s="949"/>
      <c r="Y16" s="949"/>
      <c r="Z16" s="949"/>
      <c r="AA16" s="949"/>
      <c r="AB16" s="949"/>
      <c r="AC16" s="949"/>
      <c r="AD16" s="949"/>
      <c r="AE16" s="949"/>
      <c r="AF16" s="949"/>
      <c r="AG16" s="949"/>
      <c r="AH16" s="949"/>
      <c r="AI16" s="949"/>
      <c r="AJ16" s="949"/>
      <c r="AK16" s="949"/>
      <c r="AL16" s="949"/>
      <c r="AM16" s="953" t="s">
        <v>786</v>
      </c>
      <c r="AN16" s="954"/>
      <c r="AO16" s="955" t="s">
        <v>787</v>
      </c>
      <c r="AP16" s="931"/>
      <c r="AQ16" s="956"/>
      <c r="AR16" s="957"/>
      <c r="AS16" s="931"/>
    </row>
    <row r="17" ht="15.75" customHeight="1">
      <c r="A17" s="931"/>
      <c r="B17" s="941" t="s">
        <v>788</v>
      </c>
      <c r="C17" s="942" t="s">
        <v>789</v>
      </c>
      <c r="D17" s="942" t="s">
        <v>789</v>
      </c>
      <c r="E17" s="966" t="s">
        <v>789</v>
      </c>
      <c r="F17" s="935"/>
      <c r="G17" s="944"/>
      <c r="H17" s="944"/>
      <c r="I17" s="959" t="s">
        <v>790</v>
      </c>
      <c r="J17" s="967" t="s">
        <v>715</v>
      </c>
      <c r="K17" s="954" t="s">
        <v>158</v>
      </c>
      <c r="L17" s="949">
        <v>50.0</v>
      </c>
      <c r="M17" s="949">
        <v>20.0</v>
      </c>
      <c r="N17" s="949">
        <v>55.0</v>
      </c>
      <c r="O17" s="949">
        <v>25.0</v>
      </c>
      <c r="P17" s="949">
        <v>25.0</v>
      </c>
      <c r="Q17" s="949">
        <v>30.0</v>
      </c>
      <c r="R17" s="949">
        <v>96.0</v>
      </c>
      <c r="S17" s="949">
        <v>159.0</v>
      </c>
      <c r="T17" s="949">
        <v>174.0</v>
      </c>
      <c r="U17" s="949"/>
      <c r="V17" s="949"/>
      <c r="W17" s="949"/>
      <c r="X17" s="949"/>
      <c r="Y17" s="949"/>
      <c r="Z17" s="949"/>
      <c r="AA17" s="949"/>
      <c r="AB17" s="949"/>
      <c r="AC17" s="949"/>
      <c r="AD17" s="949"/>
      <c r="AE17" s="949"/>
      <c r="AF17" s="949"/>
      <c r="AG17" s="949"/>
      <c r="AH17" s="949"/>
      <c r="AI17" s="949"/>
      <c r="AJ17" s="949"/>
      <c r="AK17" s="949"/>
      <c r="AL17" s="949"/>
      <c r="AM17" s="953" t="s">
        <v>791</v>
      </c>
      <c r="AN17" s="954"/>
      <c r="AO17" s="955"/>
      <c r="AP17" s="931"/>
      <c r="AQ17" s="956"/>
      <c r="AR17" s="957"/>
      <c r="AS17" s="931"/>
    </row>
    <row r="18" ht="15.75" customHeight="1">
      <c r="A18" s="931"/>
      <c r="B18" s="941" t="s">
        <v>792</v>
      </c>
      <c r="C18" s="942" t="s">
        <v>793</v>
      </c>
      <c r="D18" s="942" t="s">
        <v>793</v>
      </c>
      <c r="E18" s="966" t="s">
        <v>793</v>
      </c>
      <c r="F18" s="935"/>
      <c r="G18" s="944"/>
      <c r="H18" s="944"/>
      <c r="I18" s="959" t="s">
        <v>794</v>
      </c>
      <c r="J18" s="967" t="s">
        <v>715</v>
      </c>
      <c r="K18" s="960" t="s">
        <v>707</v>
      </c>
      <c r="L18" s="949">
        <v>60.0</v>
      </c>
      <c r="M18" s="949">
        <v>45.0</v>
      </c>
      <c r="N18" s="949">
        <v>50.0</v>
      </c>
      <c r="O18" s="949">
        <v>90.0</v>
      </c>
      <c r="P18" s="949">
        <v>80.0</v>
      </c>
      <c r="Q18" s="949">
        <v>70.0</v>
      </c>
      <c r="R18" s="949">
        <v>176.0</v>
      </c>
      <c r="S18" s="949">
        <v>239.0</v>
      </c>
      <c r="T18" s="949">
        <v>262.0</v>
      </c>
      <c r="U18" s="949"/>
      <c r="V18" s="949"/>
      <c r="W18" s="949"/>
      <c r="X18" s="949"/>
      <c r="Y18" s="949"/>
      <c r="Z18" s="949"/>
      <c r="AA18" s="949"/>
      <c r="AB18" s="949"/>
      <c r="AC18" s="949"/>
      <c r="AD18" s="949"/>
      <c r="AE18" s="949"/>
      <c r="AF18" s="949"/>
      <c r="AG18" s="949"/>
      <c r="AH18" s="949"/>
      <c r="AI18" s="949"/>
      <c r="AJ18" s="949"/>
      <c r="AK18" s="949"/>
      <c r="AL18" s="949"/>
      <c r="AM18" s="953" t="s">
        <v>795</v>
      </c>
      <c r="AN18" s="954"/>
      <c r="AO18" s="955" t="s">
        <v>796</v>
      </c>
      <c r="AP18" s="931"/>
      <c r="AQ18" s="956"/>
      <c r="AR18" s="957"/>
      <c r="AS18" s="931"/>
    </row>
    <row r="19" ht="15.75" customHeight="1">
      <c r="A19" s="931"/>
      <c r="B19" s="941" t="s">
        <v>797</v>
      </c>
      <c r="C19" s="942" t="s">
        <v>798</v>
      </c>
      <c r="D19" s="942" t="s">
        <v>798</v>
      </c>
      <c r="E19" s="966" t="s">
        <v>798</v>
      </c>
      <c r="F19" s="935"/>
      <c r="G19" s="944"/>
      <c r="H19" s="944"/>
      <c r="I19" s="959" t="s">
        <v>799</v>
      </c>
      <c r="J19" s="967" t="s">
        <v>715</v>
      </c>
      <c r="K19" s="948" t="s">
        <v>709</v>
      </c>
      <c r="L19" s="949">
        <v>40.0</v>
      </c>
      <c r="M19" s="949">
        <v>35.0</v>
      </c>
      <c r="N19" s="949">
        <v>30.0</v>
      </c>
      <c r="O19" s="949">
        <v>20.0</v>
      </c>
      <c r="P19" s="949">
        <v>20.0</v>
      </c>
      <c r="Q19" s="949">
        <v>50.0</v>
      </c>
      <c r="R19" s="949">
        <v>136.0</v>
      </c>
      <c r="S19" s="949">
        <v>199.0</v>
      </c>
      <c r="T19" s="949">
        <v>218.0</v>
      </c>
      <c r="U19" s="949"/>
      <c r="V19" s="949"/>
      <c r="W19" s="949"/>
      <c r="X19" s="949"/>
      <c r="Y19" s="949"/>
      <c r="Z19" s="949"/>
      <c r="AA19" s="949"/>
      <c r="AB19" s="949"/>
      <c r="AC19" s="949"/>
      <c r="AD19" s="949"/>
      <c r="AE19" s="949"/>
      <c r="AF19" s="949"/>
      <c r="AG19" s="949"/>
      <c r="AH19" s="949"/>
      <c r="AI19" s="949"/>
      <c r="AJ19" s="949"/>
      <c r="AK19" s="949"/>
      <c r="AL19" s="949"/>
      <c r="AM19" s="953" t="s">
        <v>786</v>
      </c>
      <c r="AN19" s="954"/>
      <c r="AO19" s="955" t="s">
        <v>787</v>
      </c>
      <c r="AP19" s="931"/>
      <c r="AQ19" s="956"/>
      <c r="AR19" s="957"/>
      <c r="AS19" s="931"/>
    </row>
    <row r="20" ht="15.75" customHeight="1">
      <c r="A20" s="931"/>
      <c r="B20" s="941" t="s">
        <v>800</v>
      </c>
      <c r="C20" s="942" t="s">
        <v>801</v>
      </c>
      <c r="D20" s="942" t="s">
        <v>801</v>
      </c>
      <c r="E20" s="966" t="s">
        <v>801</v>
      </c>
      <c r="F20" s="935"/>
      <c r="G20" s="944"/>
      <c r="H20" s="944"/>
      <c r="I20" s="959" t="s">
        <v>802</v>
      </c>
      <c r="J20" s="967" t="s">
        <v>715</v>
      </c>
      <c r="K20" s="948" t="s">
        <v>709</v>
      </c>
      <c r="L20" s="949">
        <v>45.0</v>
      </c>
      <c r="M20" s="949">
        <v>25.0</v>
      </c>
      <c r="N20" s="949">
        <v>50.0</v>
      </c>
      <c r="O20" s="949">
        <v>25.0</v>
      </c>
      <c r="P20" s="949">
        <v>25.0</v>
      </c>
      <c r="Q20" s="949">
        <v>35.0</v>
      </c>
      <c r="R20" s="949">
        <v>106.0</v>
      </c>
      <c r="S20" s="949">
        <v>169.0</v>
      </c>
      <c r="T20" s="949">
        <v>185.0</v>
      </c>
      <c r="U20" s="949"/>
      <c r="V20" s="949"/>
      <c r="W20" s="949"/>
      <c r="X20" s="949"/>
      <c r="Y20" s="949"/>
      <c r="Z20" s="949"/>
      <c r="AA20" s="949"/>
      <c r="AB20" s="949"/>
      <c r="AC20" s="949"/>
      <c r="AD20" s="949"/>
      <c r="AE20" s="949"/>
      <c r="AF20" s="949"/>
      <c r="AG20" s="949"/>
      <c r="AH20" s="949"/>
      <c r="AI20" s="949"/>
      <c r="AJ20" s="949"/>
      <c r="AK20" s="949"/>
      <c r="AL20" s="949"/>
      <c r="AM20" s="953" t="s">
        <v>791</v>
      </c>
      <c r="AN20" s="954"/>
      <c r="AO20" s="955"/>
      <c r="AP20" s="931"/>
      <c r="AQ20" s="956"/>
      <c r="AR20" s="957"/>
      <c r="AS20" s="931"/>
    </row>
    <row r="21" ht="15.75" customHeight="1">
      <c r="A21" s="931"/>
      <c r="B21" s="941" t="s">
        <v>803</v>
      </c>
      <c r="C21" s="942" t="s">
        <v>804</v>
      </c>
      <c r="D21" s="942" t="s">
        <v>804</v>
      </c>
      <c r="E21" s="966" t="s">
        <v>804</v>
      </c>
      <c r="F21" s="935"/>
      <c r="G21" s="944"/>
      <c r="H21" s="944"/>
      <c r="I21" s="959" t="s">
        <v>805</v>
      </c>
      <c r="J21" s="967" t="s">
        <v>715</v>
      </c>
      <c r="K21" s="948" t="s">
        <v>709</v>
      </c>
      <c r="L21" s="949">
        <v>65.0</v>
      </c>
      <c r="M21" s="949">
        <v>90.0</v>
      </c>
      <c r="N21" s="949">
        <v>40.0</v>
      </c>
      <c r="O21" s="949">
        <v>45.0</v>
      </c>
      <c r="P21" s="949">
        <v>80.0</v>
      </c>
      <c r="Q21" s="949">
        <v>75.0</v>
      </c>
      <c r="R21" s="949">
        <v>186.0</v>
      </c>
      <c r="S21" s="949">
        <v>249.0</v>
      </c>
      <c r="T21" s="949">
        <v>273.0</v>
      </c>
      <c r="U21" s="949"/>
      <c r="V21" s="949"/>
      <c r="W21" s="949"/>
      <c r="X21" s="949"/>
      <c r="Y21" s="949"/>
      <c r="Z21" s="949"/>
      <c r="AA21" s="949"/>
      <c r="AB21" s="949"/>
      <c r="AC21" s="949"/>
      <c r="AD21" s="949"/>
      <c r="AE21" s="949"/>
      <c r="AF21" s="949"/>
      <c r="AG21" s="949"/>
      <c r="AH21" s="949"/>
      <c r="AI21" s="949"/>
      <c r="AJ21" s="949"/>
      <c r="AK21" s="949"/>
      <c r="AL21" s="949"/>
      <c r="AM21" s="953" t="s">
        <v>806</v>
      </c>
      <c r="AN21" s="954"/>
      <c r="AO21" s="955" t="s">
        <v>807</v>
      </c>
      <c r="AP21" s="931"/>
      <c r="AQ21" s="956"/>
      <c r="AR21" s="957"/>
      <c r="AS21" s="931"/>
    </row>
    <row r="22" ht="15.75" customHeight="1">
      <c r="A22" s="931"/>
      <c r="B22" s="941" t="s">
        <v>808</v>
      </c>
      <c r="C22" s="942" t="s">
        <v>809</v>
      </c>
      <c r="D22" s="942" t="s">
        <v>809</v>
      </c>
      <c r="E22" s="966" t="s">
        <v>809</v>
      </c>
      <c r="F22" s="935"/>
      <c r="G22" s="944"/>
      <c r="H22" s="944"/>
      <c r="I22" s="959" t="s">
        <v>810</v>
      </c>
      <c r="J22" s="967" t="s">
        <v>715</v>
      </c>
      <c r="K22" s="948" t="s">
        <v>709</v>
      </c>
      <c r="L22" s="949">
        <v>65.0</v>
      </c>
      <c r="M22" s="949">
        <v>150.0</v>
      </c>
      <c r="N22" s="949">
        <v>40.0</v>
      </c>
      <c r="O22" s="949">
        <v>15.0</v>
      </c>
      <c r="P22" s="949">
        <v>80.0</v>
      </c>
      <c r="Q22" s="949">
        <v>145.0</v>
      </c>
      <c r="R22" s="949">
        <v>326.0</v>
      </c>
      <c r="S22" s="949">
        <v>389.0</v>
      </c>
      <c r="T22" s="949">
        <v>427.0</v>
      </c>
      <c r="U22" s="949"/>
      <c r="V22" s="949"/>
      <c r="W22" s="949"/>
      <c r="X22" s="949"/>
      <c r="Y22" s="949"/>
      <c r="Z22" s="949"/>
      <c r="AA22" s="949"/>
      <c r="AB22" s="949"/>
      <c r="AC22" s="949"/>
      <c r="AD22" s="949"/>
      <c r="AE22" s="949"/>
      <c r="AF22" s="949"/>
      <c r="AG22" s="949"/>
      <c r="AH22" s="949"/>
      <c r="AI22" s="949"/>
      <c r="AJ22" s="949"/>
      <c r="AK22" s="949"/>
      <c r="AL22" s="949"/>
      <c r="AM22" s="953" t="s">
        <v>811</v>
      </c>
      <c r="AN22" s="954"/>
      <c r="AO22" s="955"/>
      <c r="AP22" s="931"/>
      <c r="AQ22" s="956"/>
      <c r="AR22" s="957"/>
      <c r="AS22" s="931"/>
    </row>
    <row r="23" ht="15.75" customHeight="1">
      <c r="A23" s="931"/>
      <c r="B23" s="941" t="s">
        <v>812</v>
      </c>
      <c r="C23" s="942" t="s">
        <v>813</v>
      </c>
      <c r="D23" s="942" t="s">
        <v>813</v>
      </c>
      <c r="E23" s="966" t="s">
        <v>813</v>
      </c>
      <c r="F23" s="935"/>
      <c r="G23" s="944"/>
      <c r="H23" s="944"/>
      <c r="I23" s="959" t="s">
        <v>814</v>
      </c>
      <c r="J23" s="968" t="s">
        <v>703</v>
      </c>
      <c r="K23" s="960" t="s">
        <v>707</v>
      </c>
      <c r="L23" s="949">
        <v>40.0</v>
      </c>
      <c r="M23" s="949">
        <v>45.0</v>
      </c>
      <c r="N23" s="949">
        <v>40.0</v>
      </c>
      <c r="O23" s="949">
        <v>35.0</v>
      </c>
      <c r="P23" s="949">
        <v>35.0</v>
      </c>
      <c r="Q23" s="949">
        <v>56.0</v>
      </c>
      <c r="R23" s="949">
        <v>148.0</v>
      </c>
      <c r="S23" s="949">
        <v>211.0</v>
      </c>
      <c r="T23" s="949">
        <v>232.0</v>
      </c>
      <c r="U23" s="949"/>
      <c r="V23" s="949"/>
      <c r="W23" s="949"/>
      <c r="X23" s="949"/>
      <c r="Y23" s="949"/>
      <c r="Z23" s="949"/>
      <c r="AA23" s="949"/>
      <c r="AB23" s="949"/>
      <c r="AC23" s="949"/>
      <c r="AD23" s="949"/>
      <c r="AE23" s="949"/>
      <c r="AF23" s="949"/>
      <c r="AG23" s="949"/>
      <c r="AH23" s="949"/>
      <c r="AI23" s="949"/>
      <c r="AJ23" s="949"/>
      <c r="AK23" s="949"/>
      <c r="AL23" s="949"/>
      <c r="AM23" s="953" t="s">
        <v>815</v>
      </c>
      <c r="AN23" s="954" t="s">
        <v>816</v>
      </c>
      <c r="AO23" s="955" t="s">
        <v>817</v>
      </c>
      <c r="AP23" s="931"/>
      <c r="AQ23" s="956"/>
      <c r="AR23" s="957"/>
      <c r="AS23" s="931"/>
    </row>
    <row r="24" ht="15.75" customHeight="1">
      <c r="A24" s="931"/>
      <c r="B24" s="941" t="s">
        <v>818</v>
      </c>
      <c r="C24" s="942" t="s">
        <v>819</v>
      </c>
      <c r="D24" s="942" t="s">
        <v>819</v>
      </c>
      <c r="E24" s="966" t="s">
        <v>819</v>
      </c>
      <c r="F24" s="935"/>
      <c r="G24" s="944"/>
      <c r="H24" s="944"/>
      <c r="I24" s="959" t="s">
        <v>820</v>
      </c>
      <c r="J24" s="968" t="s">
        <v>703</v>
      </c>
      <c r="K24" s="960" t="s">
        <v>707</v>
      </c>
      <c r="L24" s="949">
        <v>63.0</v>
      </c>
      <c r="M24" s="949">
        <v>60.0</v>
      </c>
      <c r="N24" s="949">
        <v>55.0</v>
      </c>
      <c r="O24" s="949">
        <v>50.0</v>
      </c>
      <c r="P24" s="949">
        <v>50.0</v>
      </c>
      <c r="Q24" s="949">
        <v>71.0</v>
      </c>
      <c r="R24" s="949">
        <v>178.0</v>
      </c>
      <c r="S24" s="949">
        <v>241.0</v>
      </c>
      <c r="T24" s="949">
        <v>265.0</v>
      </c>
      <c r="U24" s="949"/>
      <c r="V24" s="949"/>
      <c r="W24" s="949"/>
      <c r="X24" s="949"/>
      <c r="Y24" s="949"/>
      <c r="Z24" s="949"/>
      <c r="AA24" s="949"/>
      <c r="AB24" s="949"/>
      <c r="AC24" s="949"/>
      <c r="AD24" s="949"/>
      <c r="AE24" s="949"/>
      <c r="AF24" s="949"/>
      <c r="AG24" s="949"/>
      <c r="AH24" s="949"/>
      <c r="AI24" s="949"/>
      <c r="AJ24" s="949"/>
      <c r="AK24" s="949"/>
      <c r="AL24" s="949"/>
      <c r="AM24" s="953" t="s">
        <v>815</v>
      </c>
      <c r="AN24" s="954" t="s">
        <v>816</v>
      </c>
      <c r="AO24" s="955" t="s">
        <v>817</v>
      </c>
      <c r="AP24" s="931"/>
      <c r="AQ24" s="956"/>
      <c r="AR24" s="957"/>
      <c r="AS24" s="931"/>
    </row>
    <row r="25" ht="15.75" customHeight="1">
      <c r="A25" s="931"/>
      <c r="B25" s="941" t="s">
        <v>821</v>
      </c>
      <c r="C25" s="942" t="s">
        <v>822</v>
      </c>
      <c r="D25" s="942" t="s">
        <v>822</v>
      </c>
      <c r="E25" s="966" t="s">
        <v>822</v>
      </c>
      <c r="F25" s="935"/>
      <c r="G25" s="944"/>
      <c r="H25" s="944"/>
      <c r="I25" s="959" t="s">
        <v>823</v>
      </c>
      <c r="J25" s="968" t="s">
        <v>703</v>
      </c>
      <c r="K25" s="960" t="s">
        <v>707</v>
      </c>
      <c r="L25" s="949">
        <v>83.0</v>
      </c>
      <c r="M25" s="949">
        <v>80.0</v>
      </c>
      <c r="N25" s="949">
        <v>75.0</v>
      </c>
      <c r="O25" s="949">
        <v>70.0</v>
      </c>
      <c r="P25" s="949">
        <v>70.0</v>
      </c>
      <c r="Q25" s="949">
        <v>101.0</v>
      </c>
      <c r="R25" s="949">
        <v>238.0</v>
      </c>
      <c r="S25" s="949">
        <v>301.0</v>
      </c>
      <c r="T25" s="949">
        <v>331.0</v>
      </c>
      <c r="U25" s="949"/>
      <c r="V25" s="949"/>
      <c r="W25" s="949"/>
      <c r="X25" s="949"/>
      <c r="Y25" s="949"/>
      <c r="Z25" s="949"/>
      <c r="AA25" s="949"/>
      <c r="AB25" s="949"/>
      <c r="AC25" s="949"/>
      <c r="AD25" s="949"/>
      <c r="AE25" s="949"/>
      <c r="AF25" s="949"/>
      <c r="AG25" s="949"/>
      <c r="AH25" s="949"/>
      <c r="AI25" s="949"/>
      <c r="AJ25" s="949"/>
      <c r="AK25" s="949"/>
      <c r="AL25" s="949"/>
      <c r="AM25" s="953" t="s">
        <v>815</v>
      </c>
      <c r="AN25" s="954" t="s">
        <v>816</v>
      </c>
      <c r="AO25" s="955" t="s">
        <v>817</v>
      </c>
      <c r="AP25" s="931"/>
      <c r="AQ25" s="956"/>
      <c r="AR25" s="957"/>
      <c r="AS25" s="931"/>
    </row>
    <row r="26" ht="15.75" customHeight="1">
      <c r="A26" s="931"/>
      <c r="B26" s="941" t="s">
        <v>824</v>
      </c>
      <c r="C26" s="942" t="s">
        <v>825</v>
      </c>
      <c r="D26" s="942" t="s">
        <v>825</v>
      </c>
      <c r="E26" s="966" t="s">
        <v>825</v>
      </c>
      <c r="F26" s="935"/>
      <c r="G26" s="944"/>
      <c r="H26" s="944"/>
      <c r="I26" s="959" t="s">
        <v>826</v>
      </c>
      <c r="J26" s="968" t="s">
        <v>703</v>
      </c>
      <c r="K26" s="960" t="s">
        <v>707</v>
      </c>
      <c r="L26" s="949">
        <v>83.0</v>
      </c>
      <c r="M26" s="949">
        <v>80.0</v>
      </c>
      <c r="N26" s="949">
        <v>80.0</v>
      </c>
      <c r="O26" s="949">
        <v>135.0</v>
      </c>
      <c r="P26" s="949">
        <v>80.0</v>
      </c>
      <c r="Q26" s="949">
        <v>121.0</v>
      </c>
      <c r="R26" s="949">
        <v>278.0</v>
      </c>
      <c r="S26" s="949">
        <v>341.0</v>
      </c>
      <c r="T26" s="949">
        <v>375.0</v>
      </c>
      <c r="U26" s="949"/>
      <c r="V26" s="949"/>
      <c r="W26" s="949"/>
      <c r="X26" s="949"/>
      <c r="Y26" s="949"/>
      <c r="Z26" s="949"/>
      <c r="AA26" s="949"/>
      <c r="AB26" s="949"/>
      <c r="AC26" s="949"/>
      <c r="AD26" s="949"/>
      <c r="AE26" s="949"/>
      <c r="AF26" s="949"/>
      <c r="AG26" s="949"/>
      <c r="AH26" s="949"/>
      <c r="AI26" s="949"/>
      <c r="AJ26" s="949"/>
      <c r="AK26" s="949"/>
      <c r="AL26" s="949"/>
      <c r="AM26" s="953" t="s">
        <v>827</v>
      </c>
      <c r="AN26" s="954"/>
      <c r="AO26" s="955"/>
      <c r="AP26" s="931"/>
      <c r="AQ26" s="956"/>
      <c r="AR26" s="957"/>
      <c r="AS26" s="931"/>
    </row>
    <row r="27" ht="15.75" customHeight="1">
      <c r="A27" s="931"/>
      <c r="B27" s="941" t="s">
        <v>828</v>
      </c>
      <c r="C27" s="942" t="s">
        <v>829</v>
      </c>
      <c r="D27" s="942" t="s">
        <v>829</v>
      </c>
      <c r="E27" s="966" t="s">
        <v>829</v>
      </c>
      <c r="F27" s="935"/>
      <c r="G27" s="944"/>
      <c r="H27" s="944"/>
      <c r="I27" s="959" t="s">
        <v>830</v>
      </c>
      <c r="J27" s="968" t="s">
        <v>703</v>
      </c>
      <c r="K27" s="954" t="s">
        <v>158</v>
      </c>
      <c r="L27" s="949">
        <v>30.0</v>
      </c>
      <c r="M27" s="949">
        <v>56.0</v>
      </c>
      <c r="N27" s="949">
        <v>35.0</v>
      </c>
      <c r="O27" s="949">
        <v>25.0</v>
      </c>
      <c r="P27" s="949">
        <v>35.0</v>
      </c>
      <c r="Q27" s="949">
        <v>72.0</v>
      </c>
      <c r="R27" s="949">
        <v>180.0</v>
      </c>
      <c r="S27" s="949">
        <v>243.0</v>
      </c>
      <c r="T27" s="949">
        <v>267.0</v>
      </c>
      <c r="U27" s="949"/>
      <c r="V27" s="949"/>
      <c r="W27" s="949"/>
      <c r="X27" s="949"/>
      <c r="Y27" s="949"/>
      <c r="Z27" s="949"/>
      <c r="AA27" s="949"/>
      <c r="AB27" s="949"/>
      <c r="AC27" s="949"/>
      <c r="AD27" s="949"/>
      <c r="AE27" s="949"/>
      <c r="AF27" s="949"/>
      <c r="AG27" s="949"/>
      <c r="AH27" s="949"/>
      <c r="AI27" s="949"/>
      <c r="AJ27" s="949"/>
      <c r="AK27" s="949"/>
      <c r="AL27" s="949"/>
      <c r="AM27" s="953" t="s">
        <v>787</v>
      </c>
      <c r="AN27" s="954" t="s">
        <v>831</v>
      </c>
      <c r="AO27" s="955" t="s">
        <v>832</v>
      </c>
      <c r="AP27" s="931"/>
      <c r="AQ27" s="956"/>
      <c r="AR27" s="957"/>
      <c r="AS27" s="931"/>
    </row>
    <row r="28" ht="15.75" customHeight="1">
      <c r="A28" s="931"/>
      <c r="B28" s="941" t="s">
        <v>833</v>
      </c>
      <c r="C28" s="942" t="s">
        <v>834</v>
      </c>
      <c r="D28" s="942" t="s">
        <v>834</v>
      </c>
      <c r="E28" s="966" t="s">
        <v>835</v>
      </c>
      <c r="F28" s="935"/>
      <c r="G28" s="944"/>
      <c r="H28" s="944"/>
      <c r="I28" s="959" t="s">
        <v>836</v>
      </c>
      <c r="J28" s="969" t="s">
        <v>718</v>
      </c>
      <c r="K28" s="968" t="s">
        <v>703</v>
      </c>
      <c r="L28" s="949">
        <v>30.0</v>
      </c>
      <c r="M28" s="949">
        <v>56.0</v>
      </c>
      <c r="N28" s="949">
        <v>35.0</v>
      </c>
      <c r="O28" s="949">
        <v>25.0</v>
      </c>
      <c r="P28" s="949">
        <v>35.0</v>
      </c>
      <c r="Q28" s="949">
        <v>72.0</v>
      </c>
      <c r="R28" s="949">
        <v>180.0</v>
      </c>
      <c r="S28" s="949">
        <v>243.0</v>
      </c>
      <c r="T28" s="949">
        <v>267.0</v>
      </c>
      <c r="U28" s="949"/>
      <c r="V28" s="949"/>
      <c r="W28" s="949"/>
      <c r="X28" s="949"/>
      <c r="Y28" s="949"/>
      <c r="Z28" s="949"/>
      <c r="AA28" s="949"/>
      <c r="AB28" s="949"/>
      <c r="AC28" s="949"/>
      <c r="AD28" s="949"/>
      <c r="AE28" s="949"/>
      <c r="AF28" s="949"/>
      <c r="AG28" s="949"/>
      <c r="AH28" s="949"/>
      <c r="AI28" s="949"/>
      <c r="AJ28" s="949"/>
      <c r="AK28" s="949"/>
      <c r="AL28" s="949"/>
      <c r="AM28" s="953" t="s">
        <v>837</v>
      </c>
      <c r="AN28" s="954" t="s">
        <v>832</v>
      </c>
      <c r="AO28" s="955" t="s">
        <v>746</v>
      </c>
      <c r="AP28" s="931"/>
      <c r="AQ28" s="956"/>
      <c r="AR28" s="957"/>
      <c r="AS28" s="931"/>
    </row>
    <row r="29" ht="15.75" customHeight="1">
      <c r="A29" s="931"/>
      <c r="B29" s="941" t="s">
        <v>838</v>
      </c>
      <c r="C29" s="942" t="s">
        <v>839</v>
      </c>
      <c r="D29" s="942" t="s">
        <v>839</v>
      </c>
      <c r="E29" s="966" t="s">
        <v>839</v>
      </c>
      <c r="F29" s="935"/>
      <c r="G29" s="944"/>
      <c r="H29" s="944"/>
      <c r="I29" s="959" t="s">
        <v>840</v>
      </c>
      <c r="J29" s="968" t="s">
        <v>703</v>
      </c>
      <c r="K29" s="954" t="s">
        <v>158</v>
      </c>
      <c r="L29" s="949">
        <v>55.0</v>
      </c>
      <c r="M29" s="949">
        <v>81.0</v>
      </c>
      <c r="N29" s="949">
        <v>60.0</v>
      </c>
      <c r="O29" s="949">
        <v>50.0</v>
      </c>
      <c r="P29" s="949">
        <v>70.0</v>
      </c>
      <c r="Q29" s="949">
        <v>97.0</v>
      </c>
      <c r="R29" s="949">
        <v>230.0</v>
      </c>
      <c r="S29" s="949">
        <v>293.0</v>
      </c>
      <c r="T29" s="949">
        <v>322.0</v>
      </c>
      <c r="U29" s="949"/>
      <c r="V29" s="949"/>
      <c r="W29" s="949"/>
      <c r="X29" s="949"/>
      <c r="Y29" s="949"/>
      <c r="Z29" s="949"/>
      <c r="AA29" s="949"/>
      <c r="AB29" s="949"/>
      <c r="AC29" s="949"/>
      <c r="AD29" s="949"/>
      <c r="AE29" s="949"/>
      <c r="AF29" s="949"/>
      <c r="AG29" s="949"/>
      <c r="AH29" s="949"/>
      <c r="AI29" s="949"/>
      <c r="AJ29" s="949"/>
      <c r="AK29" s="949"/>
      <c r="AL29" s="949"/>
      <c r="AM29" s="953" t="s">
        <v>787</v>
      </c>
      <c r="AN29" s="954" t="s">
        <v>831</v>
      </c>
      <c r="AO29" s="955" t="s">
        <v>832</v>
      </c>
      <c r="AP29" s="931"/>
      <c r="AQ29" s="956"/>
      <c r="AR29" s="957"/>
      <c r="AS29" s="931"/>
    </row>
    <row r="30" ht="15.75" customHeight="1">
      <c r="A30" s="931"/>
      <c r="B30" s="941" t="s">
        <v>841</v>
      </c>
      <c r="C30" s="942" t="s">
        <v>842</v>
      </c>
      <c r="D30" s="942" t="s">
        <v>842</v>
      </c>
      <c r="E30" s="966" t="s">
        <v>843</v>
      </c>
      <c r="F30" s="935"/>
      <c r="G30" s="944"/>
      <c r="H30" s="944"/>
      <c r="I30" s="959" t="s">
        <v>844</v>
      </c>
      <c r="J30" s="969" t="s">
        <v>718</v>
      </c>
      <c r="K30" s="968" t="s">
        <v>703</v>
      </c>
      <c r="L30" s="949">
        <v>75.0</v>
      </c>
      <c r="M30" s="949">
        <v>71.0</v>
      </c>
      <c r="N30" s="949">
        <v>70.0</v>
      </c>
      <c r="O30" s="949">
        <v>40.0</v>
      </c>
      <c r="P30" s="949">
        <v>80.0</v>
      </c>
      <c r="Q30" s="949">
        <v>77.0</v>
      </c>
      <c r="R30" s="949">
        <v>190.0</v>
      </c>
      <c r="S30" s="949">
        <v>253.0</v>
      </c>
      <c r="T30" s="949">
        <v>278.0</v>
      </c>
      <c r="U30" s="949"/>
      <c r="V30" s="949"/>
      <c r="W30" s="949"/>
      <c r="X30" s="949"/>
      <c r="Y30" s="949"/>
      <c r="Z30" s="949"/>
      <c r="AA30" s="949"/>
      <c r="AB30" s="949"/>
      <c r="AC30" s="949"/>
      <c r="AD30" s="949"/>
      <c r="AE30" s="949"/>
      <c r="AF30" s="949"/>
      <c r="AG30" s="949"/>
      <c r="AH30" s="949"/>
      <c r="AI30" s="949"/>
      <c r="AJ30" s="949"/>
      <c r="AK30" s="949"/>
      <c r="AL30" s="949"/>
      <c r="AM30" s="953" t="s">
        <v>837</v>
      </c>
      <c r="AN30" s="954" t="s">
        <v>832</v>
      </c>
      <c r="AO30" s="955" t="s">
        <v>746</v>
      </c>
      <c r="AP30" s="931"/>
      <c r="AQ30" s="956"/>
      <c r="AR30" s="957"/>
      <c r="AS30" s="931"/>
    </row>
    <row r="31" ht="15.75" customHeight="1">
      <c r="A31" s="931"/>
      <c r="B31" s="941" t="s">
        <v>845</v>
      </c>
      <c r="C31" s="942" t="s">
        <v>846</v>
      </c>
      <c r="D31" s="942" t="s">
        <v>846</v>
      </c>
      <c r="E31" s="966" t="s">
        <v>846</v>
      </c>
      <c r="F31" s="935"/>
      <c r="G31" s="944"/>
      <c r="H31" s="944"/>
      <c r="I31" s="959" t="s">
        <v>847</v>
      </c>
      <c r="J31" s="968" t="s">
        <v>703</v>
      </c>
      <c r="K31" s="960" t="s">
        <v>707</v>
      </c>
      <c r="L31" s="949">
        <v>40.0</v>
      </c>
      <c r="M31" s="949">
        <v>60.0</v>
      </c>
      <c r="N31" s="949">
        <v>30.0</v>
      </c>
      <c r="O31" s="949">
        <v>31.0</v>
      </c>
      <c r="P31" s="949">
        <v>31.0</v>
      </c>
      <c r="Q31" s="949">
        <v>70.0</v>
      </c>
      <c r="R31" s="949">
        <v>176.0</v>
      </c>
      <c r="S31" s="949">
        <v>239.0</v>
      </c>
      <c r="T31" s="949">
        <v>262.0</v>
      </c>
      <c r="U31" s="949"/>
      <c r="V31" s="949"/>
      <c r="W31" s="949"/>
      <c r="X31" s="949"/>
      <c r="Y31" s="949"/>
      <c r="Z31" s="949"/>
      <c r="AA31" s="949"/>
      <c r="AB31" s="949"/>
      <c r="AC31" s="949"/>
      <c r="AD31" s="949"/>
      <c r="AE31" s="949"/>
      <c r="AF31" s="949"/>
      <c r="AG31" s="949"/>
      <c r="AH31" s="949"/>
      <c r="AI31" s="949"/>
      <c r="AJ31" s="949"/>
      <c r="AK31" s="949"/>
      <c r="AL31" s="949"/>
      <c r="AM31" s="953" t="s">
        <v>815</v>
      </c>
      <c r="AN31" s="954"/>
      <c r="AO31" s="955" t="s">
        <v>807</v>
      </c>
      <c r="AP31" s="931"/>
      <c r="AQ31" s="956"/>
      <c r="AR31" s="957"/>
      <c r="AS31" s="931"/>
    </row>
    <row r="32" ht="15.75" customHeight="1">
      <c r="A32" s="931"/>
      <c r="B32" s="941" t="s">
        <v>848</v>
      </c>
      <c r="C32" s="942" t="s">
        <v>849</v>
      </c>
      <c r="D32" s="942" t="s">
        <v>849</v>
      </c>
      <c r="E32" s="943" t="s">
        <v>849</v>
      </c>
      <c r="F32" s="935"/>
      <c r="G32" s="944"/>
      <c r="H32" s="944"/>
      <c r="I32" s="946" t="s">
        <v>850</v>
      </c>
      <c r="J32" s="968" t="s">
        <v>703</v>
      </c>
      <c r="K32" s="960" t="s">
        <v>707</v>
      </c>
      <c r="L32" s="949">
        <v>65.0</v>
      </c>
      <c r="M32" s="949">
        <v>90.0</v>
      </c>
      <c r="N32" s="949">
        <v>65.0</v>
      </c>
      <c r="O32" s="949">
        <v>61.0</v>
      </c>
      <c r="P32" s="949">
        <v>61.0</v>
      </c>
      <c r="Q32" s="949">
        <v>100.0</v>
      </c>
      <c r="R32" s="949">
        <v>236.0</v>
      </c>
      <c r="S32" s="949">
        <v>299.0</v>
      </c>
      <c r="T32" s="949">
        <v>328.0</v>
      </c>
      <c r="U32" s="949"/>
      <c r="V32" s="949"/>
      <c r="W32" s="949"/>
      <c r="X32" s="949"/>
      <c r="Y32" s="949"/>
      <c r="Z32" s="949"/>
      <c r="AA32" s="949"/>
      <c r="AB32" s="949"/>
      <c r="AC32" s="949"/>
      <c r="AD32" s="949"/>
      <c r="AE32" s="949"/>
      <c r="AF32" s="949"/>
      <c r="AG32" s="949"/>
      <c r="AH32" s="949"/>
      <c r="AI32" s="949"/>
      <c r="AJ32" s="949"/>
      <c r="AK32" s="949"/>
      <c r="AL32" s="949"/>
      <c r="AM32" s="953" t="s">
        <v>815</v>
      </c>
      <c r="AN32" s="954"/>
      <c r="AO32" s="955" t="s">
        <v>807</v>
      </c>
      <c r="AP32" s="931"/>
      <c r="AQ32" s="956"/>
      <c r="AR32" s="957"/>
      <c r="AS32" s="931"/>
    </row>
    <row r="33" ht="15.75" customHeight="1">
      <c r="A33" s="931"/>
      <c r="B33" s="941" t="s">
        <v>851</v>
      </c>
      <c r="C33" s="942" t="s">
        <v>852</v>
      </c>
      <c r="D33" s="942" t="s">
        <v>852</v>
      </c>
      <c r="E33" s="943" t="s">
        <v>852</v>
      </c>
      <c r="F33" s="935"/>
      <c r="G33" s="944"/>
      <c r="H33" s="944"/>
      <c r="I33" s="959" t="s">
        <v>853</v>
      </c>
      <c r="J33" s="948" t="s">
        <v>709</v>
      </c>
      <c r="K33" s="954" t="s">
        <v>158</v>
      </c>
      <c r="L33" s="949">
        <v>35.0</v>
      </c>
      <c r="M33" s="949">
        <v>60.0</v>
      </c>
      <c r="N33" s="949">
        <v>44.0</v>
      </c>
      <c r="O33" s="949">
        <v>40.0</v>
      </c>
      <c r="P33" s="949">
        <v>54.0</v>
      </c>
      <c r="Q33" s="949">
        <v>55.0</v>
      </c>
      <c r="R33" s="949">
        <v>146.0</v>
      </c>
      <c r="S33" s="949">
        <v>209.0</v>
      </c>
      <c r="T33" s="949">
        <v>229.0</v>
      </c>
      <c r="U33" s="949"/>
      <c r="V33" s="949"/>
      <c r="W33" s="949"/>
      <c r="X33" s="949"/>
      <c r="Y33" s="949"/>
      <c r="Z33" s="949"/>
      <c r="AA33" s="949"/>
      <c r="AB33" s="949"/>
      <c r="AC33" s="949"/>
      <c r="AD33" s="949"/>
      <c r="AE33" s="949"/>
      <c r="AF33" s="949"/>
      <c r="AG33" s="949"/>
      <c r="AH33" s="949"/>
      <c r="AI33" s="949"/>
      <c r="AJ33" s="949"/>
      <c r="AK33" s="949"/>
      <c r="AL33" s="949"/>
      <c r="AM33" s="953" t="s">
        <v>854</v>
      </c>
      <c r="AN33" s="954" t="s">
        <v>791</v>
      </c>
      <c r="AO33" s="955" t="s">
        <v>855</v>
      </c>
      <c r="AP33" s="931"/>
      <c r="AQ33" s="956"/>
      <c r="AR33" s="957"/>
      <c r="AS33" s="931"/>
    </row>
    <row r="34" ht="15.75" customHeight="1">
      <c r="A34" s="931"/>
      <c r="B34" s="941" t="s">
        <v>856</v>
      </c>
      <c r="C34" s="942" t="s">
        <v>857</v>
      </c>
      <c r="D34" s="942" t="s">
        <v>857</v>
      </c>
      <c r="E34" s="943" t="s">
        <v>857</v>
      </c>
      <c r="F34" s="935"/>
      <c r="G34" s="944"/>
      <c r="H34" s="944"/>
      <c r="I34" s="946" t="s">
        <v>858</v>
      </c>
      <c r="J34" s="948" t="s">
        <v>709</v>
      </c>
      <c r="K34" s="954" t="s">
        <v>158</v>
      </c>
      <c r="L34" s="949">
        <v>60.0</v>
      </c>
      <c r="M34" s="949">
        <v>95.0</v>
      </c>
      <c r="N34" s="949">
        <v>69.0</v>
      </c>
      <c r="O34" s="949">
        <v>65.0</v>
      </c>
      <c r="P34" s="949">
        <v>79.0</v>
      </c>
      <c r="Q34" s="949">
        <v>80.0</v>
      </c>
      <c r="R34" s="949">
        <v>196.0</v>
      </c>
      <c r="S34" s="949">
        <v>259.0</v>
      </c>
      <c r="T34" s="949">
        <v>284.0</v>
      </c>
      <c r="U34" s="949"/>
      <c r="V34" s="949"/>
      <c r="W34" s="949"/>
      <c r="X34" s="949"/>
      <c r="Y34" s="949"/>
      <c r="Z34" s="949"/>
      <c r="AA34" s="949"/>
      <c r="AB34" s="949"/>
      <c r="AC34" s="949"/>
      <c r="AD34" s="949"/>
      <c r="AE34" s="949"/>
      <c r="AF34" s="949"/>
      <c r="AG34" s="949"/>
      <c r="AH34" s="949"/>
      <c r="AI34" s="949"/>
      <c r="AJ34" s="949"/>
      <c r="AK34" s="949"/>
      <c r="AL34" s="949"/>
      <c r="AM34" s="953" t="s">
        <v>854</v>
      </c>
      <c r="AN34" s="954" t="s">
        <v>791</v>
      </c>
      <c r="AO34" s="955" t="s">
        <v>855</v>
      </c>
      <c r="AP34" s="931"/>
      <c r="AQ34" s="956"/>
      <c r="AR34" s="957"/>
      <c r="AS34" s="931"/>
    </row>
    <row r="35" ht="15.75" customHeight="1">
      <c r="A35" s="931"/>
      <c r="B35" s="941" t="s">
        <v>859</v>
      </c>
      <c r="C35" s="942" t="s">
        <v>860</v>
      </c>
      <c r="D35" s="942" t="s">
        <v>860</v>
      </c>
      <c r="E35" s="943" t="s">
        <v>860</v>
      </c>
      <c r="F35" s="935"/>
      <c r="G35" s="944"/>
      <c r="H35" s="944"/>
      <c r="I35" s="946" t="s">
        <v>469</v>
      </c>
      <c r="J35" s="970" t="s">
        <v>710</v>
      </c>
      <c r="K35" s="954" t="s">
        <v>158</v>
      </c>
      <c r="L35" s="949">
        <v>35.0</v>
      </c>
      <c r="M35" s="949">
        <v>55.0</v>
      </c>
      <c r="N35" s="949">
        <v>40.0</v>
      </c>
      <c r="O35" s="949">
        <v>50.0</v>
      </c>
      <c r="P35" s="949">
        <v>50.0</v>
      </c>
      <c r="Q35" s="949">
        <v>90.0</v>
      </c>
      <c r="R35" s="949">
        <v>216.0</v>
      </c>
      <c r="S35" s="949">
        <v>279.0</v>
      </c>
      <c r="T35" s="949">
        <v>306.0</v>
      </c>
      <c r="U35" s="949"/>
      <c r="V35" s="949"/>
      <c r="W35" s="949"/>
      <c r="X35" s="949"/>
      <c r="Y35" s="949"/>
      <c r="Z35" s="949"/>
      <c r="AA35" s="949"/>
      <c r="AB35" s="949"/>
      <c r="AC35" s="949"/>
      <c r="AD35" s="949"/>
      <c r="AE35" s="949"/>
      <c r="AF35" s="949"/>
      <c r="AG35" s="949"/>
      <c r="AH35" s="949"/>
      <c r="AI35" s="949"/>
      <c r="AJ35" s="949"/>
      <c r="AK35" s="949"/>
      <c r="AL35" s="949"/>
      <c r="AM35" s="953" t="s">
        <v>861</v>
      </c>
      <c r="AN35" s="954"/>
      <c r="AO35" s="955" t="s">
        <v>862</v>
      </c>
      <c r="AP35" s="931"/>
      <c r="AQ35" s="956"/>
      <c r="AR35" s="957"/>
      <c r="AS35" s="931"/>
    </row>
    <row r="36" ht="15.75" customHeight="1">
      <c r="A36" s="931"/>
      <c r="B36" s="941" t="s">
        <v>863</v>
      </c>
      <c r="C36" s="942" t="s">
        <v>864</v>
      </c>
      <c r="D36" s="942" t="s">
        <v>860</v>
      </c>
      <c r="E36" s="943" t="s">
        <v>864</v>
      </c>
      <c r="F36" s="935"/>
      <c r="G36" s="944"/>
      <c r="H36" s="944"/>
      <c r="I36" s="946" t="s">
        <v>865</v>
      </c>
      <c r="J36" s="970" t="s">
        <v>710</v>
      </c>
      <c r="K36" s="954" t="s">
        <v>158</v>
      </c>
      <c r="L36" s="949">
        <v>35.0</v>
      </c>
      <c r="M36" s="949">
        <v>55.0</v>
      </c>
      <c r="N36" s="949">
        <v>40.0</v>
      </c>
      <c r="O36" s="949">
        <v>50.0</v>
      </c>
      <c r="P36" s="949">
        <v>50.0</v>
      </c>
      <c r="Q36" s="949">
        <v>90.0</v>
      </c>
      <c r="R36" s="949">
        <v>216.0</v>
      </c>
      <c r="S36" s="949">
        <v>279.0</v>
      </c>
      <c r="T36" s="949">
        <v>306.0</v>
      </c>
      <c r="U36" s="949"/>
      <c r="V36" s="949"/>
      <c r="W36" s="949"/>
      <c r="X36" s="949"/>
      <c r="Y36" s="949"/>
      <c r="Z36" s="949"/>
      <c r="AA36" s="949"/>
      <c r="AB36" s="949"/>
      <c r="AC36" s="949"/>
      <c r="AD36" s="949"/>
      <c r="AE36" s="949"/>
      <c r="AF36" s="949"/>
      <c r="AG36" s="949"/>
      <c r="AH36" s="949"/>
      <c r="AI36" s="949"/>
      <c r="AJ36" s="949"/>
      <c r="AK36" s="949"/>
      <c r="AL36" s="949"/>
      <c r="AM36" s="953" t="s">
        <v>861</v>
      </c>
      <c r="AN36" s="954"/>
      <c r="AO36" s="955" t="s">
        <v>862</v>
      </c>
      <c r="AP36" s="931"/>
      <c r="AQ36" s="956"/>
      <c r="AR36" s="957"/>
      <c r="AS36" s="931"/>
    </row>
    <row r="37" ht="15.75" customHeight="1">
      <c r="A37" s="931"/>
      <c r="B37" s="941" t="s">
        <v>866</v>
      </c>
      <c r="C37" s="942" t="s">
        <v>867</v>
      </c>
      <c r="D37" s="942" t="s">
        <v>868</v>
      </c>
      <c r="E37" s="943" t="s">
        <v>867</v>
      </c>
      <c r="F37" s="935"/>
      <c r="G37" s="944"/>
      <c r="H37" s="944"/>
      <c r="I37" s="946" t="s">
        <v>869</v>
      </c>
      <c r="J37" s="970" t="s">
        <v>710</v>
      </c>
      <c r="K37" s="954" t="s">
        <v>158</v>
      </c>
      <c r="L37" s="949">
        <v>35.0</v>
      </c>
      <c r="M37" s="949">
        <v>55.0</v>
      </c>
      <c r="N37" s="949">
        <v>40.0</v>
      </c>
      <c r="O37" s="949">
        <v>50.0</v>
      </c>
      <c r="P37" s="949">
        <v>50.0</v>
      </c>
      <c r="Q37" s="949">
        <v>90.0</v>
      </c>
      <c r="R37" s="949">
        <v>216.0</v>
      </c>
      <c r="S37" s="949">
        <v>279.0</v>
      </c>
      <c r="T37" s="949">
        <v>306.0</v>
      </c>
      <c r="U37" s="949"/>
      <c r="V37" s="949"/>
      <c r="W37" s="949"/>
      <c r="X37" s="949"/>
      <c r="Y37" s="949"/>
      <c r="Z37" s="949"/>
      <c r="AA37" s="949"/>
      <c r="AB37" s="949"/>
      <c r="AC37" s="949"/>
      <c r="AD37" s="949"/>
      <c r="AE37" s="949"/>
      <c r="AF37" s="949"/>
      <c r="AG37" s="949"/>
      <c r="AH37" s="949"/>
      <c r="AI37" s="949"/>
      <c r="AJ37" s="949"/>
      <c r="AK37" s="949"/>
      <c r="AL37" s="949"/>
      <c r="AM37" s="953" t="s">
        <v>861</v>
      </c>
      <c r="AN37" s="954"/>
      <c r="AO37" s="955" t="s">
        <v>862</v>
      </c>
      <c r="AP37" s="931"/>
      <c r="AQ37" s="956"/>
      <c r="AR37" s="957"/>
      <c r="AS37" s="931"/>
    </row>
    <row r="38" ht="15.75" customHeight="1">
      <c r="A38" s="963"/>
      <c r="B38" s="941" t="s">
        <v>870</v>
      </c>
      <c r="C38" s="971" t="s">
        <v>871</v>
      </c>
      <c r="D38" s="971" t="s">
        <v>871</v>
      </c>
      <c r="E38" s="966" t="s">
        <v>871</v>
      </c>
      <c r="F38" s="935"/>
      <c r="G38" s="944"/>
      <c r="H38" s="944"/>
      <c r="I38" s="959" t="s">
        <v>872</v>
      </c>
      <c r="J38" s="972" t="s">
        <v>710</v>
      </c>
      <c r="K38" s="973" t="s">
        <v>158</v>
      </c>
      <c r="L38" s="974">
        <v>35.0</v>
      </c>
      <c r="M38" s="974">
        <v>55.0</v>
      </c>
      <c r="N38" s="974">
        <v>40.0</v>
      </c>
      <c r="O38" s="974">
        <v>50.0</v>
      </c>
      <c r="P38" s="974">
        <v>50.0</v>
      </c>
      <c r="Q38" s="974">
        <v>90.0</v>
      </c>
      <c r="R38" s="949">
        <v>216.0</v>
      </c>
      <c r="S38" s="949">
        <v>279.0</v>
      </c>
      <c r="T38" s="949">
        <v>306.0</v>
      </c>
      <c r="U38" s="949"/>
      <c r="V38" s="949"/>
      <c r="W38" s="949"/>
      <c r="X38" s="949"/>
      <c r="Y38" s="949"/>
      <c r="Z38" s="949"/>
      <c r="AA38" s="949"/>
      <c r="AB38" s="949"/>
      <c r="AC38" s="949"/>
      <c r="AD38" s="949"/>
      <c r="AE38" s="949"/>
      <c r="AF38" s="949"/>
      <c r="AG38" s="949"/>
      <c r="AH38" s="949"/>
      <c r="AI38" s="949"/>
      <c r="AJ38" s="949"/>
      <c r="AK38" s="949"/>
      <c r="AL38" s="949"/>
      <c r="AM38" s="964" t="s">
        <v>861</v>
      </c>
      <c r="AN38" s="973"/>
      <c r="AO38" s="965" t="s">
        <v>862</v>
      </c>
      <c r="AP38" s="931"/>
      <c r="AQ38" s="956"/>
      <c r="AR38" s="957"/>
      <c r="AS38" s="931"/>
    </row>
    <row r="39" ht="15.75" customHeight="1">
      <c r="A39" s="931"/>
      <c r="B39" s="941" t="s">
        <v>873</v>
      </c>
      <c r="C39" s="942" t="s">
        <v>874</v>
      </c>
      <c r="D39" s="942" t="s">
        <v>875</v>
      </c>
      <c r="E39" s="943" t="s">
        <v>874</v>
      </c>
      <c r="F39" s="935"/>
      <c r="G39" s="944"/>
      <c r="H39" s="944"/>
      <c r="I39" s="946" t="s">
        <v>876</v>
      </c>
      <c r="J39" s="970" t="s">
        <v>710</v>
      </c>
      <c r="K39" s="954" t="s">
        <v>158</v>
      </c>
      <c r="L39" s="949">
        <v>35.0</v>
      </c>
      <c r="M39" s="949">
        <v>55.0</v>
      </c>
      <c r="N39" s="949">
        <v>40.0</v>
      </c>
      <c r="O39" s="949">
        <v>50.0</v>
      </c>
      <c r="P39" s="949">
        <v>50.0</v>
      </c>
      <c r="Q39" s="949">
        <v>90.0</v>
      </c>
      <c r="R39" s="949">
        <v>216.0</v>
      </c>
      <c r="S39" s="949">
        <v>279.0</v>
      </c>
      <c r="T39" s="949">
        <v>306.0</v>
      </c>
      <c r="U39" s="949"/>
      <c r="V39" s="949"/>
      <c r="W39" s="949"/>
      <c r="X39" s="949"/>
      <c r="Y39" s="949"/>
      <c r="Z39" s="949"/>
      <c r="AA39" s="949"/>
      <c r="AB39" s="949"/>
      <c r="AC39" s="949"/>
      <c r="AD39" s="949"/>
      <c r="AE39" s="949"/>
      <c r="AF39" s="949"/>
      <c r="AG39" s="949"/>
      <c r="AH39" s="949"/>
      <c r="AI39" s="949"/>
      <c r="AJ39" s="949"/>
      <c r="AK39" s="949"/>
      <c r="AL39" s="949"/>
      <c r="AM39" s="953" t="s">
        <v>861</v>
      </c>
      <c r="AN39" s="954"/>
      <c r="AO39" s="955" t="s">
        <v>862</v>
      </c>
      <c r="AP39" s="931"/>
      <c r="AQ39" s="956"/>
      <c r="AR39" s="957"/>
      <c r="AS39" s="931"/>
    </row>
    <row r="40" ht="15.75" customHeight="1">
      <c r="A40" s="963"/>
      <c r="B40" s="941" t="s">
        <v>877</v>
      </c>
      <c r="C40" s="942" t="s">
        <v>878</v>
      </c>
      <c r="D40" s="942" t="s">
        <v>878</v>
      </c>
      <c r="E40" s="943" t="s">
        <v>878</v>
      </c>
      <c r="F40" s="935"/>
      <c r="G40" s="944"/>
      <c r="H40" s="944"/>
      <c r="I40" s="946" t="s">
        <v>879</v>
      </c>
      <c r="J40" s="970" t="s">
        <v>710</v>
      </c>
      <c r="K40" s="954" t="s">
        <v>158</v>
      </c>
      <c r="L40" s="949">
        <v>35.0</v>
      </c>
      <c r="M40" s="949">
        <v>55.0</v>
      </c>
      <c r="N40" s="949">
        <v>40.0</v>
      </c>
      <c r="O40" s="949">
        <v>50.0</v>
      </c>
      <c r="P40" s="949">
        <v>50.0</v>
      </c>
      <c r="Q40" s="949">
        <v>90.0</v>
      </c>
      <c r="R40" s="949">
        <v>216.0</v>
      </c>
      <c r="S40" s="949">
        <v>279.0</v>
      </c>
      <c r="T40" s="949">
        <v>306.0</v>
      </c>
      <c r="U40" s="949"/>
      <c r="V40" s="949"/>
      <c r="W40" s="949"/>
      <c r="X40" s="949"/>
      <c r="Y40" s="949"/>
      <c r="Z40" s="949"/>
      <c r="AA40" s="949"/>
      <c r="AB40" s="949"/>
      <c r="AC40" s="949"/>
      <c r="AD40" s="949"/>
      <c r="AE40" s="949"/>
      <c r="AF40" s="949"/>
      <c r="AG40" s="949"/>
      <c r="AH40" s="949"/>
      <c r="AI40" s="949"/>
      <c r="AJ40" s="949"/>
      <c r="AK40" s="949"/>
      <c r="AL40" s="949"/>
      <c r="AM40" s="964" t="s">
        <v>861</v>
      </c>
      <c r="AN40" s="973"/>
      <c r="AO40" s="965" t="s">
        <v>862</v>
      </c>
      <c r="AP40" s="931"/>
      <c r="AQ40" s="956"/>
      <c r="AR40" s="957"/>
      <c r="AS40" s="931"/>
    </row>
    <row r="41" ht="15.75" customHeight="1">
      <c r="A41" s="963"/>
      <c r="B41" s="941" t="s">
        <v>880</v>
      </c>
      <c r="C41" s="942" t="s">
        <v>881</v>
      </c>
      <c r="D41" s="942" t="s">
        <v>881</v>
      </c>
      <c r="E41" s="943" t="s">
        <v>881</v>
      </c>
      <c r="F41" s="935"/>
      <c r="G41" s="944"/>
      <c r="H41" s="944"/>
      <c r="I41" s="946" t="s">
        <v>882</v>
      </c>
      <c r="J41" s="970" t="s">
        <v>710</v>
      </c>
      <c r="K41" s="954" t="s">
        <v>158</v>
      </c>
      <c r="L41" s="949">
        <v>35.0</v>
      </c>
      <c r="M41" s="949">
        <v>55.0</v>
      </c>
      <c r="N41" s="949">
        <v>40.0</v>
      </c>
      <c r="O41" s="949">
        <v>50.0</v>
      </c>
      <c r="P41" s="949">
        <v>50.0</v>
      </c>
      <c r="Q41" s="949">
        <v>90.0</v>
      </c>
      <c r="R41" s="949">
        <v>216.0</v>
      </c>
      <c r="S41" s="949">
        <v>279.0</v>
      </c>
      <c r="T41" s="949">
        <v>306.0</v>
      </c>
      <c r="U41" s="949"/>
      <c r="V41" s="949"/>
      <c r="W41" s="949"/>
      <c r="X41" s="949"/>
      <c r="Y41" s="949"/>
      <c r="Z41" s="949"/>
      <c r="AA41" s="949"/>
      <c r="AB41" s="949"/>
      <c r="AC41" s="949"/>
      <c r="AD41" s="949"/>
      <c r="AE41" s="949"/>
      <c r="AF41" s="949"/>
      <c r="AG41" s="949"/>
      <c r="AH41" s="949"/>
      <c r="AI41" s="949"/>
      <c r="AJ41" s="949"/>
      <c r="AK41" s="949"/>
      <c r="AL41" s="949"/>
      <c r="AM41" s="964" t="s">
        <v>861</v>
      </c>
      <c r="AN41" s="973"/>
      <c r="AO41" s="965" t="s">
        <v>862</v>
      </c>
      <c r="AP41" s="931"/>
      <c r="AQ41" s="956"/>
      <c r="AR41" s="957"/>
      <c r="AS41" s="931"/>
    </row>
    <row r="42" ht="15.75" customHeight="1">
      <c r="A42" s="931"/>
      <c r="B42" s="941" t="s">
        <v>883</v>
      </c>
      <c r="C42" s="942" t="s">
        <v>884</v>
      </c>
      <c r="D42" s="942" t="s">
        <v>885</v>
      </c>
      <c r="E42" s="943" t="s">
        <v>884</v>
      </c>
      <c r="F42" s="935"/>
      <c r="G42" s="944"/>
      <c r="H42" s="944"/>
      <c r="I42" s="959" t="s">
        <v>886</v>
      </c>
      <c r="J42" s="970" t="s">
        <v>710</v>
      </c>
      <c r="K42" s="954" t="s">
        <v>158</v>
      </c>
      <c r="L42" s="949">
        <v>35.0</v>
      </c>
      <c r="M42" s="949">
        <v>55.0</v>
      </c>
      <c r="N42" s="949">
        <v>40.0</v>
      </c>
      <c r="O42" s="949">
        <v>50.0</v>
      </c>
      <c r="P42" s="949">
        <v>50.0</v>
      </c>
      <c r="Q42" s="949">
        <v>90.0</v>
      </c>
      <c r="R42" s="949">
        <v>216.0</v>
      </c>
      <c r="S42" s="949">
        <v>279.0</v>
      </c>
      <c r="T42" s="949">
        <v>306.0</v>
      </c>
      <c r="U42" s="949"/>
      <c r="V42" s="949"/>
      <c r="W42" s="949"/>
      <c r="X42" s="949"/>
      <c r="Y42" s="949"/>
      <c r="Z42" s="949"/>
      <c r="AA42" s="949"/>
      <c r="AB42" s="949"/>
      <c r="AC42" s="949"/>
      <c r="AD42" s="949"/>
      <c r="AE42" s="949"/>
      <c r="AF42" s="949"/>
      <c r="AG42" s="949"/>
      <c r="AH42" s="949"/>
      <c r="AI42" s="949"/>
      <c r="AJ42" s="949"/>
      <c r="AK42" s="949"/>
      <c r="AL42" s="949"/>
      <c r="AM42" s="953" t="s">
        <v>861</v>
      </c>
      <c r="AN42" s="954"/>
      <c r="AO42" s="955" t="s">
        <v>862</v>
      </c>
      <c r="AP42" s="931"/>
      <c r="AQ42" s="956"/>
      <c r="AR42" s="957"/>
      <c r="AS42" s="931"/>
    </row>
    <row r="43" ht="15.75" customHeight="1">
      <c r="A43" s="931"/>
      <c r="B43" s="941" t="s">
        <v>887</v>
      </c>
      <c r="C43" s="942" t="s">
        <v>888</v>
      </c>
      <c r="D43" s="942" t="s">
        <v>889</v>
      </c>
      <c r="E43" s="943" t="s">
        <v>888</v>
      </c>
      <c r="F43" s="935"/>
      <c r="G43" s="944"/>
      <c r="H43" s="944"/>
      <c r="I43" s="959" t="s">
        <v>890</v>
      </c>
      <c r="J43" s="970" t="s">
        <v>710</v>
      </c>
      <c r="K43" s="954" t="s">
        <v>158</v>
      </c>
      <c r="L43" s="949">
        <v>35.0</v>
      </c>
      <c r="M43" s="949">
        <v>55.0</v>
      </c>
      <c r="N43" s="949">
        <v>40.0</v>
      </c>
      <c r="O43" s="949">
        <v>50.0</v>
      </c>
      <c r="P43" s="949">
        <v>50.0</v>
      </c>
      <c r="Q43" s="949">
        <v>90.0</v>
      </c>
      <c r="R43" s="949">
        <v>216.0</v>
      </c>
      <c r="S43" s="949">
        <v>279.0</v>
      </c>
      <c r="T43" s="949">
        <v>306.0</v>
      </c>
      <c r="U43" s="949"/>
      <c r="V43" s="949"/>
      <c r="W43" s="949"/>
      <c r="X43" s="949"/>
      <c r="Y43" s="949"/>
      <c r="Z43" s="949"/>
      <c r="AA43" s="949"/>
      <c r="AB43" s="949"/>
      <c r="AC43" s="949"/>
      <c r="AD43" s="949"/>
      <c r="AE43" s="949"/>
      <c r="AF43" s="949"/>
      <c r="AG43" s="949"/>
      <c r="AH43" s="949"/>
      <c r="AI43" s="949"/>
      <c r="AJ43" s="949"/>
      <c r="AK43" s="949"/>
      <c r="AL43" s="949"/>
      <c r="AM43" s="953" t="s">
        <v>861</v>
      </c>
      <c r="AN43" s="954"/>
      <c r="AO43" s="955" t="s">
        <v>862</v>
      </c>
      <c r="AP43" s="931"/>
      <c r="AQ43" s="956"/>
      <c r="AR43" s="957"/>
      <c r="AS43" s="931"/>
    </row>
    <row r="44" ht="15.75" customHeight="1">
      <c r="A44" s="963"/>
      <c r="B44" s="941" t="s">
        <v>891</v>
      </c>
      <c r="C44" s="971" t="s">
        <v>892</v>
      </c>
      <c r="D44" s="971" t="s">
        <v>893</v>
      </c>
      <c r="E44" s="966" t="s">
        <v>892</v>
      </c>
      <c r="F44" s="935"/>
      <c r="G44" s="944"/>
      <c r="H44" s="944"/>
      <c r="I44" s="959" t="s">
        <v>894</v>
      </c>
      <c r="J44" s="972" t="s">
        <v>710</v>
      </c>
      <c r="K44" s="973" t="s">
        <v>158</v>
      </c>
      <c r="L44" s="974">
        <v>35.0</v>
      </c>
      <c r="M44" s="974">
        <v>55.0</v>
      </c>
      <c r="N44" s="974">
        <v>40.0</v>
      </c>
      <c r="O44" s="974">
        <v>50.0</v>
      </c>
      <c r="P44" s="974">
        <v>50.0</v>
      </c>
      <c r="Q44" s="974">
        <v>90.0</v>
      </c>
      <c r="R44" s="949">
        <v>216.0</v>
      </c>
      <c r="S44" s="949">
        <v>279.0</v>
      </c>
      <c r="T44" s="949">
        <v>306.0</v>
      </c>
      <c r="U44" s="949"/>
      <c r="V44" s="949"/>
      <c r="W44" s="949"/>
      <c r="X44" s="949"/>
      <c r="Y44" s="949"/>
      <c r="Z44" s="949"/>
      <c r="AA44" s="949"/>
      <c r="AB44" s="949"/>
      <c r="AC44" s="949"/>
      <c r="AD44" s="949"/>
      <c r="AE44" s="949"/>
      <c r="AF44" s="949"/>
      <c r="AG44" s="949"/>
      <c r="AH44" s="949"/>
      <c r="AI44" s="949"/>
      <c r="AJ44" s="949"/>
      <c r="AK44" s="949"/>
      <c r="AL44" s="949"/>
      <c r="AM44" s="964" t="s">
        <v>861</v>
      </c>
      <c r="AN44" s="954"/>
      <c r="AO44" s="965" t="s">
        <v>862</v>
      </c>
      <c r="AP44" s="931"/>
      <c r="AQ44" s="956"/>
      <c r="AR44" s="957"/>
      <c r="AS44" s="931"/>
    </row>
    <row r="45" ht="15.75" customHeight="1">
      <c r="A45" s="931"/>
      <c r="B45" s="941" t="s">
        <v>895</v>
      </c>
      <c r="C45" s="942" t="s">
        <v>896</v>
      </c>
      <c r="D45" s="942" t="s">
        <v>897</v>
      </c>
      <c r="E45" s="943" t="s">
        <v>896</v>
      </c>
      <c r="F45" s="935"/>
      <c r="G45" s="944"/>
      <c r="H45" s="944"/>
      <c r="I45" s="946" t="s">
        <v>898</v>
      </c>
      <c r="J45" s="970" t="s">
        <v>710</v>
      </c>
      <c r="K45" s="954" t="s">
        <v>158</v>
      </c>
      <c r="L45" s="949">
        <v>35.0</v>
      </c>
      <c r="M45" s="949">
        <v>55.0</v>
      </c>
      <c r="N45" s="949">
        <v>40.0</v>
      </c>
      <c r="O45" s="949">
        <v>50.0</v>
      </c>
      <c r="P45" s="949">
        <v>50.0</v>
      </c>
      <c r="Q45" s="949">
        <v>90.0</v>
      </c>
      <c r="R45" s="949">
        <v>216.0</v>
      </c>
      <c r="S45" s="949">
        <v>279.0</v>
      </c>
      <c r="T45" s="949">
        <v>306.0</v>
      </c>
      <c r="U45" s="949"/>
      <c r="V45" s="949"/>
      <c r="W45" s="949"/>
      <c r="X45" s="949"/>
      <c r="Y45" s="949"/>
      <c r="Z45" s="949"/>
      <c r="AA45" s="949"/>
      <c r="AB45" s="949"/>
      <c r="AC45" s="949"/>
      <c r="AD45" s="949"/>
      <c r="AE45" s="949"/>
      <c r="AF45" s="949"/>
      <c r="AG45" s="949"/>
      <c r="AH45" s="949"/>
      <c r="AI45" s="949"/>
      <c r="AJ45" s="949"/>
      <c r="AK45" s="949"/>
      <c r="AL45" s="949"/>
      <c r="AM45" s="953" t="s">
        <v>861</v>
      </c>
      <c r="AN45" s="954"/>
      <c r="AO45" s="955" t="s">
        <v>862</v>
      </c>
      <c r="AP45" s="931"/>
      <c r="AQ45" s="956"/>
      <c r="AR45" s="957"/>
      <c r="AS45" s="931"/>
    </row>
    <row r="46" ht="15.75" customHeight="1">
      <c r="A46" s="931"/>
      <c r="B46" s="941" t="s">
        <v>899</v>
      </c>
      <c r="C46" s="942" t="s">
        <v>900</v>
      </c>
      <c r="D46" s="942" t="s">
        <v>901</v>
      </c>
      <c r="E46" s="943" t="s">
        <v>900</v>
      </c>
      <c r="F46" s="935"/>
      <c r="G46" s="944"/>
      <c r="H46" s="944"/>
      <c r="I46" s="959" t="s">
        <v>902</v>
      </c>
      <c r="J46" s="970" t="s">
        <v>710</v>
      </c>
      <c r="K46" s="954" t="s">
        <v>158</v>
      </c>
      <c r="L46" s="949">
        <v>35.0</v>
      </c>
      <c r="M46" s="949">
        <v>55.0</v>
      </c>
      <c r="N46" s="949">
        <v>40.0</v>
      </c>
      <c r="O46" s="949">
        <v>50.0</v>
      </c>
      <c r="P46" s="949">
        <v>50.0</v>
      </c>
      <c r="Q46" s="949">
        <v>90.0</v>
      </c>
      <c r="R46" s="949">
        <v>216.0</v>
      </c>
      <c r="S46" s="949">
        <v>279.0</v>
      </c>
      <c r="T46" s="949">
        <v>306.0</v>
      </c>
      <c r="U46" s="949"/>
      <c r="V46" s="949"/>
      <c r="W46" s="949"/>
      <c r="X46" s="949"/>
      <c r="Y46" s="949"/>
      <c r="Z46" s="949"/>
      <c r="AA46" s="949"/>
      <c r="AB46" s="949"/>
      <c r="AC46" s="949"/>
      <c r="AD46" s="949"/>
      <c r="AE46" s="949"/>
      <c r="AF46" s="949"/>
      <c r="AG46" s="949"/>
      <c r="AH46" s="949"/>
      <c r="AI46" s="949"/>
      <c r="AJ46" s="949"/>
      <c r="AK46" s="949"/>
      <c r="AL46" s="949"/>
      <c r="AM46" s="964" t="s">
        <v>861</v>
      </c>
      <c r="AN46" s="954"/>
      <c r="AO46" s="955" t="s">
        <v>862</v>
      </c>
      <c r="AP46" s="931"/>
      <c r="AQ46" s="956"/>
      <c r="AR46" s="957"/>
      <c r="AS46" s="931"/>
    </row>
    <row r="47" ht="15.75" customHeight="1">
      <c r="A47" s="931"/>
      <c r="B47" s="941" t="s">
        <v>903</v>
      </c>
      <c r="C47" s="942" t="s">
        <v>904</v>
      </c>
      <c r="D47" s="942" t="s">
        <v>905</v>
      </c>
      <c r="E47" s="943" t="s">
        <v>904</v>
      </c>
      <c r="F47" s="935"/>
      <c r="G47" s="944"/>
      <c r="H47" s="944"/>
      <c r="I47" s="946" t="s">
        <v>906</v>
      </c>
      <c r="J47" s="970" t="s">
        <v>710</v>
      </c>
      <c r="K47" s="954" t="s">
        <v>158</v>
      </c>
      <c r="L47" s="949">
        <v>35.0</v>
      </c>
      <c r="M47" s="949">
        <v>55.0</v>
      </c>
      <c r="N47" s="949">
        <v>40.0</v>
      </c>
      <c r="O47" s="949">
        <v>50.0</v>
      </c>
      <c r="P47" s="949">
        <v>50.0</v>
      </c>
      <c r="Q47" s="949">
        <v>90.0</v>
      </c>
      <c r="R47" s="949">
        <v>216.0</v>
      </c>
      <c r="S47" s="949">
        <v>279.0</v>
      </c>
      <c r="T47" s="949">
        <v>306.0</v>
      </c>
      <c r="U47" s="949"/>
      <c r="V47" s="949"/>
      <c r="W47" s="949"/>
      <c r="X47" s="949"/>
      <c r="Y47" s="949"/>
      <c r="Z47" s="949"/>
      <c r="AA47" s="949"/>
      <c r="AB47" s="949"/>
      <c r="AC47" s="949"/>
      <c r="AD47" s="949"/>
      <c r="AE47" s="949"/>
      <c r="AF47" s="949"/>
      <c r="AG47" s="949"/>
      <c r="AH47" s="949"/>
      <c r="AI47" s="949"/>
      <c r="AJ47" s="949"/>
      <c r="AK47" s="949"/>
      <c r="AL47" s="949"/>
      <c r="AM47" s="964" t="s">
        <v>861</v>
      </c>
      <c r="AN47" s="954"/>
      <c r="AO47" s="955" t="s">
        <v>862</v>
      </c>
      <c r="AP47" s="931"/>
      <c r="AQ47" s="956"/>
      <c r="AR47" s="957"/>
      <c r="AS47" s="931"/>
    </row>
    <row r="48" ht="15.75" customHeight="1">
      <c r="A48" s="931"/>
      <c r="B48" s="941" t="s">
        <v>907</v>
      </c>
      <c r="C48" s="942" t="s">
        <v>908</v>
      </c>
      <c r="D48" s="942" t="s">
        <v>909</v>
      </c>
      <c r="E48" s="943" t="s">
        <v>908</v>
      </c>
      <c r="F48" s="935"/>
      <c r="G48" s="944"/>
      <c r="H48" s="944"/>
      <c r="I48" s="946" t="s">
        <v>910</v>
      </c>
      <c r="J48" s="970" t="s">
        <v>710</v>
      </c>
      <c r="K48" s="954" t="s">
        <v>158</v>
      </c>
      <c r="L48" s="949">
        <v>35.0</v>
      </c>
      <c r="M48" s="949">
        <v>55.0</v>
      </c>
      <c r="N48" s="949">
        <v>40.0</v>
      </c>
      <c r="O48" s="949">
        <v>50.0</v>
      </c>
      <c r="P48" s="949">
        <v>50.0</v>
      </c>
      <c r="Q48" s="949">
        <v>90.0</v>
      </c>
      <c r="R48" s="949">
        <v>216.0</v>
      </c>
      <c r="S48" s="949">
        <v>279.0</v>
      </c>
      <c r="T48" s="949">
        <v>306.0</v>
      </c>
      <c r="U48" s="949"/>
      <c r="V48" s="949"/>
      <c r="W48" s="949"/>
      <c r="X48" s="949"/>
      <c r="Y48" s="949"/>
      <c r="Z48" s="949"/>
      <c r="AA48" s="949"/>
      <c r="AB48" s="949"/>
      <c r="AC48" s="949"/>
      <c r="AD48" s="949"/>
      <c r="AE48" s="949"/>
      <c r="AF48" s="949"/>
      <c r="AG48" s="949"/>
      <c r="AH48" s="949"/>
      <c r="AI48" s="949"/>
      <c r="AJ48" s="949"/>
      <c r="AK48" s="949"/>
      <c r="AL48" s="949"/>
      <c r="AM48" s="964" t="s">
        <v>861</v>
      </c>
      <c r="AN48" s="954"/>
      <c r="AO48" s="955" t="s">
        <v>862</v>
      </c>
      <c r="AP48" s="931"/>
      <c r="AQ48" s="956"/>
      <c r="AR48" s="957"/>
      <c r="AS48" s="931"/>
    </row>
    <row r="49" ht="15.75" customHeight="1">
      <c r="A49" s="931"/>
      <c r="B49" s="941" t="s">
        <v>911</v>
      </c>
      <c r="C49" s="942" t="s">
        <v>912</v>
      </c>
      <c r="D49" s="942" t="s">
        <v>912</v>
      </c>
      <c r="E49" s="943" t="s">
        <v>912</v>
      </c>
      <c r="F49" s="935"/>
      <c r="G49" s="944"/>
      <c r="H49" s="944"/>
      <c r="I49" s="946" t="s">
        <v>913</v>
      </c>
      <c r="J49" s="970" t="s">
        <v>710</v>
      </c>
      <c r="K49" s="954" t="s">
        <v>158</v>
      </c>
      <c r="L49" s="949">
        <v>45.0</v>
      </c>
      <c r="M49" s="949">
        <v>80.0</v>
      </c>
      <c r="N49" s="949">
        <v>50.0</v>
      </c>
      <c r="O49" s="949">
        <v>75.0</v>
      </c>
      <c r="P49" s="949">
        <v>60.0</v>
      </c>
      <c r="Q49" s="949">
        <v>120.0</v>
      </c>
      <c r="R49" s="949">
        <v>276.0</v>
      </c>
      <c r="S49" s="949">
        <v>339.0</v>
      </c>
      <c r="T49" s="949">
        <v>372.0</v>
      </c>
      <c r="U49" s="949"/>
      <c r="V49" s="949"/>
      <c r="W49" s="949"/>
      <c r="X49" s="949"/>
      <c r="Y49" s="949"/>
      <c r="Z49" s="949"/>
      <c r="AA49" s="949"/>
      <c r="AB49" s="949"/>
      <c r="AC49" s="949"/>
      <c r="AD49" s="949"/>
      <c r="AE49" s="949"/>
      <c r="AF49" s="949"/>
      <c r="AG49" s="949"/>
      <c r="AH49" s="949"/>
      <c r="AI49" s="949"/>
      <c r="AJ49" s="949"/>
      <c r="AK49" s="949"/>
      <c r="AL49" s="949"/>
      <c r="AM49" s="964" t="s">
        <v>861</v>
      </c>
      <c r="AN49" s="954"/>
      <c r="AO49" s="955" t="s">
        <v>862</v>
      </c>
      <c r="AP49" s="931"/>
      <c r="AQ49" s="956"/>
      <c r="AR49" s="957"/>
      <c r="AS49" s="931"/>
    </row>
    <row r="50" ht="15.75" customHeight="1">
      <c r="A50" s="931"/>
      <c r="B50" s="941" t="s">
        <v>914</v>
      </c>
      <c r="C50" s="942" t="s">
        <v>214</v>
      </c>
      <c r="D50" s="942" t="s">
        <v>214</v>
      </c>
      <c r="E50" s="943" t="s">
        <v>214</v>
      </c>
      <c r="F50" s="935"/>
      <c r="G50" s="944"/>
      <c r="H50" s="944"/>
      <c r="I50" s="946" t="s">
        <v>110</v>
      </c>
      <c r="J50" s="970" t="s">
        <v>710</v>
      </c>
      <c r="K50" s="954" t="s">
        <v>158</v>
      </c>
      <c r="L50" s="949">
        <v>60.0</v>
      </c>
      <c r="M50" s="949">
        <v>90.0</v>
      </c>
      <c r="N50" s="949">
        <v>55.0</v>
      </c>
      <c r="O50" s="949">
        <v>90.0</v>
      </c>
      <c r="P50" s="949">
        <v>80.0</v>
      </c>
      <c r="Q50" s="949">
        <v>110.0</v>
      </c>
      <c r="R50" s="949">
        <v>256.0</v>
      </c>
      <c r="S50" s="949">
        <v>319.0</v>
      </c>
      <c r="T50" s="949">
        <v>350.0</v>
      </c>
      <c r="U50" s="949"/>
      <c r="V50" s="949"/>
      <c r="W50" s="949"/>
      <c r="X50" s="949"/>
      <c r="Y50" s="949"/>
      <c r="Z50" s="949"/>
      <c r="AA50" s="949"/>
      <c r="AB50" s="949"/>
      <c r="AC50" s="949"/>
      <c r="AD50" s="949"/>
      <c r="AE50" s="949"/>
      <c r="AF50" s="949"/>
      <c r="AG50" s="949"/>
      <c r="AH50" s="949"/>
      <c r="AI50" s="949"/>
      <c r="AJ50" s="949"/>
      <c r="AK50" s="949"/>
      <c r="AL50" s="949"/>
      <c r="AM50" s="964" t="s">
        <v>861</v>
      </c>
      <c r="AN50" s="954"/>
      <c r="AO50" s="955" t="s">
        <v>862</v>
      </c>
      <c r="AP50" s="931"/>
      <c r="AQ50" s="956"/>
      <c r="AR50" s="957"/>
      <c r="AS50" s="931"/>
    </row>
    <row r="51" ht="15.75" customHeight="1">
      <c r="A51" s="931"/>
      <c r="B51" s="941" t="s">
        <v>915</v>
      </c>
      <c r="C51" s="942" t="s">
        <v>916</v>
      </c>
      <c r="D51" s="942" t="s">
        <v>916</v>
      </c>
      <c r="E51" s="943" t="s">
        <v>917</v>
      </c>
      <c r="F51" s="935"/>
      <c r="G51" s="944"/>
      <c r="H51" s="944"/>
      <c r="I51" s="946" t="s">
        <v>918</v>
      </c>
      <c r="J51" s="970" t="s">
        <v>710</v>
      </c>
      <c r="K51" s="975" t="s">
        <v>712</v>
      </c>
      <c r="L51" s="949">
        <v>60.0</v>
      </c>
      <c r="M51" s="949">
        <v>85.0</v>
      </c>
      <c r="N51" s="949">
        <v>50.0</v>
      </c>
      <c r="O51" s="949">
        <v>95.0</v>
      </c>
      <c r="P51" s="949">
        <v>85.0</v>
      </c>
      <c r="Q51" s="949">
        <v>110.0</v>
      </c>
      <c r="R51" s="949">
        <v>256.0</v>
      </c>
      <c r="S51" s="949">
        <v>319.0</v>
      </c>
      <c r="T51" s="949">
        <v>350.0</v>
      </c>
      <c r="U51" s="949"/>
      <c r="V51" s="949"/>
      <c r="W51" s="949"/>
      <c r="X51" s="949"/>
      <c r="Y51" s="949"/>
      <c r="Z51" s="949"/>
      <c r="AA51" s="949"/>
      <c r="AB51" s="949"/>
      <c r="AC51" s="949"/>
      <c r="AD51" s="949"/>
      <c r="AE51" s="949"/>
      <c r="AF51" s="949"/>
      <c r="AG51" s="949"/>
      <c r="AH51" s="949"/>
      <c r="AI51" s="949"/>
      <c r="AJ51" s="949"/>
      <c r="AK51" s="949"/>
      <c r="AL51" s="949"/>
      <c r="AM51" s="964" t="s">
        <v>919</v>
      </c>
      <c r="AN51" s="954"/>
      <c r="AO51" s="955"/>
      <c r="AP51" s="931"/>
      <c r="AQ51" s="956"/>
      <c r="AR51" s="957"/>
      <c r="AS51" s="931"/>
    </row>
    <row r="52" ht="15.75" customHeight="1">
      <c r="A52" s="931"/>
      <c r="B52" s="941" t="s">
        <v>920</v>
      </c>
      <c r="C52" s="942" t="s">
        <v>921</v>
      </c>
      <c r="D52" s="942" t="s">
        <v>921</v>
      </c>
      <c r="E52" s="943" t="s">
        <v>921</v>
      </c>
      <c r="F52" s="935"/>
      <c r="G52" s="944"/>
      <c r="H52" s="944"/>
      <c r="I52" s="946" t="s">
        <v>922</v>
      </c>
      <c r="J52" s="976" t="s">
        <v>711</v>
      </c>
      <c r="K52" s="954" t="s">
        <v>158</v>
      </c>
      <c r="L52" s="949">
        <v>50.0</v>
      </c>
      <c r="M52" s="949">
        <v>75.0</v>
      </c>
      <c r="N52" s="949">
        <v>85.0</v>
      </c>
      <c r="O52" s="949">
        <v>20.0</v>
      </c>
      <c r="P52" s="949">
        <v>30.0</v>
      </c>
      <c r="Q52" s="949">
        <v>40.0</v>
      </c>
      <c r="R52" s="949">
        <v>116.0</v>
      </c>
      <c r="S52" s="949">
        <v>179.0</v>
      </c>
      <c r="T52" s="949">
        <v>196.0</v>
      </c>
      <c r="U52" s="949"/>
      <c r="V52" s="949"/>
      <c r="W52" s="949"/>
      <c r="X52" s="949"/>
      <c r="Y52" s="949"/>
      <c r="Z52" s="949"/>
      <c r="AA52" s="949"/>
      <c r="AB52" s="949"/>
      <c r="AC52" s="949"/>
      <c r="AD52" s="949"/>
      <c r="AE52" s="949"/>
      <c r="AF52" s="949"/>
      <c r="AG52" s="949"/>
      <c r="AH52" s="949"/>
      <c r="AI52" s="949"/>
      <c r="AJ52" s="949"/>
      <c r="AK52" s="949"/>
      <c r="AL52" s="949"/>
      <c r="AM52" s="964" t="s">
        <v>923</v>
      </c>
      <c r="AN52" s="954"/>
      <c r="AO52" s="955" t="s">
        <v>924</v>
      </c>
      <c r="AP52" s="931"/>
      <c r="AQ52" s="956"/>
      <c r="AR52" s="957"/>
      <c r="AS52" s="931"/>
    </row>
    <row r="53" ht="15.75" customHeight="1">
      <c r="A53" s="931"/>
      <c r="B53" s="941" t="s">
        <v>925</v>
      </c>
      <c r="C53" s="942" t="s">
        <v>926</v>
      </c>
      <c r="D53" s="942" t="s">
        <v>926</v>
      </c>
      <c r="E53" s="943" t="s">
        <v>927</v>
      </c>
      <c r="F53" s="935"/>
      <c r="G53" s="944"/>
      <c r="H53" s="944"/>
      <c r="I53" s="946" t="s">
        <v>928</v>
      </c>
      <c r="J53" s="977" t="s">
        <v>714</v>
      </c>
      <c r="K53" s="978" t="s">
        <v>719</v>
      </c>
      <c r="L53" s="949">
        <v>50.0</v>
      </c>
      <c r="M53" s="949">
        <v>75.0</v>
      </c>
      <c r="N53" s="949">
        <v>90.0</v>
      </c>
      <c r="O53" s="949">
        <v>10.0</v>
      </c>
      <c r="P53" s="949">
        <v>35.0</v>
      </c>
      <c r="Q53" s="949">
        <v>40.0</v>
      </c>
      <c r="R53" s="949">
        <v>116.0</v>
      </c>
      <c r="S53" s="949">
        <v>179.0</v>
      </c>
      <c r="T53" s="949">
        <v>196.0</v>
      </c>
      <c r="U53" s="949"/>
      <c r="V53" s="949"/>
      <c r="W53" s="949"/>
      <c r="X53" s="949"/>
      <c r="Y53" s="949"/>
      <c r="Z53" s="949"/>
      <c r="AA53" s="949"/>
      <c r="AB53" s="949"/>
      <c r="AC53" s="949"/>
      <c r="AD53" s="949"/>
      <c r="AE53" s="949"/>
      <c r="AF53" s="949"/>
      <c r="AG53" s="949"/>
      <c r="AH53" s="949"/>
      <c r="AI53" s="949"/>
      <c r="AJ53" s="949"/>
      <c r="AK53" s="949"/>
      <c r="AL53" s="949"/>
      <c r="AM53" s="964" t="s">
        <v>929</v>
      </c>
      <c r="AN53" s="954"/>
      <c r="AO53" s="955" t="s">
        <v>930</v>
      </c>
      <c r="AP53" s="931"/>
      <c r="AQ53" s="956"/>
      <c r="AR53" s="957"/>
      <c r="AS53" s="931"/>
    </row>
    <row r="54" ht="15.75" customHeight="1">
      <c r="A54" s="931"/>
      <c r="B54" s="941" t="s">
        <v>931</v>
      </c>
      <c r="C54" s="942" t="s">
        <v>932</v>
      </c>
      <c r="D54" s="942" t="s">
        <v>932</v>
      </c>
      <c r="E54" s="943" t="s">
        <v>932</v>
      </c>
      <c r="F54" s="935"/>
      <c r="G54" s="944"/>
      <c r="H54" s="944"/>
      <c r="I54" s="946" t="s">
        <v>933</v>
      </c>
      <c r="J54" s="976" t="s">
        <v>711</v>
      </c>
      <c r="K54" s="954" t="s">
        <v>158</v>
      </c>
      <c r="L54" s="949">
        <v>75.0</v>
      </c>
      <c r="M54" s="949">
        <v>100.0</v>
      </c>
      <c r="N54" s="949">
        <v>110.0</v>
      </c>
      <c r="O54" s="949">
        <v>45.0</v>
      </c>
      <c r="P54" s="949">
        <v>55.0</v>
      </c>
      <c r="Q54" s="949">
        <v>65.0</v>
      </c>
      <c r="R54" s="949">
        <v>166.0</v>
      </c>
      <c r="S54" s="949">
        <v>229.0</v>
      </c>
      <c r="T54" s="949">
        <v>251.0</v>
      </c>
      <c r="U54" s="949"/>
      <c r="V54" s="949"/>
      <c r="W54" s="949"/>
      <c r="X54" s="949"/>
      <c r="Y54" s="949"/>
      <c r="Z54" s="949"/>
      <c r="AA54" s="949"/>
      <c r="AB54" s="949"/>
      <c r="AC54" s="949"/>
      <c r="AD54" s="949"/>
      <c r="AE54" s="949"/>
      <c r="AF54" s="949"/>
      <c r="AG54" s="949"/>
      <c r="AH54" s="949"/>
      <c r="AI54" s="949"/>
      <c r="AJ54" s="949"/>
      <c r="AK54" s="949"/>
      <c r="AL54" s="949"/>
      <c r="AM54" s="964" t="s">
        <v>923</v>
      </c>
      <c r="AN54" s="954"/>
      <c r="AO54" s="955" t="s">
        <v>924</v>
      </c>
      <c r="AP54" s="931"/>
      <c r="AQ54" s="956"/>
      <c r="AR54" s="957"/>
      <c r="AS54" s="931"/>
    </row>
    <row r="55" ht="15.75" customHeight="1">
      <c r="A55" s="931"/>
      <c r="B55" s="941" t="s">
        <v>934</v>
      </c>
      <c r="C55" s="942" t="s">
        <v>935</v>
      </c>
      <c r="D55" s="942" t="s">
        <v>935</v>
      </c>
      <c r="E55" s="943" t="s">
        <v>936</v>
      </c>
      <c r="F55" s="935"/>
      <c r="G55" s="944"/>
      <c r="H55" s="944"/>
      <c r="I55" s="946" t="s">
        <v>937</v>
      </c>
      <c r="J55" s="977" t="s">
        <v>714</v>
      </c>
      <c r="K55" s="978" t="s">
        <v>719</v>
      </c>
      <c r="L55" s="949">
        <v>75.0</v>
      </c>
      <c r="M55" s="949">
        <v>100.0</v>
      </c>
      <c r="N55" s="949">
        <v>120.0</v>
      </c>
      <c r="O55" s="949">
        <v>25.0</v>
      </c>
      <c r="P55" s="949">
        <v>65.0</v>
      </c>
      <c r="Q55" s="949">
        <v>65.0</v>
      </c>
      <c r="R55" s="949">
        <v>166.0</v>
      </c>
      <c r="S55" s="949">
        <v>229.0</v>
      </c>
      <c r="T55" s="949">
        <v>251.0</v>
      </c>
      <c r="U55" s="949"/>
      <c r="V55" s="949"/>
      <c r="W55" s="949"/>
      <c r="X55" s="949"/>
      <c r="Y55" s="949"/>
      <c r="Z55" s="949"/>
      <c r="AA55" s="949"/>
      <c r="AB55" s="949"/>
      <c r="AC55" s="949"/>
      <c r="AD55" s="949"/>
      <c r="AE55" s="949"/>
      <c r="AF55" s="949"/>
      <c r="AG55" s="949"/>
      <c r="AH55" s="949"/>
      <c r="AI55" s="949"/>
      <c r="AJ55" s="949"/>
      <c r="AK55" s="949"/>
      <c r="AL55" s="949"/>
      <c r="AM55" s="964" t="s">
        <v>929</v>
      </c>
      <c r="AN55" s="954"/>
      <c r="AO55" s="955" t="s">
        <v>930</v>
      </c>
      <c r="AP55" s="931"/>
      <c r="AQ55" s="956"/>
      <c r="AR55" s="957"/>
      <c r="AS55" s="931"/>
    </row>
    <row r="56" ht="15.75" customHeight="1">
      <c r="A56" s="931"/>
      <c r="B56" s="941" t="s">
        <v>938</v>
      </c>
      <c r="C56" s="942" t="s">
        <v>939</v>
      </c>
      <c r="D56" s="942" t="s">
        <v>940</v>
      </c>
      <c r="E56" s="943" t="s">
        <v>939</v>
      </c>
      <c r="F56" s="935"/>
      <c r="G56" s="944"/>
      <c r="H56" s="944"/>
      <c r="I56" s="946" t="s">
        <v>941</v>
      </c>
      <c r="J56" s="948" t="s">
        <v>709</v>
      </c>
      <c r="K56" s="954" t="s">
        <v>158</v>
      </c>
      <c r="L56" s="949">
        <v>55.0</v>
      </c>
      <c r="M56" s="949">
        <v>47.0</v>
      </c>
      <c r="N56" s="949">
        <v>52.0</v>
      </c>
      <c r="O56" s="949">
        <v>40.0</v>
      </c>
      <c r="P56" s="949">
        <v>40.0</v>
      </c>
      <c r="Q56" s="949">
        <v>41.0</v>
      </c>
      <c r="R56" s="949">
        <v>118.0</v>
      </c>
      <c r="S56" s="949">
        <v>181.0</v>
      </c>
      <c r="T56" s="949">
        <v>199.0</v>
      </c>
      <c r="U56" s="949"/>
      <c r="V56" s="949"/>
      <c r="W56" s="949"/>
      <c r="X56" s="949"/>
      <c r="Y56" s="949"/>
      <c r="Z56" s="949"/>
      <c r="AA56" s="949"/>
      <c r="AB56" s="949"/>
      <c r="AC56" s="949"/>
      <c r="AD56" s="949"/>
      <c r="AE56" s="949"/>
      <c r="AF56" s="949"/>
      <c r="AG56" s="949"/>
      <c r="AH56" s="949"/>
      <c r="AI56" s="949"/>
      <c r="AJ56" s="949"/>
      <c r="AK56" s="949"/>
      <c r="AL56" s="949"/>
      <c r="AM56" s="964" t="s">
        <v>942</v>
      </c>
      <c r="AN56" s="954" t="s">
        <v>943</v>
      </c>
      <c r="AO56" s="955" t="s">
        <v>832</v>
      </c>
      <c r="AP56" s="931"/>
      <c r="AQ56" s="956"/>
      <c r="AR56" s="957"/>
      <c r="AS56" s="931"/>
    </row>
    <row r="57" ht="15.75" customHeight="1">
      <c r="A57" s="931"/>
      <c r="B57" s="941" t="s">
        <v>944</v>
      </c>
      <c r="C57" s="942" t="s">
        <v>945</v>
      </c>
      <c r="D57" s="942" t="s">
        <v>945</v>
      </c>
      <c r="E57" s="943" t="s">
        <v>945</v>
      </c>
      <c r="F57" s="935"/>
      <c r="G57" s="944"/>
      <c r="H57" s="944"/>
      <c r="I57" s="946" t="s">
        <v>946</v>
      </c>
      <c r="J57" s="948" t="s">
        <v>709</v>
      </c>
      <c r="K57" s="954" t="s">
        <v>158</v>
      </c>
      <c r="L57" s="949">
        <v>70.0</v>
      </c>
      <c r="M57" s="949">
        <v>62.0</v>
      </c>
      <c r="N57" s="949">
        <v>67.0</v>
      </c>
      <c r="O57" s="949">
        <v>55.0</v>
      </c>
      <c r="P57" s="949">
        <v>55.0</v>
      </c>
      <c r="Q57" s="949">
        <v>56.0</v>
      </c>
      <c r="R57" s="949">
        <v>148.0</v>
      </c>
      <c r="S57" s="949">
        <v>211.0</v>
      </c>
      <c r="T57" s="949">
        <v>232.0</v>
      </c>
      <c r="U57" s="949"/>
      <c r="V57" s="949"/>
      <c r="W57" s="949"/>
      <c r="X57" s="949"/>
      <c r="Y57" s="949"/>
      <c r="Z57" s="949"/>
      <c r="AA57" s="949"/>
      <c r="AB57" s="949"/>
      <c r="AC57" s="949"/>
      <c r="AD57" s="949"/>
      <c r="AE57" s="949"/>
      <c r="AF57" s="949"/>
      <c r="AG57" s="949"/>
      <c r="AH57" s="949"/>
      <c r="AI57" s="949"/>
      <c r="AJ57" s="949"/>
      <c r="AK57" s="949"/>
      <c r="AL57" s="949"/>
      <c r="AM57" s="964" t="s">
        <v>942</v>
      </c>
      <c r="AN57" s="954" t="s">
        <v>943</v>
      </c>
      <c r="AO57" s="955" t="s">
        <v>832</v>
      </c>
      <c r="AP57" s="931"/>
      <c r="AQ57" s="956"/>
      <c r="AR57" s="957"/>
      <c r="AS57" s="931"/>
    </row>
    <row r="58" ht="15.75" customHeight="1">
      <c r="A58" s="931"/>
      <c r="B58" s="941" t="s">
        <v>947</v>
      </c>
      <c r="C58" s="942" t="s">
        <v>948</v>
      </c>
      <c r="D58" s="942" t="s">
        <v>948</v>
      </c>
      <c r="E58" s="943" t="s">
        <v>948</v>
      </c>
      <c r="F58" s="935"/>
      <c r="G58" s="944"/>
      <c r="H58" s="944"/>
      <c r="I58" s="946" t="s">
        <v>729</v>
      </c>
      <c r="J58" s="948" t="s">
        <v>709</v>
      </c>
      <c r="K58" s="976" t="s">
        <v>711</v>
      </c>
      <c r="L58" s="949">
        <v>90.0</v>
      </c>
      <c r="M58" s="949">
        <v>92.0</v>
      </c>
      <c r="N58" s="949">
        <v>87.0</v>
      </c>
      <c r="O58" s="949">
        <v>75.0</v>
      </c>
      <c r="P58" s="949">
        <v>85.0</v>
      </c>
      <c r="Q58" s="949">
        <v>76.0</v>
      </c>
      <c r="R58" s="949">
        <v>188.0</v>
      </c>
      <c r="S58" s="949">
        <v>251.0</v>
      </c>
      <c r="T58" s="949">
        <v>276.0</v>
      </c>
      <c r="U58" s="949"/>
      <c r="V58" s="949"/>
      <c r="W58" s="949"/>
      <c r="X58" s="949"/>
      <c r="Y58" s="949"/>
      <c r="Z58" s="949"/>
      <c r="AA58" s="949"/>
      <c r="AB58" s="949"/>
      <c r="AC58" s="949"/>
      <c r="AD58" s="949"/>
      <c r="AE58" s="949"/>
      <c r="AF58" s="949"/>
      <c r="AG58" s="949"/>
      <c r="AH58" s="949"/>
      <c r="AI58" s="949"/>
      <c r="AJ58" s="949"/>
      <c r="AK58" s="949"/>
      <c r="AL58" s="949"/>
      <c r="AM58" s="964" t="s">
        <v>942</v>
      </c>
      <c r="AN58" s="954" t="s">
        <v>943</v>
      </c>
      <c r="AO58" s="955" t="s">
        <v>949</v>
      </c>
      <c r="AP58" s="931"/>
      <c r="AQ58" s="956"/>
      <c r="AR58" s="957"/>
      <c r="AS58" s="931"/>
    </row>
    <row r="59" ht="15.75" customHeight="1">
      <c r="A59" s="931"/>
      <c r="B59" s="941" t="s">
        <v>950</v>
      </c>
      <c r="C59" s="942" t="s">
        <v>951</v>
      </c>
      <c r="D59" s="942" t="s">
        <v>952</v>
      </c>
      <c r="E59" s="943" t="s">
        <v>951</v>
      </c>
      <c r="F59" s="935"/>
      <c r="G59" s="944"/>
      <c r="H59" s="944"/>
      <c r="I59" s="946" t="s">
        <v>953</v>
      </c>
      <c r="J59" s="948" t="s">
        <v>709</v>
      </c>
      <c r="K59" s="954" t="s">
        <v>158</v>
      </c>
      <c r="L59" s="949">
        <v>46.0</v>
      </c>
      <c r="M59" s="949">
        <v>57.0</v>
      </c>
      <c r="N59" s="949">
        <v>40.0</v>
      </c>
      <c r="O59" s="949">
        <v>40.0</v>
      </c>
      <c r="P59" s="949">
        <v>40.0</v>
      </c>
      <c r="Q59" s="949">
        <v>50.0</v>
      </c>
      <c r="R59" s="949">
        <v>136.0</v>
      </c>
      <c r="S59" s="949">
        <v>199.0</v>
      </c>
      <c r="T59" s="949">
        <v>218.0</v>
      </c>
      <c r="U59" s="949"/>
      <c r="V59" s="949"/>
      <c r="W59" s="949"/>
      <c r="X59" s="949"/>
      <c r="Y59" s="949"/>
      <c r="Z59" s="949"/>
      <c r="AA59" s="949"/>
      <c r="AB59" s="949"/>
      <c r="AC59" s="949"/>
      <c r="AD59" s="949"/>
      <c r="AE59" s="949"/>
      <c r="AF59" s="949"/>
      <c r="AG59" s="949"/>
      <c r="AH59" s="949"/>
      <c r="AI59" s="949"/>
      <c r="AJ59" s="949"/>
      <c r="AK59" s="949"/>
      <c r="AL59" s="949"/>
      <c r="AM59" s="964" t="s">
        <v>942</v>
      </c>
      <c r="AN59" s="954" t="s">
        <v>943</v>
      </c>
      <c r="AO59" s="955" t="s">
        <v>832</v>
      </c>
      <c r="AP59" s="931"/>
      <c r="AQ59" s="956"/>
      <c r="AR59" s="957"/>
      <c r="AS59" s="931"/>
    </row>
    <row r="60" ht="15.75" customHeight="1">
      <c r="A60" s="931"/>
      <c r="B60" s="941" t="s">
        <v>954</v>
      </c>
      <c r="C60" s="942" t="s">
        <v>955</v>
      </c>
      <c r="D60" s="942" t="s">
        <v>955</v>
      </c>
      <c r="E60" s="943" t="s">
        <v>955</v>
      </c>
      <c r="F60" s="935"/>
      <c r="G60" s="944"/>
      <c r="H60" s="944"/>
      <c r="I60" s="946" t="s">
        <v>956</v>
      </c>
      <c r="J60" s="948" t="s">
        <v>709</v>
      </c>
      <c r="K60" s="954" t="s">
        <v>158</v>
      </c>
      <c r="L60" s="949">
        <v>61.0</v>
      </c>
      <c r="M60" s="949">
        <v>72.0</v>
      </c>
      <c r="N60" s="949">
        <v>57.0</v>
      </c>
      <c r="O60" s="949">
        <v>55.0</v>
      </c>
      <c r="P60" s="949">
        <v>55.0</v>
      </c>
      <c r="Q60" s="949">
        <v>65.0</v>
      </c>
      <c r="R60" s="949">
        <v>166.0</v>
      </c>
      <c r="S60" s="949">
        <v>229.0</v>
      </c>
      <c r="T60" s="949">
        <v>251.0</v>
      </c>
      <c r="U60" s="949"/>
      <c r="V60" s="949"/>
      <c r="W60" s="949"/>
      <c r="X60" s="949"/>
      <c r="Y60" s="949"/>
      <c r="Z60" s="949"/>
      <c r="AA60" s="949"/>
      <c r="AB60" s="949"/>
      <c r="AC60" s="949"/>
      <c r="AD60" s="949"/>
      <c r="AE60" s="949"/>
      <c r="AF60" s="949"/>
      <c r="AG60" s="949"/>
      <c r="AH60" s="949"/>
      <c r="AI60" s="949"/>
      <c r="AJ60" s="949"/>
      <c r="AK60" s="949"/>
      <c r="AL60" s="949"/>
      <c r="AM60" s="964" t="s">
        <v>942</v>
      </c>
      <c r="AN60" s="954" t="s">
        <v>943</v>
      </c>
      <c r="AO60" s="955" t="s">
        <v>832</v>
      </c>
      <c r="AP60" s="931"/>
      <c r="AQ60" s="956"/>
      <c r="AR60" s="957"/>
      <c r="AS60" s="931"/>
    </row>
    <row r="61" ht="15.75" customHeight="1">
      <c r="A61" s="931"/>
      <c r="B61" s="941" t="s">
        <v>957</v>
      </c>
      <c r="C61" s="942" t="s">
        <v>958</v>
      </c>
      <c r="D61" s="942" t="s">
        <v>958</v>
      </c>
      <c r="E61" s="943" t="s">
        <v>958</v>
      </c>
      <c r="F61" s="935"/>
      <c r="G61" s="944"/>
      <c r="H61" s="944"/>
      <c r="I61" s="946" t="s">
        <v>730</v>
      </c>
      <c r="J61" s="948" t="s">
        <v>709</v>
      </c>
      <c r="K61" s="976" t="s">
        <v>711</v>
      </c>
      <c r="L61" s="949">
        <v>81.0</v>
      </c>
      <c r="M61" s="949">
        <v>102.0</v>
      </c>
      <c r="N61" s="949">
        <v>77.0</v>
      </c>
      <c r="O61" s="949">
        <v>85.0</v>
      </c>
      <c r="P61" s="949">
        <v>75.0</v>
      </c>
      <c r="Q61" s="949">
        <v>85.0</v>
      </c>
      <c r="R61" s="949">
        <v>206.0</v>
      </c>
      <c r="S61" s="949">
        <v>269.0</v>
      </c>
      <c r="T61" s="949">
        <v>295.0</v>
      </c>
      <c r="U61" s="949"/>
      <c r="V61" s="949"/>
      <c r="W61" s="949"/>
      <c r="X61" s="949"/>
      <c r="Y61" s="949"/>
      <c r="Z61" s="949"/>
      <c r="AA61" s="949"/>
      <c r="AB61" s="949"/>
      <c r="AC61" s="949"/>
      <c r="AD61" s="949"/>
      <c r="AE61" s="949"/>
      <c r="AF61" s="949"/>
      <c r="AG61" s="949"/>
      <c r="AH61" s="949"/>
      <c r="AI61" s="949"/>
      <c r="AJ61" s="949"/>
      <c r="AK61" s="949"/>
      <c r="AL61" s="949"/>
      <c r="AM61" s="964" t="s">
        <v>942</v>
      </c>
      <c r="AN61" s="954" t="s">
        <v>943</v>
      </c>
      <c r="AO61" s="955" t="s">
        <v>949</v>
      </c>
      <c r="AP61" s="931"/>
      <c r="AQ61" s="956"/>
      <c r="AR61" s="957"/>
      <c r="AS61" s="931"/>
    </row>
    <row r="62" ht="15.75" customHeight="1">
      <c r="A62" s="931"/>
      <c r="B62" s="941" t="s">
        <v>959</v>
      </c>
      <c r="C62" s="942" t="s">
        <v>960</v>
      </c>
      <c r="D62" s="942" t="s">
        <v>960</v>
      </c>
      <c r="E62" s="943" t="s">
        <v>960</v>
      </c>
      <c r="F62" s="935"/>
      <c r="G62" s="944"/>
      <c r="H62" s="944"/>
      <c r="I62" s="946" t="s">
        <v>961</v>
      </c>
      <c r="J62" s="980" t="s">
        <v>720</v>
      </c>
      <c r="K62" s="954" t="s">
        <v>158</v>
      </c>
      <c r="L62" s="949">
        <v>70.0</v>
      </c>
      <c r="M62" s="949">
        <v>45.0</v>
      </c>
      <c r="N62" s="949">
        <v>48.0</v>
      </c>
      <c r="O62" s="949">
        <v>60.0</v>
      </c>
      <c r="P62" s="949">
        <v>65.0</v>
      </c>
      <c r="Q62" s="949">
        <v>35.0</v>
      </c>
      <c r="R62" s="949">
        <v>106.0</v>
      </c>
      <c r="S62" s="949">
        <v>169.0</v>
      </c>
      <c r="T62" s="949">
        <v>185.0</v>
      </c>
      <c r="U62" s="949"/>
      <c r="V62" s="949"/>
      <c r="W62" s="949"/>
      <c r="X62" s="949"/>
      <c r="Y62" s="949"/>
      <c r="Z62" s="949"/>
      <c r="AA62" s="949"/>
      <c r="AB62" s="949"/>
      <c r="AC62" s="949"/>
      <c r="AD62" s="949"/>
      <c r="AE62" s="949"/>
      <c r="AF62" s="949"/>
      <c r="AG62" s="949"/>
      <c r="AH62" s="949"/>
      <c r="AI62" s="949"/>
      <c r="AJ62" s="949"/>
      <c r="AK62" s="949"/>
      <c r="AL62" s="949"/>
      <c r="AM62" s="964" t="s">
        <v>962</v>
      </c>
      <c r="AN62" s="954" t="s">
        <v>963</v>
      </c>
      <c r="AO62" s="955" t="s">
        <v>964</v>
      </c>
      <c r="AP62" s="931"/>
      <c r="AQ62" s="956"/>
      <c r="AR62" s="957"/>
      <c r="AS62" s="931"/>
    </row>
    <row r="63" ht="15.75" customHeight="1">
      <c r="A63" s="931"/>
      <c r="B63" s="941" t="s">
        <v>965</v>
      </c>
      <c r="C63" s="942" t="s">
        <v>966</v>
      </c>
      <c r="D63" s="942" t="s">
        <v>966</v>
      </c>
      <c r="E63" s="943" t="s">
        <v>966</v>
      </c>
      <c r="F63" s="935"/>
      <c r="G63" s="944"/>
      <c r="H63" s="944"/>
      <c r="I63" s="946" t="s">
        <v>967</v>
      </c>
      <c r="J63" s="980" t="s">
        <v>720</v>
      </c>
      <c r="K63" s="954" t="s">
        <v>158</v>
      </c>
      <c r="L63" s="949">
        <v>95.0</v>
      </c>
      <c r="M63" s="949">
        <v>70.0</v>
      </c>
      <c r="N63" s="949">
        <v>73.0</v>
      </c>
      <c r="O63" s="949">
        <v>95.0</v>
      </c>
      <c r="P63" s="949">
        <v>90.0</v>
      </c>
      <c r="Q63" s="949">
        <v>60.0</v>
      </c>
      <c r="R63" s="949">
        <v>156.0</v>
      </c>
      <c r="S63" s="949">
        <v>219.0</v>
      </c>
      <c r="T63" s="949">
        <v>240.0</v>
      </c>
      <c r="U63" s="949"/>
      <c r="V63" s="949"/>
      <c r="W63" s="949"/>
      <c r="X63" s="949"/>
      <c r="Y63" s="949"/>
      <c r="Z63" s="949"/>
      <c r="AA63" s="949"/>
      <c r="AB63" s="949"/>
      <c r="AC63" s="949"/>
      <c r="AD63" s="949"/>
      <c r="AE63" s="949"/>
      <c r="AF63" s="949"/>
      <c r="AG63" s="949"/>
      <c r="AH63" s="949"/>
      <c r="AI63" s="949"/>
      <c r="AJ63" s="949"/>
      <c r="AK63" s="949"/>
      <c r="AL63" s="949"/>
      <c r="AM63" s="964" t="s">
        <v>962</v>
      </c>
      <c r="AN63" s="954" t="s">
        <v>963</v>
      </c>
      <c r="AO63" s="955" t="s">
        <v>968</v>
      </c>
      <c r="AP63" s="931"/>
      <c r="AQ63" s="956"/>
      <c r="AR63" s="957"/>
      <c r="AS63" s="931"/>
    </row>
    <row r="64" ht="15.75" customHeight="1">
      <c r="A64" s="931"/>
      <c r="B64" s="941" t="s">
        <v>969</v>
      </c>
      <c r="C64" s="942" t="s">
        <v>970</v>
      </c>
      <c r="D64" s="942" t="s">
        <v>970</v>
      </c>
      <c r="E64" s="943" t="s">
        <v>970</v>
      </c>
      <c r="F64" s="935"/>
      <c r="G64" s="944"/>
      <c r="H64" s="944"/>
      <c r="I64" s="946" t="s">
        <v>971</v>
      </c>
      <c r="J64" s="958" t="s">
        <v>704</v>
      </c>
      <c r="K64" s="954" t="s">
        <v>158</v>
      </c>
      <c r="L64" s="949">
        <v>38.0</v>
      </c>
      <c r="M64" s="949">
        <v>41.0</v>
      </c>
      <c r="N64" s="949">
        <v>40.0</v>
      </c>
      <c r="O64" s="949">
        <v>50.0</v>
      </c>
      <c r="P64" s="949">
        <v>65.0</v>
      </c>
      <c r="Q64" s="949">
        <v>65.0</v>
      </c>
      <c r="R64" s="949">
        <v>166.0</v>
      </c>
      <c r="S64" s="949">
        <v>229.0</v>
      </c>
      <c r="T64" s="949">
        <v>251.0</v>
      </c>
      <c r="U64" s="949"/>
      <c r="V64" s="949"/>
      <c r="W64" s="949"/>
      <c r="X64" s="949"/>
      <c r="Y64" s="949"/>
      <c r="Z64" s="949"/>
      <c r="AA64" s="949"/>
      <c r="AB64" s="949"/>
      <c r="AC64" s="949"/>
      <c r="AD64" s="949"/>
      <c r="AE64" s="949"/>
      <c r="AF64" s="949"/>
      <c r="AG64" s="949"/>
      <c r="AH64" s="949"/>
      <c r="AI64" s="949"/>
      <c r="AJ64" s="949"/>
      <c r="AK64" s="949"/>
      <c r="AL64" s="949"/>
      <c r="AM64" s="953" t="s">
        <v>972</v>
      </c>
      <c r="AN64" s="954"/>
      <c r="AO64" s="955" t="s">
        <v>767</v>
      </c>
      <c r="AP64" s="931"/>
      <c r="AQ64" s="956"/>
      <c r="AR64" s="957"/>
      <c r="AS64" s="931"/>
    </row>
    <row r="65" ht="15.75" customHeight="1">
      <c r="A65" s="931"/>
      <c r="B65" s="941" t="s">
        <v>973</v>
      </c>
      <c r="C65" s="942" t="s">
        <v>974</v>
      </c>
      <c r="D65" s="942" t="s">
        <v>974</v>
      </c>
      <c r="E65" s="943" t="s">
        <v>975</v>
      </c>
      <c r="F65" s="935"/>
      <c r="G65" s="944"/>
      <c r="H65" s="944"/>
      <c r="I65" s="946" t="s">
        <v>976</v>
      </c>
      <c r="J65" s="977" t="s">
        <v>714</v>
      </c>
      <c r="K65" s="954" t="s">
        <v>158</v>
      </c>
      <c r="L65" s="949">
        <v>38.0</v>
      </c>
      <c r="M65" s="949">
        <v>41.0</v>
      </c>
      <c r="N65" s="949">
        <v>40.0</v>
      </c>
      <c r="O65" s="949">
        <v>50.0</v>
      </c>
      <c r="P65" s="949">
        <v>65.0</v>
      </c>
      <c r="Q65" s="949">
        <v>65.0</v>
      </c>
      <c r="R65" s="949">
        <v>166.0</v>
      </c>
      <c r="S65" s="949">
        <v>229.0</v>
      </c>
      <c r="T65" s="949">
        <v>251.0</v>
      </c>
      <c r="U65" s="949"/>
      <c r="V65" s="949"/>
      <c r="W65" s="949"/>
      <c r="X65" s="949"/>
      <c r="Y65" s="949"/>
      <c r="Z65" s="949"/>
      <c r="AA65" s="949"/>
      <c r="AB65" s="949"/>
      <c r="AC65" s="949"/>
      <c r="AD65" s="949"/>
      <c r="AE65" s="949"/>
      <c r="AF65" s="949"/>
      <c r="AG65" s="949"/>
      <c r="AH65" s="949"/>
      <c r="AI65" s="949"/>
      <c r="AJ65" s="949"/>
      <c r="AK65" s="949"/>
      <c r="AL65" s="949"/>
      <c r="AM65" s="953" t="s">
        <v>929</v>
      </c>
      <c r="AN65" s="954"/>
      <c r="AO65" s="955" t="s">
        <v>977</v>
      </c>
      <c r="AP65" s="931"/>
      <c r="AQ65" s="956"/>
      <c r="AR65" s="957"/>
      <c r="AS65" s="931"/>
    </row>
    <row r="66" ht="15.75" customHeight="1">
      <c r="A66" s="963"/>
      <c r="B66" s="941" t="s">
        <v>978</v>
      </c>
      <c r="C66" s="971" t="s">
        <v>979</v>
      </c>
      <c r="D66" s="971" t="s">
        <v>979</v>
      </c>
      <c r="E66" s="966" t="s">
        <v>979</v>
      </c>
      <c r="F66" s="935"/>
      <c r="G66" s="944"/>
      <c r="H66" s="944"/>
      <c r="I66" s="959" t="s">
        <v>980</v>
      </c>
      <c r="J66" s="981" t="s">
        <v>704</v>
      </c>
      <c r="K66" s="973" t="s">
        <v>158</v>
      </c>
      <c r="L66" s="974">
        <v>73.0</v>
      </c>
      <c r="M66" s="974">
        <v>76.0</v>
      </c>
      <c r="N66" s="974">
        <v>75.0</v>
      </c>
      <c r="O66" s="974">
        <v>81.0</v>
      </c>
      <c r="P66" s="974">
        <v>100.0</v>
      </c>
      <c r="Q66" s="974">
        <v>100.0</v>
      </c>
      <c r="R66" s="949">
        <v>236.0</v>
      </c>
      <c r="S66" s="949">
        <v>299.0</v>
      </c>
      <c r="T66" s="949">
        <v>328.0</v>
      </c>
      <c r="U66" s="949"/>
      <c r="V66" s="949"/>
      <c r="W66" s="949"/>
      <c r="X66" s="949"/>
      <c r="Y66" s="949"/>
      <c r="Z66" s="949"/>
      <c r="AA66" s="949"/>
      <c r="AB66" s="949"/>
      <c r="AC66" s="949"/>
      <c r="AD66" s="949"/>
      <c r="AE66" s="949"/>
      <c r="AF66" s="949"/>
      <c r="AG66" s="949"/>
      <c r="AH66" s="949"/>
      <c r="AI66" s="949"/>
      <c r="AJ66" s="949"/>
      <c r="AK66" s="949"/>
      <c r="AL66" s="949"/>
      <c r="AM66" s="964" t="s">
        <v>972</v>
      </c>
      <c r="AN66" s="973"/>
      <c r="AO66" s="965" t="s">
        <v>767</v>
      </c>
      <c r="AP66" s="931"/>
      <c r="AQ66" s="956"/>
      <c r="AR66" s="957"/>
      <c r="AS66" s="931"/>
    </row>
    <row r="67" ht="15.75" customHeight="1">
      <c r="A67" s="963"/>
      <c r="B67" s="941" t="s">
        <v>981</v>
      </c>
      <c r="C67" s="942" t="s">
        <v>982</v>
      </c>
      <c r="D67" s="942" t="s">
        <v>982</v>
      </c>
      <c r="E67" s="943" t="s">
        <v>983</v>
      </c>
      <c r="F67" s="935"/>
      <c r="G67" s="944"/>
      <c r="H67" s="944"/>
      <c r="I67" s="946" t="s">
        <v>984</v>
      </c>
      <c r="J67" s="977" t="s">
        <v>714</v>
      </c>
      <c r="K67" s="980" t="s">
        <v>720</v>
      </c>
      <c r="L67" s="949">
        <v>73.0</v>
      </c>
      <c r="M67" s="949">
        <v>67.0</v>
      </c>
      <c r="N67" s="949">
        <v>75.0</v>
      </c>
      <c r="O67" s="949">
        <v>81.0</v>
      </c>
      <c r="P67" s="949">
        <v>100.0</v>
      </c>
      <c r="Q67" s="949">
        <v>109.0</v>
      </c>
      <c r="R67" s="949">
        <v>254.0</v>
      </c>
      <c r="S67" s="949">
        <v>317.0</v>
      </c>
      <c r="T67" s="949">
        <v>348.0</v>
      </c>
      <c r="U67" s="949"/>
      <c r="V67" s="949"/>
      <c r="W67" s="949"/>
      <c r="X67" s="949"/>
      <c r="Y67" s="949"/>
      <c r="Z67" s="949"/>
      <c r="AA67" s="949"/>
      <c r="AB67" s="949"/>
      <c r="AC67" s="949"/>
      <c r="AD67" s="949"/>
      <c r="AE67" s="949"/>
      <c r="AF67" s="949"/>
      <c r="AG67" s="949"/>
      <c r="AH67" s="949"/>
      <c r="AI67" s="949"/>
      <c r="AJ67" s="949"/>
      <c r="AK67" s="949"/>
      <c r="AL67" s="949"/>
      <c r="AM67" s="964" t="s">
        <v>929</v>
      </c>
      <c r="AN67" s="973"/>
      <c r="AO67" s="965" t="s">
        <v>977</v>
      </c>
      <c r="AP67" s="931"/>
      <c r="AQ67" s="956"/>
      <c r="AR67" s="957"/>
      <c r="AS67" s="931"/>
    </row>
    <row r="68" ht="15.75" customHeight="1">
      <c r="A68" s="963"/>
      <c r="B68" s="941" t="s">
        <v>985</v>
      </c>
      <c r="C68" s="942" t="s">
        <v>986</v>
      </c>
      <c r="D68" s="942" t="s">
        <v>986</v>
      </c>
      <c r="E68" s="943" t="s">
        <v>986</v>
      </c>
      <c r="F68" s="935"/>
      <c r="G68" s="944"/>
      <c r="H68" s="944"/>
      <c r="I68" s="946" t="s">
        <v>563</v>
      </c>
      <c r="J68" s="968" t="s">
        <v>703</v>
      </c>
      <c r="K68" s="980" t="s">
        <v>720</v>
      </c>
      <c r="L68" s="949">
        <v>115.0</v>
      </c>
      <c r="M68" s="949">
        <v>45.0</v>
      </c>
      <c r="N68" s="949">
        <v>20.0</v>
      </c>
      <c r="O68" s="949">
        <v>45.0</v>
      </c>
      <c r="P68" s="949">
        <v>25.0</v>
      </c>
      <c r="Q68" s="949">
        <v>20.0</v>
      </c>
      <c r="R68" s="949">
        <v>76.0</v>
      </c>
      <c r="S68" s="949">
        <v>139.0</v>
      </c>
      <c r="T68" s="949">
        <v>152.0</v>
      </c>
      <c r="U68" s="949"/>
      <c r="V68" s="949"/>
      <c r="W68" s="949"/>
      <c r="X68" s="949"/>
      <c r="Y68" s="949"/>
      <c r="Z68" s="949"/>
      <c r="AA68" s="949"/>
      <c r="AB68" s="949"/>
      <c r="AC68" s="949"/>
      <c r="AD68" s="949"/>
      <c r="AE68" s="949"/>
      <c r="AF68" s="949"/>
      <c r="AG68" s="949"/>
      <c r="AH68" s="949"/>
      <c r="AI68" s="949"/>
      <c r="AJ68" s="949"/>
      <c r="AK68" s="949"/>
      <c r="AL68" s="949"/>
      <c r="AM68" s="964" t="s">
        <v>962</v>
      </c>
      <c r="AN68" s="973" t="s">
        <v>987</v>
      </c>
      <c r="AO68" s="965" t="s">
        <v>964</v>
      </c>
      <c r="AP68" s="931"/>
      <c r="AQ68" s="956"/>
      <c r="AR68" s="957"/>
      <c r="AS68" s="931"/>
    </row>
    <row r="69" ht="15.75" customHeight="1">
      <c r="A69" s="931"/>
      <c r="B69" s="941" t="s">
        <v>988</v>
      </c>
      <c r="C69" s="942" t="s">
        <v>989</v>
      </c>
      <c r="D69" s="942" t="s">
        <v>989</v>
      </c>
      <c r="E69" s="943" t="s">
        <v>989</v>
      </c>
      <c r="F69" s="935"/>
      <c r="G69" s="944"/>
      <c r="H69" s="944"/>
      <c r="I69" s="946" t="s">
        <v>470</v>
      </c>
      <c r="J69" s="968" t="s">
        <v>703</v>
      </c>
      <c r="K69" s="980" t="s">
        <v>720</v>
      </c>
      <c r="L69" s="949">
        <v>140.0</v>
      </c>
      <c r="M69" s="949">
        <v>70.0</v>
      </c>
      <c r="N69" s="949">
        <v>45.0</v>
      </c>
      <c r="O69" s="949">
        <v>85.0</v>
      </c>
      <c r="P69" s="949">
        <v>50.0</v>
      </c>
      <c r="Q69" s="949">
        <v>45.0</v>
      </c>
      <c r="R69" s="949">
        <v>126.0</v>
      </c>
      <c r="S69" s="949">
        <v>189.0</v>
      </c>
      <c r="T69" s="949">
        <v>207.0</v>
      </c>
      <c r="U69" s="949"/>
      <c r="V69" s="949"/>
      <c r="W69" s="949"/>
      <c r="X69" s="949"/>
      <c r="Y69" s="949"/>
      <c r="Z69" s="949"/>
      <c r="AA69" s="949"/>
      <c r="AB69" s="949"/>
      <c r="AC69" s="949"/>
      <c r="AD69" s="949"/>
      <c r="AE69" s="949"/>
      <c r="AF69" s="949"/>
      <c r="AG69" s="949"/>
      <c r="AH69" s="949"/>
      <c r="AI69" s="949"/>
      <c r="AJ69" s="949"/>
      <c r="AK69" s="949"/>
      <c r="AL69" s="949"/>
      <c r="AM69" s="953" t="s">
        <v>962</v>
      </c>
      <c r="AN69" s="954" t="s">
        <v>987</v>
      </c>
      <c r="AO69" s="955" t="s">
        <v>990</v>
      </c>
      <c r="AP69" s="931"/>
      <c r="AQ69" s="956"/>
      <c r="AR69" s="957"/>
      <c r="AS69" s="931"/>
    </row>
    <row r="70" ht="15.75" customHeight="1">
      <c r="A70" s="931"/>
      <c r="B70" s="941" t="s">
        <v>991</v>
      </c>
      <c r="C70" s="942" t="s">
        <v>992</v>
      </c>
      <c r="D70" s="942" t="s">
        <v>992</v>
      </c>
      <c r="E70" s="943" t="s">
        <v>992</v>
      </c>
      <c r="F70" s="935"/>
      <c r="G70" s="944"/>
      <c r="H70" s="944"/>
      <c r="I70" s="946" t="s">
        <v>993</v>
      </c>
      <c r="J70" s="948" t="s">
        <v>709</v>
      </c>
      <c r="K70" s="960" t="s">
        <v>707</v>
      </c>
      <c r="L70" s="949">
        <v>40.0</v>
      </c>
      <c r="M70" s="949">
        <v>45.0</v>
      </c>
      <c r="N70" s="949">
        <v>35.0</v>
      </c>
      <c r="O70" s="949">
        <v>30.0</v>
      </c>
      <c r="P70" s="949">
        <v>40.0</v>
      </c>
      <c r="Q70" s="949">
        <v>55.0</v>
      </c>
      <c r="R70" s="949">
        <v>146.0</v>
      </c>
      <c r="S70" s="949">
        <v>209.0</v>
      </c>
      <c r="T70" s="949">
        <v>229.0</v>
      </c>
      <c r="U70" s="949"/>
      <c r="V70" s="949"/>
      <c r="W70" s="949"/>
      <c r="X70" s="949"/>
      <c r="Y70" s="949"/>
      <c r="Z70" s="949"/>
      <c r="AA70" s="949"/>
      <c r="AB70" s="949"/>
      <c r="AC70" s="949"/>
      <c r="AD70" s="949"/>
      <c r="AE70" s="949"/>
      <c r="AF70" s="949"/>
      <c r="AG70" s="949"/>
      <c r="AH70" s="949"/>
      <c r="AI70" s="949"/>
      <c r="AJ70" s="949"/>
      <c r="AK70" s="949"/>
      <c r="AL70" s="949"/>
      <c r="AM70" s="953" t="s">
        <v>994</v>
      </c>
      <c r="AN70" s="954"/>
      <c r="AO70" s="955" t="s">
        <v>995</v>
      </c>
      <c r="AP70" s="931"/>
      <c r="AQ70" s="956"/>
      <c r="AR70" s="957"/>
      <c r="AS70" s="931"/>
    </row>
    <row r="71" ht="15.75" customHeight="1">
      <c r="A71" s="963"/>
      <c r="B71" s="941" t="s">
        <v>996</v>
      </c>
      <c r="C71" s="971" t="s">
        <v>997</v>
      </c>
      <c r="D71" s="971" t="s">
        <v>997</v>
      </c>
      <c r="E71" s="966" t="s">
        <v>997</v>
      </c>
      <c r="F71" s="935"/>
      <c r="G71" s="944"/>
      <c r="H71" s="944"/>
      <c r="I71" s="959" t="s">
        <v>998</v>
      </c>
      <c r="J71" s="983" t="s">
        <v>709</v>
      </c>
      <c r="K71" s="984" t="s">
        <v>707</v>
      </c>
      <c r="L71" s="974">
        <v>75.0</v>
      </c>
      <c r="M71" s="974">
        <v>80.0</v>
      </c>
      <c r="N71" s="974">
        <v>70.0</v>
      </c>
      <c r="O71" s="974">
        <v>65.0</v>
      </c>
      <c r="P71" s="974">
        <v>75.0</v>
      </c>
      <c r="Q71" s="974">
        <v>90.0</v>
      </c>
      <c r="R71" s="949">
        <v>216.0</v>
      </c>
      <c r="S71" s="949">
        <v>279.0</v>
      </c>
      <c r="T71" s="949">
        <v>306.0</v>
      </c>
      <c r="U71" s="949"/>
      <c r="V71" s="949"/>
      <c r="W71" s="949"/>
      <c r="X71" s="949"/>
      <c r="Y71" s="949"/>
      <c r="Z71" s="949"/>
      <c r="AA71" s="949"/>
      <c r="AB71" s="949"/>
      <c r="AC71" s="949"/>
      <c r="AD71" s="949"/>
      <c r="AE71" s="949"/>
      <c r="AF71" s="949"/>
      <c r="AG71" s="949"/>
      <c r="AH71" s="949"/>
      <c r="AI71" s="949"/>
      <c r="AJ71" s="949"/>
      <c r="AK71" s="949"/>
      <c r="AL71" s="949"/>
      <c r="AM71" s="964" t="s">
        <v>994</v>
      </c>
      <c r="AN71" s="954"/>
      <c r="AO71" s="965" t="s">
        <v>995</v>
      </c>
      <c r="AP71" s="931"/>
      <c r="AQ71" s="956"/>
      <c r="AR71" s="957"/>
      <c r="AS71" s="931"/>
    </row>
    <row r="72" ht="15.75" customHeight="1">
      <c r="A72" s="931"/>
      <c r="B72" s="941" t="s">
        <v>999</v>
      </c>
      <c r="C72" s="942" t="s">
        <v>1000</v>
      </c>
      <c r="D72" s="942" t="s">
        <v>1000</v>
      </c>
      <c r="E72" s="943" t="s">
        <v>1000</v>
      </c>
      <c r="F72" s="935"/>
      <c r="G72" s="944"/>
      <c r="H72" s="944"/>
      <c r="I72" s="946" t="s">
        <v>1001</v>
      </c>
      <c r="J72" s="947" t="s">
        <v>708</v>
      </c>
      <c r="K72" s="948" t="s">
        <v>709</v>
      </c>
      <c r="L72" s="949">
        <v>45.0</v>
      </c>
      <c r="M72" s="949">
        <v>50.0</v>
      </c>
      <c r="N72" s="949">
        <v>55.0</v>
      </c>
      <c r="O72" s="949">
        <v>75.0</v>
      </c>
      <c r="P72" s="949">
        <v>65.0</v>
      </c>
      <c r="Q72" s="949">
        <v>30.0</v>
      </c>
      <c r="R72" s="949">
        <v>96.0</v>
      </c>
      <c r="S72" s="949">
        <v>159.0</v>
      </c>
      <c r="T72" s="949">
        <v>174.0</v>
      </c>
      <c r="U72" s="949"/>
      <c r="V72" s="949"/>
      <c r="W72" s="949"/>
      <c r="X72" s="949"/>
      <c r="Y72" s="949"/>
      <c r="Z72" s="949"/>
      <c r="AA72" s="949"/>
      <c r="AB72" s="949"/>
      <c r="AC72" s="949"/>
      <c r="AD72" s="949"/>
      <c r="AE72" s="949"/>
      <c r="AF72" s="949"/>
      <c r="AG72" s="949"/>
      <c r="AH72" s="949"/>
      <c r="AI72" s="949"/>
      <c r="AJ72" s="949"/>
      <c r="AK72" s="949"/>
      <c r="AL72" s="949"/>
      <c r="AM72" s="953" t="s">
        <v>736</v>
      </c>
      <c r="AN72" s="954"/>
      <c r="AO72" s="955" t="s">
        <v>787</v>
      </c>
      <c r="AP72" s="931"/>
      <c r="AQ72" s="956"/>
      <c r="AR72" s="957"/>
      <c r="AS72" s="931"/>
    </row>
    <row r="73" ht="15.75" customHeight="1">
      <c r="A73" s="931"/>
      <c r="B73" s="941" t="s">
        <v>1002</v>
      </c>
      <c r="C73" s="942" t="s">
        <v>1003</v>
      </c>
      <c r="D73" s="942" t="s">
        <v>1003</v>
      </c>
      <c r="E73" s="943" t="s">
        <v>1003</v>
      </c>
      <c r="F73" s="935"/>
      <c r="G73" s="944"/>
      <c r="H73" s="944"/>
      <c r="I73" s="946" t="s">
        <v>1004</v>
      </c>
      <c r="J73" s="947" t="s">
        <v>708</v>
      </c>
      <c r="K73" s="948" t="s">
        <v>709</v>
      </c>
      <c r="L73" s="949">
        <v>60.0</v>
      </c>
      <c r="M73" s="949">
        <v>65.0</v>
      </c>
      <c r="N73" s="949">
        <v>70.0</v>
      </c>
      <c r="O73" s="949">
        <v>85.0</v>
      </c>
      <c r="P73" s="949">
        <v>75.0</v>
      </c>
      <c r="Q73" s="949">
        <v>40.0</v>
      </c>
      <c r="R73" s="949">
        <v>116.0</v>
      </c>
      <c r="S73" s="949">
        <v>179.0</v>
      </c>
      <c r="T73" s="949">
        <v>196.0</v>
      </c>
      <c r="U73" s="949"/>
      <c r="V73" s="949"/>
      <c r="W73" s="949"/>
      <c r="X73" s="949"/>
      <c r="Y73" s="949"/>
      <c r="Z73" s="949"/>
      <c r="AA73" s="949"/>
      <c r="AB73" s="949"/>
      <c r="AC73" s="949"/>
      <c r="AD73" s="949"/>
      <c r="AE73" s="949"/>
      <c r="AF73" s="949"/>
      <c r="AG73" s="949"/>
      <c r="AH73" s="949"/>
      <c r="AI73" s="949"/>
      <c r="AJ73" s="949"/>
      <c r="AK73" s="949"/>
      <c r="AL73" s="949"/>
      <c r="AM73" s="953" t="s">
        <v>736</v>
      </c>
      <c r="AN73" s="954"/>
      <c r="AO73" s="955" t="s">
        <v>1005</v>
      </c>
      <c r="AP73" s="931"/>
      <c r="AQ73" s="956"/>
      <c r="AR73" s="957"/>
      <c r="AS73" s="931"/>
    </row>
    <row r="74" ht="15.75" customHeight="1">
      <c r="A74" s="963"/>
      <c r="B74" s="941" t="s">
        <v>1006</v>
      </c>
      <c r="C74" s="942" t="s">
        <v>1007</v>
      </c>
      <c r="D74" s="942" t="s">
        <v>1007</v>
      </c>
      <c r="E74" s="943" t="s">
        <v>1007</v>
      </c>
      <c r="F74" s="935"/>
      <c r="G74" s="944"/>
      <c r="H74" s="944"/>
      <c r="I74" s="946" t="s">
        <v>1008</v>
      </c>
      <c r="J74" s="947" t="s">
        <v>708</v>
      </c>
      <c r="K74" s="948" t="s">
        <v>709</v>
      </c>
      <c r="L74" s="949">
        <v>75.0</v>
      </c>
      <c r="M74" s="949">
        <v>80.0</v>
      </c>
      <c r="N74" s="949">
        <v>85.0</v>
      </c>
      <c r="O74" s="949">
        <v>110.0</v>
      </c>
      <c r="P74" s="949">
        <v>90.0</v>
      </c>
      <c r="Q74" s="949">
        <v>50.0</v>
      </c>
      <c r="R74" s="949">
        <v>136.0</v>
      </c>
      <c r="S74" s="949">
        <v>199.0</v>
      </c>
      <c r="T74" s="949">
        <v>218.0</v>
      </c>
      <c r="U74" s="949"/>
      <c r="V74" s="949"/>
      <c r="W74" s="949"/>
      <c r="X74" s="949"/>
      <c r="Y74" s="949"/>
      <c r="Z74" s="949"/>
      <c r="AA74" s="949"/>
      <c r="AB74" s="949"/>
      <c r="AC74" s="949"/>
      <c r="AD74" s="949"/>
      <c r="AE74" s="949"/>
      <c r="AF74" s="949"/>
      <c r="AG74" s="949"/>
      <c r="AH74" s="949"/>
      <c r="AI74" s="949"/>
      <c r="AJ74" s="949"/>
      <c r="AK74" s="949"/>
      <c r="AL74" s="949"/>
      <c r="AM74" s="964" t="s">
        <v>736</v>
      </c>
      <c r="AN74" s="954"/>
      <c r="AO74" s="965" t="s">
        <v>1009</v>
      </c>
      <c r="AP74" s="931"/>
      <c r="AQ74" s="956"/>
      <c r="AR74" s="957"/>
      <c r="AS74" s="931"/>
    </row>
    <row r="75" ht="15.75" customHeight="1">
      <c r="A75" s="931"/>
      <c r="B75" s="941" t="s">
        <v>1010</v>
      </c>
      <c r="C75" s="942" t="s">
        <v>1011</v>
      </c>
      <c r="D75" s="942" t="s">
        <v>1011</v>
      </c>
      <c r="E75" s="943" t="s">
        <v>1011</v>
      </c>
      <c r="F75" s="935"/>
      <c r="G75" s="944"/>
      <c r="H75" s="944"/>
      <c r="I75" s="946" t="s">
        <v>1012</v>
      </c>
      <c r="J75" s="967" t="s">
        <v>715</v>
      </c>
      <c r="K75" s="947" t="s">
        <v>708</v>
      </c>
      <c r="L75" s="949">
        <v>35.0</v>
      </c>
      <c r="M75" s="949">
        <v>70.0</v>
      </c>
      <c r="N75" s="949">
        <v>55.0</v>
      </c>
      <c r="O75" s="949">
        <v>45.0</v>
      </c>
      <c r="P75" s="949">
        <v>55.0</v>
      </c>
      <c r="Q75" s="949">
        <v>25.0</v>
      </c>
      <c r="R75" s="949">
        <v>86.0</v>
      </c>
      <c r="S75" s="949">
        <v>149.0</v>
      </c>
      <c r="T75" s="949">
        <v>163.0</v>
      </c>
      <c r="U75" s="949"/>
      <c r="V75" s="949"/>
      <c r="W75" s="949"/>
      <c r="X75" s="949"/>
      <c r="Y75" s="949"/>
      <c r="Z75" s="949"/>
      <c r="AA75" s="949"/>
      <c r="AB75" s="949"/>
      <c r="AC75" s="949"/>
      <c r="AD75" s="949"/>
      <c r="AE75" s="949"/>
      <c r="AF75" s="949"/>
      <c r="AG75" s="949"/>
      <c r="AH75" s="949"/>
      <c r="AI75" s="949"/>
      <c r="AJ75" s="949"/>
      <c r="AK75" s="949"/>
      <c r="AL75" s="949"/>
      <c r="AM75" s="953" t="s">
        <v>1009</v>
      </c>
      <c r="AN75" s="954" t="s">
        <v>1013</v>
      </c>
      <c r="AO75" s="955" t="s">
        <v>1014</v>
      </c>
      <c r="AP75" s="931"/>
      <c r="AQ75" s="956"/>
      <c r="AR75" s="957"/>
      <c r="AS75" s="931"/>
    </row>
    <row r="76" ht="15.75" customHeight="1">
      <c r="A76" s="931"/>
      <c r="B76" s="941" t="s">
        <v>1015</v>
      </c>
      <c r="C76" s="942" t="s">
        <v>1016</v>
      </c>
      <c r="D76" s="942" t="s">
        <v>1016</v>
      </c>
      <c r="E76" s="943" t="s">
        <v>1016</v>
      </c>
      <c r="F76" s="935"/>
      <c r="G76" s="944"/>
      <c r="H76" s="944"/>
      <c r="I76" s="946" t="s">
        <v>1017</v>
      </c>
      <c r="J76" s="967" t="s">
        <v>715</v>
      </c>
      <c r="K76" s="947" t="s">
        <v>708</v>
      </c>
      <c r="L76" s="949">
        <v>60.0</v>
      </c>
      <c r="M76" s="949">
        <v>95.0</v>
      </c>
      <c r="N76" s="949">
        <v>80.0</v>
      </c>
      <c r="O76" s="949">
        <v>60.0</v>
      </c>
      <c r="P76" s="949">
        <v>80.0</v>
      </c>
      <c r="Q76" s="949">
        <v>30.0</v>
      </c>
      <c r="R76" s="949">
        <v>96.0</v>
      </c>
      <c r="S76" s="949">
        <v>159.0</v>
      </c>
      <c r="T76" s="949">
        <v>174.0</v>
      </c>
      <c r="U76" s="949"/>
      <c r="V76" s="949"/>
      <c r="W76" s="949"/>
      <c r="X76" s="949"/>
      <c r="Y76" s="949"/>
      <c r="Z76" s="949"/>
      <c r="AA76" s="949"/>
      <c r="AB76" s="949"/>
      <c r="AC76" s="949"/>
      <c r="AD76" s="949"/>
      <c r="AE76" s="949"/>
      <c r="AF76" s="949"/>
      <c r="AG76" s="949"/>
      <c r="AH76" s="949"/>
      <c r="AI76" s="949"/>
      <c r="AJ76" s="949"/>
      <c r="AK76" s="949"/>
      <c r="AL76" s="949"/>
      <c r="AM76" s="953" t="s">
        <v>1009</v>
      </c>
      <c r="AN76" s="954" t="s">
        <v>1013</v>
      </c>
      <c r="AO76" s="955" t="s">
        <v>1014</v>
      </c>
      <c r="AP76" s="931"/>
      <c r="AQ76" s="956"/>
      <c r="AR76" s="957"/>
      <c r="AS76" s="931"/>
    </row>
    <row r="77" ht="15.75" customHeight="1">
      <c r="A77" s="931"/>
      <c r="B77" s="941" t="s">
        <v>1018</v>
      </c>
      <c r="C77" s="942" t="s">
        <v>1019</v>
      </c>
      <c r="D77" s="942" t="s">
        <v>1019</v>
      </c>
      <c r="E77" s="943" t="s">
        <v>1019</v>
      </c>
      <c r="F77" s="935"/>
      <c r="G77" s="944"/>
      <c r="H77" s="944"/>
      <c r="I77" s="946" t="s">
        <v>496</v>
      </c>
      <c r="J77" s="967" t="s">
        <v>715</v>
      </c>
      <c r="K77" s="948" t="s">
        <v>709</v>
      </c>
      <c r="L77" s="949">
        <v>60.0</v>
      </c>
      <c r="M77" s="949">
        <v>55.0</v>
      </c>
      <c r="N77" s="949">
        <v>50.0</v>
      </c>
      <c r="O77" s="949">
        <v>40.0</v>
      </c>
      <c r="P77" s="949">
        <v>55.0</v>
      </c>
      <c r="Q77" s="949">
        <v>45.0</v>
      </c>
      <c r="R77" s="949">
        <v>126.0</v>
      </c>
      <c r="S77" s="949">
        <v>189.0</v>
      </c>
      <c r="T77" s="949">
        <v>207.0</v>
      </c>
      <c r="U77" s="949"/>
      <c r="V77" s="949"/>
      <c r="W77" s="949"/>
      <c r="X77" s="949"/>
      <c r="Y77" s="949"/>
      <c r="Z77" s="949"/>
      <c r="AA77" s="949"/>
      <c r="AB77" s="949"/>
      <c r="AC77" s="949"/>
      <c r="AD77" s="949"/>
      <c r="AE77" s="949"/>
      <c r="AF77" s="949"/>
      <c r="AG77" s="949"/>
      <c r="AH77" s="949"/>
      <c r="AI77" s="949"/>
      <c r="AJ77" s="949"/>
      <c r="AK77" s="949"/>
      <c r="AL77" s="949"/>
      <c r="AM77" s="953" t="s">
        <v>795</v>
      </c>
      <c r="AN77" s="954" t="s">
        <v>796</v>
      </c>
      <c r="AO77" s="955" t="s">
        <v>787</v>
      </c>
      <c r="AP77" s="931"/>
      <c r="AQ77" s="956"/>
      <c r="AR77" s="957"/>
      <c r="AS77" s="931"/>
    </row>
    <row r="78" ht="15.75" customHeight="1">
      <c r="A78" s="931"/>
      <c r="B78" s="941" t="s">
        <v>1020</v>
      </c>
      <c r="C78" s="942" t="s">
        <v>1021</v>
      </c>
      <c r="D78" s="942" t="s">
        <v>1021</v>
      </c>
      <c r="E78" s="943" t="s">
        <v>1021</v>
      </c>
      <c r="F78" s="935"/>
      <c r="G78" s="944"/>
      <c r="H78" s="944"/>
      <c r="I78" s="959" t="s">
        <v>427</v>
      </c>
      <c r="J78" s="967" t="s">
        <v>715</v>
      </c>
      <c r="K78" s="948" t="s">
        <v>709</v>
      </c>
      <c r="L78" s="949">
        <v>70.0</v>
      </c>
      <c r="M78" s="949">
        <v>65.0</v>
      </c>
      <c r="N78" s="949">
        <v>60.0</v>
      </c>
      <c r="O78" s="949">
        <v>90.0</v>
      </c>
      <c r="P78" s="949">
        <v>75.0</v>
      </c>
      <c r="Q78" s="949">
        <v>90.0</v>
      </c>
      <c r="R78" s="949">
        <v>216.0</v>
      </c>
      <c r="S78" s="949">
        <v>279.0</v>
      </c>
      <c r="T78" s="949">
        <v>306.0</v>
      </c>
      <c r="U78" s="949"/>
      <c r="V78" s="949"/>
      <c r="W78" s="949"/>
      <c r="X78" s="949"/>
      <c r="Y78" s="949"/>
      <c r="Z78" s="949"/>
      <c r="AA78" s="949"/>
      <c r="AB78" s="949"/>
      <c r="AC78" s="949"/>
      <c r="AD78" s="949"/>
      <c r="AE78" s="949"/>
      <c r="AF78" s="949"/>
      <c r="AG78" s="949"/>
      <c r="AH78" s="949"/>
      <c r="AI78" s="949"/>
      <c r="AJ78" s="949"/>
      <c r="AK78" s="949"/>
      <c r="AL78" s="949"/>
      <c r="AM78" s="953" t="s">
        <v>786</v>
      </c>
      <c r="AN78" s="954" t="s">
        <v>796</v>
      </c>
      <c r="AO78" s="955" t="s">
        <v>1022</v>
      </c>
      <c r="AP78" s="931"/>
      <c r="AQ78" s="956"/>
      <c r="AR78" s="957"/>
      <c r="AS78" s="931"/>
    </row>
    <row r="79" ht="15.75" customHeight="1">
      <c r="A79" s="931"/>
      <c r="B79" s="941" t="s">
        <v>1023</v>
      </c>
      <c r="C79" s="942" t="s">
        <v>1024</v>
      </c>
      <c r="D79" s="942" t="s">
        <v>1024</v>
      </c>
      <c r="E79" s="943" t="s">
        <v>1024</v>
      </c>
      <c r="F79" s="935"/>
      <c r="G79" s="944"/>
      <c r="H79" s="944"/>
      <c r="I79" s="946" t="s">
        <v>525</v>
      </c>
      <c r="J79" s="976" t="s">
        <v>711</v>
      </c>
      <c r="K79" s="954" t="s">
        <v>158</v>
      </c>
      <c r="L79" s="949">
        <v>10.0</v>
      </c>
      <c r="M79" s="949">
        <v>55.0</v>
      </c>
      <c r="N79" s="949">
        <v>25.0</v>
      </c>
      <c r="O79" s="949">
        <v>35.0</v>
      </c>
      <c r="P79" s="949">
        <v>45.0</v>
      </c>
      <c r="Q79" s="949">
        <v>95.0</v>
      </c>
      <c r="R79" s="949">
        <v>226.0</v>
      </c>
      <c r="S79" s="949">
        <v>289.0</v>
      </c>
      <c r="T79" s="949">
        <v>317.0</v>
      </c>
      <c r="U79" s="949"/>
      <c r="V79" s="949"/>
      <c r="W79" s="949"/>
      <c r="X79" s="949"/>
      <c r="Y79" s="949"/>
      <c r="Z79" s="949"/>
      <c r="AA79" s="949"/>
      <c r="AB79" s="949"/>
      <c r="AC79" s="949"/>
      <c r="AD79" s="949"/>
      <c r="AE79" s="949"/>
      <c r="AF79" s="949"/>
      <c r="AG79" s="949"/>
      <c r="AH79" s="949"/>
      <c r="AI79" s="949"/>
      <c r="AJ79" s="949"/>
      <c r="AK79" s="949"/>
      <c r="AL79" s="949"/>
      <c r="AM79" s="953" t="s">
        <v>923</v>
      </c>
      <c r="AN79" s="954" t="s">
        <v>1025</v>
      </c>
      <c r="AO79" s="955" t="s">
        <v>1026</v>
      </c>
      <c r="AP79" s="931"/>
      <c r="AQ79" s="956"/>
      <c r="AR79" s="957"/>
      <c r="AS79" s="931"/>
    </row>
    <row r="80" ht="15.75" customHeight="1">
      <c r="A80" s="931"/>
      <c r="B80" s="941" t="s">
        <v>1027</v>
      </c>
      <c r="C80" s="942" t="s">
        <v>1028</v>
      </c>
      <c r="D80" s="942" t="s">
        <v>1028</v>
      </c>
      <c r="E80" s="943" t="s">
        <v>1029</v>
      </c>
      <c r="F80" s="935"/>
      <c r="G80" s="944"/>
      <c r="H80" s="944"/>
      <c r="I80" s="946" t="s">
        <v>1030</v>
      </c>
      <c r="J80" s="976" t="s">
        <v>711</v>
      </c>
      <c r="K80" s="978" t="s">
        <v>719</v>
      </c>
      <c r="L80" s="949">
        <v>10.0</v>
      </c>
      <c r="M80" s="949">
        <v>55.0</v>
      </c>
      <c r="N80" s="949">
        <v>30.0</v>
      </c>
      <c r="O80" s="949">
        <v>35.0</v>
      </c>
      <c r="P80" s="949">
        <v>45.0</v>
      </c>
      <c r="Q80" s="949">
        <v>90.0</v>
      </c>
      <c r="R80" s="949">
        <v>216.0</v>
      </c>
      <c r="S80" s="949">
        <v>279.0</v>
      </c>
      <c r="T80" s="949">
        <v>306.0</v>
      </c>
      <c r="U80" s="949"/>
      <c r="V80" s="949"/>
      <c r="W80" s="949"/>
      <c r="X80" s="949"/>
      <c r="Y80" s="949"/>
      <c r="Z80" s="949"/>
      <c r="AA80" s="949"/>
      <c r="AB80" s="949"/>
      <c r="AC80" s="949"/>
      <c r="AD80" s="949"/>
      <c r="AE80" s="949"/>
      <c r="AF80" s="949"/>
      <c r="AG80" s="949"/>
      <c r="AH80" s="949"/>
      <c r="AI80" s="949"/>
      <c r="AJ80" s="949"/>
      <c r="AK80" s="949"/>
      <c r="AL80" s="949"/>
      <c r="AM80" s="953" t="s">
        <v>923</v>
      </c>
      <c r="AN80" s="954" t="s">
        <v>1031</v>
      </c>
      <c r="AO80" s="955" t="s">
        <v>1026</v>
      </c>
      <c r="AP80" s="931"/>
      <c r="AQ80" s="956"/>
      <c r="AR80" s="957"/>
      <c r="AS80" s="931"/>
    </row>
    <row r="81" ht="15.75" customHeight="1">
      <c r="A81" s="931"/>
      <c r="B81" s="941" t="s">
        <v>1032</v>
      </c>
      <c r="C81" s="942" t="s">
        <v>1033</v>
      </c>
      <c r="D81" s="942" t="s">
        <v>1033</v>
      </c>
      <c r="E81" s="943" t="s">
        <v>1033</v>
      </c>
      <c r="F81" s="935"/>
      <c r="G81" s="944"/>
      <c r="H81" s="944"/>
      <c r="I81" s="946" t="s">
        <v>432</v>
      </c>
      <c r="J81" s="976" t="s">
        <v>711</v>
      </c>
      <c r="K81" s="954" t="s">
        <v>158</v>
      </c>
      <c r="L81" s="949">
        <v>35.0</v>
      </c>
      <c r="M81" s="949">
        <v>100.0</v>
      </c>
      <c r="N81" s="949">
        <v>50.0</v>
      </c>
      <c r="O81" s="949">
        <v>50.0</v>
      </c>
      <c r="P81" s="949">
        <v>70.0</v>
      </c>
      <c r="Q81" s="949">
        <v>120.0</v>
      </c>
      <c r="R81" s="949">
        <v>276.0</v>
      </c>
      <c r="S81" s="949">
        <v>339.0</v>
      </c>
      <c r="T81" s="949">
        <v>372.0</v>
      </c>
      <c r="U81" s="949"/>
      <c r="V81" s="949"/>
      <c r="W81" s="949"/>
      <c r="X81" s="949"/>
      <c r="Y81" s="949"/>
      <c r="Z81" s="949"/>
      <c r="AA81" s="949"/>
      <c r="AB81" s="949"/>
      <c r="AC81" s="949"/>
      <c r="AD81" s="949"/>
      <c r="AE81" s="949"/>
      <c r="AF81" s="949"/>
      <c r="AG81" s="949"/>
      <c r="AH81" s="949"/>
      <c r="AI81" s="949"/>
      <c r="AJ81" s="949"/>
      <c r="AK81" s="949"/>
      <c r="AL81" s="949"/>
      <c r="AM81" s="953" t="s">
        <v>923</v>
      </c>
      <c r="AN81" s="954" t="s">
        <v>1025</v>
      </c>
      <c r="AO81" s="955" t="s">
        <v>1026</v>
      </c>
      <c r="AP81" s="931"/>
      <c r="AQ81" s="956"/>
      <c r="AR81" s="957"/>
      <c r="AS81" s="931"/>
    </row>
    <row r="82" ht="15.75" customHeight="1">
      <c r="A82" s="931"/>
      <c r="B82" s="941" t="s">
        <v>1034</v>
      </c>
      <c r="C82" s="942" t="s">
        <v>1035</v>
      </c>
      <c r="D82" s="942" t="s">
        <v>1035</v>
      </c>
      <c r="E82" s="943" t="s">
        <v>1036</v>
      </c>
      <c r="F82" s="935"/>
      <c r="G82" s="944"/>
      <c r="H82" s="944"/>
      <c r="I82" s="946" t="s">
        <v>1037</v>
      </c>
      <c r="J82" s="976" t="s">
        <v>711</v>
      </c>
      <c r="K82" s="978" t="s">
        <v>719</v>
      </c>
      <c r="L82" s="949">
        <v>35.0</v>
      </c>
      <c r="M82" s="949">
        <v>100.0</v>
      </c>
      <c r="N82" s="949">
        <v>60.0</v>
      </c>
      <c r="O82" s="949">
        <v>50.0</v>
      </c>
      <c r="P82" s="949">
        <v>70.0</v>
      </c>
      <c r="Q82" s="949">
        <v>110.0</v>
      </c>
      <c r="R82" s="949">
        <v>256.0</v>
      </c>
      <c r="S82" s="949">
        <v>319.0</v>
      </c>
      <c r="T82" s="949">
        <v>350.0</v>
      </c>
      <c r="U82" s="949"/>
      <c r="V82" s="949"/>
      <c r="W82" s="949"/>
      <c r="X82" s="949"/>
      <c r="Y82" s="949"/>
      <c r="Z82" s="949"/>
      <c r="AA82" s="949"/>
      <c r="AB82" s="949"/>
      <c r="AC82" s="949"/>
      <c r="AD82" s="949"/>
      <c r="AE82" s="949"/>
      <c r="AF82" s="949"/>
      <c r="AG82" s="949"/>
      <c r="AH82" s="949"/>
      <c r="AI82" s="949"/>
      <c r="AJ82" s="949"/>
      <c r="AK82" s="949"/>
      <c r="AL82" s="949"/>
      <c r="AM82" s="953" t="s">
        <v>923</v>
      </c>
      <c r="AN82" s="954" t="s">
        <v>1031</v>
      </c>
      <c r="AO82" s="955" t="s">
        <v>1026</v>
      </c>
      <c r="AP82" s="931"/>
      <c r="AQ82" s="956"/>
      <c r="AR82" s="957"/>
      <c r="AS82" s="931"/>
    </row>
    <row r="83" ht="15.75" customHeight="1">
      <c r="A83" s="931"/>
      <c r="B83" s="941" t="s">
        <v>1038</v>
      </c>
      <c r="C83" s="942" t="s">
        <v>1039</v>
      </c>
      <c r="D83" s="942" t="s">
        <v>1039</v>
      </c>
      <c r="E83" s="943" t="s">
        <v>1039</v>
      </c>
      <c r="F83" s="935"/>
      <c r="G83" s="944"/>
      <c r="H83" s="944"/>
      <c r="I83" s="946" t="s">
        <v>564</v>
      </c>
      <c r="J83" s="968" t="s">
        <v>703</v>
      </c>
      <c r="K83" s="954" t="s">
        <v>158</v>
      </c>
      <c r="L83" s="949">
        <v>40.0</v>
      </c>
      <c r="M83" s="949">
        <v>45.0</v>
      </c>
      <c r="N83" s="949">
        <v>35.0</v>
      </c>
      <c r="O83" s="949">
        <v>40.0</v>
      </c>
      <c r="P83" s="949">
        <v>40.0</v>
      </c>
      <c r="Q83" s="949">
        <v>90.0</v>
      </c>
      <c r="R83" s="949">
        <v>216.0</v>
      </c>
      <c r="S83" s="949">
        <v>279.0</v>
      </c>
      <c r="T83" s="949">
        <v>306.0</v>
      </c>
      <c r="U83" s="949"/>
      <c r="V83" s="949"/>
      <c r="W83" s="949"/>
      <c r="X83" s="949"/>
      <c r="Y83" s="949"/>
      <c r="Z83" s="949"/>
      <c r="AA83" s="949"/>
      <c r="AB83" s="949"/>
      <c r="AC83" s="949"/>
      <c r="AD83" s="949"/>
      <c r="AE83" s="949"/>
      <c r="AF83" s="949"/>
      <c r="AG83" s="949"/>
      <c r="AH83" s="949"/>
      <c r="AI83" s="949"/>
      <c r="AJ83" s="949"/>
      <c r="AK83" s="949"/>
      <c r="AL83" s="949"/>
      <c r="AM83" s="953" t="s">
        <v>1040</v>
      </c>
      <c r="AN83" s="954" t="s">
        <v>1041</v>
      </c>
      <c r="AO83" s="955" t="s">
        <v>855</v>
      </c>
      <c r="AP83" s="931"/>
      <c r="AQ83" s="956"/>
      <c r="AR83" s="957"/>
      <c r="AS83" s="931"/>
    </row>
    <row r="84" ht="15.75" customHeight="1">
      <c r="A84" s="931"/>
      <c r="B84" s="941" t="s">
        <v>1042</v>
      </c>
      <c r="C84" s="942" t="s">
        <v>1043</v>
      </c>
      <c r="D84" s="942" t="s">
        <v>1043</v>
      </c>
      <c r="E84" s="943" t="s">
        <v>1044</v>
      </c>
      <c r="F84" s="935"/>
      <c r="G84" s="944"/>
      <c r="H84" s="944"/>
      <c r="I84" s="946" t="s">
        <v>1045</v>
      </c>
      <c r="J84" s="969" t="s">
        <v>718</v>
      </c>
      <c r="K84" s="954" t="s">
        <v>158</v>
      </c>
      <c r="L84" s="949">
        <v>40.0</v>
      </c>
      <c r="M84" s="949">
        <v>35.0</v>
      </c>
      <c r="N84" s="949">
        <v>35.0</v>
      </c>
      <c r="O84" s="949">
        <v>50.0</v>
      </c>
      <c r="P84" s="949">
        <v>40.0</v>
      </c>
      <c r="Q84" s="949">
        <v>90.0</v>
      </c>
      <c r="R84" s="949">
        <v>216.0</v>
      </c>
      <c r="S84" s="949">
        <v>279.0</v>
      </c>
      <c r="T84" s="949">
        <v>306.0</v>
      </c>
      <c r="U84" s="949"/>
      <c r="V84" s="949"/>
      <c r="W84" s="949"/>
      <c r="X84" s="949"/>
      <c r="Y84" s="949"/>
      <c r="Z84" s="949"/>
      <c r="AA84" s="949"/>
      <c r="AB84" s="949"/>
      <c r="AC84" s="949"/>
      <c r="AD84" s="949"/>
      <c r="AE84" s="949"/>
      <c r="AF84" s="949"/>
      <c r="AG84" s="949"/>
      <c r="AH84" s="949"/>
      <c r="AI84" s="949"/>
      <c r="AJ84" s="949"/>
      <c r="AK84" s="949"/>
      <c r="AL84" s="949"/>
      <c r="AM84" s="953" t="s">
        <v>1040</v>
      </c>
      <c r="AN84" s="954" t="s">
        <v>1041</v>
      </c>
      <c r="AO84" s="955" t="s">
        <v>1046</v>
      </c>
      <c r="AP84" s="931"/>
      <c r="AQ84" s="956"/>
      <c r="AR84" s="957"/>
      <c r="AS84" s="931"/>
    </row>
    <row r="85" ht="15.75" customHeight="1">
      <c r="A85" s="931"/>
      <c r="B85" s="941" t="s">
        <v>1047</v>
      </c>
      <c r="C85" s="942" t="s">
        <v>1048</v>
      </c>
      <c r="D85" s="942" t="s">
        <v>1048</v>
      </c>
      <c r="E85" s="943" t="s">
        <v>1049</v>
      </c>
      <c r="F85" s="935"/>
      <c r="G85" s="944"/>
      <c r="H85" s="944"/>
      <c r="I85" s="946" t="s">
        <v>1050</v>
      </c>
      <c r="J85" s="978" t="s">
        <v>719</v>
      </c>
      <c r="K85" s="954" t="s">
        <v>158</v>
      </c>
      <c r="L85" s="949">
        <v>50.0</v>
      </c>
      <c r="M85" s="949">
        <v>65.0</v>
      </c>
      <c r="N85" s="949">
        <v>55.0</v>
      </c>
      <c r="O85" s="949">
        <v>40.0</v>
      </c>
      <c r="P85" s="949">
        <v>40.0</v>
      </c>
      <c r="Q85" s="949">
        <v>40.0</v>
      </c>
      <c r="R85" s="949">
        <v>116.0</v>
      </c>
      <c r="S85" s="949">
        <v>179.0</v>
      </c>
      <c r="T85" s="949">
        <v>196.0</v>
      </c>
      <c r="U85" s="949"/>
      <c r="V85" s="949"/>
      <c r="W85" s="949"/>
      <c r="X85" s="949"/>
      <c r="Y85" s="949"/>
      <c r="Z85" s="949"/>
      <c r="AA85" s="949"/>
      <c r="AB85" s="949"/>
      <c r="AC85" s="949"/>
      <c r="AD85" s="949"/>
      <c r="AE85" s="949"/>
      <c r="AF85" s="949"/>
      <c r="AG85" s="949"/>
      <c r="AH85" s="949"/>
      <c r="AI85" s="949"/>
      <c r="AJ85" s="949"/>
      <c r="AK85" s="949"/>
      <c r="AL85" s="949"/>
      <c r="AM85" s="953" t="s">
        <v>1040</v>
      </c>
      <c r="AN85" s="953" t="s">
        <v>762</v>
      </c>
      <c r="AO85" s="955" t="s">
        <v>855</v>
      </c>
      <c r="AP85" s="931"/>
      <c r="AQ85" s="956"/>
      <c r="AR85" s="957"/>
      <c r="AS85" s="931"/>
    </row>
    <row r="86" ht="15.75" customHeight="1">
      <c r="A86" s="931"/>
      <c r="B86" s="941" t="s">
        <v>1051</v>
      </c>
      <c r="C86" s="942" t="s">
        <v>1052</v>
      </c>
      <c r="D86" s="942" t="s">
        <v>1052</v>
      </c>
      <c r="E86" s="943" t="s">
        <v>1052</v>
      </c>
      <c r="F86" s="935"/>
      <c r="G86" s="944"/>
      <c r="H86" s="944"/>
      <c r="I86" s="946" t="s">
        <v>471</v>
      </c>
      <c r="J86" s="968" t="s">
        <v>703</v>
      </c>
      <c r="K86" s="954" t="s">
        <v>158</v>
      </c>
      <c r="L86" s="949">
        <v>65.0</v>
      </c>
      <c r="M86" s="949">
        <v>70.0</v>
      </c>
      <c r="N86" s="949">
        <v>60.0</v>
      </c>
      <c r="O86" s="949">
        <v>65.0</v>
      </c>
      <c r="P86" s="949">
        <v>65.0</v>
      </c>
      <c r="Q86" s="949">
        <v>115.0</v>
      </c>
      <c r="R86" s="949">
        <v>266.0</v>
      </c>
      <c r="S86" s="949">
        <v>329.0</v>
      </c>
      <c r="T86" s="949">
        <v>361.0</v>
      </c>
      <c r="U86" s="949"/>
      <c r="V86" s="949"/>
      <c r="W86" s="949"/>
      <c r="X86" s="949"/>
      <c r="Y86" s="949"/>
      <c r="Z86" s="949"/>
      <c r="AA86" s="949"/>
      <c r="AB86" s="949"/>
      <c r="AC86" s="949"/>
      <c r="AD86" s="949"/>
      <c r="AE86" s="949"/>
      <c r="AF86" s="949"/>
      <c r="AG86" s="949"/>
      <c r="AH86" s="949"/>
      <c r="AI86" s="949"/>
      <c r="AJ86" s="949"/>
      <c r="AK86" s="949"/>
      <c r="AL86" s="949"/>
      <c r="AM86" s="953" t="s">
        <v>1053</v>
      </c>
      <c r="AN86" s="954" t="s">
        <v>1041</v>
      </c>
      <c r="AO86" s="955" t="s">
        <v>855</v>
      </c>
      <c r="AP86" s="931"/>
      <c r="AQ86" s="956"/>
      <c r="AR86" s="957"/>
      <c r="AS86" s="931"/>
    </row>
    <row r="87" ht="15.75" customHeight="1">
      <c r="A87" s="931"/>
      <c r="B87" s="941" t="s">
        <v>1054</v>
      </c>
      <c r="C87" s="942" t="s">
        <v>1055</v>
      </c>
      <c r="D87" s="942" t="s">
        <v>1055</v>
      </c>
      <c r="E87" s="943" t="s">
        <v>1056</v>
      </c>
      <c r="F87" s="935"/>
      <c r="G87" s="944"/>
      <c r="H87" s="944"/>
      <c r="I87" s="946" t="s">
        <v>1057</v>
      </c>
      <c r="J87" s="969" t="s">
        <v>718</v>
      </c>
      <c r="K87" s="954" t="s">
        <v>158</v>
      </c>
      <c r="L87" s="949">
        <v>65.0</v>
      </c>
      <c r="M87" s="949">
        <v>60.0</v>
      </c>
      <c r="N87" s="949">
        <v>60.0</v>
      </c>
      <c r="O87" s="949">
        <v>75.0</v>
      </c>
      <c r="P87" s="949">
        <v>65.0</v>
      </c>
      <c r="Q87" s="949">
        <v>115.0</v>
      </c>
      <c r="R87" s="949">
        <v>266.0</v>
      </c>
      <c r="S87" s="949">
        <v>329.0</v>
      </c>
      <c r="T87" s="949">
        <v>361.0</v>
      </c>
      <c r="U87" s="949"/>
      <c r="V87" s="949"/>
      <c r="W87" s="949"/>
      <c r="X87" s="949"/>
      <c r="Y87" s="949"/>
      <c r="Z87" s="949"/>
      <c r="AA87" s="949"/>
      <c r="AB87" s="949"/>
      <c r="AC87" s="949"/>
      <c r="AD87" s="949"/>
      <c r="AE87" s="949"/>
      <c r="AF87" s="949"/>
      <c r="AG87" s="949"/>
      <c r="AH87" s="949"/>
      <c r="AI87" s="949"/>
      <c r="AJ87" s="949"/>
      <c r="AK87" s="949"/>
      <c r="AL87" s="949"/>
      <c r="AM87" s="953" t="s">
        <v>1058</v>
      </c>
      <c r="AN87" s="954" t="s">
        <v>1041</v>
      </c>
      <c r="AO87" s="955" t="s">
        <v>1046</v>
      </c>
      <c r="AP87" s="931"/>
      <c r="AQ87" s="956"/>
      <c r="AR87" s="957"/>
      <c r="AS87" s="931"/>
    </row>
    <row r="88" ht="15.75" customHeight="1">
      <c r="A88" s="963"/>
      <c r="B88" s="941" t="s">
        <v>1059</v>
      </c>
      <c r="C88" s="942" t="s">
        <v>1060</v>
      </c>
      <c r="D88" s="942" t="s">
        <v>1060</v>
      </c>
      <c r="E88" s="943" t="s">
        <v>1060</v>
      </c>
      <c r="F88" s="935"/>
      <c r="G88" s="944"/>
      <c r="H88" s="944"/>
      <c r="I88" s="946" t="s">
        <v>565</v>
      </c>
      <c r="J88" s="962" t="s">
        <v>706</v>
      </c>
      <c r="K88" s="954" t="s">
        <v>158</v>
      </c>
      <c r="L88" s="949">
        <v>50.0</v>
      </c>
      <c r="M88" s="949">
        <v>52.0</v>
      </c>
      <c r="N88" s="949">
        <v>48.0</v>
      </c>
      <c r="O88" s="949">
        <v>65.0</v>
      </c>
      <c r="P88" s="949">
        <v>50.0</v>
      </c>
      <c r="Q88" s="949">
        <v>55.0</v>
      </c>
      <c r="R88" s="949">
        <v>146.0</v>
      </c>
      <c r="S88" s="949">
        <v>209.0</v>
      </c>
      <c r="T88" s="949">
        <v>229.0</v>
      </c>
      <c r="U88" s="949"/>
      <c r="V88" s="949"/>
      <c r="W88" s="949"/>
      <c r="X88" s="949"/>
      <c r="Y88" s="949"/>
      <c r="Z88" s="949"/>
      <c r="AA88" s="949"/>
      <c r="AB88" s="949"/>
      <c r="AC88" s="949"/>
      <c r="AD88" s="949"/>
      <c r="AE88" s="949"/>
      <c r="AF88" s="949"/>
      <c r="AG88" s="949"/>
      <c r="AH88" s="949"/>
      <c r="AI88" s="949"/>
      <c r="AJ88" s="949"/>
      <c r="AK88" s="949"/>
      <c r="AL88" s="949"/>
      <c r="AM88" s="964" t="s">
        <v>1014</v>
      </c>
      <c r="AN88" s="954" t="s">
        <v>1061</v>
      </c>
      <c r="AO88" s="965" t="s">
        <v>1062</v>
      </c>
      <c r="AP88" s="931"/>
      <c r="AQ88" s="956"/>
      <c r="AR88" s="957"/>
      <c r="AS88" s="931"/>
    </row>
    <row r="89" ht="15.75" customHeight="1">
      <c r="A89" s="963"/>
      <c r="B89" s="941" t="s">
        <v>1063</v>
      </c>
      <c r="C89" s="971" t="s">
        <v>1064</v>
      </c>
      <c r="D89" s="971" t="s">
        <v>1064</v>
      </c>
      <c r="E89" s="966" t="s">
        <v>1064</v>
      </c>
      <c r="F89" s="935"/>
      <c r="G89" s="944"/>
      <c r="H89" s="944"/>
      <c r="I89" s="959" t="s">
        <v>456</v>
      </c>
      <c r="J89" s="986" t="s">
        <v>706</v>
      </c>
      <c r="K89" s="973" t="s">
        <v>158</v>
      </c>
      <c r="L89" s="974">
        <v>80.0</v>
      </c>
      <c r="M89" s="974">
        <v>82.0</v>
      </c>
      <c r="N89" s="974">
        <v>78.0</v>
      </c>
      <c r="O89" s="974">
        <v>95.0</v>
      </c>
      <c r="P89" s="974">
        <v>80.0</v>
      </c>
      <c r="Q89" s="974">
        <v>85.0</v>
      </c>
      <c r="R89" s="949">
        <v>206.0</v>
      </c>
      <c r="S89" s="949">
        <v>269.0</v>
      </c>
      <c r="T89" s="949">
        <v>295.0</v>
      </c>
      <c r="U89" s="949"/>
      <c r="V89" s="949"/>
      <c r="W89" s="949"/>
      <c r="X89" s="949"/>
      <c r="Y89" s="949"/>
      <c r="Z89" s="949"/>
      <c r="AA89" s="949"/>
      <c r="AB89" s="949"/>
      <c r="AC89" s="949"/>
      <c r="AD89" s="949"/>
      <c r="AE89" s="949"/>
      <c r="AF89" s="949"/>
      <c r="AG89" s="949"/>
      <c r="AH89" s="949"/>
      <c r="AI89" s="949"/>
      <c r="AJ89" s="949"/>
      <c r="AK89" s="949"/>
      <c r="AL89" s="949"/>
      <c r="AM89" s="964" t="s">
        <v>1014</v>
      </c>
      <c r="AN89" s="973" t="s">
        <v>1061</v>
      </c>
      <c r="AO89" s="965" t="s">
        <v>1062</v>
      </c>
      <c r="AP89" s="931"/>
      <c r="AQ89" s="956"/>
      <c r="AR89" s="957"/>
      <c r="AS89" s="931"/>
    </row>
    <row r="90" ht="15.75" customHeight="1">
      <c r="A90" s="963"/>
      <c r="B90" s="941" t="s">
        <v>1065</v>
      </c>
      <c r="C90" s="971" t="s">
        <v>1066</v>
      </c>
      <c r="D90" s="971" t="s">
        <v>1066</v>
      </c>
      <c r="E90" s="966" t="s">
        <v>1066</v>
      </c>
      <c r="F90" s="935"/>
      <c r="G90" s="944"/>
      <c r="H90" s="944"/>
      <c r="I90" s="959" t="s">
        <v>566</v>
      </c>
      <c r="J90" s="987" t="s">
        <v>705</v>
      </c>
      <c r="K90" s="973" t="s">
        <v>158</v>
      </c>
      <c r="L90" s="974">
        <v>40.0</v>
      </c>
      <c r="M90" s="974">
        <v>80.0</v>
      </c>
      <c r="N90" s="974">
        <v>35.0</v>
      </c>
      <c r="O90" s="974">
        <v>35.0</v>
      </c>
      <c r="P90" s="974">
        <v>45.0</v>
      </c>
      <c r="Q90" s="974">
        <v>70.0</v>
      </c>
      <c r="R90" s="949">
        <v>176.0</v>
      </c>
      <c r="S90" s="949">
        <v>239.0</v>
      </c>
      <c r="T90" s="949">
        <v>262.0</v>
      </c>
      <c r="U90" s="949"/>
      <c r="V90" s="949"/>
      <c r="W90" s="949"/>
      <c r="X90" s="949"/>
      <c r="Y90" s="949"/>
      <c r="Z90" s="949"/>
      <c r="AA90" s="949"/>
      <c r="AB90" s="949"/>
      <c r="AC90" s="949"/>
      <c r="AD90" s="949"/>
      <c r="AE90" s="949"/>
      <c r="AF90" s="949"/>
      <c r="AG90" s="949"/>
      <c r="AH90" s="949"/>
      <c r="AI90" s="949"/>
      <c r="AJ90" s="949"/>
      <c r="AK90" s="949"/>
      <c r="AL90" s="949"/>
      <c r="AM90" s="964" t="s">
        <v>1067</v>
      </c>
      <c r="AN90" s="973" t="s">
        <v>1068</v>
      </c>
      <c r="AO90" s="965" t="s">
        <v>1069</v>
      </c>
      <c r="AP90" s="931"/>
      <c r="AQ90" s="956"/>
      <c r="AR90" s="957"/>
      <c r="AS90" s="931"/>
    </row>
    <row r="91" ht="15.75" customHeight="1">
      <c r="A91" s="931"/>
      <c r="B91" s="941" t="s">
        <v>1070</v>
      </c>
      <c r="C91" s="942" t="s">
        <v>1071</v>
      </c>
      <c r="D91" s="942" t="s">
        <v>1071</v>
      </c>
      <c r="E91" s="943" t="s">
        <v>1071</v>
      </c>
      <c r="F91" s="935"/>
      <c r="G91" s="944"/>
      <c r="H91" s="944"/>
      <c r="I91" s="959" t="s">
        <v>457</v>
      </c>
      <c r="J91" s="988" t="s">
        <v>705</v>
      </c>
      <c r="K91" s="954" t="s">
        <v>158</v>
      </c>
      <c r="L91" s="949">
        <v>65.0</v>
      </c>
      <c r="M91" s="949">
        <v>105.0</v>
      </c>
      <c r="N91" s="949">
        <v>60.0</v>
      </c>
      <c r="O91" s="949">
        <v>60.0</v>
      </c>
      <c r="P91" s="949">
        <v>70.0</v>
      </c>
      <c r="Q91" s="949">
        <v>95.0</v>
      </c>
      <c r="R91" s="949">
        <v>226.0</v>
      </c>
      <c r="S91" s="949">
        <v>289.0</v>
      </c>
      <c r="T91" s="949">
        <v>317.0</v>
      </c>
      <c r="U91" s="949"/>
      <c r="V91" s="949"/>
      <c r="W91" s="949"/>
      <c r="X91" s="949"/>
      <c r="Y91" s="949"/>
      <c r="Z91" s="949"/>
      <c r="AA91" s="949"/>
      <c r="AB91" s="949"/>
      <c r="AC91" s="949"/>
      <c r="AD91" s="949"/>
      <c r="AE91" s="949"/>
      <c r="AF91" s="949"/>
      <c r="AG91" s="949"/>
      <c r="AH91" s="949"/>
      <c r="AI91" s="949"/>
      <c r="AJ91" s="949"/>
      <c r="AK91" s="949"/>
      <c r="AL91" s="949"/>
      <c r="AM91" s="953" t="s">
        <v>1067</v>
      </c>
      <c r="AN91" s="954" t="s">
        <v>1068</v>
      </c>
      <c r="AO91" s="955" t="s">
        <v>1069</v>
      </c>
      <c r="AP91" s="931"/>
      <c r="AQ91" s="956"/>
      <c r="AR91" s="957"/>
      <c r="AS91" s="931"/>
    </row>
    <row r="92" ht="15.75" customHeight="1">
      <c r="A92" s="931"/>
      <c r="B92" s="941" t="s">
        <v>1072</v>
      </c>
      <c r="C92" s="942" t="s">
        <v>1073</v>
      </c>
      <c r="D92" s="942" t="s">
        <v>1073</v>
      </c>
      <c r="E92" s="966" t="s">
        <v>1073</v>
      </c>
      <c r="F92" s="935"/>
      <c r="G92" s="944"/>
      <c r="H92" s="944"/>
      <c r="I92" s="959" t="s">
        <v>526</v>
      </c>
      <c r="J92" s="958" t="s">
        <v>704</v>
      </c>
      <c r="K92" s="954" t="s">
        <v>158</v>
      </c>
      <c r="L92" s="949">
        <v>55.0</v>
      </c>
      <c r="M92" s="949">
        <v>70.0</v>
      </c>
      <c r="N92" s="949">
        <v>45.0</v>
      </c>
      <c r="O92" s="949">
        <v>70.0</v>
      </c>
      <c r="P92" s="949">
        <v>50.0</v>
      </c>
      <c r="Q92" s="949">
        <v>60.0</v>
      </c>
      <c r="R92" s="949">
        <v>156.0</v>
      </c>
      <c r="S92" s="949">
        <v>219.0</v>
      </c>
      <c r="T92" s="949">
        <v>240.0</v>
      </c>
      <c r="U92" s="949"/>
      <c r="V92" s="949"/>
      <c r="W92" s="949"/>
      <c r="X92" s="949"/>
      <c r="Y92" s="949"/>
      <c r="Z92" s="949"/>
      <c r="AA92" s="949"/>
      <c r="AB92" s="949"/>
      <c r="AC92" s="949"/>
      <c r="AD92" s="949"/>
      <c r="AE92" s="949"/>
      <c r="AF92" s="949"/>
      <c r="AG92" s="949"/>
      <c r="AH92" s="949"/>
      <c r="AI92" s="949"/>
      <c r="AJ92" s="949"/>
      <c r="AK92" s="949"/>
      <c r="AL92" s="949"/>
      <c r="AM92" s="964" t="s">
        <v>854</v>
      </c>
      <c r="AN92" s="954" t="s">
        <v>972</v>
      </c>
      <c r="AO92" s="955" t="s">
        <v>1074</v>
      </c>
      <c r="AP92" s="931"/>
      <c r="AQ92" s="956"/>
      <c r="AR92" s="957"/>
      <c r="AS92" s="931"/>
    </row>
    <row r="93" ht="15.75" customHeight="1">
      <c r="A93" s="931"/>
      <c r="B93" s="941" t="s">
        <v>1075</v>
      </c>
      <c r="C93" s="942" t="str">
        <f t="shared" ref="C93:E93" si="1">C92&amp;"-hisui"</f>
        <v>growlithe-hisui</v>
      </c>
      <c r="D93" s="942" t="str">
        <f t="shared" si="1"/>
        <v>growlithe-hisui</v>
      </c>
      <c r="E93" s="943" t="str">
        <f t="shared" si="1"/>
        <v>growlithe-hisui</v>
      </c>
      <c r="F93" s="935"/>
      <c r="G93" s="944"/>
      <c r="H93" s="944"/>
      <c r="I93" s="946" t="s">
        <v>1076</v>
      </c>
      <c r="J93" s="958" t="s">
        <v>704</v>
      </c>
      <c r="K93" s="989" t="s">
        <v>713</v>
      </c>
      <c r="L93" s="949">
        <v>60.0</v>
      </c>
      <c r="M93" s="949">
        <v>75.0</v>
      </c>
      <c r="N93" s="949">
        <v>45.0</v>
      </c>
      <c r="O93" s="949">
        <v>65.0</v>
      </c>
      <c r="P93" s="949">
        <v>50.0</v>
      </c>
      <c r="Q93" s="949">
        <v>55.0</v>
      </c>
      <c r="R93" s="949">
        <v>146.0</v>
      </c>
      <c r="S93" s="949">
        <v>209.0</v>
      </c>
      <c r="T93" s="949">
        <v>229.0</v>
      </c>
      <c r="U93" s="949"/>
      <c r="V93" s="949"/>
      <c r="W93" s="949"/>
      <c r="X93" s="949"/>
      <c r="Y93" s="949"/>
      <c r="Z93" s="949"/>
      <c r="AA93" s="949"/>
      <c r="AB93" s="949"/>
      <c r="AC93" s="949"/>
      <c r="AD93" s="949"/>
      <c r="AE93" s="949"/>
      <c r="AF93" s="949"/>
      <c r="AG93" s="949"/>
      <c r="AH93" s="949"/>
      <c r="AI93" s="949"/>
      <c r="AJ93" s="949"/>
      <c r="AK93" s="949"/>
      <c r="AL93" s="949"/>
      <c r="AM93" s="953" t="s">
        <v>854</v>
      </c>
      <c r="AN93" s="953" t="s">
        <v>972</v>
      </c>
      <c r="AO93" s="955" t="s">
        <v>1077</v>
      </c>
      <c r="AP93" s="931"/>
      <c r="AQ93" s="956"/>
      <c r="AR93" s="957"/>
      <c r="AS93" s="931"/>
    </row>
    <row r="94" ht="15.75" customHeight="1">
      <c r="A94" s="963"/>
      <c r="B94" s="941" t="s">
        <v>1078</v>
      </c>
      <c r="C94" s="971" t="s">
        <v>228</v>
      </c>
      <c r="D94" s="971" t="s">
        <v>228</v>
      </c>
      <c r="E94" s="966" t="s">
        <v>228</v>
      </c>
      <c r="F94" s="935"/>
      <c r="G94" s="944"/>
      <c r="H94" s="944"/>
      <c r="I94" s="959" t="s">
        <v>86</v>
      </c>
      <c r="J94" s="981" t="s">
        <v>704</v>
      </c>
      <c r="K94" s="973" t="s">
        <v>158</v>
      </c>
      <c r="L94" s="974">
        <v>90.0</v>
      </c>
      <c r="M94" s="974">
        <v>110.0</v>
      </c>
      <c r="N94" s="974">
        <v>80.0</v>
      </c>
      <c r="O94" s="974">
        <v>100.0</v>
      </c>
      <c r="P94" s="974">
        <v>80.0</v>
      </c>
      <c r="Q94" s="974">
        <v>95.0</v>
      </c>
      <c r="R94" s="949">
        <v>226.0</v>
      </c>
      <c r="S94" s="949">
        <v>289.0</v>
      </c>
      <c r="T94" s="949">
        <v>317.0</v>
      </c>
      <c r="U94" s="949"/>
      <c r="V94" s="949"/>
      <c r="W94" s="949"/>
      <c r="X94" s="949"/>
      <c r="Y94" s="949"/>
      <c r="Z94" s="949"/>
      <c r="AA94" s="949"/>
      <c r="AB94" s="949"/>
      <c r="AC94" s="949"/>
      <c r="AD94" s="949"/>
      <c r="AE94" s="949"/>
      <c r="AF94" s="949"/>
      <c r="AG94" s="949"/>
      <c r="AH94" s="949"/>
      <c r="AI94" s="949"/>
      <c r="AJ94" s="949"/>
      <c r="AK94" s="949"/>
      <c r="AL94" s="949"/>
      <c r="AM94" s="964" t="s">
        <v>854</v>
      </c>
      <c r="AN94" s="954" t="s">
        <v>972</v>
      </c>
      <c r="AO94" s="965" t="s">
        <v>1074</v>
      </c>
      <c r="AP94" s="931"/>
      <c r="AQ94" s="956"/>
      <c r="AR94" s="957"/>
      <c r="AS94" s="931"/>
    </row>
    <row r="95" ht="15.75" customHeight="1">
      <c r="A95" s="931"/>
      <c r="B95" s="941" t="s">
        <v>1079</v>
      </c>
      <c r="C95" s="942" t="str">
        <f t="shared" ref="C95:E95" si="2">C94&amp;"-hisui"</f>
        <v>arcanine-hisui</v>
      </c>
      <c r="D95" s="942" t="str">
        <f t="shared" si="2"/>
        <v>arcanine-hisui</v>
      </c>
      <c r="E95" s="943" t="str">
        <f t="shared" si="2"/>
        <v>arcanine-hisui</v>
      </c>
      <c r="F95" s="935"/>
      <c r="G95" s="944"/>
      <c r="H95" s="944"/>
      <c r="I95" s="946" t="s">
        <v>1080</v>
      </c>
      <c r="J95" s="958" t="s">
        <v>704</v>
      </c>
      <c r="K95" s="989" t="s">
        <v>713</v>
      </c>
      <c r="L95" s="949">
        <v>95.0</v>
      </c>
      <c r="M95" s="949">
        <v>115.0</v>
      </c>
      <c r="N95" s="949">
        <v>80.0</v>
      </c>
      <c r="O95" s="949">
        <v>95.0</v>
      </c>
      <c r="P95" s="949">
        <v>80.0</v>
      </c>
      <c r="Q95" s="949">
        <v>90.0</v>
      </c>
      <c r="R95" s="949">
        <v>216.0</v>
      </c>
      <c r="S95" s="949">
        <v>279.0</v>
      </c>
      <c r="T95" s="949">
        <v>306.0</v>
      </c>
      <c r="U95" s="949"/>
      <c r="V95" s="949"/>
      <c r="W95" s="949"/>
      <c r="X95" s="949"/>
      <c r="Y95" s="949"/>
      <c r="Z95" s="949"/>
      <c r="AA95" s="949"/>
      <c r="AB95" s="949"/>
      <c r="AC95" s="949"/>
      <c r="AD95" s="949"/>
      <c r="AE95" s="949"/>
      <c r="AF95" s="949"/>
      <c r="AG95" s="949"/>
      <c r="AH95" s="949"/>
      <c r="AI95" s="949"/>
      <c r="AJ95" s="949"/>
      <c r="AK95" s="949"/>
      <c r="AL95" s="949"/>
      <c r="AM95" s="953" t="s">
        <v>854</v>
      </c>
      <c r="AN95" s="954" t="s">
        <v>972</v>
      </c>
      <c r="AO95" s="955" t="s">
        <v>1077</v>
      </c>
      <c r="AP95" s="931"/>
      <c r="AQ95" s="956"/>
      <c r="AR95" s="957"/>
      <c r="AS95" s="931"/>
    </row>
    <row r="96" ht="15.75" customHeight="1">
      <c r="A96" s="931"/>
      <c r="B96" s="941" t="s">
        <v>1081</v>
      </c>
      <c r="C96" s="942" t="s">
        <v>1082</v>
      </c>
      <c r="D96" s="942" t="s">
        <v>1082</v>
      </c>
      <c r="E96" s="943" t="s">
        <v>1082</v>
      </c>
      <c r="F96" s="935"/>
      <c r="G96" s="944"/>
      <c r="H96" s="944"/>
      <c r="I96" s="946" t="s">
        <v>1083</v>
      </c>
      <c r="J96" s="962" t="s">
        <v>706</v>
      </c>
      <c r="K96" s="954" t="s">
        <v>158</v>
      </c>
      <c r="L96" s="949">
        <v>40.0</v>
      </c>
      <c r="M96" s="949">
        <v>50.0</v>
      </c>
      <c r="N96" s="949">
        <v>40.0</v>
      </c>
      <c r="O96" s="949">
        <v>40.0</v>
      </c>
      <c r="P96" s="949">
        <v>40.0</v>
      </c>
      <c r="Q96" s="949">
        <v>90.0</v>
      </c>
      <c r="R96" s="949">
        <v>216.0</v>
      </c>
      <c r="S96" s="949">
        <v>279.0</v>
      </c>
      <c r="T96" s="949">
        <v>306.0</v>
      </c>
      <c r="U96" s="949"/>
      <c r="V96" s="949"/>
      <c r="W96" s="949"/>
      <c r="X96" s="949"/>
      <c r="Y96" s="949"/>
      <c r="Z96" s="949"/>
      <c r="AA96" s="949"/>
      <c r="AB96" s="949"/>
      <c r="AC96" s="949"/>
      <c r="AD96" s="949"/>
      <c r="AE96" s="949"/>
      <c r="AF96" s="949"/>
      <c r="AG96" s="949"/>
      <c r="AH96" s="949"/>
      <c r="AI96" s="949"/>
      <c r="AJ96" s="949"/>
      <c r="AK96" s="949"/>
      <c r="AL96" s="949"/>
      <c r="AM96" s="953" t="s">
        <v>1084</v>
      </c>
      <c r="AN96" s="954" t="s">
        <v>1014</v>
      </c>
      <c r="AO96" s="955" t="s">
        <v>1062</v>
      </c>
      <c r="AP96" s="931"/>
      <c r="AQ96" s="956"/>
      <c r="AR96" s="957"/>
      <c r="AS96" s="931"/>
    </row>
    <row r="97" ht="15.75" customHeight="1">
      <c r="A97" s="931"/>
      <c r="B97" s="941" t="s">
        <v>1085</v>
      </c>
      <c r="C97" s="942" t="s">
        <v>1086</v>
      </c>
      <c r="D97" s="942" t="s">
        <v>1086</v>
      </c>
      <c r="E97" s="943" t="s">
        <v>1086</v>
      </c>
      <c r="F97" s="935"/>
      <c r="G97" s="944"/>
      <c r="H97" s="944"/>
      <c r="I97" s="946" t="s">
        <v>1087</v>
      </c>
      <c r="J97" s="962" t="s">
        <v>706</v>
      </c>
      <c r="K97" s="954" t="s">
        <v>158</v>
      </c>
      <c r="L97" s="949">
        <v>65.0</v>
      </c>
      <c r="M97" s="949">
        <v>65.0</v>
      </c>
      <c r="N97" s="949">
        <v>65.0</v>
      </c>
      <c r="O97" s="949">
        <v>50.0</v>
      </c>
      <c r="P97" s="949">
        <v>50.0</v>
      </c>
      <c r="Q97" s="949">
        <v>90.0</v>
      </c>
      <c r="R97" s="949">
        <v>216.0</v>
      </c>
      <c r="S97" s="949">
        <v>279.0</v>
      </c>
      <c r="T97" s="949">
        <v>306.0</v>
      </c>
      <c r="U97" s="949"/>
      <c r="V97" s="949"/>
      <c r="W97" s="949"/>
      <c r="X97" s="949"/>
      <c r="Y97" s="949"/>
      <c r="Z97" s="949"/>
      <c r="AA97" s="949"/>
      <c r="AB97" s="949"/>
      <c r="AC97" s="949"/>
      <c r="AD97" s="949"/>
      <c r="AE97" s="949"/>
      <c r="AF97" s="949"/>
      <c r="AG97" s="949"/>
      <c r="AH97" s="949"/>
      <c r="AI97" s="949"/>
      <c r="AJ97" s="949"/>
      <c r="AK97" s="949"/>
      <c r="AL97" s="949"/>
      <c r="AM97" s="953" t="s">
        <v>1084</v>
      </c>
      <c r="AN97" s="954" t="s">
        <v>1014</v>
      </c>
      <c r="AO97" s="955" t="s">
        <v>1062</v>
      </c>
      <c r="AP97" s="931"/>
      <c r="AQ97" s="956"/>
      <c r="AR97" s="957"/>
      <c r="AS97" s="931"/>
    </row>
    <row r="98" ht="15.75" customHeight="1">
      <c r="A98" s="931"/>
      <c r="B98" s="941" t="s">
        <v>1088</v>
      </c>
      <c r="C98" s="942" t="s">
        <v>1089</v>
      </c>
      <c r="D98" s="942" t="s">
        <v>1089</v>
      </c>
      <c r="E98" s="943" t="s">
        <v>1089</v>
      </c>
      <c r="F98" s="935"/>
      <c r="G98" s="944"/>
      <c r="H98" s="944"/>
      <c r="I98" s="946" t="s">
        <v>1090</v>
      </c>
      <c r="J98" s="962" t="s">
        <v>706</v>
      </c>
      <c r="K98" s="988" t="s">
        <v>705</v>
      </c>
      <c r="L98" s="949">
        <v>90.0</v>
      </c>
      <c r="M98" s="949">
        <v>95.0</v>
      </c>
      <c r="N98" s="949">
        <v>95.0</v>
      </c>
      <c r="O98" s="949">
        <v>70.0</v>
      </c>
      <c r="P98" s="949">
        <v>90.0</v>
      </c>
      <c r="Q98" s="949">
        <v>70.0</v>
      </c>
      <c r="R98" s="949">
        <v>176.0</v>
      </c>
      <c r="S98" s="949">
        <v>239.0</v>
      </c>
      <c r="T98" s="949">
        <v>262.0</v>
      </c>
      <c r="U98" s="949"/>
      <c r="V98" s="949"/>
      <c r="W98" s="949"/>
      <c r="X98" s="949"/>
      <c r="Y98" s="949"/>
      <c r="Z98" s="949"/>
      <c r="AA98" s="949"/>
      <c r="AB98" s="949"/>
      <c r="AC98" s="949"/>
      <c r="AD98" s="949"/>
      <c r="AE98" s="949"/>
      <c r="AF98" s="949"/>
      <c r="AG98" s="949"/>
      <c r="AH98" s="949"/>
      <c r="AI98" s="949"/>
      <c r="AJ98" s="949"/>
      <c r="AK98" s="949"/>
      <c r="AL98" s="949"/>
      <c r="AM98" s="953" t="s">
        <v>1084</v>
      </c>
      <c r="AN98" s="954" t="s">
        <v>1014</v>
      </c>
      <c r="AO98" s="955" t="s">
        <v>1062</v>
      </c>
      <c r="AP98" s="931"/>
      <c r="AQ98" s="956"/>
      <c r="AR98" s="957"/>
      <c r="AS98" s="931"/>
    </row>
    <row r="99" ht="15.75" customHeight="1">
      <c r="A99" s="931"/>
      <c r="B99" s="941" t="s">
        <v>1091</v>
      </c>
      <c r="C99" s="942" t="s">
        <v>1092</v>
      </c>
      <c r="D99" s="942" t="s">
        <v>1092</v>
      </c>
      <c r="E99" s="943" t="s">
        <v>1092</v>
      </c>
      <c r="F99" s="935"/>
      <c r="G99" s="944"/>
      <c r="H99" s="944"/>
      <c r="I99" s="946" t="s">
        <v>1093</v>
      </c>
      <c r="J99" s="975" t="s">
        <v>712</v>
      </c>
      <c r="K99" s="954" t="s">
        <v>158</v>
      </c>
      <c r="L99" s="949">
        <v>25.0</v>
      </c>
      <c r="M99" s="949">
        <v>20.0</v>
      </c>
      <c r="N99" s="949">
        <v>15.0</v>
      </c>
      <c r="O99" s="949">
        <v>105.0</v>
      </c>
      <c r="P99" s="949">
        <v>55.0</v>
      </c>
      <c r="Q99" s="949">
        <v>90.0</v>
      </c>
      <c r="R99" s="949">
        <v>216.0</v>
      </c>
      <c r="S99" s="949">
        <v>279.0</v>
      </c>
      <c r="T99" s="949">
        <v>306.0</v>
      </c>
      <c r="U99" s="949"/>
      <c r="V99" s="949"/>
      <c r="W99" s="949"/>
      <c r="X99" s="949"/>
      <c r="Y99" s="949"/>
      <c r="Z99" s="949"/>
      <c r="AA99" s="949"/>
      <c r="AB99" s="949"/>
      <c r="AC99" s="949"/>
      <c r="AD99" s="949"/>
      <c r="AE99" s="949"/>
      <c r="AF99" s="949"/>
      <c r="AG99" s="949"/>
      <c r="AH99" s="949"/>
      <c r="AI99" s="949"/>
      <c r="AJ99" s="949"/>
      <c r="AK99" s="949"/>
      <c r="AL99" s="949"/>
      <c r="AM99" s="953" t="s">
        <v>1094</v>
      </c>
      <c r="AN99" s="954" t="s">
        <v>994</v>
      </c>
      <c r="AO99" s="955" t="s">
        <v>963</v>
      </c>
      <c r="AP99" s="931"/>
      <c r="AQ99" s="956"/>
      <c r="AR99" s="957"/>
      <c r="AS99" s="931"/>
    </row>
    <row r="100" ht="15.75" customHeight="1">
      <c r="A100" s="931"/>
      <c r="B100" s="941" t="s">
        <v>1095</v>
      </c>
      <c r="C100" s="942" t="s">
        <v>1096</v>
      </c>
      <c r="D100" s="942" t="s">
        <v>1096</v>
      </c>
      <c r="E100" s="943" t="s">
        <v>1096</v>
      </c>
      <c r="F100" s="935"/>
      <c r="G100" s="944"/>
      <c r="H100" s="944"/>
      <c r="I100" s="946" t="s">
        <v>1097</v>
      </c>
      <c r="J100" s="975" t="s">
        <v>712</v>
      </c>
      <c r="K100" s="954" t="s">
        <v>158</v>
      </c>
      <c r="L100" s="949">
        <v>40.0</v>
      </c>
      <c r="M100" s="949">
        <v>35.0</v>
      </c>
      <c r="N100" s="949">
        <v>30.0</v>
      </c>
      <c r="O100" s="949">
        <v>120.0</v>
      </c>
      <c r="P100" s="949">
        <v>70.0</v>
      </c>
      <c r="Q100" s="949">
        <v>105.0</v>
      </c>
      <c r="R100" s="949">
        <v>246.0</v>
      </c>
      <c r="S100" s="949">
        <v>309.0</v>
      </c>
      <c r="T100" s="949">
        <v>339.0</v>
      </c>
      <c r="U100" s="949"/>
      <c r="V100" s="949"/>
      <c r="W100" s="949"/>
      <c r="X100" s="949"/>
      <c r="Y100" s="949"/>
      <c r="Z100" s="949"/>
      <c r="AA100" s="949"/>
      <c r="AB100" s="949"/>
      <c r="AC100" s="949"/>
      <c r="AD100" s="949"/>
      <c r="AE100" s="949"/>
      <c r="AF100" s="949"/>
      <c r="AG100" s="949"/>
      <c r="AH100" s="949"/>
      <c r="AI100" s="949"/>
      <c r="AJ100" s="949"/>
      <c r="AK100" s="949"/>
      <c r="AL100" s="949"/>
      <c r="AM100" s="953" t="s">
        <v>1094</v>
      </c>
      <c r="AN100" s="954" t="s">
        <v>994</v>
      </c>
      <c r="AO100" s="955" t="s">
        <v>963</v>
      </c>
      <c r="AP100" s="931"/>
      <c r="AQ100" s="956"/>
      <c r="AR100" s="957"/>
      <c r="AS100" s="931"/>
    </row>
    <row r="101" ht="15.75" customHeight="1">
      <c r="A101" s="963"/>
      <c r="B101" s="941" t="s">
        <v>1098</v>
      </c>
      <c r="C101" s="971" t="s">
        <v>1099</v>
      </c>
      <c r="D101" s="971" t="s">
        <v>1099</v>
      </c>
      <c r="E101" s="966" t="s">
        <v>1099</v>
      </c>
      <c r="F101" s="935"/>
      <c r="G101" s="944"/>
      <c r="H101" s="944"/>
      <c r="I101" s="959" t="s">
        <v>1100</v>
      </c>
      <c r="J101" s="990" t="s">
        <v>712</v>
      </c>
      <c r="K101" s="973" t="s">
        <v>158</v>
      </c>
      <c r="L101" s="974">
        <v>55.0</v>
      </c>
      <c r="M101" s="974">
        <v>50.0</v>
      </c>
      <c r="N101" s="974">
        <v>45.0</v>
      </c>
      <c r="O101" s="974">
        <v>135.0</v>
      </c>
      <c r="P101" s="974">
        <v>95.0</v>
      </c>
      <c r="Q101" s="974">
        <v>120.0</v>
      </c>
      <c r="R101" s="949">
        <v>276.0</v>
      </c>
      <c r="S101" s="949">
        <v>339.0</v>
      </c>
      <c r="T101" s="949">
        <v>372.0</v>
      </c>
      <c r="U101" s="949"/>
      <c r="V101" s="949"/>
      <c r="W101" s="949"/>
      <c r="X101" s="949"/>
      <c r="Y101" s="949"/>
      <c r="Z101" s="949"/>
      <c r="AA101" s="949"/>
      <c r="AB101" s="949"/>
      <c r="AC101" s="949"/>
      <c r="AD101" s="949"/>
      <c r="AE101" s="949"/>
      <c r="AF101" s="949"/>
      <c r="AG101" s="949"/>
      <c r="AH101" s="949"/>
      <c r="AI101" s="949"/>
      <c r="AJ101" s="949"/>
      <c r="AK101" s="949"/>
      <c r="AL101" s="949"/>
      <c r="AM101" s="964" t="s">
        <v>1094</v>
      </c>
      <c r="AN101" s="973" t="s">
        <v>994</v>
      </c>
      <c r="AO101" s="965" t="s">
        <v>963</v>
      </c>
      <c r="AP101" s="931"/>
      <c r="AQ101" s="956"/>
      <c r="AR101" s="957"/>
      <c r="AS101" s="931"/>
    </row>
    <row r="102" ht="15.75" customHeight="1">
      <c r="A102" s="931"/>
      <c r="B102" s="941" t="s">
        <v>1101</v>
      </c>
      <c r="C102" s="942" t="s">
        <v>1102</v>
      </c>
      <c r="D102" s="942" t="s">
        <v>1102</v>
      </c>
      <c r="E102" s="943" t="s">
        <v>1102</v>
      </c>
      <c r="F102" s="935"/>
      <c r="G102" s="944"/>
      <c r="H102" s="944"/>
      <c r="I102" s="946" t="s">
        <v>1103</v>
      </c>
      <c r="J102" s="975" t="s">
        <v>712</v>
      </c>
      <c r="K102" s="954" t="s">
        <v>158</v>
      </c>
      <c r="L102" s="949">
        <v>55.0</v>
      </c>
      <c r="M102" s="949">
        <v>50.0</v>
      </c>
      <c r="N102" s="949">
        <v>65.0</v>
      </c>
      <c r="O102" s="949">
        <v>175.0</v>
      </c>
      <c r="P102" s="949">
        <v>105.0</v>
      </c>
      <c r="Q102" s="949">
        <v>150.0</v>
      </c>
      <c r="R102" s="949">
        <v>336.0</v>
      </c>
      <c r="S102" s="949">
        <v>399.0</v>
      </c>
      <c r="T102" s="949">
        <v>438.0</v>
      </c>
      <c r="U102" s="949"/>
      <c r="V102" s="949"/>
      <c r="W102" s="949"/>
      <c r="X102" s="949"/>
      <c r="Y102" s="949"/>
      <c r="Z102" s="949"/>
      <c r="AA102" s="949"/>
      <c r="AB102" s="949"/>
      <c r="AC102" s="949"/>
      <c r="AD102" s="949"/>
      <c r="AE102" s="949"/>
      <c r="AF102" s="949"/>
      <c r="AG102" s="949"/>
      <c r="AH102" s="949"/>
      <c r="AI102" s="949"/>
      <c r="AJ102" s="949"/>
      <c r="AK102" s="949"/>
      <c r="AL102" s="949"/>
      <c r="AM102" s="953" t="s">
        <v>1104</v>
      </c>
      <c r="AN102" s="954"/>
      <c r="AO102" s="955"/>
      <c r="AP102" s="931"/>
      <c r="AQ102" s="956"/>
      <c r="AR102" s="957"/>
      <c r="AS102" s="931"/>
    </row>
    <row r="103" ht="15.75" customHeight="1">
      <c r="A103" s="931"/>
      <c r="B103" s="941" t="s">
        <v>1105</v>
      </c>
      <c r="C103" s="942" t="s">
        <v>1106</v>
      </c>
      <c r="D103" s="942" t="s">
        <v>1106</v>
      </c>
      <c r="E103" s="943" t="s">
        <v>1106</v>
      </c>
      <c r="F103" s="935"/>
      <c r="G103" s="944"/>
      <c r="H103" s="944"/>
      <c r="I103" s="946" t="s">
        <v>1107</v>
      </c>
      <c r="J103" s="988" t="s">
        <v>705</v>
      </c>
      <c r="K103" s="954" t="s">
        <v>158</v>
      </c>
      <c r="L103" s="949">
        <v>70.0</v>
      </c>
      <c r="M103" s="949">
        <v>80.0</v>
      </c>
      <c r="N103" s="949">
        <v>50.0</v>
      </c>
      <c r="O103" s="949">
        <v>35.0</v>
      </c>
      <c r="P103" s="949">
        <v>35.0</v>
      </c>
      <c r="Q103" s="949">
        <v>35.0</v>
      </c>
      <c r="R103" s="949">
        <v>106.0</v>
      </c>
      <c r="S103" s="949">
        <v>169.0</v>
      </c>
      <c r="T103" s="949">
        <v>185.0</v>
      </c>
      <c r="U103" s="949"/>
      <c r="V103" s="949"/>
      <c r="W103" s="949"/>
      <c r="X103" s="949"/>
      <c r="Y103" s="949"/>
      <c r="Z103" s="949"/>
      <c r="AA103" s="949"/>
      <c r="AB103" s="949"/>
      <c r="AC103" s="949"/>
      <c r="AD103" s="949"/>
      <c r="AE103" s="949"/>
      <c r="AF103" s="949"/>
      <c r="AG103" s="949"/>
      <c r="AH103" s="949"/>
      <c r="AI103" s="949"/>
      <c r="AJ103" s="949"/>
      <c r="AK103" s="949"/>
      <c r="AL103" s="949"/>
      <c r="AM103" s="953" t="s">
        <v>831</v>
      </c>
      <c r="AN103" s="954" t="s">
        <v>827</v>
      </c>
      <c r="AO103" s="955" t="s">
        <v>1108</v>
      </c>
      <c r="AP103" s="931"/>
      <c r="AQ103" s="956"/>
      <c r="AR103" s="957"/>
      <c r="AS103" s="931"/>
    </row>
    <row r="104" ht="15.75" customHeight="1">
      <c r="A104" s="931"/>
      <c r="B104" s="941" t="s">
        <v>1109</v>
      </c>
      <c r="C104" s="942" t="s">
        <v>1110</v>
      </c>
      <c r="D104" s="942" t="s">
        <v>1110</v>
      </c>
      <c r="E104" s="943" t="s">
        <v>1110</v>
      </c>
      <c r="F104" s="935"/>
      <c r="G104" s="944"/>
      <c r="H104" s="944"/>
      <c r="I104" s="946" t="s">
        <v>1111</v>
      </c>
      <c r="J104" s="988" t="s">
        <v>705</v>
      </c>
      <c r="K104" s="954" t="s">
        <v>158</v>
      </c>
      <c r="L104" s="949">
        <v>80.0</v>
      </c>
      <c r="M104" s="949">
        <v>100.0</v>
      </c>
      <c r="N104" s="949">
        <v>70.0</v>
      </c>
      <c r="O104" s="949">
        <v>50.0</v>
      </c>
      <c r="P104" s="949">
        <v>60.0</v>
      </c>
      <c r="Q104" s="949">
        <v>45.0</v>
      </c>
      <c r="R104" s="949">
        <v>126.0</v>
      </c>
      <c r="S104" s="949">
        <v>189.0</v>
      </c>
      <c r="T104" s="949">
        <v>207.0</v>
      </c>
      <c r="U104" s="949"/>
      <c r="V104" s="949"/>
      <c r="W104" s="949"/>
      <c r="X104" s="949"/>
      <c r="Y104" s="949"/>
      <c r="Z104" s="949"/>
      <c r="AA104" s="949"/>
      <c r="AB104" s="949"/>
      <c r="AC104" s="949"/>
      <c r="AD104" s="949"/>
      <c r="AE104" s="949"/>
      <c r="AF104" s="949"/>
      <c r="AG104" s="949"/>
      <c r="AH104" s="949"/>
      <c r="AI104" s="949"/>
      <c r="AJ104" s="949"/>
      <c r="AK104" s="949"/>
      <c r="AL104" s="949"/>
      <c r="AM104" s="953" t="s">
        <v>831</v>
      </c>
      <c r="AN104" s="954" t="s">
        <v>827</v>
      </c>
      <c r="AO104" s="955" t="s">
        <v>1108</v>
      </c>
      <c r="AP104" s="931"/>
      <c r="AQ104" s="956"/>
      <c r="AR104" s="957"/>
      <c r="AS104" s="931"/>
    </row>
    <row r="105" ht="15.75" customHeight="1">
      <c r="A105" s="931"/>
      <c r="B105" s="941" t="s">
        <v>1112</v>
      </c>
      <c r="C105" s="942" t="s">
        <v>1113</v>
      </c>
      <c r="D105" s="942" t="s">
        <v>1113</v>
      </c>
      <c r="E105" s="943" t="s">
        <v>1113</v>
      </c>
      <c r="F105" s="935"/>
      <c r="G105" s="944"/>
      <c r="H105" s="944"/>
      <c r="I105" s="959" t="s">
        <v>1114</v>
      </c>
      <c r="J105" s="988" t="s">
        <v>705</v>
      </c>
      <c r="K105" s="954" t="s">
        <v>158</v>
      </c>
      <c r="L105" s="949">
        <v>90.0</v>
      </c>
      <c r="M105" s="949">
        <v>130.0</v>
      </c>
      <c r="N105" s="949">
        <v>80.0</v>
      </c>
      <c r="O105" s="949">
        <v>65.0</v>
      </c>
      <c r="P105" s="949">
        <v>85.0</v>
      </c>
      <c r="Q105" s="949">
        <v>55.0</v>
      </c>
      <c r="R105" s="949">
        <v>146.0</v>
      </c>
      <c r="S105" s="949">
        <v>209.0</v>
      </c>
      <c r="T105" s="949">
        <v>229.0</v>
      </c>
      <c r="U105" s="949"/>
      <c r="V105" s="949"/>
      <c r="W105" s="949"/>
      <c r="X105" s="949"/>
      <c r="Y105" s="949"/>
      <c r="Z105" s="949"/>
      <c r="AA105" s="949"/>
      <c r="AB105" s="949"/>
      <c r="AC105" s="949"/>
      <c r="AD105" s="949"/>
      <c r="AE105" s="949"/>
      <c r="AF105" s="949"/>
      <c r="AG105" s="949"/>
      <c r="AH105" s="949"/>
      <c r="AI105" s="949"/>
      <c r="AJ105" s="949"/>
      <c r="AK105" s="949"/>
      <c r="AL105" s="949"/>
      <c r="AM105" s="953" t="s">
        <v>831</v>
      </c>
      <c r="AN105" s="954" t="s">
        <v>827</v>
      </c>
      <c r="AO105" s="955" t="s">
        <v>1108</v>
      </c>
      <c r="AP105" s="931"/>
      <c r="AQ105" s="956"/>
      <c r="AR105" s="957"/>
      <c r="AS105" s="931"/>
    </row>
    <row r="106" ht="15.75" customHeight="1">
      <c r="A106" s="931"/>
      <c r="B106" s="941" t="s">
        <v>1115</v>
      </c>
      <c r="C106" s="942" t="s">
        <v>1116</v>
      </c>
      <c r="D106" s="942" t="s">
        <v>1116</v>
      </c>
      <c r="E106" s="943" t="s">
        <v>1116</v>
      </c>
      <c r="F106" s="935"/>
      <c r="G106" s="944"/>
      <c r="H106" s="944"/>
      <c r="I106" s="946" t="s">
        <v>1117</v>
      </c>
      <c r="J106" s="947" t="s">
        <v>708</v>
      </c>
      <c r="K106" s="948" t="s">
        <v>709</v>
      </c>
      <c r="L106" s="949">
        <v>50.0</v>
      </c>
      <c r="M106" s="949">
        <v>75.0</v>
      </c>
      <c r="N106" s="949">
        <v>35.0</v>
      </c>
      <c r="O106" s="949">
        <v>70.0</v>
      </c>
      <c r="P106" s="949">
        <v>30.0</v>
      </c>
      <c r="Q106" s="949">
        <v>40.0</v>
      </c>
      <c r="R106" s="949">
        <v>116.0</v>
      </c>
      <c r="S106" s="949">
        <v>179.0</v>
      </c>
      <c r="T106" s="949">
        <v>196.0</v>
      </c>
      <c r="U106" s="949"/>
      <c r="V106" s="949"/>
      <c r="W106" s="949"/>
      <c r="X106" s="949"/>
      <c r="Y106" s="949"/>
      <c r="Z106" s="949"/>
      <c r="AA106" s="949"/>
      <c r="AB106" s="949"/>
      <c r="AC106" s="949"/>
      <c r="AD106" s="949"/>
      <c r="AE106" s="949"/>
      <c r="AF106" s="949"/>
      <c r="AG106" s="949"/>
      <c r="AH106" s="949"/>
      <c r="AI106" s="949"/>
      <c r="AJ106" s="949"/>
      <c r="AK106" s="949"/>
      <c r="AL106" s="949"/>
      <c r="AM106" s="953" t="s">
        <v>736</v>
      </c>
      <c r="AN106" s="954"/>
      <c r="AO106" s="955" t="s">
        <v>837</v>
      </c>
      <c r="AP106" s="931"/>
      <c r="AQ106" s="956"/>
      <c r="AR106" s="957"/>
      <c r="AS106" s="931"/>
    </row>
    <row r="107" ht="15.75" customHeight="1">
      <c r="A107" s="931"/>
      <c r="B107" s="941" t="s">
        <v>1118</v>
      </c>
      <c r="C107" s="942" t="s">
        <v>1119</v>
      </c>
      <c r="D107" s="942" t="s">
        <v>1119</v>
      </c>
      <c r="E107" s="943" t="s">
        <v>1119</v>
      </c>
      <c r="F107" s="935"/>
      <c r="G107" s="944"/>
      <c r="H107" s="944"/>
      <c r="I107" s="946" t="s">
        <v>1120</v>
      </c>
      <c r="J107" s="947" t="s">
        <v>708</v>
      </c>
      <c r="K107" s="948" t="s">
        <v>709</v>
      </c>
      <c r="L107" s="949">
        <v>65.0</v>
      </c>
      <c r="M107" s="949">
        <v>90.0</v>
      </c>
      <c r="N107" s="949">
        <v>50.0</v>
      </c>
      <c r="O107" s="949">
        <v>85.0</v>
      </c>
      <c r="P107" s="949">
        <v>45.0</v>
      </c>
      <c r="Q107" s="949">
        <v>55.0</v>
      </c>
      <c r="R107" s="949">
        <v>146.0</v>
      </c>
      <c r="S107" s="949">
        <v>209.0</v>
      </c>
      <c r="T107" s="949">
        <v>229.0</v>
      </c>
      <c r="U107" s="949"/>
      <c r="V107" s="949"/>
      <c r="W107" s="949"/>
      <c r="X107" s="949"/>
      <c r="Y107" s="949"/>
      <c r="Z107" s="949"/>
      <c r="AA107" s="949"/>
      <c r="AB107" s="949"/>
      <c r="AC107" s="949"/>
      <c r="AD107" s="949"/>
      <c r="AE107" s="949"/>
      <c r="AF107" s="949"/>
      <c r="AG107" s="949"/>
      <c r="AH107" s="949"/>
      <c r="AI107" s="949"/>
      <c r="AJ107" s="949"/>
      <c r="AK107" s="949"/>
      <c r="AL107" s="949"/>
      <c r="AM107" s="953" t="s">
        <v>736</v>
      </c>
      <c r="AN107" s="954"/>
      <c r="AO107" s="955" t="s">
        <v>837</v>
      </c>
      <c r="AP107" s="931"/>
      <c r="AQ107" s="956"/>
      <c r="AR107" s="957"/>
      <c r="AS107" s="931"/>
    </row>
    <row r="108" ht="15.75" customHeight="1">
      <c r="A108" s="931"/>
      <c r="B108" s="941" t="s">
        <v>1121</v>
      </c>
      <c r="C108" s="942" t="s">
        <v>1122</v>
      </c>
      <c r="D108" s="942" t="s">
        <v>1122</v>
      </c>
      <c r="E108" s="943" t="s">
        <v>1122</v>
      </c>
      <c r="F108" s="935"/>
      <c r="G108" s="944"/>
      <c r="H108" s="944"/>
      <c r="I108" s="946" t="s">
        <v>1123</v>
      </c>
      <c r="J108" s="947" t="s">
        <v>708</v>
      </c>
      <c r="K108" s="948" t="s">
        <v>709</v>
      </c>
      <c r="L108" s="949">
        <v>80.0</v>
      </c>
      <c r="M108" s="949">
        <v>105.0</v>
      </c>
      <c r="N108" s="949">
        <v>65.0</v>
      </c>
      <c r="O108" s="949">
        <v>100.0</v>
      </c>
      <c r="P108" s="949">
        <v>70.0</v>
      </c>
      <c r="Q108" s="949">
        <v>70.0</v>
      </c>
      <c r="R108" s="949">
        <v>176.0</v>
      </c>
      <c r="S108" s="949">
        <v>239.0</v>
      </c>
      <c r="T108" s="949">
        <v>262.0</v>
      </c>
      <c r="U108" s="949"/>
      <c r="V108" s="949"/>
      <c r="W108" s="949"/>
      <c r="X108" s="949"/>
      <c r="Y108" s="949"/>
      <c r="Z108" s="949"/>
      <c r="AA108" s="949"/>
      <c r="AB108" s="949"/>
      <c r="AC108" s="949"/>
      <c r="AD108" s="949"/>
      <c r="AE108" s="949"/>
      <c r="AF108" s="949"/>
      <c r="AG108" s="949"/>
      <c r="AH108" s="949"/>
      <c r="AI108" s="949"/>
      <c r="AJ108" s="949"/>
      <c r="AK108" s="949"/>
      <c r="AL108" s="949"/>
      <c r="AM108" s="953" t="s">
        <v>736</v>
      </c>
      <c r="AN108" s="954"/>
      <c r="AO108" s="955" t="s">
        <v>837</v>
      </c>
      <c r="AP108" s="931"/>
      <c r="AQ108" s="956"/>
      <c r="AR108" s="957"/>
      <c r="AS108" s="931"/>
    </row>
    <row r="109" ht="15.75" customHeight="1">
      <c r="A109" s="931"/>
      <c r="B109" s="941" t="s">
        <v>1124</v>
      </c>
      <c r="C109" s="942" t="s">
        <v>1125</v>
      </c>
      <c r="D109" s="942" t="s">
        <v>1125</v>
      </c>
      <c r="E109" s="943" t="s">
        <v>1125</v>
      </c>
      <c r="F109" s="935"/>
      <c r="G109" s="944"/>
      <c r="H109" s="944"/>
      <c r="I109" s="946" t="s">
        <v>1126</v>
      </c>
      <c r="J109" s="962" t="s">
        <v>706</v>
      </c>
      <c r="K109" s="948" t="s">
        <v>709</v>
      </c>
      <c r="L109" s="949">
        <v>40.0</v>
      </c>
      <c r="M109" s="949">
        <v>40.0</v>
      </c>
      <c r="N109" s="949">
        <v>35.0</v>
      </c>
      <c r="O109" s="949">
        <v>50.0</v>
      </c>
      <c r="P109" s="949">
        <v>100.0</v>
      </c>
      <c r="Q109" s="949">
        <v>70.0</v>
      </c>
      <c r="R109" s="949">
        <v>176.0</v>
      </c>
      <c r="S109" s="949">
        <v>239.0</v>
      </c>
      <c r="T109" s="949">
        <v>262.0</v>
      </c>
      <c r="U109" s="949"/>
      <c r="V109" s="949"/>
      <c r="W109" s="949"/>
      <c r="X109" s="949"/>
      <c r="Y109" s="949"/>
      <c r="Z109" s="949"/>
      <c r="AA109" s="949"/>
      <c r="AB109" s="949"/>
      <c r="AC109" s="949"/>
      <c r="AD109" s="949"/>
      <c r="AE109" s="949"/>
      <c r="AF109" s="949"/>
      <c r="AG109" s="949"/>
      <c r="AH109" s="949"/>
      <c r="AI109" s="949"/>
      <c r="AJ109" s="949"/>
      <c r="AK109" s="949"/>
      <c r="AL109" s="949"/>
      <c r="AM109" s="953" t="s">
        <v>1127</v>
      </c>
      <c r="AN109" s="954" t="s">
        <v>1128</v>
      </c>
      <c r="AO109" s="955" t="s">
        <v>772</v>
      </c>
      <c r="AP109" s="931"/>
      <c r="AQ109" s="956"/>
      <c r="AR109" s="957"/>
      <c r="AS109" s="931"/>
    </row>
    <row r="110" ht="15.75" customHeight="1">
      <c r="A110" s="931"/>
      <c r="B110" s="941" t="s">
        <v>1129</v>
      </c>
      <c r="C110" s="942" t="s">
        <v>1130</v>
      </c>
      <c r="D110" s="942" t="s">
        <v>1130</v>
      </c>
      <c r="E110" s="943" t="s">
        <v>1130</v>
      </c>
      <c r="F110" s="935"/>
      <c r="G110" s="944"/>
      <c r="H110" s="944"/>
      <c r="I110" s="946" t="s">
        <v>1131</v>
      </c>
      <c r="J110" s="962" t="s">
        <v>706</v>
      </c>
      <c r="K110" s="948" t="s">
        <v>709</v>
      </c>
      <c r="L110" s="949">
        <v>80.0</v>
      </c>
      <c r="M110" s="949">
        <v>70.0</v>
      </c>
      <c r="N110" s="949">
        <v>65.0</v>
      </c>
      <c r="O110" s="949">
        <v>80.0</v>
      </c>
      <c r="P110" s="949">
        <v>120.0</v>
      </c>
      <c r="Q110" s="949">
        <v>100.0</v>
      </c>
      <c r="R110" s="949">
        <v>236.0</v>
      </c>
      <c r="S110" s="949">
        <v>299.0</v>
      </c>
      <c r="T110" s="949">
        <v>328.0</v>
      </c>
      <c r="U110" s="949"/>
      <c r="V110" s="949"/>
      <c r="W110" s="949"/>
      <c r="X110" s="949"/>
      <c r="Y110" s="949"/>
      <c r="Z110" s="949"/>
      <c r="AA110" s="949"/>
      <c r="AB110" s="949"/>
      <c r="AC110" s="949"/>
      <c r="AD110" s="949"/>
      <c r="AE110" s="949"/>
      <c r="AF110" s="949"/>
      <c r="AG110" s="949"/>
      <c r="AH110" s="949"/>
      <c r="AI110" s="949"/>
      <c r="AJ110" s="949"/>
      <c r="AK110" s="949"/>
      <c r="AL110" s="949"/>
      <c r="AM110" s="953" t="s">
        <v>1127</v>
      </c>
      <c r="AN110" s="954" t="s">
        <v>1128</v>
      </c>
      <c r="AO110" s="955" t="s">
        <v>772</v>
      </c>
      <c r="AP110" s="931"/>
      <c r="AQ110" s="956"/>
      <c r="AR110" s="957"/>
      <c r="AS110" s="931"/>
    </row>
    <row r="111" ht="15.75" customHeight="1">
      <c r="A111" s="931"/>
      <c r="B111" s="941" t="s">
        <v>1132</v>
      </c>
      <c r="C111" s="942" t="s">
        <v>1133</v>
      </c>
      <c r="D111" s="942" t="s">
        <v>1133</v>
      </c>
      <c r="E111" s="943" t="s">
        <v>1133</v>
      </c>
      <c r="F111" s="935"/>
      <c r="G111" s="944"/>
      <c r="H111" s="944"/>
      <c r="I111" s="946" t="s">
        <v>1134</v>
      </c>
      <c r="J111" s="989" t="s">
        <v>713</v>
      </c>
      <c r="K111" s="976" t="s">
        <v>711</v>
      </c>
      <c r="L111" s="949">
        <v>40.0</v>
      </c>
      <c r="M111" s="949">
        <v>80.0</v>
      </c>
      <c r="N111" s="949">
        <v>100.0</v>
      </c>
      <c r="O111" s="949">
        <v>30.0</v>
      </c>
      <c r="P111" s="949">
        <v>30.0</v>
      </c>
      <c r="Q111" s="949">
        <v>20.0</v>
      </c>
      <c r="R111" s="949">
        <v>76.0</v>
      </c>
      <c r="S111" s="949">
        <v>139.0</v>
      </c>
      <c r="T111" s="949">
        <v>152.0</v>
      </c>
      <c r="U111" s="949"/>
      <c r="V111" s="949"/>
      <c r="W111" s="949"/>
      <c r="X111" s="949"/>
      <c r="Y111" s="949"/>
      <c r="Z111" s="949"/>
      <c r="AA111" s="949"/>
      <c r="AB111" s="949"/>
      <c r="AC111" s="949"/>
      <c r="AD111" s="949"/>
      <c r="AE111" s="949"/>
      <c r="AF111" s="949"/>
      <c r="AG111" s="949"/>
      <c r="AH111" s="949"/>
      <c r="AI111" s="949"/>
      <c r="AJ111" s="949"/>
      <c r="AK111" s="949"/>
      <c r="AL111" s="949"/>
      <c r="AM111" s="953" t="s">
        <v>1077</v>
      </c>
      <c r="AN111" s="954" t="s">
        <v>1135</v>
      </c>
      <c r="AO111" s="955" t="s">
        <v>923</v>
      </c>
      <c r="AP111" s="931"/>
      <c r="AQ111" s="956"/>
      <c r="AR111" s="957"/>
      <c r="AS111" s="931"/>
    </row>
    <row r="112" ht="15.75" customHeight="1">
      <c r="A112" s="931"/>
      <c r="B112" s="941" t="s">
        <v>1136</v>
      </c>
      <c r="C112" s="942" t="s">
        <v>1137</v>
      </c>
      <c r="D112" s="942" t="s">
        <v>1137</v>
      </c>
      <c r="E112" s="943" t="s">
        <v>1138</v>
      </c>
      <c r="F112" s="935"/>
      <c r="G112" s="944"/>
      <c r="H112" s="944"/>
      <c r="I112" s="959" t="s">
        <v>1139</v>
      </c>
      <c r="J112" s="989" t="s">
        <v>713</v>
      </c>
      <c r="K112" s="970" t="s">
        <v>710</v>
      </c>
      <c r="L112" s="949">
        <v>40.0</v>
      </c>
      <c r="M112" s="949">
        <v>80.0</v>
      </c>
      <c r="N112" s="949">
        <v>100.0</v>
      </c>
      <c r="O112" s="949">
        <v>30.0</v>
      </c>
      <c r="P112" s="949">
        <v>30.0</v>
      </c>
      <c r="Q112" s="949">
        <v>20.0</v>
      </c>
      <c r="R112" s="949">
        <v>76.0</v>
      </c>
      <c r="S112" s="949">
        <v>139.0</v>
      </c>
      <c r="T112" s="949">
        <v>152.0</v>
      </c>
      <c r="U112" s="949"/>
      <c r="V112" s="949"/>
      <c r="W112" s="949"/>
      <c r="X112" s="949"/>
      <c r="Y112" s="949"/>
      <c r="Z112" s="949"/>
      <c r="AA112" s="949"/>
      <c r="AB112" s="949"/>
      <c r="AC112" s="949"/>
      <c r="AD112" s="949"/>
      <c r="AE112" s="949"/>
      <c r="AF112" s="949"/>
      <c r="AG112" s="949"/>
      <c r="AH112" s="949"/>
      <c r="AI112" s="949"/>
      <c r="AJ112" s="949"/>
      <c r="AK112" s="949"/>
      <c r="AL112" s="949"/>
      <c r="AM112" s="953" t="s">
        <v>1140</v>
      </c>
      <c r="AN112" s="954" t="s">
        <v>1135</v>
      </c>
      <c r="AO112" s="955" t="s">
        <v>1141</v>
      </c>
      <c r="AP112" s="931"/>
      <c r="AQ112" s="956"/>
      <c r="AR112" s="957"/>
      <c r="AS112" s="931"/>
    </row>
    <row r="113" ht="15.75" customHeight="1">
      <c r="A113" s="963"/>
      <c r="B113" s="941" t="s">
        <v>1142</v>
      </c>
      <c r="C113" s="942" t="s">
        <v>1143</v>
      </c>
      <c r="D113" s="942" t="s">
        <v>1143</v>
      </c>
      <c r="E113" s="943" t="s">
        <v>1143</v>
      </c>
      <c r="F113" s="935"/>
      <c r="G113" s="944"/>
      <c r="H113" s="944"/>
      <c r="I113" s="946" t="s">
        <v>1144</v>
      </c>
      <c r="J113" s="989" t="s">
        <v>713</v>
      </c>
      <c r="K113" s="976" t="s">
        <v>711</v>
      </c>
      <c r="L113" s="949">
        <v>55.0</v>
      </c>
      <c r="M113" s="949">
        <v>95.0</v>
      </c>
      <c r="N113" s="949">
        <v>115.0</v>
      </c>
      <c r="O113" s="949">
        <v>45.0</v>
      </c>
      <c r="P113" s="949">
        <v>45.0</v>
      </c>
      <c r="Q113" s="949">
        <v>35.0</v>
      </c>
      <c r="R113" s="949">
        <v>106.0</v>
      </c>
      <c r="S113" s="949">
        <v>169.0</v>
      </c>
      <c r="T113" s="949">
        <v>185.0</v>
      </c>
      <c r="U113" s="949"/>
      <c r="V113" s="949"/>
      <c r="W113" s="949"/>
      <c r="X113" s="949"/>
      <c r="Y113" s="949"/>
      <c r="Z113" s="949"/>
      <c r="AA113" s="949"/>
      <c r="AB113" s="949"/>
      <c r="AC113" s="949"/>
      <c r="AD113" s="949"/>
      <c r="AE113" s="949"/>
      <c r="AF113" s="949"/>
      <c r="AG113" s="949"/>
      <c r="AH113" s="949"/>
      <c r="AI113" s="949"/>
      <c r="AJ113" s="949"/>
      <c r="AK113" s="949"/>
      <c r="AL113" s="949"/>
      <c r="AM113" s="964" t="s">
        <v>1077</v>
      </c>
      <c r="AN113" s="973" t="s">
        <v>1135</v>
      </c>
      <c r="AO113" s="965" t="s">
        <v>923</v>
      </c>
      <c r="AP113" s="931"/>
      <c r="AQ113" s="956"/>
      <c r="AR113" s="957"/>
      <c r="AS113" s="931"/>
    </row>
    <row r="114" ht="15.75" customHeight="1">
      <c r="A114" s="931"/>
      <c r="B114" s="941" t="s">
        <v>1145</v>
      </c>
      <c r="C114" s="942" t="s">
        <v>1146</v>
      </c>
      <c r="D114" s="942" t="s">
        <v>1146</v>
      </c>
      <c r="E114" s="943" t="s">
        <v>1147</v>
      </c>
      <c r="F114" s="935"/>
      <c r="G114" s="944"/>
      <c r="H114" s="944"/>
      <c r="I114" s="946" t="s">
        <v>1148</v>
      </c>
      <c r="J114" s="989" t="s">
        <v>713</v>
      </c>
      <c r="K114" s="970" t="s">
        <v>710</v>
      </c>
      <c r="L114" s="949">
        <v>55.0</v>
      </c>
      <c r="M114" s="949">
        <v>95.0</v>
      </c>
      <c r="N114" s="949">
        <v>115.0</v>
      </c>
      <c r="O114" s="949">
        <v>45.0</v>
      </c>
      <c r="P114" s="949">
        <v>45.0</v>
      </c>
      <c r="Q114" s="949">
        <v>35.0</v>
      </c>
      <c r="R114" s="949">
        <v>106.0</v>
      </c>
      <c r="S114" s="949">
        <v>169.0</v>
      </c>
      <c r="T114" s="949">
        <v>185.0</v>
      </c>
      <c r="U114" s="949"/>
      <c r="V114" s="949"/>
      <c r="W114" s="949"/>
      <c r="X114" s="949"/>
      <c r="Y114" s="949"/>
      <c r="Z114" s="949"/>
      <c r="AA114" s="949"/>
      <c r="AB114" s="949"/>
      <c r="AC114" s="949"/>
      <c r="AD114" s="949"/>
      <c r="AE114" s="949"/>
      <c r="AF114" s="949"/>
      <c r="AG114" s="949"/>
      <c r="AH114" s="949"/>
      <c r="AI114" s="949"/>
      <c r="AJ114" s="949"/>
      <c r="AK114" s="949"/>
      <c r="AL114" s="949"/>
      <c r="AM114" s="953" t="s">
        <v>1140</v>
      </c>
      <c r="AN114" s="954" t="s">
        <v>1135</v>
      </c>
      <c r="AO114" s="955" t="s">
        <v>1141</v>
      </c>
      <c r="AP114" s="931"/>
      <c r="AQ114" s="956"/>
      <c r="AR114" s="957"/>
      <c r="AS114" s="931"/>
    </row>
    <row r="115" ht="15.75" customHeight="1">
      <c r="A115" s="931"/>
      <c r="B115" s="941" t="s">
        <v>1149</v>
      </c>
      <c r="C115" s="942" t="s">
        <v>1150</v>
      </c>
      <c r="D115" s="942" t="s">
        <v>1150</v>
      </c>
      <c r="E115" s="943" t="s">
        <v>1150</v>
      </c>
      <c r="F115" s="935"/>
      <c r="G115" s="944"/>
      <c r="H115" s="944"/>
      <c r="I115" s="946" t="s">
        <v>1151</v>
      </c>
      <c r="J115" s="989" t="s">
        <v>713</v>
      </c>
      <c r="K115" s="976" t="s">
        <v>711</v>
      </c>
      <c r="L115" s="949">
        <v>80.0</v>
      </c>
      <c r="M115" s="949">
        <v>120.0</v>
      </c>
      <c r="N115" s="949">
        <v>130.0</v>
      </c>
      <c r="O115" s="949">
        <v>55.0</v>
      </c>
      <c r="P115" s="949">
        <v>65.0</v>
      </c>
      <c r="Q115" s="949">
        <v>45.0</v>
      </c>
      <c r="R115" s="949">
        <v>126.0</v>
      </c>
      <c r="S115" s="949">
        <v>189.0</v>
      </c>
      <c r="T115" s="949">
        <v>207.0</v>
      </c>
      <c r="U115" s="949"/>
      <c r="V115" s="949"/>
      <c r="W115" s="949"/>
      <c r="X115" s="949"/>
      <c r="Y115" s="949"/>
      <c r="Z115" s="949"/>
      <c r="AA115" s="949"/>
      <c r="AB115" s="949"/>
      <c r="AC115" s="949"/>
      <c r="AD115" s="949"/>
      <c r="AE115" s="949"/>
      <c r="AF115" s="949"/>
      <c r="AG115" s="949"/>
      <c r="AH115" s="949"/>
      <c r="AI115" s="949"/>
      <c r="AJ115" s="949"/>
      <c r="AK115" s="949"/>
      <c r="AL115" s="949"/>
      <c r="AM115" s="953" t="s">
        <v>1077</v>
      </c>
      <c r="AN115" s="954" t="s">
        <v>1135</v>
      </c>
      <c r="AO115" s="955" t="s">
        <v>923</v>
      </c>
      <c r="AP115" s="931"/>
      <c r="AQ115" s="956"/>
      <c r="AR115" s="957"/>
      <c r="AS115" s="931"/>
    </row>
    <row r="116" ht="15.75" customHeight="1">
      <c r="A116" s="931"/>
      <c r="B116" s="941" t="s">
        <v>1152</v>
      </c>
      <c r="C116" s="942" t="s">
        <v>1153</v>
      </c>
      <c r="D116" s="942" t="s">
        <v>1153</v>
      </c>
      <c r="E116" s="943" t="s">
        <v>1154</v>
      </c>
      <c r="F116" s="935"/>
      <c r="G116" s="944"/>
      <c r="H116" s="944"/>
      <c r="I116" s="946" t="s">
        <v>1155</v>
      </c>
      <c r="J116" s="989" t="s">
        <v>713</v>
      </c>
      <c r="K116" s="970" t="s">
        <v>710</v>
      </c>
      <c r="L116" s="949">
        <v>80.0</v>
      </c>
      <c r="M116" s="949">
        <v>120.0</v>
      </c>
      <c r="N116" s="949">
        <v>130.0</v>
      </c>
      <c r="O116" s="949">
        <v>55.0</v>
      </c>
      <c r="P116" s="949">
        <v>65.0</v>
      </c>
      <c r="Q116" s="949">
        <v>45.0</v>
      </c>
      <c r="R116" s="949">
        <v>126.0</v>
      </c>
      <c r="S116" s="949">
        <v>189.0</v>
      </c>
      <c r="T116" s="949">
        <v>207.0</v>
      </c>
      <c r="U116" s="949"/>
      <c r="V116" s="949"/>
      <c r="W116" s="949"/>
      <c r="X116" s="949"/>
      <c r="Y116" s="949"/>
      <c r="Z116" s="949"/>
      <c r="AA116" s="949"/>
      <c r="AB116" s="949"/>
      <c r="AC116" s="949"/>
      <c r="AD116" s="949"/>
      <c r="AE116" s="949"/>
      <c r="AF116" s="949"/>
      <c r="AG116" s="949"/>
      <c r="AH116" s="949"/>
      <c r="AI116" s="949"/>
      <c r="AJ116" s="949"/>
      <c r="AK116" s="949"/>
      <c r="AL116" s="949"/>
      <c r="AM116" s="953" t="s">
        <v>1140</v>
      </c>
      <c r="AN116" s="954" t="s">
        <v>1135</v>
      </c>
      <c r="AO116" s="955" t="s">
        <v>1141</v>
      </c>
      <c r="AP116" s="931"/>
      <c r="AQ116" s="956"/>
      <c r="AR116" s="957"/>
      <c r="AS116" s="931"/>
    </row>
    <row r="117" ht="15.75" customHeight="1">
      <c r="A117" s="963"/>
      <c r="B117" s="941" t="s">
        <v>1156</v>
      </c>
      <c r="C117" s="942" t="s">
        <v>1157</v>
      </c>
      <c r="D117" s="942" t="s">
        <v>1157</v>
      </c>
      <c r="E117" s="943" t="s">
        <v>1157</v>
      </c>
      <c r="F117" s="935"/>
      <c r="G117" s="944"/>
      <c r="H117" s="944"/>
      <c r="I117" s="946" t="s">
        <v>1158</v>
      </c>
      <c r="J117" s="958" t="s">
        <v>704</v>
      </c>
      <c r="K117" s="954" t="s">
        <v>158</v>
      </c>
      <c r="L117" s="949">
        <v>50.0</v>
      </c>
      <c r="M117" s="949">
        <v>85.0</v>
      </c>
      <c r="N117" s="949">
        <v>55.0</v>
      </c>
      <c r="O117" s="949">
        <v>65.0</v>
      </c>
      <c r="P117" s="949">
        <v>65.0</v>
      </c>
      <c r="Q117" s="949">
        <v>90.0</v>
      </c>
      <c r="R117" s="949">
        <v>216.0</v>
      </c>
      <c r="S117" s="949">
        <v>279.0</v>
      </c>
      <c r="T117" s="949">
        <v>306.0</v>
      </c>
      <c r="U117" s="949"/>
      <c r="V117" s="949"/>
      <c r="W117" s="949"/>
      <c r="X117" s="949"/>
      <c r="Y117" s="949"/>
      <c r="Z117" s="949"/>
      <c r="AA117" s="949"/>
      <c r="AB117" s="949"/>
      <c r="AC117" s="949"/>
      <c r="AD117" s="949"/>
      <c r="AE117" s="949"/>
      <c r="AF117" s="949"/>
      <c r="AG117" s="949"/>
      <c r="AH117" s="949"/>
      <c r="AI117" s="949"/>
      <c r="AJ117" s="949"/>
      <c r="AK117" s="949"/>
      <c r="AL117" s="949"/>
      <c r="AM117" s="964" t="s">
        <v>787</v>
      </c>
      <c r="AN117" s="954" t="s">
        <v>972</v>
      </c>
      <c r="AO117" s="965" t="s">
        <v>1159</v>
      </c>
      <c r="AP117" s="931"/>
      <c r="AQ117" s="956"/>
      <c r="AR117" s="957"/>
      <c r="AS117" s="931"/>
    </row>
    <row r="118" ht="15.75" customHeight="1">
      <c r="A118" s="963"/>
      <c r="B118" s="941" t="s">
        <v>1160</v>
      </c>
      <c r="C118" s="971" t="s">
        <v>1161</v>
      </c>
      <c r="D118" s="971" t="s">
        <v>1161</v>
      </c>
      <c r="E118" s="966" t="s">
        <v>1162</v>
      </c>
      <c r="F118" s="935"/>
      <c r="G118" s="944"/>
      <c r="H118" s="944"/>
      <c r="I118" s="959" t="s">
        <v>1163</v>
      </c>
      <c r="J118" s="990" t="s">
        <v>712</v>
      </c>
      <c r="K118" s="973" t="s">
        <v>158</v>
      </c>
      <c r="L118" s="974">
        <v>50.0</v>
      </c>
      <c r="M118" s="974">
        <v>85.0</v>
      </c>
      <c r="N118" s="974">
        <v>55.0</v>
      </c>
      <c r="O118" s="974">
        <v>65.0</v>
      </c>
      <c r="P118" s="974">
        <v>65.0</v>
      </c>
      <c r="Q118" s="974">
        <v>90.0</v>
      </c>
      <c r="R118" s="949">
        <v>216.0</v>
      </c>
      <c r="S118" s="949">
        <v>279.0</v>
      </c>
      <c r="T118" s="949">
        <v>306.0</v>
      </c>
      <c r="U118" s="949"/>
      <c r="V118" s="949"/>
      <c r="W118" s="949"/>
      <c r="X118" s="949"/>
      <c r="Y118" s="949"/>
      <c r="Z118" s="949"/>
      <c r="AA118" s="949"/>
      <c r="AB118" s="949"/>
      <c r="AC118" s="949"/>
      <c r="AD118" s="949"/>
      <c r="AE118" s="949"/>
      <c r="AF118" s="949"/>
      <c r="AG118" s="949"/>
      <c r="AH118" s="949"/>
      <c r="AI118" s="949"/>
      <c r="AJ118" s="949"/>
      <c r="AK118" s="949"/>
      <c r="AL118" s="949"/>
      <c r="AM118" s="964" t="s">
        <v>787</v>
      </c>
      <c r="AN118" s="964" t="s">
        <v>1164</v>
      </c>
      <c r="AO118" s="965" t="s">
        <v>1165</v>
      </c>
      <c r="AP118" s="931"/>
      <c r="AQ118" s="956"/>
      <c r="AR118" s="957"/>
      <c r="AS118" s="931"/>
    </row>
    <row r="119" ht="15.75" customHeight="1">
      <c r="A119" s="931"/>
      <c r="B119" s="941" t="s">
        <v>1166</v>
      </c>
      <c r="C119" s="942" t="s">
        <v>1167</v>
      </c>
      <c r="D119" s="942" t="s">
        <v>1167</v>
      </c>
      <c r="E119" s="943" t="s">
        <v>1167</v>
      </c>
      <c r="F119" s="935"/>
      <c r="G119" s="944"/>
      <c r="H119" s="944"/>
      <c r="I119" s="946" t="s">
        <v>1168</v>
      </c>
      <c r="J119" s="958" t="s">
        <v>704</v>
      </c>
      <c r="K119" s="954" t="s">
        <v>158</v>
      </c>
      <c r="L119" s="949">
        <v>65.0</v>
      </c>
      <c r="M119" s="949">
        <v>100.0</v>
      </c>
      <c r="N119" s="949">
        <v>70.0</v>
      </c>
      <c r="O119" s="949">
        <v>80.0</v>
      </c>
      <c r="P119" s="949">
        <v>80.0</v>
      </c>
      <c r="Q119" s="949">
        <v>105.0</v>
      </c>
      <c r="R119" s="949">
        <v>246.0</v>
      </c>
      <c r="S119" s="949">
        <v>309.0</v>
      </c>
      <c r="T119" s="949">
        <v>339.0</v>
      </c>
      <c r="U119" s="949"/>
      <c r="V119" s="949"/>
      <c r="W119" s="949"/>
      <c r="X119" s="949"/>
      <c r="Y119" s="949"/>
      <c r="Z119" s="949"/>
      <c r="AA119" s="949"/>
      <c r="AB119" s="949"/>
      <c r="AC119" s="949"/>
      <c r="AD119" s="949"/>
      <c r="AE119" s="949"/>
      <c r="AF119" s="949"/>
      <c r="AG119" s="949"/>
      <c r="AH119" s="949"/>
      <c r="AI119" s="949"/>
      <c r="AJ119" s="949"/>
      <c r="AK119" s="949"/>
      <c r="AL119" s="949"/>
      <c r="AM119" s="953" t="s">
        <v>787</v>
      </c>
      <c r="AN119" s="954" t="s">
        <v>972</v>
      </c>
      <c r="AO119" s="955" t="s">
        <v>1159</v>
      </c>
      <c r="AP119" s="931"/>
      <c r="AQ119" s="956"/>
      <c r="AR119" s="957"/>
      <c r="AS119" s="931"/>
    </row>
    <row r="120" ht="15.75" customHeight="1">
      <c r="A120" s="931"/>
      <c r="B120" s="941" t="s">
        <v>1169</v>
      </c>
      <c r="C120" s="942" t="s">
        <v>1170</v>
      </c>
      <c r="D120" s="942" t="s">
        <v>1170</v>
      </c>
      <c r="E120" s="943" t="s">
        <v>1171</v>
      </c>
      <c r="F120" s="935"/>
      <c r="G120" s="944"/>
      <c r="H120" s="944"/>
      <c r="I120" s="946" t="s">
        <v>1172</v>
      </c>
      <c r="J120" s="975" t="s">
        <v>712</v>
      </c>
      <c r="K120" s="980" t="s">
        <v>720</v>
      </c>
      <c r="L120" s="949">
        <v>65.0</v>
      </c>
      <c r="M120" s="949">
        <v>100.0</v>
      </c>
      <c r="N120" s="949">
        <v>70.0</v>
      </c>
      <c r="O120" s="949">
        <v>80.0</v>
      </c>
      <c r="P120" s="949">
        <v>80.0</v>
      </c>
      <c r="Q120" s="949">
        <v>105.0</v>
      </c>
      <c r="R120" s="949">
        <v>246.0</v>
      </c>
      <c r="S120" s="949">
        <v>309.0</v>
      </c>
      <c r="T120" s="949">
        <v>339.0</v>
      </c>
      <c r="U120" s="949"/>
      <c r="V120" s="949"/>
      <c r="W120" s="949"/>
      <c r="X120" s="949"/>
      <c r="Y120" s="949"/>
      <c r="Z120" s="949"/>
      <c r="AA120" s="949"/>
      <c r="AB120" s="949"/>
      <c r="AC120" s="949"/>
      <c r="AD120" s="949"/>
      <c r="AE120" s="949"/>
      <c r="AF120" s="949"/>
      <c r="AG120" s="949"/>
      <c r="AH120" s="949"/>
      <c r="AI120" s="949"/>
      <c r="AJ120" s="949"/>
      <c r="AK120" s="949"/>
      <c r="AL120" s="949"/>
      <c r="AM120" s="953" t="s">
        <v>787</v>
      </c>
      <c r="AN120" s="953" t="s">
        <v>1164</v>
      </c>
      <c r="AO120" s="955" t="s">
        <v>1165</v>
      </c>
      <c r="AP120" s="931"/>
      <c r="AQ120" s="956"/>
      <c r="AR120" s="957"/>
      <c r="AS120" s="931"/>
    </row>
    <row r="121" ht="15.75" customHeight="1">
      <c r="A121" s="931"/>
      <c r="B121" s="941" t="s">
        <v>1173</v>
      </c>
      <c r="C121" s="942" t="s">
        <v>1174</v>
      </c>
      <c r="D121" s="942" t="s">
        <v>1174</v>
      </c>
      <c r="E121" s="943" t="s">
        <v>1174</v>
      </c>
      <c r="F121" s="935"/>
      <c r="G121" s="944"/>
      <c r="H121" s="944"/>
      <c r="I121" s="959" t="s">
        <v>567</v>
      </c>
      <c r="J121" s="962" t="s">
        <v>706</v>
      </c>
      <c r="K121" s="975" t="s">
        <v>712</v>
      </c>
      <c r="L121" s="949">
        <v>90.0</v>
      </c>
      <c r="M121" s="949">
        <v>65.0</v>
      </c>
      <c r="N121" s="949">
        <v>65.0</v>
      </c>
      <c r="O121" s="949">
        <v>40.0</v>
      </c>
      <c r="P121" s="949">
        <v>40.0</v>
      </c>
      <c r="Q121" s="949">
        <v>15.0</v>
      </c>
      <c r="R121" s="949">
        <v>66.0</v>
      </c>
      <c r="S121" s="949">
        <v>129.0</v>
      </c>
      <c r="T121" s="949">
        <v>141.0</v>
      </c>
      <c r="U121" s="949"/>
      <c r="V121" s="949"/>
      <c r="W121" s="949"/>
      <c r="X121" s="949"/>
      <c r="Y121" s="949"/>
      <c r="Z121" s="949"/>
      <c r="AA121" s="949"/>
      <c r="AB121" s="949"/>
      <c r="AC121" s="949"/>
      <c r="AD121" s="949"/>
      <c r="AE121" s="949"/>
      <c r="AF121" s="949"/>
      <c r="AG121" s="949"/>
      <c r="AH121" s="949"/>
      <c r="AI121" s="949"/>
      <c r="AJ121" s="949"/>
      <c r="AK121" s="949"/>
      <c r="AL121" s="949"/>
      <c r="AM121" s="953" t="s">
        <v>1175</v>
      </c>
      <c r="AN121" s="954" t="s">
        <v>1176</v>
      </c>
      <c r="AO121" s="955" t="s">
        <v>1177</v>
      </c>
      <c r="AP121" s="931"/>
      <c r="AQ121" s="956"/>
      <c r="AR121" s="957"/>
      <c r="AS121" s="931"/>
    </row>
    <row r="122" ht="15.75" customHeight="1">
      <c r="A122" s="931"/>
      <c r="B122" s="941" t="s">
        <v>1178</v>
      </c>
      <c r="C122" s="942" t="s">
        <v>1179</v>
      </c>
      <c r="D122" s="942" t="s">
        <v>1179</v>
      </c>
      <c r="E122" s="943" t="s">
        <v>1180</v>
      </c>
      <c r="F122" s="935"/>
      <c r="G122" s="944"/>
      <c r="H122" s="944"/>
      <c r="I122" s="946" t="s">
        <v>1181</v>
      </c>
      <c r="J122" s="975" t="s">
        <v>712</v>
      </c>
      <c r="K122" s="953" t="s">
        <v>158</v>
      </c>
      <c r="L122" s="949">
        <v>90.0</v>
      </c>
      <c r="M122" s="949">
        <v>65.0</v>
      </c>
      <c r="N122" s="949">
        <v>65.0</v>
      </c>
      <c r="O122" s="949">
        <v>40.0</v>
      </c>
      <c r="P122" s="949">
        <v>40.0</v>
      </c>
      <c r="Q122" s="949">
        <v>15.0</v>
      </c>
      <c r="R122" s="949">
        <v>66.0</v>
      </c>
      <c r="S122" s="949">
        <v>129.0</v>
      </c>
      <c r="T122" s="949">
        <v>141.0</v>
      </c>
      <c r="U122" s="949"/>
      <c r="V122" s="949"/>
      <c r="W122" s="949"/>
      <c r="X122" s="949"/>
      <c r="Y122" s="949"/>
      <c r="Z122" s="949"/>
      <c r="AA122" s="949"/>
      <c r="AB122" s="949"/>
      <c r="AC122" s="949"/>
      <c r="AD122" s="949"/>
      <c r="AE122" s="949"/>
      <c r="AF122" s="949"/>
      <c r="AG122" s="949"/>
      <c r="AH122" s="949"/>
      <c r="AI122" s="949"/>
      <c r="AJ122" s="949"/>
      <c r="AK122" s="949"/>
      <c r="AL122" s="949"/>
      <c r="AM122" s="953" t="s">
        <v>837</v>
      </c>
      <c r="AN122" s="954" t="s">
        <v>1176</v>
      </c>
      <c r="AO122" s="955" t="s">
        <v>1177</v>
      </c>
      <c r="AP122" s="931"/>
      <c r="AQ122" s="956"/>
      <c r="AR122" s="957"/>
      <c r="AS122" s="931"/>
    </row>
    <row r="123" ht="15.75" customHeight="1">
      <c r="A123" s="963"/>
      <c r="B123" s="941" t="s">
        <v>1182</v>
      </c>
      <c r="C123" s="971" t="s">
        <v>1183</v>
      </c>
      <c r="D123" s="971" t="s">
        <v>1183</v>
      </c>
      <c r="E123" s="966" t="s">
        <v>1183</v>
      </c>
      <c r="F123" s="935"/>
      <c r="G123" s="944"/>
      <c r="H123" s="944"/>
      <c r="I123" s="959" t="s">
        <v>423</v>
      </c>
      <c r="J123" s="986" t="s">
        <v>706</v>
      </c>
      <c r="K123" s="990" t="s">
        <v>712</v>
      </c>
      <c r="L123" s="974">
        <v>95.0</v>
      </c>
      <c r="M123" s="974">
        <v>75.0</v>
      </c>
      <c r="N123" s="974">
        <v>110.0</v>
      </c>
      <c r="O123" s="974">
        <v>100.0</v>
      </c>
      <c r="P123" s="974">
        <v>80.0</v>
      </c>
      <c r="Q123" s="974">
        <v>30.0</v>
      </c>
      <c r="R123" s="949">
        <v>96.0</v>
      </c>
      <c r="S123" s="949">
        <v>159.0</v>
      </c>
      <c r="T123" s="949">
        <v>174.0</v>
      </c>
      <c r="U123" s="949"/>
      <c r="V123" s="949"/>
      <c r="W123" s="949"/>
      <c r="X123" s="949"/>
      <c r="Y123" s="949"/>
      <c r="Z123" s="949"/>
      <c r="AA123" s="949"/>
      <c r="AB123" s="949"/>
      <c r="AC123" s="949"/>
      <c r="AD123" s="949"/>
      <c r="AE123" s="949"/>
      <c r="AF123" s="949"/>
      <c r="AG123" s="949"/>
      <c r="AH123" s="949"/>
      <c r="AI123" s="949"/>
      <c r="AJ123" s="949"/>
      <c r="AK123" s="949"/>
      <c r="AL123" s="949"/>
      <c r="AM123" s="964" t="s">
        <v>1175</v>
      </c>
      <c r="AN123" s="973" t="s">
        <v>1176</v>
      </c>
      <c r="AO123" s="965" t="s">
        <v>1177</v>
      </c>
      <c r="AP123" s="931"/>
      <c r="AQ123" s="956"/>
      <c r="AR123" s="957"/>
      <c r="AS123" s="931"/>
    </row>
    <row r="124" ht="15.75" customHeight="1">
      <c r="A124" s="963"/>
      <c r="B124" s="941" t="s">
        <v>1184</v>
      </c>
      <c r="C124" s="971" t="s">
        <v>1185</v>
      </c>
      <c r="D124" s="971" t="s">
        <v>1185</v>
      </c>
      <c r="E124" s="966" t="s">
        <v>1186</v>
      </c>
      <c r="F124" s="935"/>
      <c r="G124" s="944"/>
      <c r="H124" s="944"/>
      <c r="I124" s="959" t="s">
        <v>1187</v>
      </c>
      <c r="J124" s="983" t="s">
        <v>709</v>
      </c>
      <c r="K124" s="990" t="s">
        <v>712</v>
      </c>
      <c r="L124" s="974">
        <v>95.0</v>
      </c>
      <c r="M124" s="974">
        <v>100.0</v>
      </c>
      <c r="N124" s="974">
        <v>95.0</v>
      </c>
      <c r="O124" s="974">
        <v>100.0</v>
      </c>
      <c r="P124" s="974">
        <v>70.0</v>
      </c>
      <c r="Q124" s="974">
        <v>30.0</v>
      </c>
      <c r="R124" s="949">
        <v>96.0</v>
      </c>
      <c r="S124" s="949">
        <v>159.0</v>
      </c>
      <c r="T124" s="949">
        <v>174.0</v>
      </c>
      <c r="U124" s="949"/>
      <c r="V124" s="949"/>
      <c r="W124" s="949"/>
      <c r="X124" s="949"/>
      <c r="Y124" s="949"/>
      <c r="Z124" s="949"/>
      <c r="AA124" s="949"/>
      <c r="AB124" s="949"/>
      <c r="AC124" s="949"/>
      <c r="AD124" s="949"/>
      <c r="AE124" s="949"/>
      <c r="AF124" s="949"/>
      <c r="AG124" s="949"/>
      <c r="AH124" s="949"/>
      <c r="AI124" s="949"/>
      <c r="AJ124" s="949"/>
      <c r="AK124" s="949"/>
      <c r="AL124" s="949"/>
      <c r="AM124" s="964" t="s">
        <v>1188</v>
      </c>
      <c r="AN124" s="973" t="s">
        <v>1176</v>
      </c>
      <c r="AO124" s="965" t="s">
        <v>1177</v>
      </c>
      <c r="AP124" s="931"/>
      <c r="AQ124" s="956"/>
      <c r="AR124" s="957"/>
      <c r="AS124" s="931"/>
    </row>
    <row r="125" ht="15.75" customHeight="1">
      <c r="A125" s="931"/>
      <c r="B125" s="941" t="s">
        <v>1189</v>
      </c>
      <c r="C125" s="942" t="s">
        <v>1190</v>
      </c>
      <c r="D125" s="942" t="s">
        <v>1190</v>
      </c>
      <c r="E125" s="943" t="s">
        <v>1190</v>
      </c>
      <c r="F125" s="935"/>
      <c r="G125" s="944"/>
      <c r="H125" s="944"/>
      <c r="I125" s="946" t="s">
        <v>1191</v>
      </c>
      <c r="J125" s="962" t="s">
        <v>706</v>
      </c>
      <c r="K125" s="975" t="s">
        <v>712</v>
      </c>
      <c r="L125" s="949">
        <v>95.0</v>
      </c>
      <c r="M125" s="949">
        <v>75.0</v>
      </c>
      <c r="N125" s="949">
        <v>180.0</v>
      </c>
      <c r="O125" s="949">
        <v>130.0</v>
      </c>
      <c r="P125" s="949">
        <v>80.0</v>
      </c>
      <c r="Q125" s="949">
        <v>30.0</v>
      </c>
      <c r="R125" s="949">
        <v>96.0</v>
      </c>
      <c r="S125" s="949">
        <v>159.0</v>
      </c>
      <c r="T125" s="949">
        <v>174.0</v>
      </c>
      <c r="U125" s="949"/>
      <c r="V125" s="949"/>
      <c r="W125" s="949"/>
      <c r="X125" s="949"/>
      <c r="Y125" s="949"/>
      <c r="Z125" s="949"/>
      <c r="AA125" s="949"/>
      <c r="AB125" s="949"/>
      <c r="AC125" s="949"/>
      <c r="AD125" s="949"/>
      <c r="AE125" s="949"/>
      <c r="AF125" s="949"/>
      <c r="AG125" s="949"/>
      <c r="AH125" s="949"/>
      <c r="AI125" s="949"/>
      <c r="AJ125" s="949"/>
      <c r="AK125" s="949"/>
      <c r="AL125" s="949"/>
      <c r="AM125" s="953" t="s">
        <v>1192</v>
      </c>
      <c r="AN125" s="954"/>
      <c r="AO125" s="955"/>
      <c r="AP125" s="931"/>
      <c r="AQ125" s="956"/>
      <c r="AR125" s="957"/>
      <c r="AS125" s="931"/>
    </row>
    <row r="126" ht="15.75" customHeight="1">
      <c r="A126" s="931"/>
      <c r="B126" s="941" t="s">
        <v>1193</v>
      </c>
      <c r="C126" s="942" t="s">
        <v>1194</v>
      </c>
      <c r="D126" s="942" t="s">
        <v>1194</v>
      </c>
      <c r="E126" s="943" t="s">
        <v>1194</v>
      </c>
      <c r="F126" s="935"/>
      <c r="G126" s="944"/>
      <c r="H126" s="944"/>
      <c r="I126" s="946" t="s">
        <v>568</v>
      </c>
      <c r="J126" s="970" t="s">
        <v>710</v>
      </c>
      <c r="K126" s="978" t="s">
        <v>719</v>
      </c>
      <c r="L126" s="949">
        <v>25.0</v>
      </c>
      <c r="M126" s="949">
        <v>35.0</v>
      </c>
      <c r="N126" s="949">
        <v>70.0</v>
      </c>
      <c r="O126" s="949">
        <v>95.0</v>
      </c>
      <c r="P126" s="949">
        <v>55.0</v>
      </c>
      <c r="Q126" s="949">
        <v>45.0</v>
      </c>
      <c r="R126" s="949">
        <v>126.0</v>
      </c>
      <c r="S126" s="949">
        <v>189.0</v>
      </c>
      <c r="T126" s="949">
        <v>207.0</v>
      </c>
      <c r="U126" s="949"/>
      <c r="V126" s="949"/>
      <c r="W126" s="949"/>
      <c r="X126" s="949"/>
      <c r="Y126" s="949"/>
      <c r="Z126" s="949"/>
      <c r="AA126" s="949"/>
      <c r="AB126" s="949"/>
      <c r="AC126" s="949"/>
      <c r="AD126" s="949"/>
      <c r="AE126" s="949"/>
      <c r="AF126" s="949"/>
      <c r="AG126" s="949"/>
      <c r="AH126" s="949"/>
      <c r="AI126" s="949"/>
      <c r="AJ126" s="949"/>
      <c r="AK126" s="949"/>
      <c r="AL126" s="949"/>
      <c r="AM126" s="953" t="s">
        <v>1140</v>
      </c>
      <c r="AN126" s="954" t="s">
        <v>1135</v>
      </c>
      <c r="AO126" s="955" t="s">
        <v>1195</v>
      </c>
      <c r="AP126" s="931"/>
      <c r="AQ126" s="956"/>
      <c r="AR126" s="957"/>
      <c r="AS126" s="931"/>
    </row>
    <row r="127" ht="15.75" customHeight="1">
      <c r="A127" s="931"/>
      <c r="B127" s="941" t="s">
        <v>1196</v>
      </c>
      <c r="C127" s="942" t="s">
        <v>1197</v>
      </c>
      <c r="D127" s="942" t="s">
        <v>1197</v>
      </c>
      <c r="E127" s="943" t="s">
        <v>1197</v>
      </c>
      <c r="F127" s="935"/>
      <c r="G127" s="944"/>
      <c r="H127" s="944"/>
      <c r="I127" s="946" t="s">
        <v>483</v>
      </c>
      <c r="J127" s="970" t="s">
        <v>710</v>
      </c>
      <c r="K127" s="978" t="s">
        <v>719</v>
      </c>
      <c r="L127" s="949">
        <v>50.0</v>
      </c>
      <c r="M127" s="949">
        <v>60.0</v>
      </c>
      <c r="N127" s="949">
        <v>95.0</v>
      </c>
      <c r="O127" s="949">
        <v>120.0</v>
      </c>
      <c r="P127" s="949">
        <v>70.0</v>
      </c>
      <c r="Q127" s="949">
        <v>70.0</v>
      </c>
      <c r="R127" s="949">
        <v>176.0</v>
      </c>
      <c r="S127" s="949">
        <v>239.0</v>
      </c>
      <c r="T127" s="949">
        <v>262.0</v>
      </c>
      <c r="U127" s="949"/>
      <c r="V127" s="949"/>
      <c r="W127" s="949"/>
      <c r="X127" s="949"/>
      <c r="Y127" s="949"/>
      <c r="Z127" s="949"/>
      <c r="AA127" s="949"/>
      <c r="AB127" s="949"/>
      <c r="AC127" s="949"/>
      <c r="AD127" s="949"/>
      <c r="AE127" s="949"/>
      <c r="AF127" s="949"/>
      <c r="AG127" s="949"/>
      <c r="AH127" s="949"/>
      <c r="AI127" s="949"/>
      <c r="AJ127" s="949"/>
      <c r="AK127" s="949"/>
      <c r="AL127" s="949"/>
      <c r="AM127" s="953" t="s">
        <v>1140</v>
      </c>
      <c r="AN127" s="954" t="s">
        <v>1135</v>
      </c>
      <c r="AO127" s="955" t="s">
        <v>1195</v>
      </c>
      <c r="AP127" s="931"/>
      <c r="AQ127" s="956"/>
      <c r="AR127" s="957"/>
      <c r="AS127" s="931"/>
    </row>
    <row r="128" ht="15.75" customHeight="1">
      <c r="A128" s="931"/>
      <c r="B128" s="941" t="s">
        <v>1198</v>
      </c>
      <c r="C128" s="942" t="s">
        <v>1199</v>
      </c>
      <c r="D128" s="942" t="s">
        <v>1199</v>
      </c>
      <c r="E128" s="943" t="s">
        <v>1199</v>
      </c>
      <c r="F128" s="935"/>
      <c r="G128" s="944"/>
      <c r="H128" s="944"/>
      <c r="I128" s="946" t="s">
        <v>1200</v>
      </c>
      <c r="J128" s="968" t="s">
        <v>703</v>
      </c>
      <c r="K128" s="960" t="s">
        <v>707</v>
      </c>
      <c r="L128" s="949">
        <v>52.0</v>
      </c>
      <c r="M128" s="949">
        <v>90.0</v>
      </c>
      <c r="N128" s="949">
        <v>55.0</v>
      </c>
      <c r="O128" s="949">
        <v>58.0</v>
      </c>
      <c r="P128" s="949">
        <v>62.0</v>
      </c>
      <c r="Q128" s="949">
        <v>60.0</v>
      </c>
      <c r="R128" s="949">
        <v>156.0</v>
      </c>
      <c r="S128" s="949">
        <v>219.0</v>
      </c>
      <c r="T128" s="949">
        <v>240.0</v>
      </c>
      <c r="U128" s="949"/>
      <c r="V128" s="949"/>
      <c r="W128" s="949"/>
      <c r="X128" s="949"/>
      <c r="Y128" s="949"/>
      <c r="Z128" s="949"/>
      <c r="AA128" s="949"/>
      <c r="AB128" s="949"/>
      <c r="AC128" s="949"/>
      <c r="AD128" s="949"/>
      <c r="AE128" s="949"/>
      <c r="AF128" s="949"/>
      <c r="AG128" s="949"/>
      <c r="AH128" s="949"/>
      <c r="AI128" s="949"/>
      <c r="AJ128" s="949"/>
      <c r="AK128" s="949"/>
      <c r="AL128" s="949"/>
      <c r="AM128" s="953" t="s">
        <v>815</v>
      </c>
      <c r="AN128" s="954" t="s">
        <v>994</v>
      </c>
      <c r="AO128" s="955" t="s">
        <v>1069</v>
      </c>
      <c r="AP128" s="931"/>
      <c r="AQ128" s="956"/>
      <c r="AR128" s="957"/>
      <c r="AS128" s="931"/>
    </row>
    <row r="129" ht="15.75" customHeight="1">
      <c r="A129" s="931"/>
      <c r="B129" s="941" t="s">
        <v>1201</v>
      </c>
      <c r="C129" s="942" t="s">
        <v>1202</v>
      </c>
      <c r="D129" s="942" t="s">
        <v>1202</v>
      </c>
      <c r="E129" s="943" t="s">
        <v>1203</v>
      </c>
      <c r="F129" s="935"/>
      <c r="G129" s="944"/>
      <c r="H129" s="944"/>
      <c r="I129" s="946" t="s">
        <v>1204</v>
      </c>
      <c r="J129" s="988" t="s">
        <v>705</v>
      </c>
      <c r="K129" s="954" t="s">
        <v>158</v>
      </c>
      <c r="L129" s="949">
        <v>52.0</v>
      </c>
      <c r="M129" s="949">
        <v>95.0</v>
      </c>
      <c r="N129" s="949">
        <v>55.0</v>
      </c>
      <c r="O129" s="949">
        <v>58.0</v>
      </c>
      <c r="P129" s="949">
        <v>62.0</v>
      </c>
      <c r="Q129" s="949">
        <v>55.0</v>
      </c>
      <c r="R129" s="949">
        <v>146.0</v>
      </c>
      <c r="S129" s="949">
        <v>209.0</v>
      </c>
      <c r="T129" s="949">
        <v>229.0</v>
      </c>
      <c r="U129" s="949"/>
      <c r="V129" s="949"/>
      <c r="W129" s="949"/>
      <c r="X129" s="949"/>
      <c r="Y129" s="949"/>
      <c r="Z129" s="949"/>
      <c r="AA129" s="949"/>
      <c r="AB129" s="949"/>
      <c r="AC129" s="949"/>
      <c r="AD129" s="949"/>
      <c r="AE129" s="949"/>
      <c r="AF129" s="949"/>
      <c r="AG129" s="949"/>
      <c r="AH129" s="949"/>
      <c r="AI129" s="949"/>
      <c r="AJ129" s="949"/>
      <c r="AK129" s="949"/>
      <c r="AL129" s="949"/>
      <c r="AM129" s="953" t="s">
        <v>1108</v>
      </c>
      <c r="AN129" s="954"/>
      <c r="AO129" s="955" t="s">
        <v>1205</v>
      </c>
      <c r="AP129" s="931"/>
      <c r="AQ129" s="956"/>
      <c r="AR129" s="957"/>
      <c r="AS129" s="931"/>
    </row>
    <row r="130" ht="15.75" customHeight="1">
      <c r="A130" s="963"/>
      <c r="B130" s="941" t="s">
        <v>1206</v>
      </c>
      <c r="C130" s="971" t="s">
        <v>1207</v>
      </c>
      <c r="D130" s="971" t="s">
        <v>1207</v>
      </c>
      <c r="E130" s="966" t="s">
        <v>1207</v>
      </c>
      <c r="F130" s="935"/>
      <c r="G130" s="944"/>
      <c r="H130" s="944"/>
      <c r="I130" s="959" t="s">
        <v>1208</v>
      </c>
      <c r="J130" s="991" t="s">
        <v>703</v>
      </c>
      <c r="K130" s="984" t="s">
        <v>707</v>
      </c>
      <c r="L130" s="974">
        <v>35.0</v>
      </c>
      <c r="M130" s="974">
        <v>85.0</v>
      </c>
      <c r="N130" s="974">
        <v>45.0</v>
      </c>
      <c r="O130" s="974">
        <v>35.0</v>
      </c>
      <c r="P130" s="974">
        <v>35.0</v>
      </c>
      <c r="Q130" s="974">
        <v>75.0</v>
      </c>
      <c r="R130" s="949">
        <v>186.0</v>
      </c>
      <c r="S130" s="949">
        <v>249.0</v>
      </c>
      <c r="T130" s="949">
        <v>273.0</v>
      </c>
      <c r="U130" s="949"/>
      <c r="V130" s="949"/>
      <c r="W130" s="949"/>
      <c r="X130" s="949"/>
      <c r="Y130" s="949"/>
      <c r="Z130" s="949"/>
      <c r="AA130" s="949"/>
      <c r="AB130" s="949"/>
      <c r="AC130" s="949"/>
      <c r="AD130" s="949"/>
      <c r="AE130" s="949"/>
      <c r="AF130" s="949"/>
      <c r="AG130" s="949"/>
      <c r="AH130" s="949"/>
      <c r="AI130" s="949"/>
      <c r="AJ130" s="949"/>
      <c r="AK130" s="949"/>
      <c r="AL130" s="949"/>
      <c r="AM130" s="964" t="s">
        <v>787</v>
      </c>
      <c r="AN130" s="954" t="s">
        <v>1209</v>
      </c>
      <c r="AO130" s="955" t="s">
        <v>816</v>
      </c>
      <c r="AP130" s="931"/>
      <c r="AQ130" s="956"/>
      <c r="AR130" s="957"/>
      <c r="AS130" s="931"/>
    </row>
    <row r="131" ht="15.75" customHeight="1">
      <c r="A131" s="931"/>
      <c r="B131" s="941" t="s">
        <v>1210</v>
      </c>
      <c r="C131" s="942" t="s">
        <v>1211</v>
      </c>
      <c r="D131" s="942" t="s">
        <v>1211</v>
      </c>
      <c r="E131" s="943" t="s">
        <v>1211</v>
      </c>
      <c r="F131" s="935"/>
      <c r="G131" s="944"/>
      <c r="H131" s="944"/>
      <c r="I131" s="959" t="s">
        <v>1212</v>
      </c>
      <c r="J131" s="968" t="s">
        <v>703</v>
      </c>
      <c r="K131" s="960" t="s">
        <v>707</v>
      </c>
      <c r="L131" s="949">
        <v>60.0</v>
      </c>
      <c r="M131" s="949">
        <v>110.0</v>
      </c>
      <c r="N131" s="949">
        <v>70.0</v>
      </c>
      <c r="O131" s="949">
        <v>60.0</v>
      </c>
      <c r="P131" s="949">
        <v>60.0</v>
      </c>
      <c r="Q131" s="949">
        <v>110.0</v>
      </c>
      <c r="R131" s="949">
        <v>256.0</v>
      </c>
      <c r="S131" s="949">
        <v>319.0</v>
      </c>
      <c r="T131" s="949">
        <v>350.0</v>
      </c>
      <c r="U131" s="949"/>
      <c r="V131" s="949"/>
      <c r="W131" s="949"/>
      <c r="X131" s="949"/>
      <c r="Y131" s="949"/>
      <c r="Z131" s="949"/>
      <c r="AA131" s="949"/>
      <c r="AB131" s="949"/>
      <c r="AC131" s="949"/>
      <c r="AD131" s="949"/>
      <c r="AE131" s="949"/>
      <c r="AF131" s="949"/>
      <c r="AG131" s="949"/>
      <c r="AH131" s="949"/>
      <c r="AI131" s="949"/>
      <c r="AJ131" s="949"/>
      <c r="AK131" s="949"/>
      <c r="AL131" s="949"/>
      <c r="AM131" s="953" t="s">
        <v>787</v>
      </c>
      <c r="AN131" s="954" t="s">
        <v>1209</v>
      </c>
      <c r="AO131" s="955" t="s">
        <v>816</v>
      </c>
      <c r="AP131" s="931"/>
      <c r="AQ131" s="956"/>
      <c r="AR131" s="957"/>
      <c r="AS131" s="931"/>
    </row>
    <row r="132" ht="15.75" customHeight="1">
      <c r="A132" s="931"/>
      <c r="B132" s="941" t="s">
        <v>1213</v>
      </c>
      <c r="C132" s="942" t="s">
        <v>1214</v>
      </c>
      <c r="D132" s="942" t="s">
        <v>1214</v>
      </c>
      <c r="E132" s="943" t="s">
        <v>1214</v>
      </c>
      <c r="F132" s="935"/>
      <c r="G132" s="944"/>
      <c r="H132" s="944"/>
      <c r="I132" s="946" t="s">
        <v>1215</v>
      </c>
      <c r="J132" s="962" t="s">
        <v>706</v>
      </c>
      <c r="K132" s="954" t="s">
        <v>158</v>
      </c>
      <c r="L132" s="949">
        <v>65.0</v>
      </c>
      <c r="M132" s="949">
        <v>45.0</v>
      </c>
      <c r="N132" s="949">
        <v>55.0</v>
      </c>
      <c r="O132" s="949">
        <v>45.0</v>
      </c>
      <c r="P132" s="949">
        <v>70.0</v>
      </c>
      <c r="Q132" s="949">
        <v>45.0</v>
      </c>
      <c r="R132" s="949">
        <v>126.0</v>
      </c>
      <c r="S132" s="949">
        <v>189.0</v>
      </c>
      <c r="T132" s="949">
        <v>207.0</v>
      </c>
      <c r="U132" s="949"/>
      <c r="V132" s="949"/>
      <c r="W132" s="949"/>
      <c r="X132" s="949"/>
      <c r="Y132" s="949"/>
      <c r="Z132" s="949"/>
      <c r="AA132" s="949"/>
      <c r="AB132" s="949"/>
      <c r="AC132" s="949"/>
      <c r="AD132" s="949"/>
      <c r="AE132" s="949"/>
      <c r="AF132" s="949"/>
      <c r="AG132" s="949"/>
      <c r="AH132" s="949"/>
      <c r="AI132" s="949"/>
      <c r="AJ132" s="949"/>
      <c r="AK132" s="949"/>
      <c r="AL132" s="949"/>
      <c r="AM132" s="953" t="s">
        <v>746</v>
      </c>
      <c r="AN132" s="954" t="s">
        <v>1216</v>
      </c>
      <c r="AO132" s="955" t="s">
        <v>1217</v>
      </c>
      <c r="AP132" s="931"/>
      <c r="AQ132" s="956"/>
      <c r="AR132" s="957"/>
      <c r="AS132" s="931"/>
    </row>
    <row r="133" ht="15.75" customHeight="1">
      <c r="A133" s="931"/>
      <c r="B133" s="941" t="s">
        <v>1218</v>
      </c>
      <c r="C133" s="942" t="s">
        <v>1219</v>
      </c>
      <c r="D133" s="942" t="s">
        <v>1219</v>
      </c>
      <c r="E133" s="943" t="s">
        <v>1219</v>
      </c>
      <c r="F133" s="935"/>
      <c r="G133" s="944"/>
      <c r="H133" s="944"/>
      <c r="I133" s="946" t="s">
        <v>1220</v>
      </c>
      <c r="J133" s="962" t="s">
        <v>706</v>
      </c>
      <c r="K133" s="977" t="s">
        <v>714</v>
      </c>
      <c r="L133" s="949">
        <v>90.0</v>
      </c>
      <c r="M133" s="949">
        <v>70.0</v>
      </c>
      <c r="N133" s="949">
        <v>80.0</v>
      </c>
      <c r="O133" s="949">
        <v>70.0</v>
      </c>
      <c r="P133" s="949">
        <v>95.0</v>
      </c>
      <c r="Q133" s="949">
        <v>70.0</v>
      </c>
      <c r="R133" s="949">
        <v>176.0</v>
      </c>
      <c r="S133" s="949">
        <v>239.0</v>
      </c>
      <c r="T133" s="949">
        <v>262.0</v>
      </c>
      <c r="U133" s="949"/>
      <c r="V133" s="949"/>
      <c r="W133" s="949"/>
      <c r="X133" s="949"/>
      <c r="Y133" s="949"/>
      <c r="Z133" s="949"/>
      <c r="AA133" s="949"/>
      <c r="AB133" s="949"/>
      <c r="AC133" s="949"/>
      <c r="AD133" s="949"/>
      <c r="AE133" s="949"/>
      <c r="AF133" s="949"/>
      <c r="AG133" s="949"/>
      <c r="AH133" s="949"/>
      <c r="AI133" s="949"/>
      <c r="AJ133" s="949"/>
      <c r="AK133" s="949"/>
      <c r="AL133" s="949"/>
      <c r="AM133" s="953" t="s">
        <v>746</v>
      </c>
      <c r="AN133" s="954" t="s">
        <v>1216</v>
      </c>
      <c r="AO133" s="955" t="s">
        <v>1217</v>
      </c>
      <c r="AP133" s="931"/>
      <c r="AQ133" s="956"/>
      <c r="AR133" s="957"/>
      <c r="AS133" s="931"/>
    </row>
    <row r="134" ht="15.75" customHeight="1">
      <c r="A134" s="931"/>
      <c r="B134" s="941" t="s">
        <v>1221</v>
      </c>
      <c r="C134" s="971" t="s">
        <v>1222</v>
      </c>
      <c r="D134" s="971" t="s">
        <v>1222</v>
      </c>
      <c r="E134" s="966" t="s">
        <v>1222</v>
      </c>
      <c r="F134" s="992"/>
      <c r="G134" s="993"/>
      <c r="H134" s="993"/>
      <c r="I134" s="946" t="s">
        <v>569</v>
      </c>
      <c r="J134" s="983" t="s">
        <v>709</v>
      </c>
      <c r="K134" s="973" t="s">
        <v>158</v>
      </c>
      <c r="L134" s="974">
        <v>80.0</v>
      </c>
      <c r="M134" s="974">
        <v>80.0</v>
      </c>
      <c r="N134" s="974">
        <v>50.0</v>
      </c>
      <c r="O134" s="974">
        <v>40.0</v>
      </c>
      <c r="P134" s="974">
        <v>50.0</v>
      </c>
      <c r="Q134" s="974">
        <v>25.0</v>
      </c>
      <c r="R134" s="974">
        <v>86.0</v>
      </c>
      <c r="S134" s="974">
        <v>149.0</v>
      </c>
      <c r="T134" s="974">
        <v>163.0</v>
      </c>
      <c r="U134" s="974"/>
      <c r="V134" s="974"/>
      <c r="W134" s="974"/>
      <c r="X134" s="974"/>
      <c r="Y134" s="974"/>
      <c r="Z134" s="974"/>
      <c r="AA134" s="974"/>
      <c r="AB134" s="974"/>
      <c r="AC134" s="974"/>
      <c r="AD134" s="974"/>
      <c r="AE134" s="974"/>
      <c r="AF134" s="974"/>
      <c r="AG134" s="974"/>
      <c r="AH134" s="974"/>
      <c r="AI134" s="974"/>
      <c r="AJ134" s="974"/>
      <c r="AK134" s="974"/>
      <c r="AL134" s="974"/>
      <c r="AM134" s="964" t="s">
        <v>1005</v>
      </c>
      <c r="AN134" s="973" t="s">
        <v>1223</v>
      </c>
      <c r="AO134" s="965" t="s">
        <v>1224</v>
      </c>
      <c r="AP134" s="931"/>
      <c r="AQ134" s="956" t="str">
        <f t="array" ref="AQ134:AQ1243">IMAGE("http://play.pokemonshowdown.com/sprites/gen5/"&amp;D134:D1243&amp;".png", 3)</f>
        <v/>
      </c>
      <c r="AR134" s="957" t="str">
        <f t="array" ref="AR134:AR1243">IMAGE("https://img.pokemondb.net/sprites/home/normal/"&amp;E134:E1243&amp;".png",3)</f>
        <v/>
      </c>
      <c r="AS134" s="931"/>
    </row>
    <row r="135" ht="15.75" customHeight="1">
      <c r="A135" s="931"/>
      <c r="B135" s="941" t="s">
        <v>1225</v>
      </c>
      <c r="C135" s="942" t="s">
        <v>1226</v>
      </c>
      <c r="D135" s="942" t="s">
        <v>1226</v>
      </c>
      <c r="E135" s="943" t="s">
        <v>1227</v>
      </c>
      <c r="F135" s="935"/>
      <c r="G135" s="944"/>
      <c r="H135" s="944"/>
      <c r="I135" s="946" t="s">
        <v>1228</v>
      </c>
      <c r="J135" s="948" t="s">
        <v>709</v>
      </c>
      <c r="K135" s="969" t="s">
        <v>718</v>
      </c>
      <c r="L135" s="949">
        <v>80.0</v>
      </c>
      <c r="M135" s="949">
        <v>80.0</v>
      </c>
      <c r="N135" s="949">
        <v>50.0</v>
      </c>
      <c r="O135" s="949">
        <v>40.0</v>
      </c>
      <c r="P135" s="949">
        <v>50.0</v>
      </c>
      <c r="Q135" s="949">
        <v>25.0</v>
      </c>
      <c r="R135" s="949">
        <v>86.0</v>
      </c>
      <c r="S135" s="949">
        <v>149.0</v>
      </c>
      <c r="T135" s="949">
        <v>163.0</v>
      </c>
      <c r="U135" s="949"/>
      <c r="V135" s="949"/>
      <c r="W135" s="949"/>
      <c r="X135" s="949"/>
      <c r="Y135" s="949"/>
      <c r="Z135" s="949"/>
      <c r="AA135" s="949"/>
      <c r="AB135" s="949"/>
      <c r="AC135" s="949"/>
      <c r="AD135" s="949"/>
      <c r="AE135" s="949"/>
      <c r="AF135" s="949"/>
      <c r="AG135" s="949"/>
      <c r="AH135" s="949"/>
      <c r="AI135" s="949"/>
      <c r="AJ135" s="949"/>
      <c r="AK135" s="949"/>
      <c r="AL135" s="949"/>
      <c r="AM135" s="953" t="s">
        <v>1224</v>
      </c>
      <c r="AN135" s="954" t="s">
        <v>837</v>
      </c>
      <c r="AO135" s="955" t="s">
        <v>1229</v>
      </c>
      <c r="AP135" s="931"/>
      <c r="AQ135" s="956"/>
      <c r="AR135" s="957"/>
      <c r="AS135" s="931"/>
    </row>
    <row r="136" ht="15.75" customHeight="1">
      <c r="A136" s="931"/>
      <c r="B136" s="941" t="s">
        <v>1230</v>
      </c>
      <c r="C136" s="942" t="s">
        <v>1231</v>
      </c>
      <c r="D136" s="942" t="s">
        <v>1231</v>
      </c>
      <c r="E136" s="943" t="s">
        <v>1231</v>
      </c>
      <c r="F136" s="935"/>
      <c r="G136" s="944"/>
      <c r="H136" s="944"/>
      <c r="I136" s="959" t="s">
        <v>458</v>
      </c>
      <c r="J136" s="948" t="s">
        <v>709</v>
      </c>
      <c r="K136" s="954" t="s">
        <v>158</v>
      </c>
      <c r="L136" s="949">
        <v>105.0</v>
      </c>
      <c r="M136" s="949">
        <v>105.0</v>
      </c>
      <c r="N136" s="949">
        <v>75.0</v>
      </c>
      <c r="O136" s="949">
        <v>65.0</v>
      </c>
      <c r="P136" s="949">
        <v>100.0</v>
      </c>
      <c r="Q136" s="949">
        <v>50.0</v>
      </c>
      <c r="R136" s="949">
        <v>136.0</v>
      </c>
      <c r="S136" s="949">
        <v>199.0</v>
      </c>
      <c r="T136" s="949">
        <v>218.0</v>
      </c>
      <c r="U136" s="949"/>
      <c r="V136" s="949"/>
      <c r="W136" s="949"/>
      <c r="X136" s="949"/>
      <c r="Y136" s="949"/>
      <c r="Z136" s="949"/>
      <c r="AA136" s="949"/>
      <c r="AB136" s="949"/>
      <c r="AC136" s="949"/>
      <c r="AD136" s="949"/>
      <c r="AE136" s="949"/>
      <c r="AF136" s="949"/>
      <c r="AG136" s="949"/>
      <c r="AH136" s="949"/>
      <c r="AI136" s="949"/>
      <c r="AJ136" s="949"/>
      <c r="AK136" s="949"/>
      <c r="AL136" s="949"/>
      <c r="AM136" s="953" t="s">
        <v>1005</v>
      </c>
      <c r="AN136" s="954" t="s">
        <v>1223</v>
      </c>
      <c r="AO136" s="955" t="s">
        <v>1224</v>
      </c>
      <c r="AP136" s="931"/>
      <c r="AQ136" s="956"/>
      <c r="AR136" s="957"/>
      <c r="AS136" s="931"/>
    </row>
    <row r="137" ht="15.75" customHeight="1">
      <c r="A137" s="931"/>
      <c r="B137" s="941" t="s">
        <v>1232</v>
      </c>
      <c r="C137" s="942" t="s">
        <v>1233</v>
      </c>
      <c r="D137" s="942" t="s">
        <v>1233</v>
      </c>
      <c r="E137" s="943" t="s">
        <v>1234</v>
      </c>
      <c r="F137" s="935"/>
      <c r="G137" s="944"/>
      <c r="H137" s="944"/>
      <c r="I137" s="946" t="s">
        <v>1235</v>
      </c>
      <c r="J137" s="948" t="s">
        <v>709</v>
      </c>
      <c r="K137" s="969" t="s">
        <v>718</v>
      </c>
      <c r="L137" s="949">
        <v>105.0</v>
      </c>
      <c r="M137" s="949">
        <v>105.0</v>
      </c>
      <c r="N137" s="949">
        <v>75.0</v>
      </c>
      <c r="O137" s="949">
        <v>65.0</v>
      </c>
      <c r="P137" s="949">
        <v>100.0</v>
      </c>
      <c r="Q137" s="949">
        <v>50.0</v>
      </c>
      <c r="R137" s="949">
        <v>136.0</v>
      </c>
      <c r="S137" s="949">
        <v>199.0</v>
      </c>
      <c r="T137" s="949">
        <v>218.0</v>
      </c>
      <c r="U137" s="949"/>
      <c r="V137" s="949"/>
      <c r="W137" s="949"/>
      <c r="X137" s="949"/>
      <c r="Y137" s="949"/>
      <c r="Z137" s="949"/>
      <c r="AA137" s="949"/>
      <c r="AB137" s="949"/>
      <c r="AC137" s="949"/>
      <c r="AD137" s="949"/>
      <c r="AE137" s="949"/>
      <c r="AF137" s="949"/>
      <c r="AG137" s="949"/>
      <c r="AH137" s="949"/>
      <c r="AI137" s="949"/>
      <c r="AJ137" s="949"/>
      <c r="AK137" s="949"/>
      <c r="AL137" s="949"/>
      <c r="AM137" s="953" t="s">
        <v>1224</v>
      </c>
      <c r="AN137" s="954" t="s">
        <v>837</v>
      </c>
      <c r="AO137" s="955" t="s">
        <v>1229</v>
      </c>
      <c r="AP137" s="931"/>
      <c r="AQ137" s="956"/>
      <c r="AR137" s="957"/>
      <c r="AS137" s="931"/>
    </row>
    <row r="138" ht="15.75" customHeight="1">
      <c r="A138" s="931"/>
      <c r="B138" s="941" t="s">
        <v>1236</v>
      </c>
      <c r="C138" s="942" t="s">
        <v>1237</v>
      </c>
      <c r="D138" s="942" t="s">
        <v>1237</v>
      </c>
      <c r="E138" s="943" t="s">
        <v>1237</v>
      </c>
      <c r="F138" s="935"/>
      <c r="G138" s="944"/>
      <c r="H138" s="944"/>
      <c r="I138" s="946" t="s">
        <v>570</v>
      </c>
      <c r="J138" s="962" t="s">
        <v>706</v>
      </c>
      <c r="K138" s="954" t="s">
        <v>158</v>
      </c>
      <c r="L138" s="949">
        <v>30.0</v>
      </c>
      <c r="M138" s="949">
        <v>65.0</v>
      </c>
      <c r="N138" s="949">
        <v>100.0</v>
      </c>
      <c r="O138" s="949">
        <v>45.0</v>
      </c>
      <c r="P138" s="949">
        <v>25.0</v>
      </c>
      <c r="Q138" s="949">
        <v>40.0</v>
      </c>
      <c r="R138" s="949">
        <v>116.0</v>
      </c>
      <c r="S138" s="949">
        <v>179.0</v>
      </c>
      <c r="T138" s="949">
        <v>196.0</v>
      </c>
      <c r="U138" s="949"/>
      <c r="V138" s="949"/>
      <c r="W138" s="949"/>
      <c r="X138" s="949"/>
      <c r="Y138" s="949"/>
      <c r="Z138" s="949"/>
      <c r="AA138" s="949"/>
      <c r="AB138" s="949"/>
      <c r="AC138" s="949"/>
      <c r="AD138" s="949"/>
      <c r="AE138" s="949"/>
      <c r="AF138" s="949"/>
      <c r="AG138" s="949"/>
      <c r="AH138" s="949"/>
      <c r="AI138" s="949"/>
      <c r="AJ138" s="949"/>
      <c r="AK138" s="949"/>
      <c r="AL138" s="949"/>
      <c r="AM138" s="953" t="s">
        <v>1192</v>
      </c>
      <c r="AN138" s="954" t="s">
        <v>1238</v>
      </c>
      <c r="AO138" s="955" t="s">
        <v>1239</v>
      </c>
      <c r="AP138" s="931"/>
      <c r="AQ138" s="956"/>
      <c r="AR138" s="957"/>
      <c r="AS138" s="931"/>
    </row>
    <row r="139" ht="15.75" customHeight="1">
      <c r="A139" s="931"/>
      <c r="B139" s="941" t="s">
        <v>1240</v>
      </c>
      <c r="C139" s="942" t="s">
        <v>1241</v>
      </c>
      <c r="D139" s="942" t="s">
        <v>1241</v>
      </c>
      <c r="E139" s="943" t="s">
        <v>1241</v>
      </c>
      <c r="F139" s="935"/>
      <c r="G139" s="944"/>
      <c r="H139" s="944"/>
      <c r="I139" s="946" t="s">
        <v>459</v>
      </c>
      <c r="J139" s="962" t="s">
        <v>706</v>
      </c>
      <c r="K139" s="977" t="s">
        <v>714</v>
      </c>
      <c r="L139" s="949">
        <v>50.0</v>
      </c>
      <c r="M139" s="949">
        <v>95.0</v>
      </c>
      <c r="N139" s="949">
        <v>180.0</v>
      </c>
      <c r="O139" s="949">
        <v>85.0</v>
      </c>
      <c r="P139" s="949">
        <v>45.0</v>
      </c>
      <c r="Q139" s="949">
        <v>70.0</v>
      </c>
      <c r="R139" s="949">
        <v>176.0</v>
      </c>
      <c r="S139" s="949">
        <v>239.0</v>
      </c>
      <c r="T139" s="949">
        <v>262.0</v>
      </c>
      <c r="U139" s="949"/>
      <c r="V139" s="949"/>
      <c r="W139" s="949"/>
      <c r="X139" s="949"/>
      <c r="Y139" s="949"/>
      <c r="Z139" s="949"/>
      <c r="AA139" s="949"/>
      <c r="AB139" s="949"/>
      <c r="AC139" s="949"/>
      <c r="AD139" s="949"/>
      <c r="AE139" s="949"/>
      <c r="AF139" s="949"/>
      <c r="AG139" s="949"/>
      <c r="AH139" s="949"/>
      <c r="AI139" s="949"/>
      <c r="AJ139" s="949"/>
      <c r="AK139" s="949"/>
      <c r="AL139" s="949"/>
      <c r="AM139" s="953" t="s">
        <v>1192</v>
      </c>
      <c r="AN139" s="954" t="s">
        <v>1238</v>
      </c>
      <c r="AO139" s="955" t="s">
        <v>1239</v>
      </c>
      <c r="AP139" s="931"/>
      <c r="AQ139" s="956"/>
      <c r="AR139" s="957"/>
      <c r="AS139" s="931"/>
    </row>
    <row r="140" ht="15.75" customHeight="1">
      <c r="A140" s="931"/>
      <c r="B140" s="941" t="s">
        <v>1242</v>
      </c>
      <c r="C140" s="942" t="s">
        <v>1243</v>
      </c>
      <c r="D140" s="942" t="s">
        <v>1243</v>
      </c>
      <c r="E140" s="943" t="s">
        <v>1243</v>
      </c>
      <c r="F140" s="935"/>
      <c r="G140" s="944"/>
      <c r="H140" s="944"/>
      <c r="I140" s="946" t="s">
        <v>571</v>
      </c>
      <c r="J140" s="994" t="s">
        <v>717</v>
      </c>
      <c r="K140" s="948" t="s">
        <v>709</v>
      </c>
      <c r="L140" s="949">
        <v>30.0</v>
      </c>
      <c r="M140" s="949">
        <v>35.0</v>
      </c>
      <c r="N140" s="949">
        <v>30.0</v>
      </c>
      <c r="O140" s="949">
        <v>100.0</v>
      </c>
      <c r="P140" s="949">
        <v>35.0</v>
      </c>
      <c r="Q140" s="949">
        <v>80.0</v>
      </c>
      <c r="R140" s="949">
        <v>196.0</v>
      </c>
      <c r="S140" s="949">
        <v>259.0</v>
      </c>
      <c r="T140" s="949">
        <v>284.0</v>
      </c>
      <c r="U140" s="949"/>
      <c r="V140" s="949"/>
      <c r="W140" s="949"/>
      <c r="X140" s="949"/>
      <c r="Y140" s="949"/>
      <c r="Z140" s="949"/>
      <c r="AA140" s="949"/>
      <c r="AB140" s="949"/>
      <c r="AC140" s="949"/>
      <c r="AD140" s="949"/>
      <c r="AE140" s="949"/>
      <c r="AF140" s="949"/>
      <c r="AG140" s="949"/>
      <c r="AH140" s="949"/>
      <c r="AI140" s="949"/>
      <c r="AJ140" s="949"/>
      <c r="AK140" s="949"/>
      <c r="AL140" s="949"/>
      <c r="AM140" s="953" t="s">
        <v>1244</v>
      </c>
      <c r="AN140" s="954"/>
      <c r="AO140" s="955"/>
      <c r="AP140" s="931"/>
      <c r="AQ140" s="956"/>
      <c r="AR140" s="957"/>
      <c r="AS140" s="931"/>
    </row>
    <row r="141" ht="15.75" customHeight="1">
      <c r="A141" s="931"/>
      <c r="B141" s="941" t="s">
        <v>1245</v>
      </c>
      <c r="C141" s="942" t="s">
        <v>1246</v>
      </c>
      <c r="D141" s="942" t="s">
        <v>1246</v>
      </c>
      <c r="E141" s="943" t="s">
        <v>1246</v>
      </c>
      <c r="F141" s="935"/>
      <c r="G141" s="944"/>
      <c r="H141" s="944"/>
      <c r="I141" s="959" t="s">
        <v>472</v>
      </c>
      <c r="J141" s="994" t="s">
        <v>717</v>
      </c>
      <c r="K141" s="948" t="s">
        <v>709</v>
      </c>
      <c r="L141" s="949">
        <v>45.0</v>
      </c>
      <c r="M141" s="949">
        <v>50.0</v>
      </c>
      <c r="N141" s="949">
        <v>45.0</v>
      </c>
      <c r="O141" s="949">
        <v>115.0</v>
      </c>
      <c r="P141" s="949">
        <v>55.0</v>
      </c>
      <c r="Q141" s="949">
        <v>95.0</v>
      </c>
      <c r="R141" s="949">
        <v>226.0</v>
      </c>
      <c r="S141" s="949">
        <v>289.0</v>
      </c>
      <c r="T141" s="949">
        <v>317.0</v>
      </c>
      <c r="U141" s="949"/>
      <c r="V141" s="949"/>
      <c r="W141" s="949"/>
      <c r="X141" s="949"/>
      <c r="Y141" s="949"/>
      <c r="Z141" s="949"/>
      <c r="AA141" s="949"/>
      <c r="AB141" s="949"/>
      <c r="AC141" s="949"/>
      <c r="AD141" s="949"/>
      <c r="AE141" s="949"/>
      <c r="AF141" s="949"/>
      <c r="AG141" s="949"/>
      <c r="AH141" s="949"/>
      <c r="AI141" s="949"/>
      <c r="AJ141" s="949"/>
      <c r="AK141" s="949"/>
      <c r="AL141" s="949"/>
      <c r="AM141" s="953" t="s">
        <v>1244</v>
      </c>
      <c r="AN141" s="954"/>
      <c r="AO141" s="955"/>
      <c r="AP141" s="931"/>
      <c r="AQ141" s="956"/>
      <c r="AR141" s="957"/>
      <c r="AS141" s="931"/>
    </row>
    <row r="142" ht="15.75" customHeight="1">
      <c r="A142" s="963"/>
      <c r="B142" s="941" t="s">
        <v>1247</v>
      </c>
      <c r="C142" s="971" t="s">
        <v>240</v>
      </c>
      <c r="D142" s="971" t="s">
        <v>240</v>
      </c>
      <c r="E142" s="966" t="s">
        <v>240</v>
      </c>
      <c r="F142" s="935"/>
      <c r="G142" s="944"/>
      <c r="H142" s="944"/>
      <c r="I142" s="959" t="s">
        <v>79</v>
      </c>
      <c r="J142" s="995" t="s">
        <v>717</v>
      </c>
      <c r="K142" s="983" t="s">
        <v>709</v>
      </c>
      <c r="L142" s="974">
        <v>60.0</v>
      </c>
      <c r="M142" s="974">
        <v>65.0</v>
      </c>
      <c r="N142" s="974">
        <v>60.0</v>
      </c>
      <c r="O142" s="974">
        <v>130.0</v>
      </c>
      <c r="P142" s="974">
        <v>75.0</v>
      </c>
      <c r="Q142" s="974">
        <v>110.0</v>
      </c>
      <c r="R142" s="949">
        <v>256.0</v>
      </c>
      <c r="S142" s="949">
        <v>319.0</v>
      </c>
      <c r="T142" s="949">
        <v>350.0</v>
      </c>
      <c r="U142" s="949"/>
      <c r="V142" s="949"/>
      <c r="W142" s="949"/>
      <c r="X142" s="949"/>
      <c r="Y142" s="949"/>
      <c r="Z142" s="949"/>
      <c r="AA142" s="949"/>
      <c r="AB142" s="949"/>
      <c r="AC142" s="949"/>
      <c r="AD142" s="949"/>
      <c r="AE142" s="949"/>
      <c r="AF142" s="949"/>
      <c r="AG142" s="949"/>
      <c r="AH142" s="949"/>
      <c r="AI142" s="949"/>
      <c r="AJ142" s="949"/>
      <c r="AK142" s="949"/>
      <c r="AL142" s="949"/>
      <c r="AM142" s="964" t="s">
        <v>1248</v>
      </c>
      <c r="AN142" s="954"/>
      <c r="AO142" s="955"/>
      <c r="AP142" s="931"/>
      <c r="AQ142" s="956"/>
      <c r="AR142" s="957"/>
      <c r="AS142" s="931"/>
    </row>
    <row r="143" ht="15.75" customHeight="1">
      <c r="A143" s="963"/>
      <c r="B143" s="941" t="s">
        <v>1249</v>
      </c>
      <c r="C143" s="971" t="s">
        <v>1250</v>
      </c>
      <c r="D143" s="971" t="s">
        <v>1250</v>
      </c>
      <c r="E143" s="966" t="s">
        <v>1250</v>
      </c>
      <c r="F143" s="935"/>
      <c r="G143" s="944"/>
      <c r="H143" s="944"/>
      <c r="I143" s="959" t="s">
        <v>1251</v>
      </c>
      <c r="J143" s="995" t="s">
        <v>717</v>
      </c>
      <c r="K143" s="983" t="s">
        <v>709</v>
      </c>
      <c r="L143" s="974">
        <v>60.0</v>
      </c>
      <c r="M143" s="974">
        <v>65.0</v>
      </c>
      <c r="N143" s="974">
        <v>80.0</v>
      </c>
      <c r="O143" s="974">
        <v>170.0</v>
      </c>
      <c r="P143" s="974">
        <v>95.0</v>
      </c>
      <c r="Q143" s="974">
        <v>130.0</v>
      </c>
      <c r="R143" s="949">
        <v>296.0</v>
      </c>
      <c r="S143" s="949">
        <v>359.0</v>
      </c>
      <c r="T143" s="949">
        <v>394.0</v>
      </c>
      <c r="U143" s="949"/>
      <c r="V143" s="949"/>
      <c r="W143" s="949"/>
      <c r="X143" s="949"/>
      <c r="Y143" s="949"/>
      <c r="Z143" s="949"/>
      <c r="AA143" s="949"/>
      <c r="AB143" s="949"/>
      <c r="AC143" s="949"/>
      <c r="AD143" s="949"/>
      <c r="AE143" s="949"/>
      <c r="AF143" s="949"/>
      <c r="AG143" s="949"/>
      <c r="AH143" s="949"/>
      <c r="AI143" s="949"/>
      <c r="AJ143" s="949"/>
      <c r="AK143" s="949"/>
      <c r="AL143" s="949"/>
      <c r="AM143" s="964" t="s">
        <v>1252</v>
      </c>
      <c r="AN143" s="954"/>
      <c r="AO143" s="955"/>
      <c r="AP143" s="931"/>
      <c r="AQ143" s="956"/>
      <c r="AR143" s="957"/>
      <c r="AS143" s="931"/>
    </row>
    <row r="144" ht="15.75" customHeight="1">
      <c r="A144" s="963"/>
      <c r="B144" s="941" t="s">
        <v>1253</v>
      </c>
      <c r="C144" s="971" t="s">
        <v>1254</v>
      </c>
      <c r="D144" s="971" t="s">
        <v>1254</v>
      </c>
      <c r="E144" s="966" t="s">
        <v>1254</v>
      </c>
      <c r="F144" s="935"/>
      <c r="G144" s="944"/>
      <c r="H144" s="944"/>
      <c r="I144" s="959" t="s">
        <v>1255</v>
      </c>
      <c r="J144" s="996" t="s">
        <v>713</v>
      </c>
      <c r="K144" s="997" t="s">
        <v>711</v>
      </c>
      <c r="L144" s="974">
        <v>35.0</v>
      </c>
      <c r="M144" s="974">
        <v>45.0</v>
      </c>
      <c r="N144" s="974">
        <v>160.0</v>
      </c>
      <c r="O144" s="974">
        <v>30.0</v>
      </c>
      <c r="P144" s="974">
        <v>45.0</v>
      </c>
      <c r="Q144" s="974">
        <v>70.0</v>
      </c>
      <c r="R144" s="949">
        <v>176.0</v>
      </c>
      <c r="S144" s="949">
        <v>239.0</v>
      </c>
      <c r="T144" s="949">
        <v>262.0</v>
      </c>
      <c r="U144" s="949"/>
      <c r="V144" s="949"/>
      <c r="W144" s="949"/>
      <c r="X144" s="949"/>
      <c r="Y144" s="949"/>
      <c r="Z144" s="949"/>
      <c r="AA144" s="949"/>
      <c r="AB144" s="949"/>
      <c r="AC144" s="949"/>
      <c r="AD144" s="949"/>
      <c r="AE144" s="949"/>
      <c r="AF144" s="949"/>
      <c r="AG144" s="949"/>
      <c r="AH144" s="949"/>
      <c r="AI144" s="949"/>
      <c r="AJ144" s="949"/>
      <c r="AK144" s="949"/>
      <c r="AL144" s="949"/>
      <c r="AM144" s="964" t="s">
        <v>1077</v>
      </c>
      <c r="AN144" s="954" t="s">
        <v>1135</v>
      </c>
      <c r="AO144" s="955" t="s">
        <v>1256</v>
      </c>
      <c r="AP144" s="931"/>
      <c r="AQ144" s="956"/>
      <c r="AR144" s="957"/>
      <c r="AS144" s="931"/>
    </row>
    <row r="145" ht="15.75" customHeight="1">
      <c r="A145" s="931"/>
      <c r="B145" s="941" t="s">
        <v>1257</v>
      </c>
      <c r="C145" s="942" t="s">
        <v>1258</v>
      </c>
      <c r="D145" s="942" t="s">
        <v>1258</v>
      </c>
      <c r="E145" s="943" t="s">
        <v>1258</v>
      </c>
      <c r="F145" s="935"/>
      <c r="G145" s="944"/>
      <c r="H145" s="944"/>
      <c r="I145" s="946" t="s">
        <v>572</v>
      </c>
      <c r="J145" s="975" t="s">
        <v>712</v>
      </c>
      <c r="K145" s="954" t="s">
        <v>158</v>
      </c>
      <c r="L145" s="949">
        <v>60.0</v>
      </c>
      <c r="M145" s="949">
        <v>48.0</v>
      </c>
      <c r="N145" s="949">
        <v>45.0</v>
      </c>
      <c r="O145" s="949">
        <v>43.0</v>
      </c>
      <c r="P145" s="949">
        <v>90.0</v>
      </c>
      <c r="Q145" s="949">
        <v>42.0</v>
      </c>
      <c r="R145" s="949">
        <v>120.0</v>
      </c>
      <c r="S145" s="949">
        <v>183.0</v>
      </c>
      <c r="T145" s="949">
        <v>201.0</v>
      </c>
      <c r="U145" s="949"/>
      <c r="V145" s="949"/>
      <c r="W145" s="949"/>
      <c r="X145" s="949"/>
      <c r="Y145" s="949"/>
      <c r="Z145" s="949"/>
      <c r="AA145" s="949"/>
      <c r="AB145" s="949"/>
      <c r="AC145" s="949"/>
      <c r="AD145" s="949"/>
      <c r="AE145" s="949"/>
      <c r="AF145" s="949"/>
      <c r="AG145" s="949"/>
      <c r="AH145" s="949"/>
      <c r="AI145" s="949"/>
      <c r="AJ145" s="949"/>
      <c r="AK145" s="949"/>
      <c r="AL145" s="949"/>
      <c r="AM145" s="953" t="s">
        <v>1259</v>
      </c>
      <c r="AN145" s="954" t="s">
        <v>1260</v>
      </c>
      <c r="AO145" s="955" t="s">
        <v>994</v>
      </c>
      <c r="AP145" s="931"/>
      <c r="AQ145" s="956"/>
      <c r="AR145" s="957"/>
      <c r="AS145" s="931"/>
    </row>
    <row r="146" ht="15.75" customHeight="1">
      <c r="A146" s="963"/>
      <c r="B146" s="941" t="s">
        <v>1261</v>
      </c>
      <c r="C146" s="971" t="s">
        <v>1262</v>
      </c>
      <c r="D146" s="971" t="s">
        <v>1262</v>
      </c>
      <c r="E146" s="966" t="s">
        <v>1262</v>
      </c>
      <c r="F146" s="935"/>
      <c r="G146" s="944"/>
      <c r="H146" s="944"/>
      <c r="I146" s="959" t="s">
        <v>484</v>
      </c>
      <c r="J146" s="990" t="s">
        <v>712</v>
      </c>
      <c r="K146" s="973" t="s">
        <v>158</v>
      </c>
      <c r="L146" s="974">
        <v>85.0</v>
      </c>
      <c r="M146" s="974">
        <v>73.0</v>
      </c>
      <c r="N146" s="974">
        <v>70.0</v>
      </c>
      <c r="O146" s="974">
        <v>73.0</v>
      </c>
      <c r="P146" s="974">
        <v>115.0</v>
      </c>
      <c r="Q146" s="974">
        <v>67.0</v>
      </c>
      <c r="R146" s="949">
        <v>170.0</v>
      </c>
      <c r="S146" s="949">
        <v>233.0</v>
      </c>
      <c r="T146" s="949">
        <v>256.0</v>
      </c>
      <c r="U146" s="949"/>
      <c r="V146" s="949"/>
      <c r="W146" s="949"/>
      <c r="X146" s="949"/>
      <c r="Y146" s="949"/>
      <c r="Z146" s="949"/>
      <c r="AA146" s="949"/>
      <c r="AB146" s="949"/>
      <c r="AC146" s="949"/>
      <c r="AD146" s="949"/>
      <c r="AE146" s="949"/>
      <c r="AF146" s="949"/>
      <c r="AG146" s="949"/>
      <c r="AH146" s="949"/>
      <c r="AI146" s="949"/>
      <c r="AJ146" s="949"/>
      <c r="AK146" s="949"/>
      <c r="AL146" s="949"/>
      <c r="AM146" s="964" t="s">
        <v>1259</v>
      </c>
      <c r="AN146" s="973" t="s">
        <v>1260</v>
      </c>
      <c r="AO146" s="965" t="s">
        <v>994</v>
      </c>
      <c r="AP146" s="931"/>
      <c r="AQ146" s="956"/>
      <c r="AR146" s="957"/>
      <c r="AS146" s="931"/>
    </row>
    <row r="147" ht="15.75" customHeight="1">
      <c r="A147" s="931"/>
      <c r="B147" s="941" t="s">
        <v>1263</v>
      </c>
      <c r="C147" s="942" t="s">
        <v>1264</v>
      </c>
      <c r="D147" s="942" t="s">
        <v>1264</v>
      </c>
      <c r="E147" s="943" t="s">
        <v>1264</v>
      </c>
      <c r="F147" s="935"/>
      <c r="G147" s="944"/>
      <c r="H147" s="944"/>
      <c r="I147" s="946" t="s">
        <v>1265</v>
      </c>
      <c r="J147" s="962" t="s">
        <v>706</v>
      </c>
      <c r="K147" s="954" t="s">
        <v>158</v>
      </c>
      <c r="L147" s="949">
        <v>30.0</v>
      </c>
      <c r="M147" s="949">
        <v>105.0</v>
      </c>
      <c r="N147" s="949">
        <v>90.0</v>
      </c>
      <c r="O147" s="949">
        <v>25.0</v>
      </c>
      <c r="P147" s="949">
        <v>25.0</v>
      </c>
      <c r="Q147" s="949">
        <v>50.0</v>
      </c>
      <c r="R147" s="949">
        <v>136.0</v>
      </c>
      <c r="S147" s="949">
        <v>199.0</v>
      </c>
      <c r="T147" s="949">
        <v>218.0</v>
      </c>
      <c r="U147" s="949"/>
      <c r="V147" s="949"/>
      <c r="W147" s="949"/>
      <c r="X147" s="949"/>
      <c r="Y147" s="949"/>
      <c r="Z147" s="949"/>
      <c r="AA147" s="949"/>
      <c r="AB147" s="949"/>
      <c r="AC147" s="949"/>
      <c r="AD147" s="949"/>
      <c r="AE147" s="949"/>
      <c r="AF147" s="949"/>
      <c r="AG147" s="949"/>
      <c r="AH147" s="949"/>
      <c r="AI147" s="949"/>
      <c r="AJ147" s="949"/>
      <c r="AK147" s="949"/>
      <c r="AL147" s="949"/>
      <c r="AM147" s="953" t="s">
        <v>1266</v>
      </c>
      <c r="AN147" s="954" t="s">
        <v>1192</v>
      </c>
      <c r="AO147" s="955" t="s">
        <v>949</v>
      </c>
      <c r="AP147" s="931"/>
      <c r="AQ147" s="956"/>
      <c r="AR147" s="957"/>
      <c r="AS147" s="931"/>
    </row>
    <row r="148" ht="15.75" customHeight="1">
      <c r="A148" s="963"/>
      <c r="B148" s="941" t="s">
        <v>1267</v>
      </c>
      <c r="C148" s="942" t="s">
        <v>1268</v>
      </c>
      <c r="D148" s="942" t="s">
        <v>1268</v>
      </c>
      <c r="E148" s="943" t="s">
        <v>1268</v>
      </c>
      <c r="F148" s="935"/>
      <c r="G148" s="944"/>
      <c r="H148" s="944"/>
      <c r="I148" s="946" t="s">
        <v>1269</v>
      </c>
      <c r="J148" s="962" t="s">
        <v>706</v>
      </c>
      <c r="K148" s="954" t="s">
        <v>158</v>
      </c>
      <c r="L148" s="949">
        <v>55.0</v>
      </c>
      <c r="M148" s="949">
        <v>130.0</v>
      </c>
      <c r="N148" s="949">
        <v>115.0</v>
      </c>
      <c r="O148" s="949">
        <v>50.0</v>
      </c>
      <c r="P148" s="949">
        <v>50.0</v>
      </c>
      <c r="Q148" s="949">
        <v>75.0</v>
      </c>
      <c r="R148" s="949">
        <v>186.0</v>
      </c>
      <c r="S148" s="949">
        <v>249.0</v>
      </c>
      <c r="T148" s="949">
        <v>273.0</v>
      </c>
      <c r="U148" s="949"/>
      <c r="V148" s="949"/>
      <c r="W148" s="949"/>
      <c r="X148" s="949"/>
      <c r="Y148" s="949"/>
      <c r="Z148" s="949"/>
      <c r="AA148" s="949"/>
      <c r="AB148" s="949"/>
      <c r="AC148" s="949"/>
      <c r="AD148" s="949"/>
      <c r="AE148" s="949"/>
      <c r="AF148" s="949"/>
      <c r="AG148" s="949"/>
      <c r="AH148" s="949"/>
      <c r="AI148" s="949"/>
      <c r="AJ148" s="949"/>
      <c r="AK148" s="949"/>
      <c r="AL148" s="949"/>
      <c r="AM148" s="964" t="s">
        <v>1266</v>
      </c>
      <c r="AN148" s="973" t="s">
        <v>1192</v>
      </c>
      <c r="AO148" s="965" t="s">
        <v>949</v>
      </c>
      <c r="AP148" s="931"/>
      <c r="AQ148" s="956"/>
      <c r="AR148" s="957"/>
      <c r="AS148" s="931"/>
    </row>
    <row r="149" ht="15.75" customHeight="1">
      <c r="A149" s="931"/>
      <c r="B149" s="941" t="s">
        <v>1270</v>
      </c>
      <c r="C149" s="942" t="s">
        <v>1271</v>
      </c>
      <c r="D149" s="942" t="s">
        <v>1271</v>
      </c>
      <c r="E149" s="943" t="s">
        <v>1271</v>
      </c>
      <c r="F149" s="935"/>
      <c r="G149" s="944"/>
      <c r="H149" s="944"/>
      <c r="I149" s="946" t="s">
        <v>573</v>
      </c>
      <c r="J149" s="970" t="s">
        <v>710</v>
      </c>
      <c r="K149" s="954" t="s">
        <v>158</v>
      </c>
      <c r="L149" s="949">
        <v>40.0</v>
      </c>
      <c r="M149" s="949">
        <v>30.0</v>
      </c>
      <c r="N149" s="949">
        <v>50.0</v>
      </c>
      <c r="O149" s="949">
        <v>55.0</v>
      </c>
      <c r="P149" s="949">
        <v>55.0</v>
      </c>
      <c r="Q149" s="949">
        <v>100.0</v>
      </c>
      <c r="R149" s="949">
        <v>236.0</v>
      </c>
      <c r="S149" s="949">
        <v>299.0</v>
      </c>
      <c r="T149" s="949">
        <v>328.0</v>
      </c>
      <c r="U149" s="949"/>
      <c r="V149" s="949"/>
      <c r="W149" s="949"/>
      <c r="X149" s="949"/>
      <c r="Y149" s="949"/>
      <c r="Z149" s="949"/>
      <c r="AA149" s="949"/>
      <c r="AB149" s="949"/>
      <c r="AC149" s="949"/>
      <c r="AD149" s="949"/>
      <c r="AE149" s="949"/>
      <c r="AF149" s="949"/>
      <c r="AG149" s="949"/>
      <c r="AH149" s="949"/>
      <c r="AI149" s="949"/>
      <c r="AJ149" s="949"/>
      <c r="AK149" s="949"/>
      <c r="AL149" s="949"/>
      <c r="AM149" s="953" t="s">
        <v>1272</v>
      </c>
      <c r="AN149" s="954" t="s">
        <v>861</v>
      </c>
      <c r="AO149" s="955" t="s">
        <v>1273</v>
      </c>
      <c r="AP149" s="931"/>
      <c r="AQ149" s="956"/>
      <c r="AR149" s="957"/>
      <c r="AS149" s="931"/>
    </row>
    <row r="150" ht="15.75" customHeight="1">
      <c r="A150" s="931"/>
      <c r="B150" s="941" t="s">
        <v>1274</v>
      </c>
      <c r="C150" s="942" t="str">
        <f t="shared" ref="C150:E150" si="3">C149&amp;"-hisui"</f>
        <v>voltorb-hisui</v>
      </c>
      <c r="D150" s="942" t="str">
        <f t="shared" si="3"/>
        <v>voltorb-hisui</v>
      </c>
      <c r="E150" s="943" t="str">
        <f t="shared" si="3"/>
        <v>voltorb-hisui</v>
      </c>
      <c r="F150" s="935"/>
      <c r="G150" s="944"/>
      <c r="H150" s="944"/>
      <c r="I150" s="946" t="s">
        <v>1275</v>
      </c>
      <c r="J150" s="970" t="s">
        <v>710</v>
      </c>
      <c r="K150" s="947" t="s">
        <v>708</v>
      </c>
      <c r="L150" s="949">
        <v>40.0</v>
      </c>
      <c r="M150" s="949">
        <v>30.0</v>
      </c>
      <c r="N150" s="949">
        <v>50.0</v>
      </c>
      <c r="O150" s="949">
        <v>55.0</v>
      </c>
      <c r="P150" s="949">
        <v>55.0</v>
      </c>
      <c r="Q150" s="949">
        <v>100.0</v>
      </c>
      <c r="R150" s="949">
        <v>236.0</v>
      </c>
      <c r="S150" s="949">
        <v>299.0</v>
      </c>
      <c r="T150" s="949">
        <v>328.0</v>
      </c>
      <c r="U150" s="949"/>
      <c r="V150" s="949"/>
      <c r="W150" s="949"/>
      <c r="X150" s="949"/>
      <c r="Y150" s="949"/>
      <c r="Z150" s="949"/>
      <c r="AA150" s="949"/>
      <c r="AB150" s="949"/>
      <c r="AC150" s="949"/>
      <c r="AD150" s="949"/>
      <c r="AE150" s="949"/>
      <c r="AF150" s="949"/>
      <c r="AG150" s="949"/>
      <c r="AH150" s="949"/>
      <c r="AI150" s="949"/>
      <c r="AJ150" s="949"/>
      <c r="AK150" s="949"/>
      <c r="AL150" s="949"/>
      <c r="AM150" s="953"/>
      <c r="AN150" s="954"/>
      <c r="AO150" s="955"/>
      <c r="AP150" s="931"/>
      <c r="AQ150" s="956"/>
      <c r="AR150" s="957"/>
      <c r="AS150" s="931"/>
    </row>
    <row r="151" ht="15.75" customHeight="1">
      <c r="A151" s="931"/>
      <c r="B151" s="941" t="s">
        <v>1276</v>
      </c>
      <c r="C151" s="942" t="s">
        <v>1277</v>
      </c>
      <c r="D151" s="942" t="s">
        <v>1277</v>
      </c>
      <c r="E151" s="943" t="s">
        <v>1277</v>
      </c>
      <c r="F151" s="935"/>
      <c r="G151" s="944"/>
      <c r="H151" s="944"/>
      <c r="I151" s="946" t="s">
        <v>460</v>
      </c>
      <c r="J151" s="970" t="s">
        <v>710</v>
      </c>
      <c r="K151" s="947" t="s">
        <v>708</v>
      </c>
      <c r="L151" s="949">
        <v>60.0</v>
      </c>
      <c r="M151" s="949">
        <v>50.0</v>
      </c>
      <c r="N151" s="949">
        <v>70.0</v>
      </c>
      <c r="O151" s="949">
        <v>80.0</v>
      </c>
      <c r="P151" s="949">
        <v>80.0</v>
      </c>
      <c r="Q151" s="949">
        <v>150.0</v>
      </c>
      <c r="R151" s="949">
        <v>336.0</v>
      </c>
      <c r="S151" s="949">
        <v>399.0</v>
      </c>
      <c r="T151" s="949">
        <v>438.0</v>
      </c>
      <c r="U151" s="949"/>
      <c r="V151" s="949"/>
      <c r="W151" s="949"/>
      <c r="X151" s="949"/>
      <c r="Y151" s="949"/>
      <c r="Z151" s="949"/>
      <c r="AA151" s="949"/>
      <c r="AB151" s="949"/>
      <c r="AC151" s="949"/>
      <c r="AD151" s="949"/>
      <c r="AE151" s="949"/>
      <c r="AF151" s="949"/>
      <c r="AG151" s="949"/>
      <c r="AH151" s="949"/>
      <c r="AI151" s="949"/>
      <c r="AJ151" s="949"/>
      <c r="AK151" s="949"/>
      <c r="AL151" s="949"/>
      <c r="AM151" s="953" t="s">
        <v>1272</v>
      </c>
      <c r="AN151" s="954" t="s">
        <v>861</v>
      </c>
      <c r="AO151" s="955" t="s">
        <v>1273</v>
      </c>
      <c r="AP151" s="931"/>
      <c r="AQ151" s="956"/>
      <c r="AR151" s="957"/>
      <c r="AS151" s="931"/>
    </row>
    <row r="152" ht="15.75" customHeight="1">
      <c r="A152" s="931"/>
      <c r="B152" s="941" t="s">
        <v>1278</v>
      </c>
      <c r="C152" s="942" t="str">
        <f t="shared" ref="C152:E152" si="4">C151&amp;"-hisui"</f>
        <v>electrode-hisui</v>
      </c>
      <c r="D152" s="942" t="str">
        <f t="shared" si="4"/>
        <v>electrode-hisui</v>
      </c>
      <c r="E152" s="943" t="str">
        <f t="shared" si="4"/>
        <v>electrode-hisui</v>
      </c>
      <c r="F152" s="935"/>
      <c r="G152" s="944"/>
      <c r="H152" s="944"/>
      <c r="I152" s="946" t="s">
        <v>1279</v>
      </c>
      <c r="J152" s="970" t="s">
        <v>710</v>
      </c>
      <c r="K152" s="954"/>
      <c r="L152" s="949">
        <v>60.0</v>
      </c>
      <c r="M152" s="949">
        <v>50.0</v>
      </c>
      <c r="N152" s="949">
        <v>70.0</v>
      </c>
      <c r="O152" s="949">
        <v>80.0</v>
      </c>
      <c r="P152" s="949">
        <v>80.0</v>
      </c>
      <c r="Q152" s="949">
        <v>150.0</v>
      </c>
      <c r="R152" s="949">
        <v>336.0</v>
      </c>
      <c r="S152" s="949">
        <v>399.0</v>
      </c>
      <c r="T152" s="949">
        <v>438.0</v>
      </c>
      <c r="U152" s="949"/>
      <c r="V152" s="949"/>
      <c r="W152" s="949"/>
      <c r="X152" s="949"/>
      <c r="Y152" s="949"/>
      <c r="Z152" s="949"/>
      <c r="AA152" s="949"/>
      <c r="AB152" s="949"/>
      <c r="AC152" s="949"/>
      <c r="AD152" s="949"/>
      <c r="AE152" s="949"/>
      <c r="AF152" s="949"/>
      <c r="AG152" s="949"/>
      <c r="AH152" s="949"/>
      <c r="AI152" s="949"/>
      <c r="AJ152" s="949"/>
      <c r="AK152" s="949"/>
      <c r="AL152" s="949"/>
      <c r="AM152" s="953"/>
      <c r="AN152" s="954"/>
      <c r="AO152" s="955"/>
      <c r="AP152" s="931"/>
      <c r="AQ152" s="956"/>
      <c r="AR152" s="957"/>
      <c r="AS152" s="931"/>
    </row>
    <row r="153" ht="15.75" customHeight="1">
      <c r="A153" s="931"/>
      <c r="B153" s="941" t="s">
        <v>1280</v>
      </c>
      <c r="C153" s="942" t="s">
        <v>1281</v>
      </c>
      <c r="D153" s="942" t="s">
        <v>1281</v>
      </c>
      <c r="E153" s="943" t="s">
        <v>1281</v>
      </c>
      <c r="F153" s="935"/>
      <c r="G153" s="944"/>
      <c r="H153" s="944"/>
      <c r="I153" s="959" t="s">
        <v>1282</v>
      </c>
      <c r="J153" s="947" t="s">
        <v>708</v>
      </c>
      <c r="K153" s="975" t="s">
        <v>712</v>
      </c>
      <c r="L153" s="949">
        <v>60.0</v>
      </c>
      <c r="M153" s="949">
        <v>40.0</v>
      </c>
      <c r="N153" s="949">
        <v>80.0</v>
      </c>
      <c r="O153" s="949">
        <v>60.0</v>
      </c>
      <c r="P153" s="949">
        <v>45.0</v>
      </c>
      <c r="Q153" s="949">
        <v>40.0</v>
      </c>
      <c r="R153" s="949">
        <v>116.0</v>
      </c>
      <c r="S153" s="949">
        <v>179.0</v>
      </c>
      <c r="T153" s="949">
        <v>196.0</v>
      </c>
      <c r="U153" s="949"/>
      <c r="V153" s="949"/>
      <c r="W153" s="949"/>
      <c r="X153" s="949"/>
      <c r="Y153" s="949"/>
      <c r="Z153" s="949"/>
      <c r="AA153" s="949"/>
      <c r="AB153" s="949"/>
      <c r="AC153" s="949"/>
      <c r="AD153" s="949"/>
      <c r="AE153" s="949"/>
      <c r="AF153" s="949"/>
      <c r="AG153" s="949"/>
      <c r="AH153" s="949"/>
      <c r="AI153" s="949"/>
      <c r="AJ153" s="949"/>
      <c r="AK153" s="949"/>
      <c r="AL153" s="949"/>
      <c r="AM153" s="953" t="s">
        <v>736</v>
      </c>
      <c r="AN153" s="954"/>
      <c r="AO153" s="955" t="s">
        <v>1283</v>
      </c>
      <c r="AP153" s="931"/>
      <c r="AQ153" s="956"/>
      <c r="AR153" s="957"/>
      <c r="AS153" s="931"/>
    </row>
    <row r="154" ht="15.75" customHeight="1">
      <c r="A154" s="931"/>
      <c r="B154" s="941" t="s">
        <v>1284</v>
      </c>
      <c r="C154" s="942" t="s">
        <v>1285</v>
      </c>
      <c r="D154" s="942" t="s">
        <v>1285</v>
      </c>
      <c r="E154" s="943" t="s">
        <v>1285</v>
      </c>
      <c r="F154" s="935"/>
      <c r="G154" s="944"/>
      <c r="H154" s="944"/>
      <c r="I154" s="959" t="s">
        <v>1286</v>
      </c>
      <c r="J154" s="947" t="s">
        <v>708</v>
      </c>
      <c r="K154" s="975" t="s">
        <v>712</v>
      </c>
      <c r="L154" s="949">
        <v>95.0</v>
      </c>
      <c r="M154" s="949">
        <v>95.0</v>
      </c>
      <c r="N154" s="949">
        <v>85.0</v>
      </c>
      <c r="O154" s="949">
        <v>125.0</v>
      </c>
      <c r="P154" s="949">
        <v>75.0</v>
      </c>
      <c r="Q154" s="949">
        <v>55.0</v>
      </c>
      <c r="R154" s="949">
        <v>146.0</v>
      </c>
      <c r="S154" s="949">
        <v>209.0</v>
      </c>
      <c r="T154" s="949">
        <v>229.0</v>
      </c>
      <c r="U154" s="949"/>
      <c r="V154" s="949"/>
      <c r="W154" s="949"/>
      <c r="X154" s="949"/>
      <c r="Y154" s="949"/>
      <c r="Z154" s="949"/>
      <c r="AA154" s="949"/>
      <c r="AB154" s="949"/>
      <c r="AC154" s="949"/>
      <c r="AD154" s="949"/>
      <c r="AE154" s="949"/>
      <c r="AF154" s="949"/>
      <c r="AG154" s="949"/>
      <c r="AH154" s="949"/>
      <c r="AI154" s="949"/>
      <c r="AJ154" s="949"/>
      <c r="AK154" s="949"/>
      <c r="AL154" s="949"/>
      <c r="AM154" s="953" t="s">
        <v>736</v>
      </c>
      <c r="AN154" s="954"/>
      <c r="AO154" s="955" t="s">
        <v>1283</v>
      </c>
      <c r="AP154" s="931"/>
      <c r="AQ154" s="956"/>
      <c r="AR154" s="957"/>
      <c r="AS154" s="931"/>
    </row>
    <row r="155" ht="15.75" customHeight="1">
      <c r="A155" s="931"/>
      <c r="B155" s="941" t="s">
        <v>1287</v>
      </c>
      <c r="C155" s="942" t="s">
        <v>1288</v>
      </c>
      <c r="D155" s="942" t="s">
        <v>1288</v>
      </c>
      <c r="E155" s="943" t="s">
        <v>1289</v>
      </c>
      <c r="F155" s="935"/>
      <c r="G155" s="944"/>
      <c r="H155" s="944"/>
      <c r="I155" s="959" t="s">
        <v>1290</v>
      </c>
      <c r="J155" s="947" t="s">
        <v>708</v>
      </c>
      <c r="K155" s="961" t="s">
        <v>716</v>
      </c>
      <c r="L155" s="949">
        <v>95.0</v>
      </c>
      <c r="M155" s="949">
        <v>105.0</v>
      </c>
      <c r="N155" s="949">
        <v>85.0</v>
      </c>
      <c r="O155" s="949">
        <v>125.0</v>
      </c>
      <c r="P155" s="949">
        <v>75.0</v>
      </c>
      <c r="Q155" s="949">
        <v>45.0</v>
      </c>
      <c r="R155" s="949">
        <v>126.0</v>
      </c>
      <c r="S155" s="949">
        <v>189.0</v>
      </c>
      <c r="T155" s="949">
        <v>207.0</v>
      </c>
      <c r="U155" s="949"/>
      <c r="V155" s="949"/>
      <c r="W155" s="949"/>
      <c r="X155" s="949"/>
      <c r="Y155" s="949"/>
      <c r="Z155" s="949"/>
      <c r="AA155" s="949"/>
      <c r="AB155" s="949"/>
      <c r="AC155" s="949"/>
      <c r="AD155" s="949"/>
      <c r="AE155" s="949"/>
      <c r="AF155" s="949"/>
      <c r="AG155" s="949"/>
      <c r="AH155" s="949"/>
      <c r="AI155" s="949"/>
      <c r="AJ155" s="949"/>
      <c r="AK155" s="949"/>
      <c r="AL155" s="949"/>
      <c r="AM155" s="953" t="s">
        <v>990</v>
      </c>
      <c r="AN155" s="954"/>
      <c r="AO155" s="955" t="s">
        <v>1283</v>
      </c>
      <c r="AP155" s="931"/>
      <c r="AQ155" s="956"/>
      <c r="AR155" s="957"/>
      <c r="AS155" s="931"/>
    </row>
    <row r="156" ht="15.75" customHeight="1">
      <c r="A156" s="931"/>
      <c r="B156" s="941" t="s">
        <v>1291</v>
      </c>
      <c r="C156" s="942" t="s">
        <v>1292</v>
      </c>
      <c r="D156" s="942" t="s">
        <v>1292</v>
      </c>
      <c r="E156" s="943" t="s">
        <v>1292</v>
      </c>
      <c r="F156" s="935"/>
      <c r="G156" s="944"/>
      <c r="H156" s="944"/>
      <c r="I156" s="959" t="s">
        <v>1293</v>
      </c>
      <c r="J156" s="976" t="s">
        <v>711</v>
      </c>
      <c r="K156" s="954" t="s">
        <v>158</v>
      </c>
      <c r="L156" s="949">
        <v>50.0</v>
      </c>
      <c r="M156" s="949">
        <v>50.0</v>
      </c>
      <c r="N156" s="949">
        <v>95.0</v>
      </c>
      <c r="O156" s="949">
        <v>40.0</v>
      </c>
      <c r="P156" s="949">
        <v>50.0</v>
      </c>
      <c r="Q156" s="949">
        <v>35.0</v>
      </c>
      <c r="R156" s="949">
        <v>106.0</v>
      </c>
      <c r="S156" s="949">
        <v>169.0</v>
      </c>
      <c r="T156" s="949">
        <v>185.0</v>
      </c>
      <c r="U156" s="949"/>
      <c r="V156" s="949"/>
      <c r="W156" s="949"/>
      <c r="X156" s="949"/>
      <c r="Y156" s="949"/>
      <c r="Z156" s="949"/>
      <c r="AA156" s="949"/>
      <c r="AB156" s="949"/>
      <c r="AC156" s="949"/>
      <c r="AD156" s="949"/>
      <c r="AE156" s="949"/>
      <c r="AF156" s="949"/>
      <c r="AG156" s="949"/>
      <c r="AH156" s="949"/>
      <c r="AI156" s="949"/>
      <c r="AJ156" s="949"/>
      <c r="AK156" s="949"/>
      <c r="AL156" s="949"/>
      <c r="AM156" s="953" t="s">
        <v>1077</v>
      </c>
      <c r="AN156" s="954" t="s">
        <v>862</v>
      </c>
      <c r="AO156" s="955" t="s">
        <v>1294</v>
      </c>
      <c r="AP156" s="931"/>
      <c r="AQ156" s="956"/>
      <c r="AR156" s="957"/>
      <c r="AS156" s="931"/>
    </row>
    <row r="157" ht="15.75" customHeight="1">
      <c r="A157" s="931"/>
      <c r="B157" s="941" t="s">
        <v>1295</v>
      </c>
      <c r="C157" s="942" t="s">
        <v>1296</v>
      </c>
      <c r="D157" s="942" t="s">
        <v>1296</v>
      </c>
      <c r="E157" s="943" t="s">
        <v>1296</v>
      </c>
      <c r="F157" s="935"/>
      <c r="G157" s="944"/>
      <c r="H157" s="944"/>
      <c r="I157" s="946" t="s">
        <v>1297</v>
      </c>
      <c r="J157" s="976" t="s">
        <v>711</v>
      </c>
      <c r="K157" s="954" t="s">
        <v>158</v>
      </c>
      <c r="L157" s="949">
        <v>60.0</v>
      </c>
      <c r="M157" s="949">
        <v>80.0</v>
      </c>
      <c r="N157" s="949">
        <v>110.0</v>
      </c>
      <c r="O157" s="949">
        <v>50.0</v>
      </c>
      <c r="P157" s="949">
        <v>80.0</v>
      </c>
      <c r="Q157" s="949">
        <v>45.0</v>
      </c>
      <c r="R157" s="949">
        <v>126.0</v>
      </c>
      <c r="S157" s="949">
        <v>189.0</v>
      </c>
      <c r="T157" s="949">
        <v>207.0</v>
      </c>
      <c r="U157" s="949"/>
      <c r="V157" s="949"/>
      <c r="W157" s="949"/>
      <c r="X157" s="949"/>
      <c r="Y157" s="949"/>
      <c r="Z157" s="949"/>
      <c r="AA157" s="949"/>
      <c r="AB157" s="949"/>
      <c r="AC157" s="949"/>
      <c r="AD157" s="949"/>
      <c r="AE157" s="949"/>
      <c r="AF157" s="949"/>
      <c r="AG157" s="949"/>
      <c r="AH157" s="949"/>
      <c r="AI157" s="949"/>
      <c r="AJ157" s="949"/>
      <c r="AK157" s="949"/>
      <c r="AL157" s="949"/>
      <c r="AM157" s="953" t="s">
        <v>1077</v>
      </c>
      <c r="AN157" s="954" t="s">
        <v>862</v>
      </c>
      <c r="AO157" s="955" t="s">
        <v>1294</v>
      </c>
      <c r="AP157" s="931"/>
      <c r="AQ157" s="956"/>
      <c r="AR157" s="957"/>
      <c r="AS157" s="931"/>
    </row>
    <row r="158" ht="15.75" customHeight="1">
      <c r="A158" s="931"/>
      <c r="B158" s="941" t="s">
        <v>1298</v>
      </c>
      <c r="C158" s="942" t="s">
        <v>1299</v>
      </c>
      <c r="D158" s="942" t="s">
        <v>1299</v>
      </c>
      <c r="E158" s="943" t="s">
        <v>1300</v>
      </c>
      <c r="F158" s="935"/>
      <c r="G158" s="944"/>
      <c r="H158" s="944"/>
      <c r="I158" s="946" t="s">
        <v>1301</v>
      </c>
      <c r="J158" s="958" t="s">
        <v>704</v>
      </c>
      <c r="K158" s="994" t="s">
        <v>717</v>
      </c>
      <c r="L158" s="949">
        <v>60.0</v>
      </c>
      <c r="M158" s="949">
        <v>80.0</v>
      </c>
      <c r="N158" s="949">
        <v>110.0</v>
      </c>
      <c r="O158" s="949">
        <v>50.0</v>
      </c>
      <c r="P158" s="949">
        <v>80.0</v>
      </c>
      <c r="Q158" s="949">
        <v>45.0</v>
      </c>
      <c r="R158" s="949">
        <v>126.0</v>
      </c>
      <c r="S158" s="949">
        <v>189.0</v>
      </c>
      <c r="T158" s="949">
        <v>207.0</v>
      </c>
      <c r="U158" s="949"/>
      <c r="V158" s="949"/>
      <c r="W158" s="949"/>
      <c r="X158" s="949"/>
      <c r="Y158" s="949"/>
      <c r="Z158" s="949"/>
      <c r="AA158" s="949"/>
      <c r="AB158" s="949"/>
      <c r="AC158" s="949"/>
      <c r="AD158" s="949"/>
      <c r="AE158" s="949"/>
      <c r="AF158" s="949"/>
      <c r="AG158" s="949"/>
      <c r="AH158" s="949"/>
      <c r="AI158" s="949"/>
      <c r="AJ158" s="949"/>
      <c r="AK158" s="949"/>
      <c r="AL158" s="949"/>
      <c r="AM158" s="953" t="s">
        <v>1248</v>
      </c>
      <c r="AN158" s="954" t="s">
        <v>862</v>
      </c>
      <c r="AO158" s="955" t="s">
        <v>1077</v>
      </c>
      <c r="AP158" s="931"/>
      <c r="AQ158" s="956"/>
      <c r="AR158" s="957"/>
      <c r="AS158" s="931"/>
    </row>
    <row r="159" ht="15.75" customHeight="1">
      <c r="A159" s="931"/>
      <c r="B159" s="941" t="s">
        <v>1302</v>
      </c>
      <c r="C159" s="942" t="s">
        <v>1303</v>
      </c>
      <c r="D159" s="942" t="s">
        <v>1303</v>
      </c>
      <c r="E159" s="943" t="s">
        <v>1303</v>
      </c>
      <c r="F159" s="935"/>
      <c r="G159" s="944"/>
      <c r="H159" s="944"/>
      <c r="I159" s="946" t="s">
        <v>1304</v>
      </c>
      <c r="J159" s="988" t="s">
        <v>705</v>
      </c>
      <c r="K159" s="954" t="s">
        <v>158</v>
      </c>
      <c r="L159" s="949">
        <v>50.0</v>
      </c>
      <c r="M159" s="949">
        <v>120.0</v>
      </c>
      <c r="N159" s="949">
        <v>53.0</v>
      </c>
      <c r="O159" s="949">
        <v>35.0</v>
      </c>
      <c r="P159" s="949">
        <v>110.0</v>
      </c>
      <c r="Q159" s="949">
        <v>87.0</v>
      </c>
      <c r="R159" s="949">
        <v>210.0</v>
      </c>
      <c r="S159" s="949">
        <v>273.0</v>
      </c>
      <c r="T159" s="949">
        <v>300.0</v>
      </c>
      <c r="U159" s="949"/>
      <c r="V159" s="949"/>
      <c r="W159" s="949"/>
      <c r="X159" s="949"/>
      <c r="Y159" s="949"/>
      <c r="Z159" s="949"/>
      <c r="AA159" s="949"/>
      <c r="AB159" s="949"/>
      <c r="AC159" s="949"/>
      <c r="AD159" s="949"/>
      <c r="AE159" s="949"/>
      <c r="AF159" s="949"/>
      <c r="AG159" s="949"/>
      <c r="AH159" s="949"/>
      <c r="AI159" s="949"/>
      <c r="AJ159" s="949"/>
      <c r="AK159" s="949"/>
      <c r="AL159" s="949"/>
      <c r="AM159" s="953" t="s">
        <v>1053</v>
      </c>
      <c r="AN159" s="954" t="s">
        <v>1305</v>
      </c>
      <c r="AO159" s="955" t="s">
        <v>1306</v>
      </c>
      <c r="AP159" s="931"/>
      <c r="AQ159" s="956"/>
      <c r="AR159" s="957"/>
      <c r="AS159" s="931"/>
    </row>
    <row r="160" ht="15.75" customHeight="1">
      <c r="A160" s="963"/>
      <c r="B160" s="941" t="s">
        <v>1307</v>
      </c>
      <c r="C160" s="942" t="s">
        <v>1308</v>
      </c>
      <c r="D160" s="942" t="s">
        <v>1308</v>
      </c>
      <c r="E160" s="943" t="s">
        <v>1308</v>
      </c>
      <c r="F160" s="935"/>
      <c r="G160" s="944"/>
      <c r="H160" s="944"/>
      <c r="I160" s="946" t="s">
        <v>1309</v>
      </c>
      <c r="J160" s="988" t="s">
        <v>705</v>
      </c>
      <c r="K160" s="954" t="s">
        <v>158</v>
      </c>
      <c r="L160" s="949">
        <v>50.0</v>
      </c>
      <c r="M160" s="949">
        <v>105.0</v>
      </c>
      <c r="N160" s="949">
        <v>79.0</v>
      </c>
      <c r="O160" s="949">
        <v>35.0</v>
      </c>
      <c r="P160" s="949">
        <v>110.0</v>
      </c>
      <c r="Q160" s="949">
        <v>76.0</v>
      </c>
      <c r="R160" s="949">
        <v>188.0</v>
      </c>
      <c r="S160" s="949">
        <v>251.0</v>
      </c>
      <c r="T160" s="949">
        <v>276.0</v>
      </c>
      <c r="U160" s="949"/>
      <c r="V160" s="949"/>
      <c r="W160" s="949"/>
      <c r="X160" s="949"/>
      <c r="Y160" s="949"/>
      <c r="Z160" s="949"/>
      <c r="AA160" s="949"/>
      <c r="AB160" s="949"/>
      <c r="AC160" s="949"/>
      <c r="AD160" s="949"/>
      <c r="AE160" s="949"/>
      <c r="AF160" s="949"/>
      <c r="AG160" s="949"/>
      <c r="AH160" s="949"/>
      <c r="AI160" s="949"/>
      <c r="AJ160" s="949"/>
      <c r="AK160" s="949"/>
      <c r="AL160" s="949"/>
      <c r="AM160" s="964" t="s">
        <v>815</v>
      </c>
      <c r="AN160" s="973" t="s">
        <v>1310</v>
      </c>
      <c r="AO160" s="965" t="s">
        <v>994</v>
      </c>
      <c r="AP160" s="931"/>
      <c r="AQ160" s="956"/>
      <c r="AR160" s="957"/>
      <c r="AS160" s="931"/>
    </row>
    <row r="161" ht="15.75" customHeight="1">
      <c r="A161" s="963"/>
      <c r="B161" s="941" t="s">
        <v>1311</v>
      </c>
      <c r="C161" s="971" t="s">
        <v>1312</v>
      </c>
      <c r="D161" s="971" t="s">
        <v>1312</v>
      </c>
      <c r="E161" s="966" t="s">
        <v>1312</v>
      </c>
      <c r="F161" s="935"/>
      <c r="G161" s="944"/>
      <c r="H161" s="944"/>
      <c r="I161" s="959" t="s">
        <v>1313</v>
      </c>
      <c r="J161" s="991" t="s">
        <v>703</v>
      </c>
      <c r="K161" s="973" t="s">
        <v>158</v>
      </c>
      <c r="L161" s="974">
        <v>90.0</v>
      </c>
      <c r="M161" s="974">
        <v>55.0</v>
      </c>
      <c r="N161" s="974">
        <v>75.0</v>
      </c>
      <c r="O161" s="974">
        <v>60.0</v>
      </c>
      <c r="P161" s="974">
        <v>75.0</v>
      </c>
      <c r="Q161" s="974">
        <v>30.0</v>
      </c>
      <c r="R161" s="949">
        <v>96.0</v>
      </c>
      <c r="S161" s="949">
        <v>159.0</v>
      </c>
      <c r="T161" s="949">
        <v>174.0</v>
      </c>
      <c r="U161" s="949"/>
      <c r="V161" s="949"/>
      <c r="W161" s="949"/>
      <c r="X161" s="949"/>
      <c r="Y161" s="949"/>
      <c r="Z161" s="949"/>
      <c r="AA161" s="949"/>
      <c r="AB161" s="949"/>
      <c r="AC161" s="949"/>
      <c r="AD161" s="949"/>
      <c r="AE161" s="949"/>
      <c r="AF161" s="949"/>
      <c r="AG161" s="949"/>
      <c r="AH161" s="949"/>
      <c r="AI161" s="949"/>
      <c r="AJ161" s="949"/>
      <c r="AK161" s="949"/>
      <c r="AL161" s="949"/>
      <c r="AM161" s="964" t="s">
        <v>1176</v>
      </c>
      <c r="AN161" s="954" t="s">
        <v>1175</v>
      </c>
      <c r="AO161" s="965" t="s">
        <v>1061</v>
      </c>
      <c r="AP161" s="931"/>
      <c r="AQ161" s="956"/>
      <c r="AR161" s="957"/>
      <c r="AS161" s="931"/>
    </row>
    <row r="162" ht="15.75" customHeight="1">
      <c r="A162" s="963"/>
      <c r="B162" s="941" t="s">
        <v>1314</v>
      </c>
      <c r="C162" s="971" t="s">
        <v>1315</v>
      </c>
      <c r="D162" s="971" t="s">
        <v>1315</v>
      </c>
      <c r="E162" s="966" t="s">
        <v>1315</v>
      </c>
      <c r="F162" s="935"/>
      <c r="G162" s="944"/>
      <c r="H162" s="944"/>
      <c r="I162" s="959" t="s">
        <v>1316</v>
      </c>
      <c r="J162" s="983" t="s">
        <v>709</v>
      </c>
      <c r="K162" s="973" t="s">
        <v>158</v>
      </c>
      <c r="L162" s="974">
        <v>40.0</v>
      </c>
      <c r="M162" s="974">
        <v>65.0</v>
      </c>
      <c r="N162" s="974">
        <v>95.0</v>
      </c>
      <c r="O162" s="974">
        <v>60.0</v>
      </c>
      <c r="P162" s="974">
        <v>45.0</v>
      </c>
      <c r="Q162" s="974">
        <v>35.0</v>
      </c>
      <c r="R162" s="949">
        <v>106.0</v>
      </c>
      <c r="S162" s="949">
        <v>169.0</v>
      </c>
      <c r="T162" s="949">
        <v>185.0</v>
      </c>
      <c r="U162" s="949"/>
      <c r="V162" s="949"/>
      <c r="W162" s="949"/>
      <c r="X162" s="949"/>
      <c r="Y162" s="949"/>
      <c r="Z162" s="949"/>
      <c r="AA162" s="949"/>
      <c r="AB162" s="949"/>
      <c r="AC162" s="949"/>
      <c r="AD162" s="949"/>
      <c r="AE162" s="949"/>
      <c r="AF162" s="949"/>
      <c r="AG162" s="949"/>
      <c r="AH162" s="949"/>
      <c r="AI162" s="949"/>
      <c r="AJ162" s="949"/>
      <c r="AK162" s="949"/>
      <c r="AL162" s="949"/>
      <c r="AM162" s="964" t="s">
        <v>1244</v>
      </c>
      <c r="AN162" s="964" t="s">
        <v>1317</v>
      </c>
      <c r="AO162" s="965" t="s">
        <v>1005</v>
      </c>
      <c r="AP162" s="931"/>
      <c r="AQ162" s="956"/>
      <c r="AR162" s="957"/>
      <c r="AS162" s="931"/>
    </row>
    <row r="163" ht="15.75" customHeight="1">
      <c r="A163" s="963"/>
      <c r="B163" s="941" t="s">
        <v>1318</v>
      </c>
      <c r="C163" s="971" t="s">
        <v>1319</v>
      </c>
      <c r="D163" s="971" t="s">
        <v>1319</v>
      </c>
      <c r="E163" s="966" t="s">
        <v>1319</v>
      </c>
      <c r="F163" s="935"/>
      <c r="G163" s="944"/>
      <c r="H163" s="944"/>
      <c r="I163" s="959" t="s">
        <v>1320</v>
      </c>
      <c r="J163" s="983" t="s">
        <v>709</v>
      </c>
      <c r="K163" s="973" t="s">
        <v>158</v>
      </c>
      <c r="L163" s="974">
        <v>65.0</v>
      </c>
      <c r="M163" s="974">
        <v>90.0</v>
      </c>
      <c r="N163" s="974">
        <v>120.0</v>
      </c>
      <c r="O163" s="974">
        <v>85.0</v>
      </c>
      <c r="P163" s="974">
        <v>70.0</v>
      </c>
      <c r="Q163" s="974">
        <v>60.0</v>
      </c>
      <c r="R163" s="949">
        <v>156.0</v>
      </c>
      <c r="S163" s="949">
        <v>219.0</v>
      </c>
      <c r="T163" s="949">
        <v>240.0</v>
      </c>
      <c r="U163" s="949"/>
      <c r="V163" s="949"/>
      <c r="W163" s="949"/>
      <c r="X163" s="949"/>
      <c r="Y163" s="949"/>
      <c r="Z163" s="949"/>
      <c r="AA163" s="949"/>
      <c r="AB163" s="949"/>
      <c r="AC163" s="949"/>
      <c r="AD163" s="949"/>
      <c r="AE163" s="949"/>
      <c r="AF163" s="949"/>
      <c r="AG163" s="949"/>
      <c r="AH163" s="949"/>
      <c r="AI163" s="949"/>
      <c r="AJ163" s="949"/>
      <c r="AK163" s="949"/>
      <c r="AL163" s="949"/>
      <c r="AM163" s="964" t="s">
        <v>1244</v>
      </c>
      <c r="AN163" s="964" t="s">
        <v>1317</v>
      </c>
      <c r="AO163" s="965" t="s">
        <v>1005</v>
      </c>
      <c r="AP163" s="931"/>
      <c r="AQ163" s="956"/>
      <c r="AR163" s="957"/>
      <c r="AS163" s="931"/>
    </row>
    <row r="164" ht="15.75" customHeight="1">
      <c r="A164" s="931"/>
      <c r="B164" s="941" t="s">
        <v>1321</v>
      </c>
      <c r="C164" s="942" t="s">
        <v>1322</v>
      </c>
      <c r="D164" s="942" t="s">
        <v>1322</v>
      </c>
      <c r="E164" s="943" t="s">
        <v>1323</v>
      </c>
      <c r="F164" s="935"/>
      <c r="G164" s="944"/>
      <c r="H164" s="944"/>
      <c r="I164" s="946" t="s">
        <v>1324</v>
      </c>
      <c r="J164" s="948" t="s">
        <v>709</v>
      </c>
      <c r="K164" s="980" t="s">
        <v>720</v>
      </c>
      <c r="L164" s="949">
        <v>65.0</v>
      </c>
      <c r="M164" s="949">
        <v>90.0</v>
      </c>
      <c r="N164" s="949">
        <v>120.0</v>
      </c>
      <c r="O164" s="949">
        <v>85.0</v>
      </c>
      <c r="P164" s="949">
        <v>70.0</v>
      </c>
      <c r="Q164" s="949">
        <v>60.0</v>
      </c>
      <c r="R164" s="949">
        <v>156.0</v>
      </c>
      <c r="S164" s="949">
        <v>219.0</v>
      </c>
      <c r="T164" s="949">
        <v>240.0</v>
      </c>
      <c r="U164" s="949"/>
      <c r="V164" s="949"/>
      <c r="W164" s="949"/>
      <c r="X164" s="949"/>
      <c r="Y164" s="949"/>
      <c r="Z164" s="949"/>
      <c r="AA164" s="949"/>
      <c r="AB164" s="949"/>
      <c r="AC164" s="949"/>
      <c r="AD164" s="949"/>
      <c r="AE164" s="949"/>
      <c r="AF164" s="949"/>
      <c r="AG164" s="949"/>
      <c r="AH164" s="949"/>
      <c r="AI164" s="949"/>
      <c r="AJ164" s="949"/>
      <c r="AK164" s="949"/>
      <c r="AL164" s="949"/>
      <c r="AM164" s="953" t="s">
        <v>1244</v>
      </c>
      <c r="AN164" s="953" t="s">
        <v>1317</v>
      </c>
      <c r="AO164" s="955" t="s">
        <v>1325</v>
      </c>
      <c r="AP164" s="931"/>
      <c r="AQ164" s="956"/>
      <c r="AR164" s="957"/>
      <c r="AS164" s="931"/>
    </row>
    <row r="165" ht="15.75" customHeight="1">
      <c r="A165" s="931"/>
      <c r="B165" s="941" t="s">
        <v>1326</v>
      </c>
      <c r="C165" s="942" t="s">
        <v>1327</v>
      </c>
      <c r="D165" s="942" t="s">
        <v>1327</v>
      </c>
      <c r="E165" s="943" t="s">
        <v>1327</v>
      </c>
      <c r="F165" s="935"/>
      <c r="G165" s="944"/>
      <c r="H165" s="944"/>
      <c r="I165" s="946" t="s">
        <v>1328</v>
      </c>
      <c r="J165" s="976" t="s">
        <v>711</v>
      </c>
      <c r="K165" s="989" t="s">
        <v>713</v>
      </c>
      <c r="L165" s="949">
        <v>80.0</v>
      </c>
      <c r="M165" s="949">
        <v>85.0</v>
      </c>
      <c r="N165" s="949">
        <v>95.0</v>
      </c>
      <c r="O165" s="949">
        <v>30.0</v>
      </c>
      <c r="P165" s="949">
        <v>30.0</v>
      </c>
      <c r="Q165" s="949">
        <v>25.0</v>
      </c>
      <c r="R165" s="949">
        <v>86.0</v>
      </c>
      <c r="S165" s="949">
        <v>149.0</v>
      </c>
      <c r="T165" s="949">
        <v>163.0</v>
      </c>
      <c r="U165" s="949"/>
      <c r="V165" s="949"/>
      <c r="W165" s="949"/>
      <c r="X165" s="949"/>
      <c r="Y165" s="949"/>
      <c r="Z165" s="949"/>
      <c r="AA165" s="949"/>
      <c r="AB165" s="949"/>
      <c r="AC165" s="949"/>
      <c r="AD165" s="949"/>
      <c r="AE165" s="949"/>
      <c r="AF165" s="949"/>
      <c r="AG165" s="949"/>
      <c r="AH165" s="949"/>
      <c r="AI165" s="949"/>
      <c r="AJ165" s="949"/>
      <c r="AK165" s="949"/>
      <c r="AL165" s="949"/>
      <c r="AM165" s="953" t="s">
        <v>862</v>
      </c>
      <c r="AN165" s="954" t="s">
        <v>1077</v>
      </c>
      <c r="AO165" s="955" t="s">
        <v>1305</v>
      </c>
      <c r="AP165" s="931"/>
      <c r="AQ165" s="956"/>
      <c r="AR165" s="957"/>
      <c r="AS165" s="931"/>
    </row>
    <row r="166" ht="15.75" customHeight="1">
      <c r="A166" s="963"/>
      <c r="B166" s="941" t="s">
        <v>1329</v>
      </c>
      <c r="C166" s="971" t="s">
        <v>1330</v>
      </c>
      <c r="D166" s="971" t="s">
        <v>1330</v>
      </c>
      <c r="E166" s="966" t="s">
        <v>1330</v>
      </c>
      <c r="F166" s="935"/>
      <c r="G166" s="944"/>
      <c r="H166" s="944"/>
      <c r="I166" s="959" t="s">
        <v>1331</v>
      </c>
      <c r="J166" s="997" t="s">
        <v>711</v>
      </c>
      <c r="K166" s="996" t="s">
        <v>713</v>
      </c>
      <c r="L166" s="974">
        <v>105.0</v>
      </c>
      <c r="M166" s="974">
        <v>130.0</v>
      </c>
      <c r="N166" s="974">
        <v>120.0</v>
      </c>
      <c r="O166" s="974">
        <v>45.0</v>
      </c>
      <c r="P166" s="974">
        <v>45.0</v>
      </c>
      <c r="Q166" s="974">
        <v>40.0</v>
      </c>
      <c r="R166" s="949">
        <v>116.0</v>
      </c>
      <c r="S166" s="949">
        <v>179.0</v>
      </c>
      <c r="T166" s="949">
        <v>196.0</v>
      </c>
      <c r="U166" s="949"/>
      <c r="V166" s="949"/>
      <c r="W166" s="949"/>
      <c r="X166" s="949"/>
      <c r="Y166" s="949"/>
      <c r="Z166" s="949"/>
      <c r="AA166" s="949"/>
      <c r="AB166" s="949"/>
      <c r="AC166" s="949"/>
      <c r="AD166" s="949"/>
      <c r="AE166" s="949"/>
      <c r="AF166" s="949"/>
      <c r="AG166" s="949"/>
      <c r="AH166" s="949"/>
      <c r="AI166" s="949"/>
      <c r="AJ166" s="949"/>
      <c r="AK166" s="949"/>
      <c r="AL166" s="949"/>
      <c r="AM166" s="964" t="s">
        <v>862</v>
      </c>
      <c r="AN166" s="954" t="s">
        <v>1077</v>
      </c>
      <c r="AO166" s="965" t="s">
        <v>1305</v>
      </c>
      <c r="AP166" s="931"/>
      <c r="AQ166" s="956"/>
      <c r="AR166" s="957"/>
      <c r="AS166" s="931"/>
    </row>
    <row r="167" ht="15.75" customHeight="1">
      <c r="A167" s="931"/>
      <c r="B167" s="941" t="s">
        <v>1332</v>
      </c>
      <c r="C167" s="942" t="s">
        <v>250</v>
      </c>
      <c r="D167" s="942" t="s">
        <v>250</v>
      </c>
      <c r="E167" s="943" t="s">
        <v>250</v>
      </c>
      <c r="F167" s="935"/>
      <c r="G167" s="944"/>
      <c r="H167" s="944"/>
      <c r="I167" s="946" t="s">
        <v>118</v>
      </c>
      <c r="J167" s="968" t="s">
        <v>703</v>
      </c>
      <c r="K167" s="954" t="s">
        <v>158</v>
      </c>
      <c r="L167" s="949">
        <v>250.0</v>
      </c>
      <c r="M167" s="949">
        <v>5.0</v>
      </c>
      <c r="N167" s="949">
        <v>5.0</v>
      </c>
      <c r="O167" s="949">
        <v>35.0</v>
      </c>
      <c r="P167" s="949">
        <v>105.0</v>
      </c>
      <c r="Q167" s="949">
        <v>50.0</v>
      </c>
      <c r="R167" s="949">
        <v>136.0</v>
      </c>
      <c r="S167" s="949">
        <v>199.0</v>
      </c>
      <c r="T167" s="949">
        <v>218.0</v>
      </c>
      <c r="U167" s="949"/>
      <c r="V167" s="949"/>
      <c r="W167" s="949"/>
      <c r="X167" s="949"/>
      <c r="Y167" s="949"/>
      <c r="Z167" s="949"/>
      <c r="AA167" s="949"/>
      <c r="AB167" s="949"/>
      <c r="AC167" s="949"/>
      <c r="AD167" s="949"/>
      <c r="AE167" s="949"/>
      <c r="AF167" s="949"/>
      <c r="AG167" s="949"/>
      <c r="AH167" s="949"/>
      <c r="AI167" s="949"/>
      <c r="AJ167" s="949"/>
      <c r="AK167" s="949"/>
      <c r="AL167" s="949"/>
      <c r="AM167" s="953" t="s">
        <v>1333</v>
      </c>
      <c r="AN167" s="954" t="s">
        <v>1334</v>
      </c>
      <c r="AO167" s="955" t="s">
        <v>1335</v>
      </c>
      <c r="AP167" s="931"/>
      <c r="AQ167" s="956"/>
      <c r="AR167" s="957"/>
      <c r="AS167" s="931"/>
    </row>
    <row r="168" ht="15.75" customHeight="1">
      <c r="A168" s="931"/>
      <c r="B168" s="941" t="s">
        <v>1336</v>
      </c>
      <c r="C168" s="942" t="s">
        <v>1337</v>
      </c>
      <c r="D168" s="942" t="s">
        <v>1337</v>
      </c>
      <c r="E168" s="943" t="s">
        <v>1337</v>
      </c>
      <c r="F168" s="935"/>
      <c r="G168" s="944"/>
      <c r="H168" s="944"/>
      <c r="I168" s="959" t="s">
        <v>1338</v>
      </c>
      <c r="J168" s="947" t="s">
        <v>708</v>
      </c>
      <c r="K168" s="954" t="s">
        <v>158</v>
      </c>
      <c r="L168" s="949">
        <v>65.0</v>
      </c>
      <c r="M168" s="949">
        <v>55.0</v>
      </c>
      <c r="N168" s="949">
        <v>115.0</v>
      </c>
      <c r="O168" s="949">
        <v>100.0</v>
      </c>
      <c r="P168" s="949">
        <v>40.0</v>
      </c>
      <c r="Q168" s="949">
        <v>60.0</v>
      </c>
      <c r="R168" s="949">
        <v>156.0</v>
      </c>
      <c r="S168" s="949">
        <v>219.0</v>
      </c>
      <c r="T168" s="949">
        <v>240.0</v>
      </c>
      <c r="U168" s="949"/>
      <c r="V168" s="949"/>
      <c r="W168" s="949"/>
      <c r="X168" s="949"/>
      <c r="Y168" s="949"/>
      <c r="Z168" s="949"/>
      <c r="AA168" s="949"/>
      <c r="AB168" s="949"/>
      <c r="AC168" s="949"/>
      <c r="AD168" s="949"/>
      <c r="AE168" s="949"/>
      <c r="AF168" s="949"/>
      <c r="AG168" s="949"/>
      <c r="AH168" s="949"/>
      <c r="AI168" s="949"/>
      <c r="AJ168" s="949"/>
      <c r="AK168" s="949"/>
      <c r="AL168" s="949"/>
      <c r="AM168" s="953" t="s">
        <v>736</v>
      </c>
      <c r="AN168" s="954" t="s">
        <v>1339</v>
      </c>
      <c r="AO168" s="955" t="s">
        <v>1177</v>
      </c>
      <c r="AP168" s="931"/>
      <c r="AQ168" s="956"/>
      <c r="AR168" s="957"/>
      <c r="AS168" s="931"/>
    </row>
    <row r="169" ht="15.75" customHeight="1">
      <c r="A169" s="931"/>
      <c r="B169" s="941" t="s">
        <v>1340</v>
      </c>
      <c r="C169" s="942" t="s">
        <v>1341</v>
      </c>
      <c r="D169" s="942" t="s">
        <v>1341</v>
      </c>
      <c r="E169" s="943" t="s">
        <v>1341</v>
      </c>
      <c r="F169" s="935"/>
      <c r="G169" s="944"/>
      <c r="H169" s="944"/>
      <c r="I169" s="946" t="s">
        <v>1342</v>
      </c>
      <c r="J169" s="968" t="s">
        <v>703</v>
      </c>
      <c r="K169" s="954" t="s">
        <v>158</v>
      </c>
      <c r="L169" s="949">
        <v>105.0</v>
      </c>
      <c r="M169" s="949">
        <v>95.0</v>
      </c>
      <c r="N169" s="949">
        <v>80.0</v>
      </c>
      <c r="O169" s="949">
        <v>40.0</v>
      </c>
      <c r="P169" s="949">
        <v>80.0</v>
      </c>
      <c r="Q169" s="949">
        <v>90.0</v>
      </c>
      <c r="R169" s="949">
        <v>216.0</v>
      </c>
      <c r="S169" s="949">
        <v>279.0</v>
      </c>
      <c r="T169" s="949">
        <v>306.0</v>
      </c>
      <c r="U169" s="949"/>
      <c r="V169" s="949"/>
      <c r="W169" s="949"/>
      <c r="X169" s="949"/>
      <c r="Y169" s="949"/>
      <c r="Z169" s="949"/>
      <c r="AA169" s="949"/>
      <c r="AB169" s="949"/>
      <c r="AC169" s="949"/>
      <c r="AD169" s="949"/>
      <c r="AE169" s="949"/>
      <c r="AF169" s="949"/>
      <c r="AG169" s="949"/>
      <c r="AH169" s="949"/>
      <c r="AI169" s="949"/>
      <c r="AJ169" s="949"/>
      <c r="AK169" s="949"/>
      <c r="AL169" s="949"/>
      <c r="AM169" s="953" t="s">
        <v>1209</v>
      </c>
      <c r="AN169" s="954" t="s">
        <v>1205</v>
      </c>
      <c r="AO169" s="955" t="s">
        <v>994</v>
      </c>
      <c r="AP169" s="931"/>
      <c r="AQ169" s="956"/>
      <c r="AR169" s="957"/>
      <c r="AS169" s="931"/>
    </row>
    <row r="170" ht="15.75" customHeight="1">
      <c r="A170" s="931"/>
      <c r="B170" s="941" t="s">
        <v>1343</v>
      </c>
      <c r="C170" s="942" t="s">
        <v>1344</v>
      </c>
      <c r="D170" s="942" t="s">
        <v>1344</v>
      </c>
      <c r="E170" s="943" t="s">
        <v>1344</v>
      </c>
      <c r="F170" s="935"/>
      <c r="G170" s="944"/>
      <c r="H170" s="944"/>
      <c r="I170" s="946" t="s">
        <v>1345</v>
      </c>
      <c r="J170" s="968" t="s">
        <v>703</v>
      </c>
      <c r="K170" s="954" t="s">
        <v>158</v>
      </c>
      <c r="L170" s="949">
        <v>105.0</v>
      </c>
      <c r="M170" s="949">
        <v>125.0</v>
      </c>
      <c r="N170" s="949">
        <v>100.0</v>
      </c>
      <c r="O170" s="949">
        <v>60.0</v>
      </c>
      <c r="P170" s="949">
        <v>100.0</v>
      </c>
      <c r="Q170" s="949">
        <v>100.0</v>
      </c>
      <c r="R170" s="949">
        <v>236.0</v>
      </c>
      <c r="S170" s="949">
        <v>299.0</v>
      </c>
      <c r="T170" s="949">
        <v>328.0</v>
      </c>
      <c r="U170" s="949"/>
      <c r="V170" s="949"/>
      <c r="W170" s="949"/>
      <c r="X170" s="949"/>
      <c r="Y170" s="949"/>
      <c r="Z170" s="949"/>
      <c r="AA170" s="949"/>
      <c r="AB170" s="949"/>
      <c r="AC170" s="949"/>
      <c r="AD170" s="949"/>
      <c r="AE170" s="949"/>
      <c r="AF170" s="949"/>
      <c r="AG170" s="949"/>
      <c r="AH170" s="949"/>
      <c r="AI170" s="949"/>
      <c r="AJ170" s="949"/>
      <c r="AK170" s="949"/>
      <c r="AL170" s="949"/>
      <c r="AM170" s="953" t="s">
        <v>1205</v>
      </c>
      <c r="AN170" s="954"/>
      <c r="AO170" s="955"/>
      <c r="AP170" s="931"/>
      <c r="AQ170" s="956"/>
      <c r="AR170" s="957"/>
      <c r="AS170" s="931"/>
    </row>
    <row r="171" ht="15.75" customHeight="1">
      <c r="A171" s="931"/>
      <c r="B171" s="941" t="s">
        <v>1346</v>
      </c>
      <c r="C171" s="942" t="s">
        <v>1347</v>
      </c>
      <c r="D171" s="942" t="s">
        <v>1347</v>
      </c>
      <c r="E171" s="943" t="s">
        <v>1347</v>
      </c>
      <c r="F171" s="935"/>
      <c r="G171" s="944"/>
      <c r="H171" s="944"/>
      <c r="I171" s="946" t="s">
        <v>1348</v>
      </c>
      <c r="J171" s="962" t="s">
        <v>706</v>
      </c>
      <c r="K171" s="954" t="s">
        <v>158</v>
      </c>
      <c r="L171" s="949">
        <v>30.0</v>
      </c>
      <c r="M171" s="949">
        <v>40.0</v>
      </c>
      <c r="N171" s="949">
        <v>70.0</v>
      </c>
      <c r="O171" s="949">
        <v>70.0</v>
      </c>
      <c r="P171" s="949">
        <v>25.0</v>
      </c>
      <c r="Q171" s="949">
        <v>60.0</v>
      </c>
      <c r="R171" s="949">
        <v>156.0</v>
      </c>
      <c r="S171" s="949">
        <v>219.0</v>
      </c>
      <c r="T171" s="949">
        <v>240.0</v>
      </c>
      <c r="U171" s="949"/>
      <c r="V171" s="949"/>
      <c r="W171" s="949"/>
      <c r="X171" s="949"/>
      <c r="Y171" s="949"/>
      <c r="Z171" s="949"/>
      <c r="AA171" s="949"/>
      <c r="AB171" s="949"/>
      <c r="AC171" s="949"/>
      <c r="AD171" s="949"/>
      <c r="AE171" s="949"/>
      <c r="AF171" s="949"/>
      <c r="AG171" s="949"/>
      <c r="AH171" s="949"/>
      <c r="AI171" s="949"/>
      <c r="AJ171" s="949"/>
      <c r="AK171" s="949"/>
      <c r="AL171" s="949"/>
      <c r="AM171" s="953" t="s">
        <v>1062</v>
      </c>
      <c r="AN171" s="954" t="s">
        <v>807</v>
      </c>
      <c r="AO171" s="955" t="s">
        <v>1014</v>
      </c>
      <c r="AP171" s="931"/>
      <c r="AQ171" s="956"/>
      <c r="AR171" s="957"/>
      <c r="AS171" s="931"/>
    </row>
    <row r="172" ht="15.75" customHeight="1">
      <c r="A172" s="931"/>
      <c r="B172" s="941" t="s">
        <v>1349</v>
      </c>
      <c r="C172" s="942" t="s">
        <v>1350</v>
      </c>
      <c r="D172" s="942" t="s">
        <v>1350</v>
      </c>
      <c r="E172" s="943" t="s">
        <v>1350</v>
      </c>
      <c r="F172" s="935"/>
      <c r="G172" s="944"/>
      <c r="H172" s="944"/>
      <c r="I172" s="959" t="s">
        <v>1351</v>
      </c>
      <c r="J172" s="962" t="s">
        <v>706</v>
      </c>
      <c r="K172" s="954" t="s">
        <v>158</v>
      </c>
      <c r="L172" s="949">
        <v>55.0</v>
      </c>
      <c r="M172" s="949">
        <v>65.0</v>
      </c>
      <c r="N172" s="949">
        <v>95.0</v>
      </c>
      <c r="O172" s="949">
        <v>95.0</v>
      </c>
      <c r="P172" s="949">
        <v>45.0</v>
      </c>
      <c r="Q172" s="949">
        <v>85.0</v>
      </c>
      <c r="R172" s="949">
        <v>206.0</v>
      </c>
      <c r="S172" s="949">
        <v>269.0</v>
      </c>
      <c r="T172" s="949">
        <v>295.0</v>
      </c>
      <c r="U172" s="949"/>
      <c r="V172" s="949"/>
      <c r="W172" s="949"/>
      <c r="X172" s="949"/>
      <c r="Y172" s="949"/>
      <c r="Z172" s="949"/>
      <c r="AA172" s="949"/>
      <c r="AB172" s="949"/>
      <c r="AC172" s="949"/>
      <c r="AD172" s="949"/>
      <c r="AE172" s="949"/>
      <c r="AF172" s="949"/>
      <c r="AG172" s="949"/>
      <c r="AH172" s="949"/>
      <c r="AI172" s="949"/>
      <c r="AJ172" s="949"/>
      <c r="AK172" s="949"/>
      <c r="AL172" s="949"/>
      <c r="AM172" s="953" t="s">
        <v>942</v>
      </c>
      <c r="AN172" s="954" t="s">
        <v>807</v>
      </c>
      <c r="AO172" s="955" t="s">
        <v>1014</v>
      </c>
      <c r="AP172" s="931"/>
      <c r="AQ172" s="956"/>
      <c r="AR172" s="957"/>
      <c r="AS172" s="931"/>
    </row>
    <row r="173" ht="15.75" customHeight="1">
      <c r="A173" s="931"/>
      <c r="B173" s="941" t="s">
        <v>1352</v>
      </c>
      <c r="C173" s="942" t="s">
        <v>1353</v>
      </c>
      <c r="D173" s="942" t="s">
        <v>1353</v>
      </c>
      <c r="E173" s="943" t="s">
        <v>1353</v>
      </c>
      <c r="F173" s="935"/>
      <c r="G173" s="944"/>
      <c r="H173" s="944"/>
      <c r="I173" s="959" t="s">
        <v>1354</v>
      </c>
      <c r="J173" s="962" t="s">
        <v>706</v>
      </c>
      <c r="K173" s="954" t="s">
        <v>158</v>
      </c>
      <c r="L173" s="949">
        <v>45.0</v>
      </c>
      <c r="M173" s="949">
        <v>67.0</v>
      </c>
      <c r="N173" s="949">
        <v>60.0</v>
      </c>
      <c r="O173" s="949">
        <v>35.0</v>
      </c>
      <c r="P173" s="949">
        <v>50.0</v>
      </c>
      <c r="Q173" s="949">
        <v>63.0</v>
      </c>
      <c r="R173" s="949">
        <v>162.0</v>
      </c>
      <c r="S173" s="949">
        <v>225.0</v>
      </c>
      <c r="T173" s="949">
        <v>247.0</v>
      </c>
      <c r="U173" s="949"/>
      <c r="V173" s="949"/>
      <c r="W173" s="949"/>
      <c r="X173" s="949"/>
      <c r="Y173" s="949"/>
      <c r="Z173" s="949"/>
      <c r="AA173" s="949"/>
      <c r="AB173" s="949"/>
      <c r="AC173" s="949"/>
      <c r="AD173" s="949"/>
      <c r="AE173" s="949"/>
      <c r="AF173" s="949"/>
      <c r="AG173" s="949"/>
      <c r="AH173" s="949"/>
      <c r="AI173" s="949"/>
      <c r="AJ173" s="949"/>
      <c r="AK173" s="949"/>
      <c r="AL173" s="949"/>
      <c r="AM173" s="953" t="s">
        <v>1062</v>
      </c>
      <c r="AN173" s="954" t="s">
        <v>1355</v>
      </c>
      <c r="AO173" s="955" t="s">
        <v>862</v>
      </c>
      <c r="AP173" s="931"/>
      <c r="AQ173" s="956"/>
      <c r="AR173" s="957"/>
      <c r="AS173" s="931"/>
    </row>
    <row r="174" ht="15.75" customHeight="1">
      <c r="A174" s="931"/>
      <c r="B174" s="941" t="s">
        <v>1356</v>
      </c>
      <c r="C174" s="942" t="s">
        <v>1357</v>
      </c>
      <c r="D174" s="942" t="s">
        <v>1357</v>
      </c>
      <c r="E174" s="943" t="s">
        <v>1357</v>
      </c>
      <c r="F174" s="935"/>
      <c r="G174" s="944"/>
      <c r="H174" s="944"/>
      <c r="I174" s="946" t="s">
        <v>1358</v>
      </c>
      <c r="J174" s="962" t="s">
        <v>706</v>
      </c>
      <c r="K174" s="954" t="s">
        <v>158</v>
      </c>
      <c r="L174" s="949">
        <v>80.0</v>
      </c>
      <c r="M174" s="949">
        <v>92.0</v>
      </c>
      <c r="N174" s="949">
        <v>65.0</v>
      </c>
      <c r="O174" s="949">
        <v>65.0</v>
      </c>
      <c r="P174" s="949">
        <v>80.0</v>
      </c>
      <c r="Q174" s="949">
        <v>68.0</v>
      </c>
      <c r="R174" s="949">
        <v>172.0</v>
      </c>
      <c r="S174" s="949">
        <v>235.0</v>
      </c>
      <c r="T174" s="949">
        <v>258.0</v>
      </c>
      <c r="U174" s="949"/>
      <c r="V174" s="949"/>
      <c r="W174" s="949"/>
      <c r="X174" s="949"/>
      <c r="Y174" s="949"/>
      <c r="Z174" s="949"/>
      <c r="AA174" s="949"/>
      <c r="AB174" s="949"/>
      <c r="AC174" s="949"/>
      <c r="AD174" s="949"/>
      <c r="AE174" s="949"/>
      <c r="AF174" s="949"/>
      <c r="AG174" s="949"/>
      <c r="AH174" s="949"/>
      <c r="AI174" s="949"/>
      <c r="AJ174" s="949"/>
      <c r="AK174" s="949"/>
      <c r="AL174" s="949"/>
      <c r="AM174" s="953" t="s">
        <v>1062</v>
      </c>
      <c r="AN174" s="954" t="s">
        <v>1355</v>
      </c>
      <c r="AO174" s="955" t="s">
        <v>862</v>
      </c>
      <c r="AP174" s="931"/>
      <c r="AQ174" s="956"/>
      <c r="AR174" s="957"/>
      <c r="AS174" s="931"/>
    </row>
    <row r="175" ht="15.75" customHeight="1">
      <c r="A175" s="931"/>
      <c r="B175" s="941" t="s">
        <v>1359</v>
      </c>
      <c r="C175" s="942" t="s">
        <v>1360</v>
      </c>
      <c r="D175" s="942" t="s">
        <v>1360</v>
      </c>
      <c r="E175" s="943" t="s">
        <v>1360</v>
      </c>
      <c r="F175" s="935"/>
      <c r="G175" s="944"/>
      <c r="H175" s="944"/>
      <c r="I175" s="946" t="s">
        <v>1361</v>
      </c>
      <c r="J175" s="962" t="s">
        <v>706</v>
      </c>
      <c r="K175" s="954" t="s">
        <v>158</v>
      </c>
      <c r="L175" s="949">
        <v>30.0</v>
      </c>
      <c r="M175" s="949">
        <v>45.0</v>
      </c>
      <c r="N175" s="949">
        <v>55.0</v>
      </c>
      <c r="O175" s="949">
        <v>70.0</v>
      </c>
      <c r="P175" s="949">
        <v>55.0</v>
      </c>
      <c r="Q175" s="949">
        <v>85.0</v>
      </c>
      <c r="R175" s="949">
        <v>206.0</v>
      </c>
      <c r="S175" s="949">
        <v>269.0</v>
      </c>
      <c r="T175" s="949">
        <v>295.0</v>
      </c>
      <c r="U175" s="949"/>
      <c r="V175" s="949"/>
      <c r="W175" s="949"/>
      <c r="X175" s="949"/>
      <c r="Y175" s="949"/>
      <c r="Z175" s="949"/>
      <c r="AA175" s="949"/>
      <c r="AB175" s="949"/>
      <c r="AC175" s="949"/>
      <c r="AD175" s="949"/>
      <c r="AE175" s="949"/>
      <c r="AF175" s="949"/>
      <c r="AG175" s="949"/>
      <c r="AH175" s="949"/>
      <c r="AI175" s="949"/>
      <c r="AJ175" s="949"/>
      <c r="AK175" s="949"/>
      <c r="AL175" s="949"/>
      <c r="AM175" s="953" t="s">
        <v>1362</v>
      </c>
      <c r="AN175" s="954" t="s">
        <v>1333</v>
      </c>
      <c r="AO175" s="955" t="s">
        <v>1195</v>
      </c>
      <c r="AP175" s="931"/>
      <c r="AQ175" s="956"/>
      <c r="AR175" s="957"/>
      <c r="AS175" s="931"/>
    </row>
    <row r="176" ht="15.75" customHeight="1">
      <c r="A176" s="931"/>
      <c r="B176" s="941" t="s">
        <v>1363</v>
      </c>
      <c r="C176" s="942" t="s">
        <v>1364</v>
      </c>
      <c r="D176" s="942" t="s">
        <v>1364</v>
      </c>
      <c r="E176" s="943" t="s">
        <v>1364</v>
      </c>
      <c r="F176" s="935"/>
      <c r="G176" s="944"/>
      <c r="H176" s="944"/>
      <c r="I176" s="946" t="s">
        <v>1365</v>
      </c>
      <c r="J176" s="962" t="s">
        <v>706</v>
      </c>
      <c r="K176" s="975" t="s">
        <v>712</v>
      </c>
      <c r="L176" s="949">
        <v>60.0</v>
      </c>
      <c r="M176" s="949">
        <v>75.0</v>
      </c>
      <c r="N176" s="949">
        <v>85.0</v>
      </c>
      <c r="O176" s="949">
        <v>100.0</v>
      </c>
      <c r="P176" s="949">
        <v>85.0</v>
      </c>
      <c r="Q176" s="949">
        <v>115.0</v>
      </c>
      <c r="R176" s="949">
        <v>266.0</v>
      </c>
      <c r="S176" s="949">
        <v>329.0</v>
      </c>
      <c r="T176" s="949">
        <v>361.0</v>
      </c>
      <c r="U176" s="949"/>
      <c r="V176" s="949"/>
      <c r="W176" s="949"/>
      <c r="X176" s="949"/>
      <c r="Y176" s="949"/>
      <c r="Z176" s="949"/>
      <c r="AA176" s="949"/>
      <c r="AB176" s="949"/>
      <c r="AC176" s="949"/>
      <c r="AD176" s="949"/>
      <c r="AE176" s="949"/>
      <c r="AF176" s="949"/>
      <c r="AG176" s="949"/>
      <c r="AH176" s="949"/>
      <c r="AI176" s="949"/>
      <c r="AJ176" s="949"/>
      <c r="AK176" s="949"/>
      <c r="AL176" s="949"/>
      <c r="AM176" s="953" t="s">
        <v>1362</v>
      </c>
      <c r="AN176" s="954" t="s">
        <v>1333</v>
      </c>
      <c r="AO176" s="955" t="s">
        <v>1195</v>
      </c>
      <c r="AP176" s="931"/>
      <c r="AQ176" s="956"/>
      <c r="AR176" s="957"/>
      <c r="AS176" s="931"/>
    </row>
    <row r="177" ht="15.75" customHeight="1">
      <c r="A177" s="963"/>
      <c r="B177" s="941" t="s">
        <v>1366</v>
      </c>
      <c r="C177" s="942" t="s">
        <v>1367</v>
      </c>
      <c r="D177" s="942" t="s">
        <v>1368</v>
      </c>
      <c r="E177" s="943" t="s">
        <v>1367</v>
      </c>
      <c r="F177" s="935"/>
      <c r="G177" s="944"/>
      <c r="H177" s="944"/>
      <c r="I177" s="946" t="s">
        <v>1369</v>
      </c>
      <c r="J177" s="975" t="s">
        <v>712</v>
      </c>
      <c r="K177" s="980" t="s">
        <v>720</v>
      </c>
      <c r="L177" s="949">
        <v>40.0</v>
      </c>
      <c r="M177" s="949">
        <v>45.0</v>
      </c>
      <c r="N177" s="949">
        <v>65.0</v>
      </c>
      <c r="O177" s="949">
        <v>100.0</v>
      </c>
      <c r="P177" s="949">
        <v>120.0</v>
      </c>
      <c r="Q177" s="949">
        <v>90.0</v>
      </c>
      <c r="R177" s="949">
        <v>216.0</v>
      </c>
      <c r="S177" s="949">
        <v>279.0</v>
      </c>
      <c r="T177" s="949">
        <v>306.0</v>
      </c>
      <c r="U177" s="949"/>
      <c r="V177" s="949"/>
      <c r="W177" s="949"/>
      <c r="X177" s="949"/>
      <c r="Y177" s="949"/>
      <c r="Z177" s="949"/>
      <c r="AA177" s="949"/>
      <c r="AB177" s="949"/>
      <c r="AC177" s="949"/>
      <c r="AD177" s="949"/>
      <c r="AE177" s="949"/>
      <c r="AF177" s="949"/>
      <c r="AG177" s="949"/>
      <c r="AH177" s="949"/>
      <c r="AI177" s="949"/>
      <c r="AJ177" s="949"/>
      <c r="AK177" s="949"/>
      <c r="AL177" s="949"/>
      <c r="AM177" s="964" t="s">
        <v>1272</v>
      </c>
      <c r="AN177" s="973" t="s">
        <v>1370</v>
      </c>
      <c r="AO177" s="965" t="s">
        <v>1041</v>
      </c>
      <c r="AP177" s="931"/>
      <c r="AQ177" s="956"/>
      <c r="AR177" s="957"/>
      <c r="AS177" s="931"/>
    </row>
    <row r="178" ht="15.75" customHeight="1">
      <c r="A178" s="963"/>
      <c r="B178" s="941" t="s">
        <v>1371</v>
      </c>
      <c r="C178" s="971" t="s">
        <v>1372</v>
      </c>
      <c r="D178" s="971" t="s">
        <v>1373</v>
      </c>
      <c r="E178" s="966" t="s">
        <v>1374</v>
      </c>
      <c r="F178" s="935"/>
      <c r="G178" s="944"/>
      <c r="H178" s="944"/>
      <c r="I178" s="959" t="s">
        <v>1375</v>
      </c>
      <c r="J178" s="998" t="s">
        <v>714</v>
      </c>
      <c r="K178" s="990" t="s">
        <v>712</v>
      </c>
      <c r="L178" s="974">
        <v>50.0</v>
      </c>
      <c r="M178" s="974">
        <v>65.0</v>
      </c>
      <c r="N178" s="974">
        <v>65.0</v>
      </c>
      <c r="O178" s="974">
        <v>90.0</v>
      </c>
      <c r="P178" s="974">
        <v>90.0</v>
      </c>
      <c r="Q178" s="974">
        <v>100.0</v>
      </c>
      <c r="R178" s="949">
        <v>236.0</v>
      </c>
      <c r="S178" s="949">
        <v>299.0</v>
      </c>
      <c r="T178" s="949">
        <v>328.0</v>
      </c>
      <c r="U178" s="949"/>
      <c r="V178" s="949"/>
      <c r="W178" s="949"/>
      <c r="X178" s="949"/>
      <c r="Y178" s="949"/>
      <c r="Z178" s="949"/>
      <c r="AA178" s="949"/>
      <c r="AB178" s="949"/>
      <c r="AC178" s="949"/>
      <c r="AD178" s="949"/>
      <c r="AE178" s="949"/>
      <c r="AF178" s="949"/>
      <c r="AG178" s="949"/>
      <c r="AH178" s="949"/>
      <c r="AI178" s="949"/>
      <c r="AJ178" s="949"/>
      <c r="AK178" s="949"/>
      <c r="AL178" s="949"/>
      <c r="AM178" s="964" t="s">
        <v>1067</v>
      </c>
      <c r="AN178" s="953" t="s">
        <v>1376</v>
      </c>
      <c r="AO178" s="955" t="s">
        <v>1041</v>
      </c>
      <c r="AP178" s="931"/>
      <c r="AQ178" s="956"/>
      <c r="AR178" s="957"/>
      <c r="AS178" s="931"/>
    </row>
    <row r="179" ht="15.75" customHeight="1">
      <c r="A179" s="963"/>
      <c r="B179" s="941" t="s">
        <v>1377</v>
      </c>
      <c r="C179" s="971" t="s">
        <v>1378</v>
      </c>
      <c r="D179" s="971" t="s">
        <v>1378</v>
      </c>
      <c r="E179" s="966" t="s">
        <v>1378</v>
      </c>
      <c r="F179" s="935"/>
      <c r="G179" s="944"/>
      <c r="H179" s="944"/>
      <c r="I179" s="959" t="s">
        <v>433</v>
      </c>
      <c r="J179" s="999" t="s">
        <v>715</v>
      </c>
      <c r="K179" s="984" t="s">
        <v>707</v>
      </c>
      <c r="L179" s="974">
        <v>70.0</v>
      </c>
      <c r="M179" s="974">
        <v>110.0</v>
      </c>
      <c r="N179" s="974">
        <v>80.0</v>
      </c>
      <c r="O179" s="974">
        <v>55.0</v>
      </c>
      <c r="P179" s="974">
        <v>80.0</v>
      </c>
      <c r="Q179" s="974">
        <v>105.0</v>
      </c>
      <c r="R179" s="949">
        <v>246.0</v>
      </c>
      <c r="S179" s="949">
        <v>309.0</v>
      </c>
      <c r="T179" s="949">
        <v>339.0</v>
      </c>
      <c r="U179" s="949"/>
      <c r="V179" s="949"/>
      <c r="W179" s="949"/>
      <c r="X179" s="949"/>
      <c r="Y179" s="949"/>
      <c r="Z179" s="949"/>
      <c r="AA179" s="949"/>
      <c r="AB179" s="949"/>
      <c r="AC179" s="949"/>
      <c r="AD179" s="949"/>
      <c r="AE179" s="949"/>
      <c r="AF179" s="949"/>
      <c r="AG179" s="949"/>
      <c r="AH179" s="949"/>
      <c r="AI179" s="949"/>
      <c r="AJ179" s="949"/>
      <c r="AK179" s="949"/>
      <c r="AL179" s="949"/>
      <c r="AM179" s="964" t="s">
        <v>806</v>
      </c>
      <c r="AN179" s="954" t="s">
        <v>1041</v>
      </c>
      <c r="AO179" s="955" t="s">
        <v>1108</v>
      </c>
      <c r="AP179" s="931"/>
      <c r="AQ179" s="956"/>
      <c r="AR179" s="957"/>
      <c r="AS179" s="931"/>
    </row>
    <row r="180" ht="15.75" customHeight="1">
      <c r="A180" s="931"/>
      <c r="B180" s="941" t="s">
        <v>1379</v>
      </c>
      <c r="C180" s="942" t="s">
        <v>1380</v>
      </c>
      <c r="D180" s="942" t="s">
        <v>1380</v>
      </c>
      <c r="E180" s="943" t="s">
        <v>1380</v>
      </c>
      <c r="F180" s="935"/>
      <c r="G180" s="944"/>
      <c r="H180" s="944"/>
      <c r="I180" s="946" t="s">
        <v>1381</v>
      </c>
      <c r="J180" s="977" t="s">
        <v>714</v>
      </c>
      <c r="K180" s="975" t="s">
        <v>712</v>
      </c>
      <c r="L180" s="949">
        <v>65.0</v>
      </c>
      <c r="M180" s="949">
        <v>50.0</v>
      </c>
      <c r="N180" s="949">
        <v>35.0</v>
      </c>
      <c r="O180" s="949">
        <v>115.0</v>
      </c>
      <c r="P180" s="949">
        <v>95.0</v>
      </c>
      <c r="Q180" s="949">
        <v>95.0</v>
      </c>
      <c r="R180" s="949">
        <v>226.0</v>
      </c>
      <c r="S180" s="949">
        <v>289.0</v>
      </c>
      <c r="T180" s="949">
        <v>317.0</v>
      </c>
      <c r="U180" s="949"/>
      <c r="V180" s="949"/>
      <c r="W180" s="949"/>
      <c r="X180" s="949"/>
      <c r="Y180" s="949"/>
      <c r="Z180" s="949"/>
      <c r="AA180" s="949"/>
      <c r="AB180" s="949"/>
      <c r="AC180" s="949"/>
      <c r="AD180" s="949"/>
      <c r="AE180" s="949"/>
      <c r="AF180" s="949"/>
      <c r="AG180" s="949"/>
      <c r="AH180" s="949"/>
      <c r="AI180" s="949"/>
      <c r="AJ180" s="949"/>
      <c r="AK180" s="949"/>
      <c r="AL180" s="949"/>
      <c r="AM180" s="953" t="s">
        <v>1175</v>
      </c>
      <c r="AN180" s="954" t="s">
        <v>1260</v>
      </c>
      <c r="AO180" s="955" t="s">
        <v>1013</v>
      </c>
      <c r="AP180" s="931"/>
      <c r="AQ180" s="956"/>
      <c r="AR180" s="957"/>
      <c r="AS180" s="931"/>
    </row>
    <row r="181" ht="15.75" customHeight="1">
      <c r="A181" s="931"/>
      <c r="B181" s="941" t="s">
        <v>1382</v>
      </c>
      <c r="C181" s="942" t="s">
        <v>1383</v>
      </c>
      <c r="D181" s="942" t="s">
        <v>1383</v>
      </c>
      <c r="E181" s="943" t="s">
        <v>1383</v>
      </c>
      <c r="F181" s="935"/>
      <c r="G181" s="944"/>
      <c r="H181" s="944"/>
      <c r="I181" s="946" t="s">
        <v>1384</v>
      </c>
      <c r="J181" s="970" t="s">
        <v>710</v>
      </c>
      <c r="K181" s="954" t="s">
        <v>158</v>
      </c>
      <c r="L181" s="949">
        <v>65.0</v>
      </c>
      <c r="M181" s="949">
        <v>83.0</v>
      </c>
      <c r="N181" s="949">
        <v>57.0</v>
      </c>
      <c r="O181" s="949">
        <v>95.0</v>
      </c>
      <c r="P181" s="949">
        <v>85.0</v>
      </c>
      <c r="Q181" s="949">
        <v>105.0</v>
      </c>
      <c r="R181" s="949">
        <v>246.0</v>
      </c>
      <c r="S181" s="949">
        <v>309.0</v>
      </c>
      <c r="T181" s="949">
        <v>339.0</v>
      </c>
      <c r="U181" s="949"/>
      <c r="V181" s="949"/>
      <c r="W181" s="949"/>
      <c r="X181" s="949"/>
      <c r="Y181" s="949"/>
      <c r="Z181" s="949"/>
      <c r="AA181" s="949"/>
      <c r="AB181" s="949"/>
      <c r="AC181" s="949"/>
      <c r="AD181" s="949"/>
      <c r="AE181" s="949"/>
      <c r="AF181" s="949"/>
      <c r="AG181" s="949"/>
      <c r="AH181" s="949"/>
      <c r="AI181" s="949"/>
      <c r="AJ181" s="949"/>
      <c r="AK181" s="949"/>
      <c r="AL181" s="949"/>
      <c r="AM181" s="953" t="s">
        <v>861</v>
      </c>
      <c r="AN181" s="954"/>
      <c r="AO181" s="955" t="s">
        <v>1067</v>
      </c>
      <c r="AP181" s="931"/>
      <c r="AQ181" s="956"/>
      <c r="AR181" s="957"/>
      <c r="AS181" s="931"/>
    </row>
    <row r="182" ht="15.75" customHeight="1">
      <c r="A182" s="931"/>
      <c r="B182" s="941" t="s">
        <v>1385</v>
      </c>
      <c r="C182" s="942" t="s">
        <v>1386</v>
      </c>
      <c r="D182" s="942" t="s">
        <v>1386</v>
      </c>
      <c r="E182" s="943" t="s">
        <v>1386</v>
      </c>
      <c r="F182" s="935"/>
      <c r="G182" s="944"/>
      <c r="H182" s="944"/>
      <c r="I182" s="946" t="s">
        <v>1387</v>
      </c>
      <c r="J182" s="958" t="s">
        <v>704</v>
      </c>
      <c r="K182" s="954" t="s">
        <v>158</v>
      </c>
      <c r="L182" s="949">
        <v>65.0</v>
      </c>
      <c r="M182" s="949">
        <v>95.0</v>
      </c>
      <c r="N182" s="949">
        <v>57.0</v>
      </c>
      <c r="O182" s="949">
        <v>100.0</v>
      </c>
      <c r="P182" s="949">
        <v>85.0</v>
      </c>
      <c r="Q182" s="949">
        <v>93.0</v>
      </c>
      <c r="R182" s="949">
        <v>222.0</v>
      </c>
      <c r="S182" s="949">
        <v>285.0</v>
      </c>
      <c r="T182" s="949">
        <v>313.0</v>
      </c>
      <c r="U182" s="949"/>
      <c r="V182" s="949"/>
      <c r="W182" s="949"/>
      <c r="X182" s="949"/>
      <c r="Y182" s="949"/>
      <c r="Z182" s="949"/>
      <c r="AA182" s="949"/>
      <c r="AB182" s="949"/>
      <c r="AC182" s="949"/>
      <c r="AD182" s="949"/>
      <c r="AE182" s="949"/>
      <c r="AF182" s="949"/>
      <c r="AG182" s="949"/>
      <c r="AH182" s="949"/>
      <c r="AI182" s="949"/>
      <c r="AJ182" s="949"/>
      <c r="AK182" s="949"/>
      <c r="AL182" s="949"/>
      <c r="AM182" s="953" t="s">
        <v>1159</v>
      </c>
      <c r="AN182" s="954"/>
      <c r="AO182" s="955" t="s">
        <v>1067</v>
      </c>
      <c r="AP182" s="931"/>
      <c r="AQ182" s="956"/>
      <c r="AR182" s="957"/>
      <c r="AS182" s="931"/>
    </row>
    <row r="183" ht="15.75" customHeight="1">
      <c r="A183" s="931"/>
      <c r="B183" s="941" t="s">
        <v>1388</v>
      </c>
      <c r="C183" s="942" t="s">
        <v>1389</v>
      </c>
      <c r="D183" s="942" t="s">
        <v>1389</v>
      </c>
      <c r="E183" s="943" t="s">
        <v>1389</v>
      </c>
      <c r="F183" s="935"/>
      <c r="G183" s="944"/>
      <c r="H183" s="944"/>
      <c r="I183" s="946" t="s">
        <v>1390</v>
      </c>
      <c r="J183" s="967" t="s">
        <v>715</v>
      </c>
      <c r="K183" s="954" t="s">
        <v>158</v>
      </c>
      <c r="L183" s="949">
        <v>65.0</v>
      </c>
      <c r="M183" s="949">
        <v>125.0</v>
      </c>
      <c r="N183" s="949">
        <v>100.0</v>
      </c>
      <c r="O183" s="949">
        <v>55.0</v>
      </c>
      <c r="P183" s="949">
        <v>70.0</v>
      </c>
      <c r="Q183" s="949">
        <v>85.0</v>
      </c>
      <c r="R183" s="949">
        <v>206.0</v>
      </c>
      <c r="S183" s="949">
        <v>269.0</v>
      </c>
      <c r="T183" s="949">
        <v>295.0</v>
      </c>
      <c r="U183" s="949"/>
      <c r="V183" s="949"/>
      <c r="W183" s="949"/>
      <c r="X183" s="949"/>
      <c r="Y183" s="949"/>
      <c r="Z183" s="949"/>
      <c r="AA183" s="949"/>
      <c r="AB183" s="949"/>
      <c r="AC183" s="949"/>
      <c r="AD183" s="949"/>
      <c r="AE183" s="949"/>
      <c r="AF183" s="949"/>
      <c r="AG183" s="949"/>
      <c r="AH183" s="949"/>
      <c r="AI183" s="949"/>
      <c r="AJ183" s="949"/>
      <c r="AK183" s="949"/>
      <c r="AL183" s="949"/>
      <c r="AM183" s="953" t="s">
        <v>1266</v>
      </c>
      <c r="AN183" s="954" t="s">
        <v>1391</v>
      </c>
      <c r="AO183" s="955" t="s">
        <v>1392</v>
      </c>
      <c r="AP183" s="931"/>
      <c r="AQ183" s="956"/>
      <c r="AR183" s="957"/>
      <c r="AS183" s="931"/>
    </row>
    <row r="184" ht="15.75" customHeight="1">
      <c r="A184" s="931"/>
      <c r="B184" s="941" t="s">
        <v>1393</v>
      </c>
      <c r="C184" s="942" t="s">
        <v>1394</v>
      </c>
      <c r="D184" s="942" t="s">
        <v>1394</v>
      </c>
      <c r="E184" s="943" t="s">
        <v>1394</v>
      </c>
      <c r="F184" s="935"/>
      <c r="G184" s="944"/>
      <c r="H184" s="944"/>
      <c r="I184" s="946" t="s">
        <v>1395</v>
      </c>
      <c r="J184" s="967" t="s">
        <v>715</v>
      </c>
      <c r="K184" s="960" t="s">
        <v>707</v>
      </c>
      <c r="L184" s="949">
        <v>65.0</v>
      </c>
      <c r="M184" s="949">
        <v>155.0</v>
      </c>
      <c r="N184" s="949">
        <v>120.0</v>
      </c>
      <c r="O184" s="949">
        <v>65.0</v>
      </c>
      <c r="P184" s="949">
        <v>90.0</v>
      </c>
      <c r="Q184" s="949">
        <v>105.0</v>
      </c>
      <c r="R184" s="949">
        <v>246.0</v>
      </c>
      <c r="S184" s="949">
        <v>309.0</v>
      </c>
      <c r="T184" s="949">
        <v>339.0</v>
      </c>
      <c r="U184" s="949"/>
      <c r="V184" s="949"/>
      <c r="W184" s="949"/>
      <c r="X184" s="949"/>
      <c r="Y184" s="949"/>
      <c r="Z184" s="949"/>
      <c r="AA184" s="949"/>
      <c r="AB184" s="949"/>
      <c r="AC184" s="949"/>
      <c r="AD184" s="949"/>
      <c r="AE184" s="949"/>
      <c r="AF184" s="949"/>
      <c r="AG184" s="949"/>
      <c r="AH184" s="949"/>
      <c r="AI184" s="949"/>
      <c r="AJ184" s="949"/>
      <c r="AK184" s="949"/>
      <c r="AL184" s="949"/>
      <c r="AM184" s="953" t="s">
        <v>1396</v>
      </c>
      <c r="AN184" s="954"/>
      <c r="AO184" s="955"/>
      <c r="AP184" s="931"/>
      <c r="AQ184" s="956"/>
      <c r="AR184" s="957"/>
      <c r="AS184" s="931"/>
    </row>
    <row r="185" ht="15.75" customHeight="1">
      <c r="A185" s="931"/>
      <c r="B185" s="941" t="s">
        <v>1397</v>
      </c>
      <c r="C185" s="942" t="s">
        <v>1398</v>
      </c>
      <c r="D185" s="942" t="s">
        <v>1398</v>
      </c>
      <c r="E185" s="943" t="s">
        <v>1398</v>
      </c>
      <c r="F185" s="935"/>
      <c r="G185" s="944"/>
      <c r="H185" s="944"/>
      <c r="I185" s="946" t="s">
        <v>1399</v>
      </c>
      <c r="J185" s="968" t="s">
        <v>703</v>
      </c>
      <c r="K185" s="954" t="s">
        <v>158</v>
      </c>
      <c r="L185" s="949">
        <v>75.0</v>
      </c>
      <c r="M185" s="949">
        <v>100.0</v>
      </c>
      <c r="N185" s="949">
        <v>95.0</v>
      </c>
      <c r="O185" s="949">
        <v>40.0</v>
      </c>
      <c r="P185" s="949">
        <v>70.0</v>
      </c>
      <c r="Q185" s="949">
        <v>110.0</v>
      </c>
      <c r="R185" s="949">
        <v>256.0</v>
      </c>
      <c r="S185" s="949">
        <v>319.0</v>
      </c>
      <c r="T185" s="949">
        <v>350.0</v>
      </c>
      <c r="U185" s="949"/>
      <c r="V185" s="949"/>
      <c r="W185" s="949"/>
      <c r="X185" s="949"/>
      <c r="Y185" s="949"/>
      <c r="Z185" s="949"/>
      <c r="AA185" s="949"/>
      <c r="AB185" s="949"/>
      <c r="AC185" s="949"/>
      <c r="AD185" s="949"/>
      <c r="AE185" s="949"/>
      <c r="AF185" s="949"/>
      <c r="AG185" s="949"/>
      <c r="AH185" s="949"/>
      <c r="AI185" s="949"/>
      <c r="AJ185" s="949"/>
      <c r="AK185" s="949"/>
      <c r="AL185" s="949"/>
      <c r="AM185" s="953" t="s">
        <v>854</v>
      </c>
      <c r="AN185" s="954" t="s">
        <v>1068</v>
      </c>
      <c r="AO185" s="955" t="s">
        <v>949</v>
      </c>
      <c r="AP185" s="931"/>
      <c r="AQ185" s="956"/>
      <c r="AR185" s="957"/>
      <c r="AS185" s="931"/>
    </row>
    <row r="186" ht="15.75" customHeight="1">
      <c r="A186" s="963"/>
      <c r="B186" s="941" t="s">
        <v>1400</v>
      </c>
      <c r="C186" s="942" t="s">
        <v>1401</v>
      </c>
      <c r="D186" s="942" t="s">
        <v>1401</v>
      </c>
      <c r="E186" s="943" t="s">
        <v>1401</v>
      </c>
      <c r="F186" s="935"/>
      <c r="G186" s="944"/>
      <c r="H186" s="944"/>
      <c r="I186" s="946" t="s">
        <v>353</v>
      </c>
      <c r="J186" s="988" t="s">
        <v>705</v>
      </c>
      <c r="K186" s="954" t="s">
        <v>158</v>
      </c>
      <c r="L186" s="949">
        <v>75.0</v>
      </c>
      <c r="M186" s="949">
        <v>110.0</v>
      </c>
      <c r="N186" s="949">
        <v>105.0</v>
      </c>
      <c r="O186" s="949">
        <v>30.0</v>
      </c>
      <c r="P186" s="949">
        <v>70.0</v>
      </c>
      <c r="Q186" s="949">
        <v>100.0</v>
      </c>
      <c r="R186" s="949">
        <v>236.0</v>
      </c>
      <c r="S186" s="949">
        <v>299.0</v>
      </c>
      <c r="T186" s="949">
        <v>328.0</v>
      </c>
      <c r="U186" s="949"/>
      <c r="V186" s="949"/>
      <c r="W186" s="949"/>
      <c r="X186" s="949"/>
      <c r="Y186" s="949"/>
      <c r="Z186" s="949"/>
      <c r="AA186" s="949"/>
      <c r="AB186" s="949"/>
      <c r="AC186" s="949"/>
      <c r="AD186" s="949"/>
      <c r="AE186" s="949"/>
      <c r="AF186" s="949"/>
      <c r="AG186" s="949"/>
      <c r="AH186" s="949"/>
      <c r="AI186" s="949"/>
      <c r="AJ186" s="949"/>
      <c r="AK186" s="949"/>
      <c r="AL186" s="949"/>
      <c r="AM186" s="964"/>
      <c r="AN186" s="954"/>
      <c r="AO186" s="965"/>
      <c r="AP186" s="931"/>
      <c r="AQ186" s="956"/>
      <c r="AR186" s="957"/>
      <c r="AS186" s="931"/>
    </row>
    <row r="187" ht="15.75" customHeight="1">
      <c r="A187" s="931"/>
      <c r="B187" s="941" t="s">
        <v>1402</v>
      </c>
      <c r="C187" s="942" t="s">
        <v>1403</v>
      </c>
      <c r="D187" s="942" t="s">
        <v>1404</v>
      </c>
      <c r="E187" s="943" t="s">
        <v>1403</v>
      </c>
      <c r="F187" s="935"/>
      <c r="G187" s="944"/>
      <c r="H187" s="944"/>
      <c r="I187" s="946" t="s">
        <v>67</v>
      </c>
      <c r="J187" s="988" t="s">
        <v>705</v>
      </c>
      <c r="K187" s="958" t="s">
        <v>704</v>
      </c>
      <c r="L187" s="949">
        <v>75.0</v>
      </c>
      <c r="M187" s="949">
        <v>110.0</v>
      </c>
      <c r="N187" s="949">
        <v>105.0</v>
      </c>
      <c r="O187" s="949">
        <v>30.0</v>
      </c>
      <c r="P187" s="949">
        <v>70.0</v>
      </c>
      <c r="Q187" s="949">
        <v>100.0</v>
      </c>
      <c r="R187" s="949">
        <v>236.0</v>
      </c>
      <c r="S187" s="949">
        <v>299.0</v>
      </c>
      <c r="T187" s="949">
        <v>328.0</v>
      </c>
      <c r="U187" s="949"/>
      <c r="V187" s="949"/>
      <c r="W187" s="949"/>
      <c r="X187" s="949"/>
      <c r="Y187" s="949"/>
      <c r="Z187" s="949"/>
      <c r="AA187" s="949"/>
      <c r="AB187" s="949"/>
      <c r="AC187" s="949"/>
      <c r="AD187" s="949"/>
      <c r="AE187" s="949"/>
      <c r="AF187" s="949"/>
      <c r="AG187" s="949"/>
      <c r="AH187" s="949"/>
      <c r="AI187" s="949"/>
      <c r="AJ187" s="949"/>
      <c r="AK187" s="949"/>
      <c r="AL187" s="949"/>
      <c r="AM187" s="953"/>
      <c r="AN187" s="954"/>
      <c r="AO187" s="955"/>
      <c r="AP187" s="931"/>
      <c r="AQ187" s="956"/>
      <c r="AR187" s="957"/>
      <c r="AS187" s="931"/>
    </row>
    <row r="188" ht="15.75" customHeight="1">
      <c r="A188" s="931"/>
      <c r="B188" s="941" t="s">
        <v>1405</v>
      </c>
      <c r="C188" s="942" t="s">
        <v>1406</v>
      </c>
      <c r="D188" s="942" t="s">
        <v>1407</v>
      </c>
      <c r="E188" s="943" t="s">
        <v>1406</v>
      </c>
      <c r="F188" s="935"/>
      <c r="G188" s="944"/>
      <c r="H188" s="944"/>
      <c r="I188" s="946" t="s">
        <v>352</v>
      </c>
      <c r="J188" s="988" t="s">
        <v>705</v>
      </c>
      <c r="K188" s="962" t="s">
        <v>706</v>
      </c>
      <c r="L188" s="949">
        <v>75.0</v>
      </c>
      <c r="M188" s="949">
        <v>110.0</v>
      </c>
      <c r="N188" s="949">
        <v>105.0</v>
      </c>
      <c r="O188" s="949">
        <v>30.0</v>
      </c>
      <c r="P188" s="949">
        <v>70.0</v>
      </c>
      <c r="Q188" s="949">
        <v>100.0</v>
      </c>
      <c r="R188" s="949">
        <v>236.0</v>
      </c>
      <c r="S188" s="949">
        <v>299.0</v>
      </c>
      <c r="T188" s="949">
        <v>328.0</v>
      </c>
      <c r="U188" s="949"/>
      <c r="V188" s="949"/>
      <c r="W188" s="949"/>
      <c r="X188" s="949"/>
      <c r="Y188" s="949"/>
      <c r="Z188" s="949"/>
      <c r="AA188" s="949"/>
      <c r="AB188" s="949"/>
      <c r="AC188" s="949"/>
      <c r="AD188" s="949"/>
      <c r="AE188" s="949"/>
      <c r="AF188" s="949"/>
      <c r="AG188" s="949"/>
      <c r="AH188" s="949"/>
      <c r="AI188" s="949"/>
      <c r="AJ188" s="949"/>
      <c r="AK188" s="949"/>
      <c r="AL188" s="949"/>
      <c r="AM188" s="953"/>
      <c r="AN188" s="954"/>
      <c r="AO188" s="955"/>
      <c r="AP188" s="931"/>
      <c r="AQ188" s="956"/>
      <c r="AR188" s="957"/>
      <c r="AS188" s="931"/>
    </row>
    <row r="189" ht="15.75" customHeight="1">
      <c r="A189" s="931"/>
      <c r="B189" s="941" t="s">
        <v>1408</v>
      </c>
      <c r="C189" s="942" t="s">
        <v>198</v>
      </c>
      <c r="D189" s="942" t="s">
        <v>198</v>
      </c>
      <c r="E189" s="943" t="s">
        <v>198</v>
      </c>
      <c r="F189" s="935"/>
      <c r="G189" s="944"/>
      <c r="H189" s="944"/>
      <c r="I189" s="946" t="s">
        <v>127</v>
      </c>
      <c r="J189" s="962" t="s">
        <v>706</v>
      </c>
      <c r="K189" s="954" t="s">
        <v>158</v>
      </c>
      <c r="L189" s="949">
        <v>20.0</v>
      </c>
      <c r="M189" s="949">
        <v>10.0</v>
      </c>
      <c r="N189" s="949">
        <v>55.0</v>
      </c>
      <c r="O189" s="949">
        <v>15.0</v>
      </c>
      <c r="P189" s="949">
        <v>20.0</v>
      </c>
      <c r="Q189" s="949">
        <v>80.0</v>
      </c>
      <c r="R189" s="949">
        <v>196.0</v>
      </c>
      <c r="S189" s="949">
        <v>259.0</v>
      </c>
      <c r="T189" s="949">
        <v>284.0</v>
      </c>
      <c r="U189" s="949"/>
      <c r="V189" s="949"/>
      <c r="W189" s="949"/>
      <c r="X189" s="949"/>
      <c r="Y189" s="949"/>
      <c r="Z189" s="949"/>
      <c r="AA189" s="949"/>
      <c r="AB189" s="949"/>
      <c r="AC189" s="949"/>
      <c r="AD189" s="949"/>
      <c r="AE189" s="949"/>
      <c r="AF189" s="949"/>
      <c r="AG189" s="949"/>
      <c r="AH189" s="949"/>
      <c r="AI189" s="949"/>
      <c r="AJ189" s="949"/>
      <c r="AK189" s="949"/>
      <c r="AL189" s="949"/>
      <c r="AM189" s="953" t="s">
        <v>1062</v>
      </c>
      <c r="AN189" s="954"/>
      <c r="AO189" s="955" t="s">
        <v>1046</v>
      </c>
      <c r="AP189" s="931"/>
      <c r="AQ189" s="956"/>
      <c r="AR189" s="957"/>
      <c r="AS189" s="931"/>
    </row>
    <row r="190" ht="15.75" customHeight="1">
      <c r="A190" s="931"/>
      <c r="B190" s="941" t="s">
        <v>1409</v>
      </c>
      <c r="C190" s="942" t="s">
        <v>1410</v>
      </c>
      <c r="D190" s="942" t="s">
        <v>1410</v>
      </c>
      <c r="E190" s="943" t="s">
        <v>1410</v>
      </c>
      <c r="F190" s="935"/>
      <c r="G190" s="944"/>
      <c r="H190" s="944"/>
      <c r="I190" s="946" t="s">
        <v>362</v>
      </c>
      <c r="J190" s="962" t="s">
        <v>706</v>
      </c>
      <c r="K190" s="960" t="s">
        <v>707</v>
      </c>
      <c r="L190" s="949">
        <v>95.0</v>
      </c>
      <c r="M190" s="949">
        <v>125.0</v>
      </c>
      <c r="N190" s="949">
        <v>79.0</v>
      </c>
      <c r="O190" s="949">
        <v>60.0</v>
      </c>
      <c r="P190" s="949">
        <v>100.0</v>
      </c>
      <c r="Q190" s="949">
        <v>81.0</v>
      </c>
      <c r="R190" s="949">
        <v>198.0</v>
      </c>
      <c r="S190" s="949">
        <v>261.0</v>
      </c>
      <c r="T190" s="949">
        <v>287.0</v>
      </c>
      <c r="U190" s="949"/>
      <c r="V190" s="949"/>
      <c r="W190" s="949"/>
      <c r="X190" s="949"/>
      <c r="Y190" s="949"/>
      <c r="Z190" s="949"/>
      <c r="AA190" s="949"/>
      <c r="AB190" s="949"/>
      <c r="AC190" s="949"/>
      <c r="AD190" s="949"/>
      <c r="AE190" s="949"/>
      <c r="AF190" s="949"/>
      <c r="AG190" s="949"/>
      <c r="AH190" s="949"/>
      <c r="AI190" s="949"/>
      <c r="AJ190" s="949"/>
      <c r="AK190" s="949"/>
      <c r="AL190" s="949"/>
      <c r="AM190" s="953" t="s">
        <v>854</v>
      </c>
      <c r="AN190" s="954"/>
      <c r="AO190" s="955" t="s">
        <v>1392</v>
      </c>
      <c r="AP190" s="931"/>
      <c r="AQ190" s="956"/>
      <c r="AR190" s="957"/>
      <c r="AS190" s="931"/>
    </row>
    <row r="191" ht="15.75" customHeight="1">
      <c r="A191" s="931"/>
      <c r="B191" s="941" t="s">
        <v>1411</v>
      </c>
      <c r="C191" s="942" t="s">
        <v>1412</v>
      </c>
      <c r="D191" s="942" t="s">
        <v>1412</v>
      </c>
      <c r="E191" s="943" t="s">
        <v>1412</v>
      </c>
      <c r="F191" s="935"/>
      <c r="G191" s="944"/>
      <c r="H191" s="944"/>
      <c r="I191" s="946" t="s">
        <v>1413</v>
      </c>
      <c r="J191" s="962" t="s">
        <v>706</v>
      </c>
      <c r="K191" s="969" t="s">
        <v>718</v>
      </c>
      <c r="L191" s="949">
        <v>95.0</v>
      </c>
      <c r="M191" s="949">
        <v>155.0</v>
      </c>
      <c r="N191" s="949">
        <v>109.0</v>
      </c>
      <c r="O191" s="949">
        <v>70.0</v>
      </c>
      <c r="P191" s="949">
        <v>130.0</v>
      </c>
      <c r="Q191" s="949">
        <v>81.0</v>
      </c>
      <c r="R191" s="949">
        <v>198.0</v>
      </c>
      <c r="S191" s="949">
        <v>261.0</v>
      </c>
      <c r="T191" s="949">
        <v>287.0</v>
      </c>
      <c r="U191" s="949"/>
      <c r="V191" s="949"/>
      <c r="W191" s="949"/>
      <c r="X191" s="949"/>
      <c r="Y191" s="949"/>
      <c r="Z191" s="949"/>
      <c r="AA191" s="949"/>
      <c r="AB191" s="949"/>
      <c r="AC191" s="949"/>
      <c r="AD191" s="949"/>
      <c r="AE191" s="949"/>
      <c r="AF191" s="949"/>
      <c r="AG191" s="949"/>
      <c r="AH191" s="949"/>
      <c r="AI191" s="949"/>
      <c r="AJ191" s="949"/>
      <c r="AK191" s="949"/>
      <c r="AL191" s="949"/>
      <c r="AM191" s="953" t="s">
        <v>1391</v>
      </c>
      <c r="AN191" s="954"/>
      <c r="AO191" s="955"/>
      <c r="AP191" s="931"/>
      <c r="AQ191" s="956"/>
      <c r="AR191" s="957"/>
      <c r="AS191" s="931"/>
    </row>
    <row r="192" ht="15.75" customHeight="1">
      <c r="A192" s="931"/>
      <c r="B192" s="941" t="s">
        <v>1414</v>
      </c>
      <c r="C192" s="942" t="s">
        <v>1415</v>
      </c>
      <c r="D192" s="942" t="s">
        <v>1415</v>
      </c>
      <c r="E192" s="943" t="s">
        <v>1415</v>
      </c>
      <c r="F192" s="935"/>
      <c r="G192" s="944"/>
      <c r="H192" s="944"/>
      <c r="I192" s="946" t="s">
        <v>1416</v>
      </c>
      <c r="J192" s="962" t="s">
        <v>706</v>
      </c>
      <c r="K192" s="977" t="s">
        <v>714</v>
      </c>
      <c r="L192" s="949">
        <v>130.0</v>
      </c>
      <c r="M192" s="949">
        <v>85.0</v>
      </c>
      <c r="N192" s="949">
        <v>80.0</v>
      </c>
      <c r="O192" s="949">
        <v>85.0</v>
      </c>
      <c r="P192" s="949">
        <v>95.0</v>
      </c>
      <c r="Q192" s="949">
        <v>60.0</v>
      </c>
      <c r="R192" s="949">
        <v>156.0</v>
      </c>
      <c r="S192" s="949">
        <v>219.0</v>
      </c>
      <c r="T192" s="949">
        <v>240.0</v>
      </c>
      <c r="U192" s="949"/>
      <c r="V192" s="949"/>
      <c r="W192" s="949"/>
      <c r="X192" s="949"/>
      <c r="Y192" s="949"/>
      <c r="Z192" s="949"/>
      <c r="AA192" s="949"/>
      <c r="AB192" s="949"/>
      <c r="AC192" s="949"/>
      <c r="AD192" s="949"/>
      <c r="AE192" s="949"/>
      <c r="AF192" s="949"/>
      <c r="AG192" s="949"/>
      <c r="AH192" s="949"/>
      <c r="AI192" s="949"/>
      <c r="AJ192" s="949"/>
      <c r="AK192" s="949"/>
      <c r="AL192" s="949"/>
      <c r="AM192" s="953" t="s">
        <v>1084</v>
      </c>
      <c r="AN192" s="954" t="s">
        <v>1192</v>
      </c>
      <c r="AO192" s="955" t="s">
        <v>1216</v>
      </c>
      <c r="AP192" s="931"/>
      <c r="AQ192" s="956"/>
      <c r="AR192" s="957"/>
      <c r="AS192" s="931"/>
    </row>
    <row r="193" ht="15.75" customHeight="1">
      <c r="A193" s="931"/>
      <c r="B193" s="941" t="s">
        <v>1417</v>
      </c>
      <c r="C193" s="942" t="s">
        <v>1418</v>
      </c>
      <c r="D193" s="942" t="s">
        <v>1418</v>
      </c>
      <c r="E193" s="943" t="s">
        <v>1418</v>
      </c>
      <c r="F193" s="935"/>
      <c r="G193" s="944"/>
      <c r="H193" s="944"/>
      <c r="I193" s="946" t="s">
        <v>461</v>
      </c>
      <c r="J193" s="968" t="s">
        <v>703</v>
      </c>
      <c r="K193" s="954" t="s">
        <v>158</v>
      </c>
      <c r="L193" s="949">
        <v>48.0</v>
      </c>
      <c r="M193" s="949">
        <v>48.0</v>
      </c>
      <c r="N193" s="949">
        <v>48.0</v>
      </c>
      <c r="O193" s="949">
        <v>48.0</v>
      </c>
      <c r="P193" s="949">
        <v>48.0</v>
      </c>
      <c r="Q193" s="949">
        <v>48.0</v>
      </c>
      <c r="R193" s="949">
        <v>132.0</v>
      </c>
      <c r="S193" s="949">
        <v>195.0</v>
      </c>
      <c r="T193" s="949">
        <v>214.0</v>
      </c>
      <c r="U193" s="949"/>
      <c r="V193" s="949"/>
      <c r="W193" s="949"/>
      <c r="X193" s="949"/>
      <c r="Y193" s="949"/>
      <c r="Z193" s="949"/>
      <c r="AA193" s="949"/>
      <c r="AB193" s="949"/>
      <c r="AC193" s="949"/>
      <c r="AD193" s="949"/>
      <c r="AE193" s="949"/>
      <c r="AF193" s="949"/>
      <c r="AG193" s="949"/>
      <c r="AH193" s="949"/>
      <c r="AI193" s="949"/>
      <c r="AJ193" s="949"/>
      <c r="AK193" s="949"/>
      <c r="AL193" s="949"/>
      <c r="AM193" s="953" t="s">
        <v>1053</v>
      </c>
      <c r="AN193" s="954"/>
      <c r="AO193" s="955" t="s">
        <v>1419</v>
      </c>
      <c r="AP193" s="931"/>
      <c r="AQ193" s="956"/>
      <c r="AR193" s="957"/>
      <c r="AS193" s="931"/>
    </row>
    <row r="194" ht="15.75" customHeight="1">
      <c r="A194" s="963"/>
      <c r="B194" s="941" t="s">
        <v>1420</v>
      </c>
      <c r="C194" s="942" t="s">
        <v>1421</v>
      </c>
      <c r="D194" s="942" t="s">
        <v>1421</v>
      </c>
      <c r="E194" s="943" t="s">
        <v>1421</v>
      </c>
      <c r="F194" s="935"/>
      <c r="G194" s="944"/>
      <c r="H194" s="944"/>
      <c r="I194" s="946" t="s">
        <v>574</v>
      </c>
      <c r="J194" s="968" t="s">
        <v>703</v>
      </c>
      <c r="K194" s="954" t="s">
        <v>158</v>
      </c>
      <c r="L194" s="949">
        <v>55.0</v>
      </c>
      <c r="M194" s="949">
        <v>55.0</v>
      </c>
      <c r="N194" s="949">
        <v>50.0</v>
      </c>
      <c r="O194" s="949">
        <v>45.0</v>
      </c>
      <c r="P194" s="949">
        <v>65.0</v>
      </c>
      <c r="Q194" s="949">
        <v>55.0</v>
      </c>
      <c r="R194" s="949">
        <v>146.0</v>
      </c>
      <c r="S194" s="949">
        <v>209.0</v>
      </c>
      <c r="T194" s="949">
        <v>229.0</v>
      </c>
      <c r="U194" s="949"/>
      <c r="V194" s="949"/>
      <c r="W194" s="949"/>
      <c r="X194" s="949"/>
      <c r="Y194" s="949"/>
      <c r="Z194" s="949"/>
      <c r="AA194" s="949"/>
      <c r="AB194" s="949"/>
      <c r="AC194" s="949"/>
      <c r="AD194" s="949"/>
      <c r="AE194" s="949"/>
      <c r="AF194" s="949"/>
      <c r="AG194" s="949"/>
      <c r="AH194" s="949"/>
      <c r="AI194" s="949"/>
      <c r="AJ194" s="949"/>
      <c r="AK194" s="949"/>
      <c r="AL194" s="949"/>
      <c r="AM194" s="964" t="s">
        <v>787</v>
      </c>
      <c r="AN194" s="953" t="s">
        <v>811</v>
      </c>
      <c r="AO194" s="965" t="s">
        <v>1165</v>
      </c>
      <c r="AP194" s="931"/>
      <c r="AQ194" s="956"/>
      <c r="AR194" s="957"/>
      <c r="AS194" s="931"/>
    </row>
    <row r="195" ht="15.75" customHeight="1">
      <c r="A195" s="963"/>
      <c r="B195" s="941" t="s">
        <v>1422</v>
      </c>
      <c r="C195" s="971" t="s">
        <v>1423</v>
      </c>
      <c r="D195" s="971" t="s">
        <v>1423</v>
      </c>
      <c r="E195" s="966" t="s">
        <v>1423</v>
      </c>
      <c r="F195" s="935"/>
      <c r="G195" s="944"/>
      <c r="H195" s="944"/>
      <c r="I195" s="959" t="s">
        <v>1424</v>
      </c>
      <c r="J195" s="991" t="s">
        <v>703</v>
      </c>
      <c r="K195" s="973" t="s">
        <v>158</v>
      </c>
      <c r="L195" s="974">
        <v>65.0</v>
      </c>
      <c r="M195" s="974">
        <v>75.0</v>
      </c>
      <c r="N195" s="974">
        <v>70.0</v>
      </c>
      <c r="O195" s="974">
        <v>65.0</v>
      </c>
      <c r="P195" s="974">
        <v>85.0</v>
      </c>
      <c r="Q195" s="974">
        <v>75.0</v>
      </c>
      <c r="R195" s="949">
        <v>186.0</v>
      </c>
      <c r="S195" s="949">
        <v>249.0</v>
      </c>
      <c r="T195" s="949">
        <v>273.0</v>
      </c>
      <c r="U195" s="949"/>
      <c r="V195" s="949"/>
      <c r="W195" s="949"/>
      <c r="X195" s="949"/>
      <c r="Y195" s="949"/>
      <c r="Z195" s="949"/>
      <c r="AA195" s="949"/>
      <c r="AB195" s="949"/>
      <c r="AC195" s="949"/>
      <c r="AD195" s="949"/>
      <c r="AE195" s="949"/>
      <c r="AF195" s="949"/>
      <c r="AG195" s="949"/>
      <c r="AH195" s="949"/>
      <c r="AI195" s="949"/>
      <c r="AJ195" s="949"/>
      <c r="AK195" s="949"/>
      <c r="AL195" s="949"/>
      <c r="AM195" s="964" t="s">
        <v>787</v>
      </c>
      <c r="AN195" s="964" t="s">
        <v>811</v>
      </c>
      <c r="AO195" s="965" t="s">
        <v>1165</v>
      </c>
      <c r="AP195" s="931"/>
      <c r="AQ195" s="956"/>
      <c r="AR195" s="957"/>
      <c r="AS195" s="931"/>
    </row>
    <row r="196" ht="15.75" customHeight="1">
      <c r="A196" s="931"/>
      <c r="B196" s="941" t="s">
        <v>1425</v>
      </c>
      <c r="C196" s="942" t="s">
        <v>1426</v>
      </c>
      <c r="D196" s="942" t="s">
        <v>1426</v>
      </c>
      <c r="E196" s="943" t="s">
        <v>1426</v>
      </c>
      <c r="F196" s="935"/>
      <c r="G196" s="944"/>
      <c r="H196" s="944"/>
      <c r="I196" s="946" t="s">
        <v>383</v>
      </c>
      <c r="J196" s="962" t="s">
        <v>706</v>
      </c>
      <c r="K196" s="954" t="s">
        <v>158</v>
      </c>
      <c r="L196" s="949">
        <v>130.0</v>
      </c>
      <c r="M196" s="949">
        <v>65.0</v>
      </c>
      <c r="N196" s="949">
        <v>60.0</v>
      </c>
      <c r="O196" s="949">
        <v>110.0</v>
      </c>
      <c r="P196" s="949">
        <v>95.0</v>
      </c>
      <c r="Q196" s="949">
        <v>65.0</v>
      </c>
      <c r="R196" s="949">
        <v>166.0</v>
      </c>
      <c r="S196" s="949">
        <v>229.0</v>
      </c>
      <c r="T196" s="949">
        <v>251.0</v>
      </c>
      <c r="U196" s="949"/>
      <c r="V196" s="949"/>
      <c r="W196" s="949"/>
      <c r="X196" s="949"/>
      <c r="Y196" s="949"/>
      <c r="Z196" s="949"/>
      <c r="AA196" s="949"/>
      <c r="AB196" s="949"/>
      <c r="AC196" s="949"/>
      <c r="AD196" s="949"/>
      <c r="AE196" s="949"/>
      <c r="AF196" s="949"/>
      <c r="AG196" s="949"/>
      <c r="AH196" s="949"/>
      <c r="AI196" s="949"/>
      <c r="AJ196" s="949"/>
      <c r="AK196" s="949"/>
      <c r="AL196" s="949"/>
      <c r="AM196" s="953" t="s">
        <v>1084</v>
      </c>
      <c r="AN196" s="954"/>
      <c r="AO196" s="955" t="s">
        <v>1216</v>
      </c>
      <c r="AP196" s="931"/>
      <c r="AQ196" s="956"/>
      <c r="AR196" s="957"/>
      <c r="AS196" s="931"/>
    </row>
    <row r="197" ht="15.75" customHeight="1">
      <c r="A197" s="963"/>
      <c r="B197" s="941" t="s">
        <v>1427</v>
      </c>
      <c r="C197" s="942" t="s">
        <v>232</v>
      </c>
      <c r="D197" s="942" t="s">
        <v>232</v>
      </c>
      <c r="E197" s="943" t="s">
        <v>232</v>
      </c>
      <c r="F197" s="935"/>
      <c r="G197" s="944"/>
      <c r="H197" s="944"/>
      <c r="I197" s="946" t="s">
        <v>111</v>
      </c>
      <c r="J197" s="970" t="s">
        <v>710</v>
      </c>
      <c r="K197" s="954" t="s">
        <v>158</v>
      </c>
      <c r="L197" s="949">
        <v>65.0</v>
      </c>
      <c r="M197" s="949">
        <v>65.0</v>
      </c>
      <c r="N197" s="949">
        <v>60.0</v>
      </c>
      <c r="O197" s="949">
        <v>110.0</v>
      </c>
      <c r="P197" s="949">
        <v>95.0</v>
      </c>
      <c r="Q197" s="949">
        <v>130.0</v>
      </c>
      <c r="R197" s="949">
        <v>296.0</v>
      </c>
      <c r="S197" s="949">
        <v>359.0</v>
      </c>
      <c r="T197" s="949">
        <v>394.0</v>
      </c>
      <c r="U197" s="949"/>
      <c r="V197" s="949"/>
      <c r="W197" s="949"/>
      <c r="X197" s="949"/>
      <c r="Y197" s="949"/>
      <c r="Z197" s="949"/>
      <c r="AA197" s="949"/>
      <c r="AB197" s="949"/>
      <c r="AC197" s="949"/>
      <c r="AD197" s="949"/>
      <c r="AE197" s="949"/>
      <c r="AF197" s="949"/>
      <c r="AG197" s="949"/>
      <c r="AH197" s="949"/>
      <c r="AI197" s="949"/>
      <c r="AJ197" s="949"/>
      <c r="AK197" s="949"/>
      <c r="AL197" s="949"/>
      <c r="AM197" s="964" t="s">
        <v>1428</v>
      </c>
      <c r="AN197" s="973"/>
      <c r="AO197" s="965" t="s">
        <v>1429</v>
      </c>
      <c r="AP197" s="931"/>
      <c r="AQ197" s="956"/>
      <c r="AR197" s="957"/>
      <c r="AS197" s="931"/>
    </row>
    <row r="198" ht="15.75" customHeight="1">
      <c r="A198" s="931"/>
      <c r="B198" s="941" t="s">
        <v>1430</v>
      </c>
      <c r="C198" s="942" t="s">
        <v>1431</v>
      </c>
      <c r="D198" s="942" t="s">
        <v>1431</v>
      </c>
      <c r="E198" s="943" t="s">
        <v>1431</v>
      </c>
      <c r="F198" s="935"/>
      <c r="G198" s="944"/>
      <c r="H198" s="944"/>
      <c r="I198" s="946" t="s">
        <v>497</v>
      </c>
      <c r="J198" s="958" t="s">
        <v>704</v>
      </c>
      <c r="K198" s="954" t="s">
        <v>158</v>
      </c>
      <c r="L198" s="949">
        <v>65.0</v>
      </c>
      <c r="M198" s="949">
        <v>130.0</v>
      </c>
      <c r="N198" s="949">
        <v>60.0</v>
      </c>
      <c r="O198" s="949">
        <v>95.0</v>
      </c>
      <c r="P198" s="949">
        <v>110.0</v>
      </c>
      <c r="Q198" s="949">
        <v>65.0</v>
      </c>
      <c r="R198" s="949">
        <v>166.0</v>
      </c>
      <c r="S198" s="949">
        <v>229.0</v>
      </c>
      <c r="T198" s="949">
        <v>251.0</v>
      </c>
      <c r="U198" s="949"/>
      <c r="V198" s="949"/>
      <c r="W198" s="949"/>
      <c r="X198" s="949"/>
      <c r="Y198" s="949"/>
      <c r="Z198" s="949"/>
      <c r="AA198" s="949"/>
      <c r="AB198" s="949"/>
      <c r="AC198" s="949"/>
      <c r="AD198" s="949"/>
      <c r="AE198" s="949"/>
      <c r="AF198" s="949"/>
      <c r="AG198" s="949"/>
      <c r="AH198" s="949"/>
      <c r="AI198" s="949"/>
      <c r="AJ198" s="949"/>
      <c r="AK198" s="949"/>
      <c r="AL198" s="949"/>
      <c r="AM198" s="953" t="s">
        <v>972</v>
      </c>
      <c r="AN198" s="954"/>
      <c r="AO198" s="955" t="s">
        <v>831</v>
      </c>
      <c r="AP198" s="931"/>
      <c r="AQ198" s="956"/>
      <c r="AR198" s="957"/>
      <c r="AS198" s="931"/>
    </row>
    <row r="199" ht="15.75" customHeight="1">
      <c r="A199" s="931"/>
      <c r="B199" s="941" t="s">
        <v>1432</v>
      </c>
      <c r="C199" s="942" t="s">
        <v>1433</v>
      </c>
      <c r="D199" s="942" t="s">
        <v>1433</v>
      </c>
      <c r="E199" s="943" t="s">
        <v>1433</v>
      </c>
      <c r="F199" s="935"/>
      <c r="G199" s="944"/>
      <c r="H199" s="944"/>
      <c r="I199" s="946" t="s">
        <v>1434</v>
      </c>
      <c r="J199" s="968" t="s">
        <v>703</v>
      </c>
      <c r="K199" s="954" t="s">
        <v>158</v>
      </c>
      <c r="L199" s="949">
        <v>65.0</v>
      </c>
      <c r="M199" s="949">
        <v>60.0</v>
      </c>
      <c r="N199" s="949">
        <v>70.0</v>
      </c>
      <c r="O199" s="949">
        <v>85.0</v>
      </c>
      <c r="P199" s="949">
        <v>75.0</v>
      </c>
      <c r="Q199" s="949">
        <v>40.0</v>
      </c>
      <c r="R199" s="949">
        <v>116.0</v>
      </c>
      <c r="S199" s="949">
        <v>179.0</v>
      </c>
      <c r="T199" s="949">
        <v>196.0</v>
      </c>
      <c r="U199" s="949"/>
      <c r="V199" s="949"/>
      <c r="W199" s="949"/>
      <c r="X199" s="949"/>
      <c r="Y199" s="949"/>
      <c r="Z199" s="949"/>
      <c r="AA199" s="949"/>
      <c r="AB199" s="949"/>
      <c r="AC199" s="949"/>
      <c r="AD199" s="949"/>
      <c r="AE199" s="949"/>
      <c r="AF199" s="949"/>
      <c r="AG199" s="949"/>
      <c r="AH199" s="949"/>
      <c r="AI199" s="949"/>
      <c r="AJ199" s="949"/>
      <c r="AK199" s="949"/>
      <c r="AL199" s="949"/>
      <c r="AM199" s="953" t="s">
        <v>1104</v>
      </c>
      <c r="AN199" s="954" t="s">
        <v>1435</v>
      </c>
      <c r="AO199" s="955" t="s">
        <v>1195</v>
      </c>
      <c r="AP199" s="931"/>
      <c r="AQ199" s="956"/>
      <c r="AR199" s="957"/>
      <c r="AS199" s="931"/>
    </row>
    <row r="200" ht="15.75" customHeight="1">
      <c r="A200" s="931"/>
      <c r="B200" s="941" t="s">
        <v>1436</v>
      </c>
      <c r="C200" s="942" t="s">
        <v>1437</v>
      </c>
      <c r="D200" s="942" t="s">
        <v>1437</v>
      </c>
      <c r="E200" s="943" t="s">
        <v>1437</v>
      </c>
      <c r="F200" s="935"/>
      <c r="G200" s="944"/>
      <c r="H200" s="944"/>
      <c r="I200" s="946" t="s">
        <v>1438</v>
      </c>
      <c r="J200" s="989" t="s">
        <v>713</v>
      </c>
      <c r="K200" s="962" t="s">
        <v>706</v>
      </c>
      <c r="L200" s="949">
        <v>35.0</v>
      </c>
      <c r="M200" s="949">
        <v>40.0</v>
      </c>
      <c r="N200" s="949">
        <v>100.0</v>
      </c>
      <c r="O200" s="949">
        <v>90.0</v>
      </c>
      <c r="P200" s="949">
        <v>55.0</v>
      </c>
      <c r="Q200" s="949">
        <v>35.0</v>
      </c>
      <c r="R200" s="949">
        <v>106.0</v>
      </c>
      <c r="S200" s="949">
        <v>169.0</v>
      </c>
      <c r="T200" s="949">
        <v>185.0</v>
      </c>
      <c r="U200" s="949"/>
      <c r="V200" s="949"/>
      <c r="W200" s="949"/>
      <c r="X200" s="949"/>
      <c r="Y200" s="949"/>
      <c r="Z200" s="949"/>
      <c r="AA200" s="949"/>
      <c r="AB200" s="949"/>
      <c r="AC200" s="949"/>
      <c r="AD200" s="949"/>
      <c r="AE200" s="949"/>
      <c r="AF200" s="949"/>
      <c r="AG200" s="949"/>
      <c r="AH200" s="949"/>
      <c r="AI200" s="949"/>
      <c r="AJ200" s="949"/>
      <c r="AK200" s="949"/>
      <c r="AL200" s="949"/>
      <c r="AM200" s="953" t="s">
        <v>1062</v>
      </c>
      <c r="AN200" s="954" t="s">
        <v>1192</v>
      </c>
      <c r="AO200" s="955" t="s">
        <v>1256</v>
      </c>
      <c r="AP200" s="931"/>
      <c r="AQ200" s="956"/>
      <c r="AR200" s="957"/>
      <c r="AS200" s="931"/>
    </row>
    <row r="201" ht="15.75" customHeight="1">
      <c r="A201" s="931"/>
      <c r="B201" s="941" t="s">
        <v>1439</v>
      </c>
      <c r="C201" s="942" t="s">
        <v>1440</v>
      </c>
      <c r="D201" s="942" t="s">
        <v>1440</v>
      </c>
      <c r="E201" s="943" t="s">
        <v>1440</v>
      </c>
      <c r="F201" s="935"/>
      <c r="G201" s="944"/>
      <c r="H201" s="944"/>
      <c r="I201" s="946" t="s">
        <v>1441</v>
      </c>
      <c r="J201" s="989" t="s">
        <v>713</v>
      </c>
      <c r="K201" s="962" t="s">
        <v>706</v>
      </c>
      <c r="L201" s="949">
        <v>70.0</v>
      </c>
      <c r="M201" s="949">
        <v>60.0</v>
      </c>
      <c r="N201" s="949">
        <v>125.0</v>
      </c>
      <c r="O201" s="949">
        <v>115.0</v>
      </c>
      <c r="P201" s="949">
        <v>70.0</v>
      </c>
      <c r="Q201" s="949">
        <v>55.0</v>
      </c>
      <c r="R201" s="949">
        <v>146.0</v>
      </c>
      <c r="S201" s="949">
        <v>209.0</v>
      </c>
      <c r="T201" s="949">
        <v>229.0</v>
      </c>
      <c r="U201" s="949"/>
      <c r="V201" s="949"/>
      <c r="W201" s="949"/>
      <c r="X201" s="949"/>
      <c r="Y201" s="949"/>
      <c r="Z201" s="949"/>
      <c r="AA201" s="949"/>
      <c r="AB201" s="949"/>
      <c r="AC201" s="949"/>
      <c r="AD201" s="949"/>
      <c r="AE201" s="949"/>
      <c r="AF201" s="949"/>
      <c r="AG201" s="949"/>
      <c r="AH201" s="949"/>
      <c r="AI201" s="949"/>
      <c r="AJ201" s="949"/>
      <c r="AK201" s="949"/>
      <c r="AL201" s="949"/>
      <c r="AM201" s="953" t="s">
        <v>1062</v>
      </c>
      <c r="AN201" s="954" t="s">
        <v>1192</v>
      </c>
      <c r="AO201" s="955" t="s">
        <v>1256</v>
      </c>
      <c r="AP201" s="931"/>
      <c r="AQ201" s="956"/>
      <c r="AR201" s="957"/>
      <c r="AS201" s="931"/>
    </row>
    <row r="202" ht="15.75" customHeight="1">
      <c r="A202" s="931"/>
      <c r="B202" s="941" t="s">
        <v>1442</v>
      </c>
      <c r="C202" s="942" t="s">
        <v>1443</v>
      </c>
      <c r="D202" s="942" t="s">
        <v>1443</v>
      </c>
      <c r="E202" s="943" t="s">
        <v>1443</v>
      </c>
      <c r="F202" s="935"/>
      <c r="G202" s="944"/>
      <c r="H202" s="944"/>
      <c r="I202" s="946" t="s">
        <v>1444</v>
      </c>
      <c r="J202" s="989" t="s">
        <v>713</v>
      </c>
      <c r="K202" s="962" t="s">
        <v>706</v>
      </c>
      <c r="L202" s="949">
        <v>30.0</v>
      </c>
      <c r="M202" s="949">
        <v>80.0</v>
      </c>
      <c r="N202" s="949">
        <v>90.0</v>
      </c>
      <c r="O202" s="949">
        <v>55.0</v>
      </c>
      <c r="P202" s="949">
        <v>45.0</v>
      </c>
      <c r="Q202" s="949">
        <v>55.0</v>
      </c>
      <c r="R202" s="949">
        <v>146.0</v>
      </c>
      <c r="S202" s="949">
        <v>209.0</v>
      </c>
      <c r="T202" s="949">
        <v>229.0</v>
      </c>
      <c r="U202" s="949"/>
      <c r="V202" s="949"/>
      <c r="W202" s="949"/>
      <c r="X202" s="949"/>
      <c r="Y202" s="949"/>
      <c r="Z202" s="949"/>
      <c r="AA202" s="949"/>
      <c r="AB202" s="949"/>
      <c r="AC202" s="949"/>
      <c r="AD202" s="949"/>
      <c r="AE202" s="949"/>
      <c r="AF202" s="949"/>
      <c r="AG202" s="949"/>
      <c r="AH202" s="949"/>
      <c r="AI202" s="949"/>
      <c r="AJ202" s="949"/>
      <c r="AK202" s="949"/>
      <c r="AL202" s="949"/>
      <c r="AM202" s="953" t="s">
        <v>1062</v>
      </c>
      <c r="AN202" s="954" t="s">
        <v>1294</v>
      </c>
      <c r="AO202" s="955" t="s">
        <v>1256</v>
      </c>
      <c r="AP202" s="931"/>
      <c r="AQ202" s="956"/>
      <c r="AR202" s="957"/>
      <c r="AS202" s="931"/>
    </row>
    <row r="203" ht="15.75" customHeight="1">
      <c r="A203" s="931"/>
      <c r="B203" s="941" t="s">
        <v>1445</v>
      </c>
      <c r="C203" s="942" t="s">
        <v>1446</v>
      </c>
      <c r="D203" s="942" t="s">
        <v>1446</v>
      </c>
      <c r="E203" s="943" t="s">
        <v>1446</v>
      </c>
      <c r="F203" s="935"/>
      <c r="G203" s="944"/>
      <c r="H203" s="944"/>
      <c r="I203" s="946" t="s">
        <v>1447</v>
      </c>
      <c r="J203" s="989" t="s">
        <v>713</v>
      </c>
      <c r="K203" s="962" t="s">
        <v>706</v>
      </c>
      <c r="L203" s="949">
        <v>60.0</v>
      </c>
      <c r="M203" s="949">
        <v>115.0</v>
      </c>
      <c r="N203" s="949">
        <v>105.0</v>
      </c>
      <c r="O203" s="949">
        <v>65.0</v>
      </c>
      <c r="P203" s="949">
        <v>70.0</v>
      </c>
      <c r="Q203" s="949">
        <v>80.0</v>
      </c>
      <c r="R203" s="949">
        <v>196.0</v>
      </c>
      <c r="S203" s="949">
        <v>259.0</v>
      </c>
      <c r="T203" s="949">
        <v>284.0</v>
      </c>
      <c r="U203" s="949"/>
      <c r="V203" s="949"/>
      <c r="W203" s="949"/>
      <c r="X203" s="949"/>
      <c r="Y203" s="949"/>
      <c r="Z203" s="949"/>
      <c r="AA203" s="949"/>
      <c r="AB203" s="949"/>
      <c r="AC203" s="949"/>
      <c r="AD203" s="949"/>
      <c r="AE203" s="949"/>
      <c r="AF203" s="949"/>
      <c r="AG203" s="949"/>
      <c r="AH203" s="949"/>
      <c r="AI203" s="949"/>
      <c r="AJ203" s="949"/>
      <c r="AK203" s="949"/>
      <c r="AL203" s="949"/>
      <c r="AM203" s="953" t="s">
        <v>1062</v>
      </c>
      <c r="AN203" s="954" t="s">
        <v>1294</v>
      </c>
      <c r="AO203" s="955" t="s">
        <v>1256</v>
      </c>
      <c r="AP203" s="931"/>
      <c r="AQ203" s="956"/>
      <c r="AR203" s="957"/>
      <c r="AS203" s="931"/>
    </row>
    <row r="204" ht="15.75" customHeight="1">
      <c r="A204" s="963"/>
      <c r="B204" s="941" t="s">
        <v>1448</v>
      </c>
      <c r="C204" s="942" t="s">
        <v>1449</v>
      </c>
      <c r="D204" s="942" t="s">
        <v>1449</v>
      </c>
      <c r="E204" s="943" t="s">
        <v>1449</v>
      </c>
      <c r="F204" s="935"/>
      <c r="G204" s="944"/>
      <c r="H204" s="944"/>
      <c r="I204" s="946" t="s">
        <v>1450</v>
      </c>
      <c r="J204" s="989" t="s">
        <v>713</v>
      </c>
      <c r="K204" s="960" t="s">
        <v>707</v>
      </c>
      <c r="L204" s="949">
        <v>80.0</v>
      </c>
      <c r="M204" s="949">
        <v>105.0</v>
      </c>
      <c r="N204" s="949">
        <v>65.0</v>
      </c>
      <c r="O204" s="949">
        <v>60.0</v>
      </c>
      <c r="P204" s="949">
        <v>75.0</v>
      </c>
      <c r="Q204" s="949">
        <v>130.0</v>
      </c>
      <c r="R204" s="949">
        <v>296.0</v>
      </c>
      <c r="S204" s="949">
        <v>359.0</v>
      </c>
      <c r="T204" s="949">
        <v>394.0</v>
      </c>
      <c r="U204" s="949"/>
      <c r="V204" s="949"/>
      <c r="W204" s="949"/>
      <c r="X204" s="949"/>
      <c r="Y204" s="949"/>
      <c r="Z204" s="949"/>
      <c r="AA204" s="949"/>
      <c r="AB204" s="949"/>
      <c r="AC204" s="949"/>
      <c r="AD204" s="949"/>
      <c r="AE204" s="949"/>
      <c r="AF204" s="949"/>
      <c r="AG204" s="949"/>
      <c r="AH204" s="949"/>
      <c r="AI204" s="949"/>
      <c r="AJ204" s="949"/>
      <c r="AK204" s="949"/>
      <c r="AL204" s="949"/>
      <c r="AM204" s="964" t="s">
        <v>1077</v>
      </c>
      <c r="AN204" s="954" t="s">
        <v>1451</v>
      </c>
      <c r="AO204" s="965" t="s">
        <v>855</v>
      </c>
      <c r="AP204" s="931"/>
      <c r="AQ204" s="956"/>
      <c r="AR204" s="957"/>
      <c r="AS204" s="931"/>
    </row>
    <row r="205" ht="15.75" customHeight="1">
      <c r="A205" s="931"/>
      <c r="B205" s="941" t="s">
        <v>1452</v>
      </c>
      <c r="C205" s="942" t="s">
        <v>1453</v>
      </c>
      <c r="D205" s="942" t="s">
        <v>1453</v>
      </c>
      <c r="E205" s="943" t="s">
        <v>1453</v>
      </c>
      <c r="F205" s="935"/>
      <c r="G205" s="944"/>
      <c r="H205" s="944"/>
      <c r="I205" s="946" t="s">
        <v>1454</v>
      </c>
      <c r="J205" s="989" t="s">
        <v>713</v>
      </c>
      <c r="K205" s="960" t="s">
        <v>707</v>
      </c>
      <c r="L205" s="949">
        <v>80.0</v>
      </c>
      <c r="M205" s="949">
        <v>135.0</v>
      </c>
      <c r="N205" s="949">
        <v>85.0</v>
      </c>
      <c r="O205" s="949">
        <v>70.0</v>
      </c>
      <c r="P205" s="949">
        <v>95.0</v>
      </c>
      <c r="Q205" s="949">
        <v>150.0</v>
      </c>
      <c r="R205" s="949">
        <v>336.0</v>
      </c>
      <c r="S205" s="949">
        <v>399.0</v>
      </c>
      <c r="T205" s="949">
        <v>438.0</v>
      </c>
      <c r="U205" s="949"/>
      <c r="V205" s="949"/>
      <c r="W205" s="949"/>
      <c r="X205" s="949"/>
      <c r="Y205" s="949"/>
      <c r="Z205" s="949"/>
      <c r="AA205" s="949"/>
      <c r="AB205" s="949"/>
      <c r="AC205" s="949"/>
      <c r="AD205" s="949"/>
      <c r="AE205" s="949"/>
      <c r="AF205" s="949"/>
      <c r="AG205" s="949"/>
      <c r="AH205" s="949"/>
      <c r="AI205" s="949"/>
      <c r="AJ205" s="949"/>
      <c r="AK205" s="949"/>
      <c r="AL205" s="949"/>
      <c r="AM205" s="953" t="s">
        <v>762</v>
      </c>
      <c r="AN205" s="954"/>
      <c r="AO205" s="955"/>
      <c r="AP205" s="931"/>
      <c r="AQ205" s="956"/>
      <c r="AR205" s="957"/>
      <c r="AS205" s="931"/>
    </row>
    <row r="206" ht="15.75" customHeight="1">
      <c r="A206" s="931"/>
      <c r="B206" s="941" t="s">
        <v>1455</v>
      </c>
      <c r="C206" s="942" t="s">
        <v>1456</v>
      </c>
      <c r="D206" s="942" t="s">
        <v>1456</v>
      </c>
      <c r="E206" s="943" t="s">
        <v>1456</v>
      </c>
      <c r="F206" s="935"/>
      <c r="G206" s="944"/>
      <c r="H206" s="944"/>
      <c r="I206" s="946" t="s">
        <v>1457</v>
      </c>
      <c r="J206" s="968" t="s">
        <v>703</v>
      </c>
      <c r="K206" s="954" t="s">
        <v>158</v>
      </c>
      <c r="L206" s="949">
        <v>160.0</v>
      </c>
      <c r="M206" s="949">
        <v>110.0</v>
      </c>
      <c r="N206" s="949">
        <v>65.0</v>
      </c>
      <c r="O206" s="949">
        <v>65.0</v>
      </c>
      <c r="P206" s="949">
        <v>110.0</v>
      </c>
      <c r="Q206" s="949">
        <v>30.0</v>
      </c>
      <c r="R206" s="949">
        <v>96.0</v>
      </c>
      <c r="S206" s="949">
        <v>159.0</v>
      </c>
      <c r="T206" s="949">
        <v>174.0</v>
      </c>
      <c r="U206" s="949"/>
      <c r="V206" s="949"/>
      <c r="W206" s="949"/>
      <c r="X206" s="949"/>
      <c r="Y206" s="949"/>
      <c r="Z206" s="949"/>
      <c r="AA206" s="949"/>
      <c r="AB206" s="949"/>
      <c r="AC206" s="949"/>
      <c r="AD206" s="949"/>
      <c r="AE206" s="949"/>
      <c r="AF206" s="949"/>
      <c r="AG206" s="949"/>
      <c r="AH206" s="949"/>
      <c r="AI206" s="949"/>
      <c r="AJ206" s="949"/>
      <c r="AK206" s="949"/>
      <c r="AL206" s="949"/>
      <c r="AM206" s="953" t="s">
        <v>1458</v>
      </c>
      <c r="AN206" s="954" t="s">
        <v>746</v>
      </c>
      <c r="AO206" s="955" t="s">
        <v>837</v>
      </c>
      <c r="AP206" s="931"/>
      <c r="AQ206" s="956"/>
      <c r="AR206" s="957"/>
      <c r="AS206" s="931"/>
    </row>
    <row r="207" ht="15.75" customHeight="1">
      <c r="A207" s="963"/>
      <c r="B207" s="941" t="s">
        <v>1459</v>
      </c>
      <c r="C207" s="942" t="s">
        <v>1460</v>
      </c>
      <c r="D207" s="942" t="s">
        <v>1460</v>
      </c>
      <c r="E207" s="943" t="s">
        <v>1460</v>
      </c>
      <c r="F207" s="935"/>
      <c r="G207" s="944"/>
      <c r="H207" s="944"/>
      <c r="I207" s="946" t="s">
        <v>1461</v>
      </c>
      <c r="J207" s="977" t="s">
        <v>714</v>
      </c>
      <c r="K207" s="960" t="s">
        <v>707</v>
      </c>
      <c r="L207" s="949">
        <v>90.0</v>
      </c>
      <c r="M207" s="949">
        <v>85.0</v>
      </c>
      <c r="N207" s="949">
        <v>100.0</v>
      </c>
      <c r="O207" s="949">
        <v>95.0</v>
      </c>
      <c r="P207" s="949">
        <v>125.0</v>
      </c>
      <c r="Q207" s="949">
        <v>85.0</v>
      </c>
      <c r="R207" s="949">
        <v>206.0</v>
      </c>
      <c r="S207" s="949">
        <v>269.0</v>
      </c>
      <c r="T207" s="949">
        <v>295.0</v>
      </c>
      <c r="U207" s="949"/>
      <c r="V207" s="949"/>
      <c r="W207" s="949"/>
      <c r="X207" s="949"/>
      <c r="Y207" s="949"/>
      <c r="Z207" s="949"/>
      <c r="AA207" s="949"/>
      <c r="AB207" s="949"/>
      <c r="AC207" s="949"/>
      <c r="AD207" s="949"/>
      <c r="AE207" s="949"/>
      <c r="AF207" s="949"/>
      <c r="AG207" s="949"/>
      <c r="AH207" s="949"/>
      <c r="AI207" s="949"/>
      <c r="AJ207" s="949"/>
      <c r="AK207" s="949"/>
      <c r="AL207" s="949"/>
      <c r="AM207" s="964" t="s">
        <v>1451</v>
      </c>
      <c r="AN207" s="973"/>
      <c r="AO207" s="965" t="s">
        <v>929</v>
      </c>
      <c r="AP207" s="931"/>
      <c r="AQ207" s="956"/>
      <c r="AR207" s="957"/>
      <c r="AS207" s="931"/>
    </row>
    <row r="208" ht="15.75" customHeight="1">
      <c r="A208" s="963"/>
      <c r="B208" s="941" t="s">
        <v>1462</v>
      </c>
      <c r="C208" s="942" t="s">
        <v>1463</v>
      </c>
      <c r="D208" s="942" t="s">
        <v>1463</v>
      </c>
      <c r="E208" s="943" t="s">
        <v>1464</v>
      </c>
      <c r="F208" s="935"/>
      <c r="G208" s="944"/>
      <c r="H208" s="944"/>
      <c r="I208" s="946" t="s">
        <v>1465</v>
      </c>
      <c r="J208" s="975" t="s">
        <v>712</v>
      </c>
      <c r="K208" s="960" t="s">
        <v>707</v>
      </c>
      <c r="L208" s="949">
        <v>90.0</v>
      </c>
      <c r="M208" s="949">
        <v>85.0</v>
      </c>
      <c r="N208" s="949">
        <v>85.0</v>
      </c>
      <c r="O208" s="949">
        <v>125.0</v>
      </c>
      <c r="P208" s="949">
        <v>100.0</v>
      </c>
      <c r="Q208" s="949">
        <v>95.0</v>
      </c>
      <c r="R208" s="949">
        <v>226.0</v>
      </c>
      <c r="S208" s="949">
        <v>289.0</v>
      </c>
      <c r="T208" s="949">
        <v>317.0</v>
      </c>
      <c r="U208" s="949"/>
      <c r="V208" s="949"/>
      <c r="W208" s="949"/>
      <c r="X208" s="949"/>
      <c r="Y208" s="949"/>
      <c r="Z208" s="949"/>
      <c r="AA208" s="949"/>
      <c r="AB208" s="949"/>
      <c r="AC208" s="949"/>
      <c r="AD208" s="949"/>
      <c r="AE208" s="949"/>
      <c r="AF208" s="949"/>
      <c r="AG208" s="949"/>
      <c r="AH208" s="949"/>
      <c r="AI208" s="949"/>
      <c r="AJ208" s="949"/>
      <c r="AK208" s="949"/>
      <c r="AL208" s="949"/>
      <c r="AM208" s="964" t="s">
        <v>987</v>
      </c>
      <c r="AN208" s="973"/>
      <c r="AO208" s="965"/>
      <c r="AP208" s="931"/>
      <c r="AQ208" s="956"/>
      <c r="AR208" s="957"/>
      <c r="AS208" s="931"/>
    </row>
    <row r="209" ht="15.75" customHeight="1">
      <c r="A209" s="931"/>
      <c r="B209" s="941" t="s">
        <v>1466</v>
      </c>
      <c r="C209" s="942" t="s">
        <v>1467</v>
      </c>
      <c r="D209" s="942" t="s">
        <v>1467</v>
      </c>
      <c r="E209" s="943" t="s">
        <v>1467</v>
      </c>
      <c r="F209" s="935"/>
      <c r="G209" s="944"/>
      <c r="H209" s="944"/>
      <c r="I209" s="946" t="s">
        <v>1468</v>
      </c>
      <c r="J209" s="970" t="s">
        <v>710</v>
      </c>
      <c r="K209" s="960" t="s">
        <v>707</v>
      </c>
      <c r="L209" s="949">
        <v>90.0</v>
      </c>
      <c r="M209" s="949">
        <v>90.0</v>
      </c>
      <c r="N209" s="949">
        <v>85.0</v>
      </c>
      <c r="O209" s="949">
        <v>125.0</v>
      </c>
      <c r="P209" s="949">
        <v>90.0</v>
      </c>
      <c r="Q209" s="949">
        <v>100.0</v>
      </c>
      <c r="R209" s="949">
        <v>236.0</v>
      </c>
      <c r="S209" s="949">
        <v>299.0</v>
      </c>
      <c r="T209" s="949">
        <v>328.0</v>
      </c>
      <c r="U209" s="949"/>
      <c r="V209" s="949"/>
      <c r="W209" s="949"/>
      <c r="X209" s="949"/>
      <c r="Y209" s="949"/>
      <c r="Z209" s="949"/>
      <c r="AA209" s="949"/>
      <c r="AB209" s="949"/>
      <c r="AC209" s="949"/>
      <c r="AD209" s="949"/>
      <c r="AE209" s="949"/>
      <c r="AF209" s="949"/>
      <c r="AG209" s="949"/>
      <c r="AH209" s="949"/>
      <c r="AI209" s="949"/>
      <c r="AJ209" s="949"/>
      <c r="AK209" s="949"/>
      <c r="AL209" s="949"/>
      <c r="AM209" s="953" t="s">
        <v>1451</v>
      </c>
      <c r="AN209" s="954"/>
      <c r="AO209" s="955" t="s">
        <v>861</v>
      </c>
      <c r="AP209" s="931"/>
      <c r="AQ209" s="956"/>
      <c r="AR209" s="957"/>
      <c r="AS209" s="931"/>
    </row>
    <row r="210" ht="15.75" customHeight="1">
      <c r="A210" s="931"/>
      <c r="B210" s="941" t="s">
        <v>1469</v>
      </c>
      <c r="C210" s="942" t="s">
        <v>1470</v>
      </c>
      <c r="D210" s="942" t="s">
        <v>1470</v>
      </c>
      <c r="E210" s="943" t="s">
        <v>1471</v>
      </c>
      <c r="F210" s="935"/>
      <c r="G210" s="944"/>
      <c r="H210" s="944"/>
      <c r="I210" s="946" t="s">
        <v>1472</v>
      </c>
      <c r="J210" s="988" t="s">
        <v>705</v>
      </c>
      <c r="K210" s="960" t="s">
        <v>707</v>
      </c>
      <c r="L210" s="949">
        <v>90.0</v>
      </c>
      <c r="M210" s="949">
        <v>125.0</v>
      </c>
      <c r="N210" s="949">
        <v>90.0</v>
      </c>
      <c r="O210" s="949">
        <v>85.0</v>
      </c>
      <c r="P210" s="949">
        <v>90.0</v>
      </c>
      <c r="Q210" s="949">
        <v>100.0</v>
      </c>
      <c r="R210" s="949">
        <v>236.0</v>
      </c>
      <c r="S210" s="949">
        <v>299.0</v>
      </c>
      <c r="T210" s="949">
        <v>328.0</v>
      </c>
      <c r="U210" s="949"/>
      <c r="V210" s="949"/>
      <c r="W210" s="949"/>
      <c r="X210" s="949"/>
      <c r="Y210" s="949"/>
      <c r="Z210" s="949"/>
      <c r="AA210" s="949"/>
      <c r="AB210" s="949"/>
      <c r="AC210" s="949"/>
      <c r="AD210" s="949"/>
      <c r="AE210" s="949"/>
      <c r="AF210" s="949"/>
      <c r="AG210" s="949"/>
      <c r="AH210" s="949"/>
      <c r="AI210" s="949"/>
      <c r="AJ210" s="949"/>
      <c r="AK210" s="949"/>
      <c r="AL210" s="949"/>
      <c r="AM210" s="953" t="s">
        <v>1069</v>
      </c>
      <c r="AN210" s="954"/>
      <c r="AO210" s="955"/>
      <c r="AP210" s="931"/>
      <c r="AQ210" s="956"/>
      <c r="AR210" s="957"/>
      <c r="AS210" s="931"/>
    </row>
    <row r="211" ht="15.75" customHeight="1">
      <c r="A211" s="931"/>
      <c r="B211" s="941" t="s">
        <v>1473</v>
      </c>
      <c r="C211" s="942" t="s">
        <v>1474</v>
      </c>
      <c r="D211" s="942" t="s">
        <v>1474</v>
      </c>
      <c r="E211" s="943" t="s">
        <v>1474</v>
      </c>
      <c r="F211" s="935"/>
      <c r="G211" s="944"/>
      <c r="H211" s="944"/>
      <c r="I211" s="946" t="s">
        <v>1475</v>
      </c>
      <c r="J211" s="958" t="s">
        <v>704</v>
      </c>
      <c r="K211" s="960" t="s">
        <v>707</v>
      </c>
      <c r="L211" s="949">
        <v>90.0</v>
      </c>
      <c r="M211" s="949">
        <v>100.0</v>
      </c>
      <c r="N211" s="949">
        <v>90.0</v>
      </c>
      <c r="O211" s="949">
        <v>125.0</v>
      </c>
      <c r="P211" s="949">
        <v>85.0</v>
      </c>
      <c r="Q211" s="949">
        <v>90.0</v>
      </c>
      <c r="R211" s="949">
        <v>216.0</v>
      </c>
      <c r="S211" s="949">
        <v>279.0</v>
      </c>
      <c r="T211" s="949">
        <v>306.0</v>
      </c>
      <c r="U211" s="949"/>
      <c r="V211" s="949"/>
      <c r="W211" s="949"/>
      <c r="X211" s="949"/>
      <c r="Y211" s="949"/>
      <c r="Z211" s="949"/>
      <c r="AA211" s="949"/>
      <c r="AB211" s="949"/>
      <c r="AC211" s="949"/>
      <c r="AD211" s="949"/>
      <c r="AE211" s="949"/>
      <c r="AF211" s="949"/>
      <c r="AG211" s="949"/>
      <c r="AH211" s="949"/>
      <c r="AI211" s="949"/>
      <c r="AJ211" s="949"/>
      <c r="AK211" s="949"/>
      <c r="AL211" s="949"/>
      <c r="AM211" s="953" t="s">
        <v>1451</v>
      </c>
      <c r="AN211" s="954"/>
      <c r="AO211" s="955" t="s">
        <v>1159</v>
      </c>
      <c r="AP211" s="931"/>
      <c r="AQ211" s="956"/>
      <c r="AR211" s="957"/>
      <c r="AS211" s="931"/>
    </row>
    <row r="212" ht="15.75" customHeight="1">
      <c r="A212" s="931"/>
      <c r="B212" s="941" t="s">
        <v>1476</v>
      </c>
      <c r="C212" s="942" t="s">
        <v>1477</v>
      </c>
      <c r="D212" s="942" t="s">
        <v>1477</v>
      </c>
      <c r="E212" s="943" t="s">
        <v>1478</v>
      </c>
      <c r="F212" s="935"/>
      <c r="G212" s="944"/>
      <c r="H212" s="944"/>
      <c r="I212" s="946" t="s">
        <v>1479</v>
      </c>
      <c r="J212" s="969" t="s">
        <v>718</v>
      </c>
      <c r="K212" s="960" t="s">
        <v>707</v>
      </c>
      <c r="L212" s="949">
        <v>90.0</v>
      </c>
      <c r="M212" s="949">
        <v>85.0</v>
      </c>
      <c r="N212" s="949">
        <v>90.0</v>
      </c>
      <c r="O212" s="949">
        <v>100.0</v>
      </c>
      <c r="P212" s="949">
        <v>125.0</v>
      </c>
      <c r="Q212" s="949">
        <v>90.0</v>
      </c>
      <c r="R212" s="949">
        <v>216.0</v>
      </c>
      <c r="S212" s="949">
        <v>279.0</v>
      </c>
      <c r="T212" s="949">
        <v>306.0</v>
      </c>
      <c r="U212" s="949"/>
      <c r="V212" s="949"/>
      <c r="W212" s="949"/>
      <c r="X212" s="949"/>
      <c r="Y212" s="949"/>
      <c r="Z212" s="949"/>
      <c r="AA212" s="949"/>
      <c r="AB212" s="949"/>
      <c r="AC212" s="949"/>
      <c r="AD212" s="949"/>
      <c r="AE212" s="949"/>
      <c r="AF212" s="949"/>
      <c r="AG212" s="949"/>
      <c r="AH212" s="949"/>
      <c r="AI212" s="949"/>
      <c r="AJ212" s="949"/>
      <c r="AK212" s="949"/>
      <c r="AL212" s="949"/>
      <c r="AM212" s="953" t="s">
        <v>1480</v>
      </c>
      <c r="AN212" s="954"/>
      <c r="AO212" s="955"/>
      <c r="AP212" s="931"/>
      <c r="AQ212" s="956"/>
      <c r="AR212" s="957"/>
      <c r="AS212" s="931"/>
    </row>
    <row r="213" ht="15.75" customHeight="1">
      <c r="A213" s="931"/>
      <c r="B213" s="941" t="s">
        <v>1481</v>
      </c>
      <c r="C213" s="942" t="s">
        <v>1482</v>
      </c>
      <c r="D213" s="942" t="s">
        <v>1482</v>
      </c>
      <c r="E213" s="943" t="s">
        <v>1482</v>
      </c>
      <c r="F213" s="935"/>
      <c r="G213" s="944"/>
      <c r="H213" s="944"/>
      <c r="I213" s="946" t="s">
        <v>575</v>
      </c>
      <c r="J213" s="961" t="s">
        <v>716</v>
      </c>
      <c r="K213" s="954" t="s">
        <v>158</v>
      </c>
      <c r="L213" s="949">
        <v>41.0</v>
      </c>
      <c r="M213" s="949">
        <v>64.0</v>
      </c>
      <c r="N213" s="949">
        <v>45.0</v>
      </c>
      <c r="O213" s="949">
        <v>50.0</v>
      </c>
      <c r="P213" s="949">
        <v>50.0</v>
      </c>
      <c r="Q213" s="949">
        <v>50.0</v>
      </c>
      <c r="R213" s="949">
        <v>136.0</v>
      </c>
      <c r="S213" s="949">
        <v>199.0</v>
      </c>
      <c r="T213" s="949">
        <v>218.0</v>
      </c>
      <c r="U213" s="949"/>
      <c r="V213" s="949"/>
      <c r="W213" s="949"/>
      <c r="X213" s="949"/>
      <c r="Y213" s="949"/>
      <c r="Z213" s="949"/>
      <c r="AA213" s="949"/>
      <c r="AB213" s="949"/>
      <c r="AC213" s="949"/>
      <c r="AD213" s="949"/>
      <c r="AE213" s="949"/>
      <c r="AF213" s="949"/>
      <c r="AG213" s="949"/>
      <c r="AH213" s="949"/>
      <c r="AI213" s="949"/>
      <c r="AJ213" s="949"/>
      <c r="AK213" s="949"/>
      <c r="AL213" s="949"/>
      <c r="AM213" s="953" t="s">
        <v>791</v>
      </c>
      <c r="AN213" s="954"/>
      <c r="AO213" s="955" t="s">
        <v>1483</v>
      </c>
      <c r="AP213" s="931"/>
      <c r="AQ213" s="956"/>
      <c r="AR213" s="957"/>
      <c r="AS213" s="931"/>
    </row>
    <row r="214" ht="15.75" customHeight="1">
      <c r="A214" s="931"/>
      <c r="B214" s="941" t="s">
        <v>1484</v>
      </c>
      <c r="C214" s="942" t="s">
        <v>1485</v>
      </c>
      <c r="D214" s="942" t="s">
        <v>1485</v>
      </c>
      <c r="E214" s="943" t="s">
        <v>1485</v>
      </c>
      <c r="F214" s="935"/>
      <c r="G214" s="944"/>
      <c r="H214" s="944"/>
      <c r="I214" s="946" t="s">
        <v>527</v>
      </c>
      <c r="J214" s="961" t="s">
        <v>716</v>
      </c>
      <c r="K214" s="954" t="s">
        <v>158</v>
      </c>
      <c r="L214" s="949">
        <v>61.0</v>
      </c>
      <c r="M214" s="949">
        <v>84.0</v>
      </c>
      <c r="N214" s="949">
        <v>65.0</v>
      </c>
      <c r="O214" s="949">
        <v>70.0</v>
      </c>
      <c r="P214" s="949">
        <v>70.0</v>
      </c>
      <c r="Q214" s="949">
        <v>70.0</v>
      </c>
      <c r="R214" s="949">
        <v>176.0</v>
      </c>
      <c r="S214" s="949">
        <v>239.0</v>
      </c>
      <c r="T214" s="949">
        <v>262.0</v>
      </c>
      <c r="U214" s="949"/>
      <c r="V214" s="949"/>
      <c r="W214" s="949"/>
      <c r="X214" s="949"/>
      <c r="Y214" s="949"/>
      <c r="Z214" s="949"/>
      <c r="AA214" s="949"/>
      <c r="AB214" s="949"/>
      <c r="AC214" s="949"/>
      <c r="AD214" s="949"/>
      <c r="AE214" s="949"/>
      <c r="AF214" s="949"/>
      <c r="AG214" s="949"/>
      <c r="AH214" s="949"/>
      <c r="AI214" s="949"/>
      <c r="AJ214" s="949"/>
      <c r="AK214" s="949"/>
      <c r="AL214" s="949"/>
      <c r="AM214" s="953" t="s">
        <v>791</v>
      </c>
      <c r="AN214" s="954"/>
      <c r="AO214" s="955" t="s">
        <v>1483</v>
      </c>
      <c r="AP214" s="931"/>
      <c r="AQ214" s="956"/>
      <c r="AR214" s="957"/>
      <c r="AS214" s="931"/>
    </row>
    <row r="215" ht="15.75" customHeight="1">
      <c r="A215" s="963"/>
      <c r="B215" s="941" t="s">
        <v>1486</v>
      </c>
      <c r="C215" s="942" t="s">
        <v>259</v>
      </c>
      <c r="D215" s="942" t="s">
        <v>259</v>
      </c>
      <c r="E215" s="943" t="s">
        <v>259</v>
      </c>
      <c r="F215" s="935"/>
      <c r="G215" s="944"/>
      <c r="H215" s="944"/>
      <c r="I215" s="946" t="s">
        <v>80</v>
      </c>
      <c r="J215" s="961" t="s">
        <v>716</v>
      </c>
      <c r="K215" s="960" t="s">
        <v>707</v>
      </c>
      <c r="L215" s="949">
        <v>91.0</v>
      </c>
      <c r="M215" s="949">
        <v>134.0</v>
      </c>
      <c r="N215" s="949">
        <v>95.0</v>
      </c>
      <c r="O215" s="949">
        <v>100.0</v>
      </c>
      <c r="P215" s="949">
        <v>100.0</v>
      </c>
      <c r="Q215" s="949">
        <v>80.0</v>
      </c>
      <c r="R215" s="949">
        <v>196.0</v>
      </c>
      <c r="S215" s="949">
        <v>259.0</v>
      </c>
      <c r="T215" s="949">
        <v>284.0</v>
      </c>
      <c r="U215" s="949"/>
      <c r="V215" s="949"/>
      <c r="W215" s="949"/>
      <c r="X215" s="949"/>
      <c r="Y215" s="949"/>
      <c r="Z215" s="949"/>
      <c r="AA215" s="949"/>
      <c r="AB215" s="949"/>
      <c r="AC215" s="949"/>
      <c r="AD215" s="949"/>
      <c r="AE215" s="949"/>
      <c r="AF215" s="949"/>
      <c r="AG215" s="949"/>
      <c r="AH215" s="949"/>
      <c r="AI215" s="949"/>
      <c r="AJ215" s="949"/>
      <c r="AK215" s="949"/>
      <c r="AL215" s="949"/>
      <c r="AM215" s="964" t="s">
        <v>994</v>
      </c>
      <c r="AN215" s="954"/>
      <c r="AO215" s="955" t="s">
        <v>1487</v>
      </c>
      <c r="AP215" s="931"/>
      <c r="AQ215" s="956"/>
      <c r="AR215" s="957"/>
      <c r="AS215" s="931"/>
    </row>
    <row r="216" ht="15.75" customHeight="1">
      <c r="A216" s="931"/>
      <c r="B216" s="941" t="s">
        <v>1488</v>
      </c>
      <c r="C216" s="942" t="s">
        <v>268</v>
      </c>
      <c r="D216" s="942" t="s">
        <v>268</v>
      </c>
      <c r="E216" s="943" t="s">
        <v>268</v>
      </c>
      <c r="F216" s="935"/>
      <c r="G216" s="944"/>
      <c r="H216" s="944"/>
      <c r="I216" s="946" t="s">
        <v>269</v>
      </c>
      <c r="J216" s="975" t="s">
        <v>712</v>
      </c>
      <c r="K216" s="954" t="s">
        <v>158</v>
      </c>
      <c r="L216" s="949">
        <v>106.0</v>
      </c>
      <c r="M216" s="949">
        <v>110.0</v>
      </c>
      <c r="N216" s="949">
        <v>90.0</v>
      </c>
      <c r="O216" s="949">
        <v>154.0</v>
      </c>
      <c r="P216" s="949">
        <v>90.0</v>
      </c>
      <c r="Q216" s="949">
        <v>130.0</v>
      </c>
      <c r="R216" s="949">
        <v>296.0</v>
      </c>
      <c r="S216" s="949">
        <v>359.0</v>
      </c>
      <c r="T216" s="949">
        <v>394.0</v>
      </c>
      <c r="U216" s="949"/>
      <c r="V216" s="949"/>
      <c r="W216" s="949"/>
      <c r="X216" s="949"/>
      <c r="Y216" s="949"/>
      <c r="Z216" s="949"/>
      <c r="AA216" s="949"/>
      <c r="AB216" s="949"/>
      <c r="AC216" s="949"/>
      <c r="AD216" s="949"/>
      <c r="AE216" s="949"/>
      <c r="AF216" s="949"/>
      <c r="AG216" s="949"/>
      <c r="AH216" s="949"/>
      <c r="AI216" s="949"/>
      <c r="AJ216" s="949"/>
      <c r="AK216" s="949"/>
      <c r="AL216" s="949"/>
      <c r="AM216" s="953" t="s">
        <v>1451</v>
      </c>
      <c r="AN216" s="954"/>
      <c r="AO216" s="955" t="s">
        <v>855</v>
      </c>
      <c r="AP216" s="931"/>
      <c r="AQ216" s="956"/>
      <c r="AR216" s="957"/>
      <c r="AS216" s="931"/>
    </row>
    <row r="217" ht="15.75" customHeight="1">
      <c r="A217" s="931"/>
      <c r="B217" s="941" t="s">
        <v>1489</v>
      </c>
      <c r="C217" s="942" t="s">
        <v>1490</v>
      </c>
      <c r="D217" s="942" t="s">
        <v>1491</v>
      </c>
      <c r="E217" s="943" t="s">
        <v>1490</v>
      </c>
      <c r="F217" s="935"/>
      <c r="G217" s="944"/>
      <c r="H217" s="944"/>
      <c r="I217" s="946" t="s">
        <v>1492</v>
      </c>
      <c r="J217" s="975" t="s">
        <v>712</v>
      </c>
      <c r="K217" s="988" t="s">
        <v>705</v>
      </c>
      <c r="L217" s="949">
        <v>106.0</v>
      </c>
      <c r="M217" s="949">
        <v>190.0</v>
      </c>
      <c r="N217" s="949">
        <v>100.0</v>
      </c>
      <c r="O217" s="949">
        <v>154.0</v>
      </c>
      <c r="P217" s="949">
        <v>100.0</v>
      </c>
      <c r="Q217" s="949">
        <v>130.0</v>
      </c>
      <c r="R217" s="949">
        <v>296.0</v>
      </c>
      <c r="S217" s="949">
        <v>359.0</v>
      </c>
      <c r="T217" s="949">
        <v>394.0</v>
      </c>
      <c r="U217" s="949"/>
      <c r="V217" s="949"/>
      <c r="W217" s="949"/>
      <c r="X217" s="949"/>
      <c r="Y217" s="949"/>
      <c r="Z217" s="949"/>
      <c r="AA217" s="949"/>
      <c r="AB217" s="949"/>
      <c r="AC217" s="949"/>
      <c r="AD217" s="949"/>
      <c r="AE217" s="949"/>
      <c r="AF217" s="949"/>
      <c r="AG217" s="949"/>
      <c r="AH217" s="949"/>
      <c r="AI217" s="949"/>
      <c r="AJ217" s="949"/>
      <c r="AK217" s="949"/>
      <c r="AL217" s="949"/>
      <c r="AM217" s="953" t="s">
        <v>1108</v>
      </c>
      <c r="AN217" s="954"/>
      <c r="AO217" s="955"/>
      <c r="AP217" s="931"/>
      <c r="AQ217" s="956"/>
      <c r="AR217" s="957"/>
      <c r="AS217" s="931"/>
    </row>
    <row r="218" ht="15.75" customHeight="1">
      <c r="A218" s="931"/>
      <c r="B218" s="941" t="s">
        <v>1493</v>
      </c>
      <c r="C218" s="942" t="s">
        <v>1494</v>
      </c>
      <c r="D218" s="942" t="s">
        <v>1495</v>
      </c>
      <c r="E218" s="943" t="s">
        <v>1494</v>
      </c>
      <c r="F218" s="935"/>
      <c r="G218" s="944"/>
      <c r="H218" s="944"/>
      <c r="I218" s="946" t="s">
        <v>1496</v>
      </c>
      <c r="J218" s="975" t="s">
        <v>712</v>
      </c>
      <c r="K218" s="954" t="s">
        <v>158</v>
      </c>
      <c r="L218" s="949">
        <v>106.0</v>
      </c>
      <c r="M218" s="949">
        <v>150.0</v>
      </c>
      <c r="N218" s="949">
        <v>70.0</v>
      </c>
      <c r="O218" s="949">
        <v>194.0</v>
      </c>
      <c r="P218" s="949">
        <v>120.0</v>
      </c>
      <c r="Q218" s="949">
        <v>140.0</v>
      </c>
      <c r="R218" s="949">
        <v>316.0</v>
      </c>
      <c r="S218" s="949">
        <v>379.0</v>
      </c>
      <c r="T218" s="949">
        <v>416.0</v>
      </c>
      <c r="U218" s="949"/>
      <c r="V218" s="949"/>
      <c r="W218" s="949"/>
      <c r="X218" s="949"/>
      <c r="Y218" s="949"/>
      <c r="Z218" s="949"/>
      <c r="AA218" s="949"/>
      <c r="AB218" s="949"/>
      <c r="AC218" s="949"/>
      <c r="AD218" s="949"/>
      <c r="AE218" s="949"/>
      <c r="AF218" s="949"/>
      <c r="AG218" s="949"/>
      <c r="AH218" s="949"/>
      <c r="AI218" s="949"/>
      <c r="AJ218" s="949"/>
      <c r="AK218" s="949"/>
      <c r="AL218" s="949"/>
      <c r="AM218" s="953" t="s">
        <v>1259</v>
      </c>
      <c r="AN218" s="954"/>
      <c r="AO218" s="955"/>
      <c r="AP218" s="931"/>
      <c r="AQ218" s="956"/>
      <c r="AR218" s="957"/>
      <c r="AS218" s="931"/>
    </row>
    <row r="219" ht="15.75" customHeight="1">
      <c r="A219" s="931"/>
      <c r="B219" s="941" t="s">
        <v>1497</v>
      </c>
      <c r="C219" s="942" t="s">
        <v>1498</v>
      </c>
      <c r="D219" s="942" t="s">
        <v>1498</v>
      </c>
      <c r="E219" s="943" t="s">
        <v>1498</v>
      </c>
      <c r="F219" s="935"/>
      <c r="G219" s="944"/>
      <c r="H219" s="944"/>
      <c r="I219" s="946" t="s">
        <v>1499</v>
      </c>
      <c r="J219" s="975" t="s">
        <v>712</v>
      </c>
      <c r="K219" s="954" t="s">
        <v>158</v>
      </c>
      <c r="L219" s="949">
        <v>100.0</v>
      </c>
      <c r="M219" s="949">
        <v>100.0</v>
      </c>
      <c r="N219" s="949">
        <v>100.0</v>
      </c>
      <c r="O219" s="949">
        <v>100.0</v>
      </c>
      <c r="P219" s="949">
        <v>100.0</v>
      </c>
      <c r="Q219" s="949">
        <v>100.0</v>
      </c>
      <c r="R219" s="949">
        <v>236.0</v>
      </c>
      <c r="S219" s="949">
        <v>299.0</v>
      </c>
      <c r="T219" s="949">
        <v>328.0</v>
      </c>
      <c r="U219" s="949"/>
      <c r="V219" s="949"/>
      <c r="W219" s="949"/>
      <c r="X219" s="949"/>
      <c r="Y219" s="949"/>
      <c r="Z219" s="949"/>
      <c r="AA219" s="949"/>
      <c r="AB219" s="949"/>
      <c r="AC219" s="949"/>
      <c r="AD219" s="949"/>
      <c r="AE219" s="949"/>
      <c r="AF219" s="949"/>
      <c r="AG219" s="949"/>
      <c r="AH219" s="949"/>
      <c r="AI219" s="949"/>
      <c r="AJ219" s="949"/>
      <c r="AK219" s="949"/>
      <c r="AL219" s="949"/>
      <c r="AM219" s="953" t="s">
        <v>1094</v>
      </c>
      <c r="AN219" s="954"/>
      <c r="AO219" s="955"/>
      <c r="AP219" s="931"/>
      <c r="AQ219" s="956"/>
      <c r="AR219" s="957"/>
      <c r="AS219" s="931"/>
    </row>
    <row r="220" ht="15.75" customHeight="1">
      <c r="A220" s="931"/>
      <c r="B220" s="941" t="s">
        <v>1500</v>
      </c>
      <c r="C220" s="942" t="s">
        <v>1501</v>
      </c>
      <c r="D220" s="942" t="s">
        <v>1501</v>
      </c>
      <c r="E220" s="943" t="s">
        <v>1501</v>
      </c>
      <c r="F220" s="935"/>
      <c r="G220" s="944"/>
      <c r="H220" s="944"/>
      <c r="I220" s="946" t="s">
        <v>1502</v>
      </c>
      <c r="J220" s="947" t="s">
        <v>708</v>
      </c>
      <c r="K220" s="954" t="s">
        <v>158</v>
      </c>
      <c r="L220" s="949">
        <v>45.0</v>
      </c>
      <c r="M220" s="949">
        <v>49.0</v>
      </c>
      <c r="N220" s="949">
        <v>65.0</v>
      </c>
      <c r="O220" s="949">
        <v>49.0</v>
      </c>
      <c r="P220" s="949">
        <v>65.0</v>
      </c>
      <c r="Q220" s="949">
        <v>45.0</v>
      </c>
      <c r="R220" s="949">
        <v>126.0</v>
      </c>
      <c r="S220" s="949">
        <v>189.0</v>
      </c>
      <c r="T220" s="949">
        <v>207.0</v>
      </c>
      <c r="U220" s="949"/>
      <c r="V220" s="949"/>
      <c r="W220" s="949"/>
      <c r="X220" s="949"/>
      <c r="Y220" s="949"/>
      <c r="Z220" s="949"/>
      <c r="AA220" s="949"/>
      <c r="AB220" s="949"/>
      <c r="AC220" s="949"/>
      <c r="AD220" s="949"/>
      <c r="AE220" s="949"/>
      <c r="AF220" s="949"/>
      <c r="AG220" s="949"/>
      <c r="AH220" s="949"/>
      <c r="AI220" s="949"/>
      <c r="AJ220" s="949"/>
      <c r="AK220" s="949"/>
      <c r="AL220" s="949"/>
      <c r="AM220" s="953" t="s">
        <v>735</v>
      </c>
      <c r="AN220" s="954"/>
      <c r="AO220" s="955" t="s">
        <v>1339</v>
      </c>
      <c r="AP220" s="931"/>
      <c r="AQ220" s="956"/>
      <c r="AR220" s="957"/>
      <c r="AS220" s="931"/>
    </row>
    <row r="221" ht="15.75" customHeight="1">
      <c r="A221" s="963"/>
      <c r="B221" s="941" t="s">
        <v>1503</v>
      </c>
      <c r="C221" s="971" t="s">
        <v>1504</v>
      </c>
      <c r="D221" s="971" t="s">
        <v>1504</v>
      </c>
      <c r="E221" s="966" t="s">
        <v>1504</v>
      </c>
      <c r="F221" s="935"/>
      <c r="G221" s="944"/>
      <c r="H221" s="944"/>
      <c r="I221" s="959" t="s">
        <v>1505</v>
      </c>
      <c r="J221" s="1002" t="s">
        <v>708</v>
      </c>
      <c r="K221" s="973" t="s">
        <v>158</v>
      </c>
      <c r="L221" s="974">
        <v>60.0</v>
      </c>
      <c r="M221" s="974">
        <v>62.0</v>
      </c>
      <c r="N221" s="974">
        <v>80.0</v>
      </c>
      <c r="O221" s="974">
        <v>63.0</v>
      </c>
      <c r="P221" s="974">
        <v>80.0</v>
      </c>
      <c r="Q221" s="974">
        <v>60.0</v>
      </c>
      <c r="R221" s="949">
        <v>156.0</v>
      </c>
      <c r="S221" s="949">
        <v>219.0</v>
      </c>
      <c r="T221" s="949">
        <v>240.0</v>
      </c>
      <c r="U221" s="949"/>
      <c r="V221" s="949"/>
      <c r="W221" s="949"/>
      <c r="X221" s="949"/>
      <c r="Y221" s="949"/>
      <c r="Z221" s="949"/>
      <c r="AA221" s="949"/>
      <c r="AB221" s="949"/>
      <c r="AC221" s="949"/>
      <c r="AD221" s="949"/>
      <c r="AE221" s="949"/>
      <c r="AF221" s="949"/>
      <c r="AG221" s="949"/>
      <c r="AH221" s="949"/>
      <c r="AI221" s="949"/>
      <c r="AJ221" s="949"/>
      <c r="AK221" s="949"/>
      <c r="AL221" s="949"/>
      <c r="AM221" s="964" t="s">
        <v>735</v>
      </c>
      <c r="AN221" s="954"/>
      <c r="AO221" s="965" t="s">
        <v>1339</v>
      </c>
      <c r="AP221" s="931"/>
      <c r="AQ221" s="956"/>
      <c r="AR221" s="957"/>
      <c r="AS221" s="931"/>
    </row>
    <row r="222" ht="15.75" customHeight="1">
      <c r="A222" s="931"/>
      <c r="B222" s="941" t="s">
        <v>1506</v>
      </c>
      <c r="C222" s="942" t="s">
        <v>1507</v>
      </c>
      <c r="D222" s="942" t="s">
        <v>1507</v>
      </c>
      <c r="E222" s="943" t="s">
        <v>1507</v>
      </c>
      <c r="F222" s="935"/>
      <c r="G222" s="944"/>
      <c r="H222" s="944"/>
      <c r="I222" s="946" t="s">
        <v>1508</v>
      </c>
      <c r="J222" s="947" t="s">
        <v>708</v>
      </c>
      <c r="K222" s="954" t="s">
        <v>158</v>
      </c>
      <c r="L222" s="949">
        <v>80.0</v>
      </c>
      <c r="M222" s="949">
        <v>82.0</v>
      </c>
      <c r="N222" s="949">
        <v>100.0</v>
      </c>
      <c r="O222" s="949">
        <v>83.0</v>
      </c>
      <c r="P222" s="949">
        <v>100.0</v>
      </c>
      <c r="Q222" s="949">
        <v>80.0</v>
      </c>
      <c r="R222" s="949">
        <v>196.0</v>
      </c>
      <c r="S222" s="949">
        <v>259.0</v>
      </c>
      <c r="T222" s="949">
        <v>284.0</v>
      </c>
      <c r="U222" s="949"/>
      <c r="V222" s="949"/>
      <c r="W222" s="949"/>
      <c r="X222" s="949"/>
      <c r="Y222" s="949"/>
      <c r="Z222" s="949"/>
      <c r="AA222" s="949"/>
      <c r="AB222" s="949"/>
      <c r="AC222" s="949"/>
      <c r="AD222" s="949"/>
      <c r="AE222" s="949"/>
      <c r="AF222" s="949"/>
      <c r="AG222" s="949"/>
      <c r="AH222" s="949"/>
      <c r="AI222" s="949"/>
      <c r="AJ222" s="949"/>
      <c r="AK222" s="949"/>
      <c r="AL222" s="949"/>
      <c r="AM222" s="953" t="s">
        <v>735</v>
      </c>
      <c r="AN222" s="954"/>
      <c r="AO222" s="955" t="s">
        <v>1339</v>
      </c>
      <c r="AP222" s="931"/>
      <c r="AQ222" s="956"/>
      <c r="AR222" s="957"/>
      <c r="AS222" s="931"/>
    </row>
    <row r="223" ht="15.75" customHeight="1">
      <c r="A223" s="931"/>
      <c r="B223" s="941" t="s">
        <v>1509</v>
      </c>
      <c r="C223" s="942" t="s">
        <v>1510</v>
      </c>
      <c r="D223" s="942" t="s">
        <v>1510</v>
      </c>
      <c r="E223" s="943" t="s">
        <v>1510</v>
      </c>
      <c r="F223" s="935"/>
      <c r="G223" s="944"/>
      <c r="H223" s="944"/>
      <c r="I223" s="946" t="s">
        <v>1511</v>
      </c>
      <c r="J223" s="958" t="s">
        <v>704</v>
      </c>
      <c r="K223" s="954" t="s">
        <v>158</v>
      </c>
      <c r="L223" s="949">
        <v>39.0</v>
      </c>
      <c r="M223" s="949">
        <v>52.0</v>
      </c>
      <c r="N223" s="949">
        <v>43.0</v>
      </c>
      <c r="O223" s="949">
        <v>60.0</v>
      </c>
      <c r="P223" s="949">
        <v>50.0</v>
      </c>
      <c r="Q223" s="949">
        <v>65.0</v>
      </c>
      <c r="R223" s="949">
        <v>166.0</v>
      </c>
      <c r="S223" s="949">
        <v>229.0</v>
      </c>
      <c r="T223" s="949">
        <v>251.0</v>
      </c>
      <c r="U223" s="949"/>
      <c r="V223" s="949"/>
      <c r="W223" s="949"/>
      <c r="X223" s="949"/>
      <c r="Y223" s="949"/>
      <c r="Z223" s="949"/>
      <c r="AA223" s="949"/>
      <c r="AB223" s="949"/>
      <c r="AC223" s="949"/>
      <c r="AD223" s="949"/>
      <c r="AE223" s="949"/>
      <c r="AF223" s="949"/>
      <c r="AG223" s="949"/>
      <c r="AH223" s="949"/>
      <c r="AI223" s="949"/>
      <c r="AJ223" s="949"/>
      <c r="AK223" s="949"/>
      <c r="AL223" s="949"/>
      <c r="AM223" s="953" t="s">
        <v>750</v>
      </c>
      <c r="AN223" s="954"/>
      <c r="AO223" s="955" t="s">
        <v>972</v>
      </c>
      <c r="AP223" s="931"/>
      <c r="AQ223" s="956"/>
      <c r="AR223" s="957"/>
      <c r="AS223" s="931"/>
    </row>
    <row r="224" ht="15.75" customHeight="1">
      <c r="A224" s="931"/>
      <c r="B224" s="941" t="s">
        <v>1512</v>
      </c>
      <c r="C224" s="942" t="s">
        <v>1513</v>
      </c>
      <c r="D224" s="942" t="s">
        <v>1513</v>
      </c>
      <c r="E224" s="943" t="s">
        <v>1513</v>
      </c>
      <c r="F224" s="935"/>
      <c r="G224" s="944"/>
      <c r="H224" s="944"/>
      <c r="I224" s="946" t="s">
        <v>1514</v>
      </c>
      <c r="J224" s="958" t="s">
        <v>704</v>
      </c>
      <c r="K224" s="954" t="s">
        <v>158</v>
      </c>
      <c r="L224" s="949">
        <v>58.0</v>
      </c>
      <c r="M224" s="949">
        <v>64.0</v>
      </c>
      <c r="N224" s="949">
        <v>58.0</v>
      </c>
      <c r="O224" s="949">
        <v>80.0</v>
      </c>
      <c r="P224" s="949">
        <v>65.0</v>
      </c>
      <c r="Q224" s="949">
        <v>80.0</v>
      </c>
      <c r="R224" s="949">
        <v>196.0</v>
      </c>
      <c r="S224" s="949">
        <v>259.0</v>
      </c>
      <c r="T224" s="949">
        <v>284.0</v>
      </c>
      <c r="U224" s="949"/>
      <c r="V224" s="949"/>
      <c r="W224" s="949"/>
      <c r="X224" s="949"/>
      <c r="Y224" s="949"/>
      <c r="Z224" s="949"/>
      <c r="AA224" s="949"/>
      <c r="AB224" s="949"/>
      <c r="AC224" s="949"/>
      <c r="AD224" s="949"/>
      <c r="AE224" s="949"/>
      <c r="AF224" s="949"/>
      <c r="AG224" s="949"/>
      <c r="AH224" s="949"/>
      <c r="AI224" s="949"/>
      <c r="AJ224" s="949"/>
      <c r="AK224" s="949"/>
      <c r="AL224" s="949"/>
      <c r="AM224" s="953" t="s">
        <v>750</v>
      </c>
      <c r="AN224" s="954"/>
      <c r="AO224" s="955" t="s">
        <v>972</v>
      </c>
      <c r="AP224" s="931"/>
      <c r="AQ224" s="956"/>
      <c r="AR224" s="957"/>
      <c r="AS224" s="931"/>
    </row>
    <row r="225" ht="15.75" customHeight="1">
      <c r="A225" s="931"/>
      <c r="B225" s="941" t="s">
        <v>1515</v>
      </c>
      <c r="C225" s="942" t="s">
        <v>1516</v>
      </c>
      <c r="D225" s="942" t="s">
        <v>1516</v>
      </c>
      <c r="E225" s="943" t="s">
        <v>1516</v>
      </c>
      <c r="F225" s="935"/>
      <c r="G225" s="944"/>
      <c r="H225" s="944"/>
      <c r="I225" s="946" t="s">
        <v>1517</v>
      </c>
      <c r="J225" s="958" t="s">
        <v>704</v>
      </c>
      <c r="K225" s="954" t="s">
        <v>158</v>
      </c>
      <c r="L225" s="949">
        <v>78.0</v>
      </c>
      <c r="M225" s="949">
        <v>84.0</v>
      </c>
      <c r="N225" s="949">
        <v>78.0</v>
      </c>
      <c r="O225" s="949">
        <v>109.0</v>
      </c>
      <c r="P225" s="949">
        <v>85.0</v>
      </c>
      <c r="Q225" s="949">
        <v>100.0</v>
      </c>
      <c r="R225" s="949">
        <v>236.0</v>
      </c>
      <c r="S225" s="949">
        <v>299.0</v>
      </c>
      <c r="T225" s="949">
        <v>328.0</v>
      </c>
      <c r="U225" s="949"/>
      <c r="V225" s="949"/>
      <c r="W225" s="949"/>
      <c r="X225" s="949"/>
      <c r="Y225" s="949"/>
      <c r="Z225" s="949"/>
      <c r="AA225" s="949"/>
      <c r="AB225" s="949"/>
      <c r="AC225" s="949"/>
      <c r="AD225" s="949"/>
      <c r="AE225" s="949"/>
      <c r="AF225" s="949"/>
      <c r="AG225" s="949"/>
      <c r="AH225" s="949"/>
      <c r="AI225" s="949"/>
      <c r="AJ225" s="949"/>
      <c r="AK225" s="949"/>
      <c r="AL225" s="949"/>
      <c r="AM225" s="953" t="s">
        <v>750</v>
      </c>
      <c r="AN225" s="954"/>
      <c r="AO225" s="955" t="s">
        <v>972</v>
      </c>
      <c r="AP225" s="931"/>
      <c r="AQ225" s="956"/>
      <c r="AR225" s="957"/>
      <c r="AS225" s="931"/>
    </row>
    <row r="226" ht="15.75" customHeight="1">
      <c r="A226" s="931"/>
      <c r="B226" s="941" t="s">
        <v>1518</v>
      </c>
      <c r="C226" s="942" t="str">
        <f t="shared" ref="C226:E226" si="5">C225&amp;"-hisui"</f>
        <v>typhlosion-hisui</v>
      </c>
      <c r="D226" s="942" t="str">
        <f t="shared" si="5"/>
        <v>typhlosion-hisui</v>
      </c>
      <c r="E226" s="943" t="str">
        <f t="shared" si="5"/>
        <v>typhlosion-hisui</v>
      </c>
      <c r="F226" s="935"/>
      <c r="G226" s="944"/>
      <c r="H226" s="944"/>
      <c r="I226" s="946" t="s">
        <v>1519</v>
      </c>
      <c r="J226" s="958" t="s">
        <v>704</v>
      </c>
      <c r="K226" s="994" t="s">
        <v>717</v>
      </c>
      <c r="L226" s="949">
        <v>73.0</v>
      </c>
      <c r="M226" s="949">
        <v>84.0</v>
      </c>
      <c r="N226" s="949">
        <v>78.0</v>
      </c>
      <c r="O226" s="949">
        <v>119.0</v>
      </c>
      <c r="P226" s="949">
        <v>85.0</v>
      </c>
      <c r="Q226" s="949">
        <v>95.0</v>
      </c>
      <c r="R226" s="949">
        <v>226.0</v>
      </c>
      <c r="S226" s="949">
        <v>289.0</v>
      </c>
      <c r="T226" s="949">
        <v>317.0</v>
      </c>
      <c r="U226" s="949"/>
      <c r="V226" s="949"/>
      <c r="W226" s="949"/>
      <c r="X226" s="949"/>
      <c r="Y226" s="949"/>
      <c r="Z226" s="949"/>
      <c r="AA226" s="949"/>
      <c r="AB226" s="949"/>
      <c r="AC226" s="949"/>
      <c r="AD226" s="949"/>
      <c r="AE226" s="949"/>
      <c r="AF226" s="949"/>
      <c r="AG226" s="949"/>
      <c r="AH226" s="949"/>
      <c r="AI226" s="949"/>
      <c r="AJ226" s="949"/>
      <c r="AK226" s="949"/>
      <c r="AL226" s="949"/>
      <c r="AM226" s="953" t="s">
        <v>750</v>
      </c>
      <c r="AN226" s="954"/>
      <c r="AO226" s="955" t="s">
        <v>990</v>
      </c>
      <c r="AP226" s="931"/>
      <c r="AQ226" s="956"/>
      <c r="AR226" s="957"/>
      <c r="AS226" s="931"/>
    </row>
    <row r="227" ht="15.75" customHeight="1">
      <c r="A227" s="963"/>
      <c r="B227" s="941" t="s">
        <v>1520</v>
      </c>
      <c r="C227" s="942" t="s">
        <v>1521</v>
      </c>
      <c r="D227" s="942" t="s">
        <v>1521</v>
      </c>
      <c r="E227" s="943" t="s">
        <v>1521</v>
      </c>
      <c r="F227" s="935"/>
      <c r="G227" s="944"/>
      <c r="H227" s="944"/>
      <c r="I227" s="946" t="s">
        <v>1522</v>
      </c>
      <c r="J227" s="962" t="s">
        <v>706</v>
      </c>
      <c r="K227" s="954" t="s">
        <v>158</v>
      </c>
      <c r="L227" s="949">
        <v>50.0</v>
      </c>
      <c r="M227" s="949">
        <v>65.0</v>
      </c>
      <c r="N227" s="949">
        <v>64.0</v>
      </c>
      <c r="O227" s="949">
        <v>44.0</v>
      </c>
      <c r="P227" s="949">
        <v>48.0</v>
      </c>
      <c r="Q227" s="949">
        <v>43.0</v>
      </c>
      <c r="R227" s="949">
        <v>122.0</v>
      </c>
      <c r="S227" s="949">
        <v>185.0</v>
      </c>
      <c r="T227" s="949">
        <v>203.0</v>
      </c>
      <c r="U227" s="949"/>
      <c r="V227" s="949"/>
      <c r="W227" s="949"/>
      <c r="X227" s="949"/>
      <c r="Y227" s="949"/>
      <c r="Z227" s="949"/>
      <c r="AA227" s="949"/>
      <c r="AB227" s="949"/>
      <c r="AC227" s="949"/>
      <c r="AD227" s="949"/>
      <c r="AE227" s="949"/>
      <c r="AF227" s="949"/>
      <c r="AG227" s="949"/>
      <c r="AH227" s="949"/>
      <c r="AI227" s="949"/>
      <c r="AJ227" s="949"/>
      <c r="AK227" s="949"/>
      <c r="AL227" s="949"/>
      <c r="AM227" s="964" t="s">
        <v>771</v>
      </c>
      <c r="AN227" s="954"/>
      <c r="AO227" s="965" t="s">
        <v>949</v>
      </c>
      <c r="AP227" s="931"/>
      <c r="AQ227" s="956"/>
      <c r="AR227" s="957"/>
      <c r="AS227" s="931"/>
    </row>
    <row r="228" ht="15.75" customHeight="1">
      <c r="A228" s="963"/>
      <c r="B228" s="941" t="s">
        <v>1523</v>
      </c>
      <c r="C228" s="942" t="s">
        <v>1524</v>
      </c>
      <c r="D228" s="942" t="s">
        <v>1524</v>
      </c>
      <c r="E228" s="943" t="s">
        <v>1524</v>
      </c>
      <c r="F228" s="935"/>
      <c r="G228" s="944"/>
      <c r="H228" s="944"/>
      <c r="I228" s="946" t="s">
        <v>1525</v>
      </c>
      <c r="J228" s="962" t="s">
        <v>706</v>
      </c>
      <c r="K228" s="954" t="s">
        <v>158</v>
      </c>
      <c r="L228" s="949">
        <v>65.0</v>
      </c>
      <c r="M228" s="949">
        <v>80.0</v>
      </c>
      <c r="N228" s="949">
        <v>80.0</v>
      </c>
      <c r="O228" s="949">
        <v>59.0</v>
      </c>
      <c r="P228" s="949">
        <v>63.0</v>
      </c>
      <c r="Q228" s="949">
        <v>58.0</v>
      </c>
      <c r="R228" s="949">
        <v>152.0</v>
      </c>
      <c r="S228" s="949">
        <v>215.0</v>
      </c>
      <c r="T228" s="949">
        <v>236.0</v>
      </c>
      <c r="U228" s="949"/>
      <c r="V228" s="949"/>
      <c r="W228" s="949"/>
      <c r="X228" s="949"/>
      <c r="Y228" s="949"/>
      <c r="Z228" s="949"/>
      <c r="AA228" s="949"/>
      <c r="AB228" s="949"/>
      <c r="AC228" s="949"/>
      <c r="AD228" s="949"/>
      <c r="AE228" s="949"/>
      <c r="AF228" s="949"/>
      <c r="AG228" s="949"/>
      <c r="AH228" s="949"/>
      <c r="AI228" s="949"/>
      <c r="AJ228" s="949"/>
      <c r="AK228" s="949"/>
      <c r="AL228" s="949"/>
      <c r="AM228" s="964" t="s">
        <v>771</v>
      </c>
      <c r="AN228" s="954"/>
      <c r="AO228" s="965" t="s">
        <v>949</v>
      </c>
      <c r="AP228" s="931"/>
      <c r="AQ228" s="956"/>
      <c r="AR228" s="957"/>
      <c r="AS228" s="931"/>
    </row>
    <row r="229" ht="15.75" customHeight="1">
      <c r="A229" s="931"/>
      <c r="B229" s="941" t="s">
        <v>1526</v>
      </c>
      <c r="C229" s="942" t="s">
        <v>1527</v>
      </c>
      <c r="D229" s="942" t="s">
        <v>1527</v>
      </c>
      <c r="E229" s="943" t="s">
        <v>1527</v>
      </c>
      <c r="F229" s="935"/>
      <c r="G229" s="944"/>
      <c r="H229" s="944"/>
      <c r="I229" s="946" t="s">
        <v>1528</v>
      </c>
      <c r="J229" s="962" t="s">
        <v>706</v>
      </c>
      <c r="K229" s="954" t="s">
        <v>158</v>
      </c>
      <c r="L229" s="949">
        <v>85.0</v>
      </c>
      <c r="M229" s="949">
        <v>105.0</v>
      </c>
      <c r="N229" s="949">
        <v>100.0</v>
      </c>
      <c r="O229" s="949">
        <v>79.0</v>
      </c>
      <c r="P229" s="949">
        <v>83.0</v>
      </c>
      <c r="Q229" s="949">
        <v>78.0</v>
      </c>
      <c r="R229" s="949">
        <v>192.0</v>
      </c>
      <c r="S229" s="949">
        <v>255.0</v>
      </c>
      <c r="T229" s="949">
        <v>280.0</v>
      </c>
      <c r="U229" s="949"/>
      <c r="V229" s="949"/>
      <c r="W229" s="949"/>
      <c r="X229" s="949"/>
      <c r="Y229" s="949"/>
      <c r="Z229" s="949"/>
      <c r="AA229" s="949"/>
      <c r="AB229" s="949"/>
      <c r="AC229" s="949"/>
      <c r="AD229" s="949"/>
      <c r="AE229" s="949"/>
      <c r="AF229" s="949"/>
      <c r="AG229" s="949"/>
      <c r="AH229" s="949"/>
      <c r="AI229" s="949"/>
      <c r="AJ229" s="949"/>
      <c r="AK229" s="949"/>
      <c r="AL229" s="949"/>
      <c r="AM229" s="953" t="s">
        <v>771</v>
      </c>
      <c r="AN229" s="954"/>
      <c r="AO229" s="955" t="s">
        <v>949</v>
      </c>
      <c r="AP229" s="931"/>
      <c r="AQ229" s="956"/>
      <c r="AR229" s="957"/>
      <c r="AS229" s="931"/>
    </row>
    <row r="230" ht="15.75" customHeight="1">
      <c r="A230" s="963"/>
      <c r="B230" s="941" t="s">
        <v>1529</v>
      </c>
      <c r="C230" s="971" t="s">
        <v>1530</v>
      </c>
      <c r="D230" s="971" t="s">
        <v>1530</v>
      </c>
      <c r="E230" s="966" t="s">
        <v>1530</v>
      </c>
      <c r="F230" s="935"/>
      <c r="G230" s="944"/>
      <c r="H230" s="944"/>
      <c r="I230" s="959" t="s">
        <v>1531</v>
      </c>
      <c r="J230" s="991" t="s">
        <v>703</v>
      </c>
      <c r="K230" s="973" t="s">
        <v>158</v>
      </c>
      <c r="L230" s="974">
        <v>35.0</v>
      </c>
      <c r="M230" s="974">
        <v>46.0</v>
      </c>
      <c r="N230" s="974">
        <v>34.0</v>
      </c>
      <c r="O230" s="974">
        <v>35.0</v>
      </c>
      <c r="P230" s="974">
        <v>45.0</v>
      </c>
      <c r="Q230" s="974">
        <v>20.0</v>
      </c>
      <c r="R230" s="949">
        <v>76.0</v>
      </c>
      <c r="S230" s="949">
        <v>139.0</v>
      </c>
      <c r="T230" s="949">
        <v>152.0</v>
      </c>
      <c r="U230" s="949"/>
      <c r="V230" s="949"/>
      <c r="W230" s="949"/>
      <c r="X230" s="949"/>
      <c r="Y230" s="949"/>
      <c r="Z230" s="949"/>
      <c r="AA230" s="949"/>
      <c r="AB230" s="949"/>
      <c r="AC230" s="949"/>
      <c r="AD230" s="949"/>
      <c r="AE230" s="949"/>
      <c r="AF230" s="949"/>
      <c r="AG230" s="949"/>
      <c r="AH230" s="949"/>
      <c r="AI230" s="949"/>
      <c r="AJ230" s="949"/>
      <c r="AK230" s="949"/>
      <c r="AL230" s="949"/>
      <c r="AM230" s="964" t="s">
        <v>787</v>
      </c>
      <c r="AN230" s="954" t="s">
        <v>815</v>
      </c>
      <c r="AO230" s="965" t="s">
        <v>990</v>
      </c>
      <c r="AP230" s="931"/>
      <c r="AQ230" s="956"/>
      <c r="AR230" s="957"/>
      <c r="AS230" s="931"/>
    </row>
    <row r="231" ht="15.75" customHeight="1">
      <c r="A231" s="931"/>
      <c r="B231" s="941" t="s">
        <v>1532</v>
      </c>
      <c r="C231" s="942" t="s">
        <v>1533</v>
      </c>
      <c r="D231" s="942" t="s">
        <v>1533</v>
      </c>
      <c r="E231" s="943" t="s">
        <v>1533</v>
      </c>
      <c r="F231" s="935"/>
      <c r="G231" s="944"/>
      <c r="H231" s="944"/>
      <c r="I231" s="959" t="s">
        <v>1534</v>
      </c>
      <c r="J231" s="968" t="s">
        <v>703</v>
      </c>
      <c r="K231" s="954" t="s">
        <v>158</v>
      </c>
      <c r="L231" s="949">
        <v>85.0</v>
      </c>
      <c r="M231" s="949">
        <v>76.0</v>
      </c>
      <c r="N231" s="949">
        <v>64.0</v>
      </c>
      <c r="O231" s="949">
        <v>45.0</v>
      </c>
      <c r="P231" s="949">
        <v>55.0</v>
      </c>
      <c r="Q231" s="949">
        <v>90.0</v>
      </c>
      <c r="R231" s="949">
        <v>216.0</v>
      </c>
      <c r="S231" s="949">
        <v>279.0</v>
      </c>
      <c r="T231" s="949">
        <v>306.0</v>
      </c>
      <c r="U231" s="949"/>
      <c r="V231" s="949"/>
      <c r="W231" s="949"/>
      <c r="X231" s="949"/>
      <c r="Y231" s="949"/>
      <c r="Z231" s="949"/>
      <c r="AA231" s="949"/>
      <c r="AB231" s="949"/>
      <c r="AC231" s="949"/>
      <c r="AD231" s="949"/>
      <c r="AE231" s="949"/>
      <c r="AF231" s="949"/>
      <c r="AG231" s="949"/>
      <c r="AH231" s="949"/>
      <c r="AI231" s="949"/>
      <c r="AJ231" s="949"/>
      <c r="AK231" s="949"/>
      <c r="AL231" s="949"/>
      <c r="AM231" s="953" t="s">
        <v>787</v>
      </c>
      <c r="AN231" s="954" t="s">
        <v>815</v>
      </c>
      <c r="AO231" s="955" t="s">
        <v>990</v>
      </c>
      <c r="AP231" s="931"/>
      <c r="AQ231" s="956"/>
      <c r="AR231" s="957"/>
      <c r="AS231" s="931"/>
    </row>
    <row r="232" ht="15.75" customHeight="1">
      <c r="A232" s="963"/>
      <c r="B232" s="941" t="s">
        <v>1535</v>
      </c>
      <c r="C232" s="971" t="s">
        <v>1536</v>
      </c>
      <c r="D232" s="971" t="s">
        <v>1536</v>
      </c>
      <c r="E232" s="966" t="s">
        <v>1536</v>
      </c>
      <c r="F232" s="935"/>
      <c r="G232" s="944"/>
      <c r="H232" s="944"/>
      <c r="I232" s="959" t="s">
        <v>1537</v>
      </c>
      <c r="J232" s="991" t="s">
        <v>703</v>
      </c>
      <c r="K232" s="984" t="s">
        <v>707</v>
      </c>
      <c r="L232" s="974">
        <v>60.0</v>
      </c>
      <c r="M232" s="974">
        <v>30.0</v>
      </c>
      <c r="N232" s="974">
        <v>30.0</v>
      </c>
      <c r="O232" s="974">
        <v>36.0</v>
      </c>
      <c r="P232" s="974">
        <v>56.0</v>
      </c>
      <c r="Q232" s="974">
        <v>50.0</v>
      </c>
      <c r="R232" s="949">
        <v>136.0</v>
      </c>
      <c r="S232" s="949">
        <v>199.0</v>
      </c>
      <c r="T232" s="949">
        <v>218.0</v>
      </c>
      <c r="U232" s="949"/>
      <c r="V232" s="949"/>
      <c r="W232" s="949"/>
      <c r="X232" s="949"/>
      <c r="Y232" s="949"/>
      <c r="Z232" s="949"/>
      <c r="AA232" s="949"/>
      <c r="AB232" s="949"/>
      <c r="AC232" s="949"/>
      <c r="AD232" s="949"/>
      <c r="AE232" s="949"/>
      <c r="AF232" s="949"/>
      <c r="AG232" s="949"/>
      <c r="AH232" s="949"/>
      <c r="AI232" s="949"/>
      <c r="AJ232" s="949"/>
      <c r="AK232" s="949"/>
      <c r="AL232" s="949"/>
      <c r="AM232" s="964" t="s">
        <v>1259</v>
      </c>
      <c r="AN232" s="973" t="s">
        <v>815</v>
      </c>
      <c r="AO232" s="965" t="s">
        <v>796</v>
      </c>
      <c r="AP232" s="931"/>
      <c r="AQ232" s="956"/>
      <c r="AR232" s="957"/>
      <c r="AS232" s="931"/>
    </row>
    <row r="233" ht="15.75" customHeight="1">
      <c r="A233" s="931"/>
      <c r="B233" s="941" t="s">
        <v>1538</v>
      </c>
      <c r="C233" s="942" t="s">
        <v>1539</v>
      </c>
      <c r="D233" s="942" t="s">
        <v>1539</v>
      </c>
      <c r="E233" s="943" t="s">
        <v>1539</v>
      </c>
      <c r="F233" s="935"/>
      <c r="G233" s="944"/>
      <c r="H233" s="944"/>
      <c r="I233" s="946" t="s">
        <v>1540</v>
      </c>
      <c r="J233" s="968" t="s">
        <v>703</v>
      </c>
      <c r="K233" s="960" t="s">
        <v>707</v>
      </c>
      <c r="L233" s="949">
        <v>100.0</v>
      </c>
      <c r="M233" s="949">
        <v>50.0</v>
      </c>
      <c r="N233" s="949">
        <v>50.0</v>
      </c>
      <c r="O233" s="949">
        <v>86.0</v>
      </c>
      <c r="P233" s="949">
        <v>96.0</v>
      </c>
      <c r="Q233" s="949">
        <v>70.0</v>
      </c>
      <c r="R233" s="949">
        <v>176.0</v>
      </c>
      <c r="S233" s="949">
        <v>239.0</v>
      </c>
      <c r="T233" s="949">
        <v>262.0</v>
      </c>
      <c r="U233" s="949"/>
      <c r="V233" s="949"/>
      <c r="W233" s="949"/>
      <c r="X233" s="949"/>
      <c r="Y233" s="949"/>
      <c r="Z233" s="949"/>
      <c r="AA233" s="949"/>
      <c r="AB233" s="949"/>
      <c r="AC233" s="949"/>
      <c r="AD233" s="949"/>
      <c r="AE233" s="949"/>
      <c r="AF233" s="949"/>
      <c r="AG233" s="949"/>
      <c r="AH233" s="949"/>
      <c r="AI233" s="949"/>
      <c r="AJ233" s="949"/>
      <c r="AK233" s="949"/>
      <c r="AL233" s="949"/>
      <c r="AM233" s="953" t="s">
        <v>1259</v>
      </c>
      <c r="AN233" s="954" t="s">
        <v>815</v>
      </c>
      <c r="AO233" s="955" t="s">
        <v>796</v>
      </c>
      <c r="AP233" s="931"/>
      <c r="AQ233" s="956"/>
      <c r="AR233" s="957"/>
      <c r="AS233" s="931"/>
    </row>
    <row r="234" ht="15.75" customHeight="1">
      <c r="A234" s="931"/>
      <c r="B234" s="941" t="s">
        <v>1541</v>
      </c>
      <c r="C234" s="942" t="s">
        <v>1542</v>
      </c>
      <c r="D234" s="942" t="s">
        <v>1542</v>
      </c>
      <c r="E234" s="966" t="s">
        <v>1542</v>
      </c>
      <c r="F234" s="935"/>
      <c r="G234" s="944"/>
      <c r="H234" s="944"/>
      <c r="I234" s="959" t="s">
        <v>1543</v>
      </c>
      <c r="J234" s="967" t="s">
        <v>715</v>
      </c>
      <c r="K234" s="960" t="s">
        <v>707</v>
      </c>
      <c r="L234" s="949">
        <v>40.0</v>
      </c>
      <c r="M234" s="949">
        <v>20.0</v>
      </c>
      <c r="N234" s="949">
        <v>30.0</v>
      </c>
      <c r="O234" s="949">
        <v>40.0</v>
      </c>
      <c r="P234" s="949">
        <v>80.0</v>
      </c>
      <c r="Q234" s="949">
        <v>55.0</v>
      </c>
      <c r="R234" s="949">
        <v>146.0</v>
      </c>
      <c r="S234" s="949">
        <v>209.0</v>
      </c>
      <c r="T234" s="949">
        <v>229.0</v>
      </c>
      <c r="U234" s="949"/>
      <c r="V234" s="949"/>
      <c r="W234" s="949"/>
      <c r="X234" s="949"/>
      <c r="Y234" s="949"/>
      <c r="Z234" s="949"/>
      <c r="AA234" s="949"/>
      <c r="AB234" s="949"/>
      <c r="AC234" s="949"/>
      <c r="AD234" s="949"/>
      <c r="AE234" s="949"/>
      <c r="AF234" s="949"/>
      <c r="AG234" s="949"/>
      <c r="AH234" s="949"/>
      <c r="AI234" s="949"/>
      <c r="AJ234" s="949"/>
      <c r="AK234" s="949"/>
      <c r="AL234" s="949"/>
      <c r="AM234" s="953" t="s">
        <v>806</v>
      </c>
      <c r="AN234" s="954" t="s">
        <v>1209</v>
      </c>
      <c r="AO234" s="955" t="s">
        <v>1046</v>
      </c>
      <c r="AP234" s="931"/>
      <c r="AQ234" s="956"/>
      <c r="AR234" s="957"/>
      <c r="AS234" s="931"/>
    </row>
    <row r="235" ht="15.75" customHeight="1">
      <c r="A235" s="931"/>
      <c r="B235" s="941" t="s">
        <v>1544</v>
      </c>
      <c r="C235" s="942" t="s">
        <v>1545</v>
      </c>
      <c r="D235" s="942" t="s">
        <v>1545</v>
      </c>
      <c r="E235" s="943" t="s">
        <v>1545</v>
      </c>
      <c r="F235" s="935"/>
      <c r="G235" s="944"/>
      <c r="H235" s="944"/>
      <c r="I235" s="959" t="s">
        <v>1546</v>
      </c>
      <c r="J235" s="967" t="s">
        <v>715</v>
      </c>
      <c r="K235" s="960" t="s">
        <v>707</v>
      </c>
      <c r="L235" s="949">
        <v>55.0</v>
      </c>
      <c r="M235" s="949">
        <v>35.0</v>
      </c>
      <c r="N235" s="949">
        <v>50.0</v>
      </c>
      <c r="O235" s="949">
        <v>55.0</v>
      </c>
      <c r="P235" s="949">
        <v>110.0</v>
      </c>
      <c r="Q235" s="949">
        <v>85.0</v>
      </c>
      <c r="R235" s="949">
        <v>206.0</v>
      </c>
      <c r="S235" s="949">
        <v>269.0</v>
      </c>
      <c r="T235" s="949">
        <v>295.0</v>
      </c>
      <c r="U235" s="949"/>
      <c r="V235" s="949"/>
      <c r="W235" s="949"/>
      <c r="X235" s="949"/>
      <c r="Y235" s="949"/>
      <c r="Z235" s="949"/>
      <c r="AA235" s="949"/>
      <c r="AB235" s="949"/>
      <c r="AC235" s="949"/>
      <c r="AD235" s="949"/>
      <c r="AE235" s="949"/>
      <c r="AF235" s="949"/>
      <c r="AG235" s="949"/>
      <c r="AH235" s="949"/>
      <c r="AI235" s="949"/>
      <c r="AJ235" s="949"/>
      <c r="AK235" s="949"/>
      <c r="AL235" s="949"/>
      <c r="AM235" s="953" t="s">
        <v>806</v>
      </c>
      <c r="AN235" s="954" t="s">
        <v>1209</v>
      </c>
      <c r="AO235" s="965" t="s">
        <v>1310</v>
      </c>
      <c r="AP235" s="931"/>
      <c r="AQ235" s="956"/>
      <c r="AR235" s="957"/>
      <c r="AS235" s="931"/>
    </row>
    <row r="236" ht="15.75" customHeight="1">
      <c r="A236" s="931"/>
      <c r="B236" s="941" t="s">
        <v>1547</v>
      </c>
      <c r="C236" s="942" t="s">
        <v>1548</v>
      </c>
      <c r="D236" s="942" t="s">
        <v>1548</v>
      </c>
      <c r="E236" s="943" t="s">
        <v>1548</v>
      </c>
      <c r="F236" s="935"/>
      <c r="G236" s="944"/>
      <c r="H236" s="944"/>
      <c r="I236" s="946" t="s">
        <v>1549</v>
      </c>
      <c r="J236" s="967" t="s">
        <v>715</v>
      </c>
      <c r="K236" s="948" t="s">
        <v>709</v>
      </c>
      <c r="L236" s="949">
        <v>40.0</v>
      </c>
      <c r="M236" s="949">
        <v>60.0</v>
      </c>
      <c r="N236" s="949">
        <v>40.0</v>
      </c>
      <c r="O236" s="949">
        <v>40.0</v>
      </c>
      <c r="P236" s="949">
        <v>40.0</v>
      </c>
      <c r="Q236" s="949">
        <v>30.0</v>
      </c>
      <c r="R236" s="949">
        <v>96.0</v>
      </c>
      <c r="S236" s="949">
        <v>159.0</v>
      </c>
      <c r="T236" s="949">
        <v>174.0</v>
      </c>
      <c r="U236" s="949"/>
      <c r="V236" s="949"/>
      <c r="W236" s="949"/>
      <c r="X236" s="949"/>
      <c r="Y236" s="949"/>
      <c r="Z236" s="949"/>
      <c r="AA236" s="949"/>
      <c r="AB236" s="949"/>
      <c r="AC236" s="949"/>
      <c r="AD236" s="949"/>
      <c r="AE236" s="949"/>
      <c r="AF236" s="949"/>
      <c r="AG236" s="949"/>
      <c r="AH236" s="949"/>
      <c r="AI236" s="949"/>
      <c r="AJ236" s="949"/>
      <c r="AK236" s="949"/>
      <c r="AL236" s="949"/>
      <c r="AM236" s="953" t="s">
        <v>806</v>
      </c>
      <c r="AN236" s="954" t="s">
        <v>1259</v>
      </c>
      <c r="AO236" s="955" t="s">
        <v>807</v>
      </c>
      <c r="AP236" s="931"/>
      <c r="AQ236" s="956"/>
      <c r="AR236" s="957"/>
      <c r="AS236" s="931"/>
    </row>
    <row r="237" ht="15.75" customHeight="1">
      <c r="A237" s="931"/>
      <c r="B237" s="941" t="s">
        <v>1550</v>
      </c>
      <c r="C237" s="942" t="s">
        <v>1551</v>
      </c>
      <c r="D237" s="942" t="s">
        <v>1551</v>
      </c>
      <c r="E237" s="943" t="s">
        <v>1551</v>
      </c>
      <c r="F237" s="935"/>
      <c r="G237" s="944"/>
      <c r="H237" s="944"/>
      <c r="I237" s="946" t="s">
        <v>1552</v>
      </c>
      <c r="J237" s="967" t="s">
        <v>715</v>
      </c>
      <c r="K237" s="948" t="s">
        <v>709</v>
      </c>
      <c r="L237" s="949">
        <v>70.0</v>
      </c>
      <c r="M237" s="949">
        <v>90.0</v>
      </c>
      <c r="N237" s="949">
        <v>70.0</v>
      </c>
      <c r="O237" s="949">
        <v>60.0</v>
      </c>
      <c r="P237" s="949">
        <v>70.0</v>
      </c>
      <c r="Q237" s="949">
        <v>40.0</v>
      </c>
      <c r="R237" s="949">
        <v>116.0</v>
      </c>
      <c r="S237" s="949">
        <v>179.0</v>
      </c>
      <c r="T237" s="949">
        <v>196.0</v>
      </c>
      <c r="U237" s="949"/>
      <c r="V237" s="949"/>
      <c r="W237" s="949"/>
      <c r="X237" s="949"/>
      <c r="Y237" s="949"/>
      <c r="Z237" s="949"/>
      <c r="AA237" s="949"/>
      <c r="AB237" s="949"/>
      <c r="AC237" s="949"/>
      <c r="AD237" s="949"/>
      <c r="AE237" s="949"/>
      <c r="AF237" s="949"/>
      <c r="AG237" s="949"/>
      <c r="AH237" s="949"/>
      <c r="AI237" s="949"/>
      <c r="AJ237" s="949"/>
      <c r="AK237" s="949"/>
      <c r="AL237" s="949"/>
      <c r="AM237" s="953" t="s">
        <v>806</v>
      </c>
      <c r="AN237" s="954" t="s">
        <v>1259</v>
      </c>
      <c r="AO237" s="955" t="s">
        <v>807</v>
      </c>
      <c r="AP237" s="931"/>
      <c r="AQ237" s="956"/>
      <c r="AR237" s="957"/>
      <c r="AS237" s="931"/>
    </row>
    <row r="238" ht="15.75" customHeight="1">
      <c r="A238" s="931"/>
      <c r="B238" s="941" t="s">
        <v>1553</v>
      </c>
      <c r="C238" s="942" t="s">
        <v>1554</v>
      </c>
      <c r="D238" s="942" t="s">
        <v>1554</v>
      </c>
      <c r="E238" s="943" t="s">
        <v>1554</v>
      </c>
      <c r="F238" s="935"/>
      <c r="G238" s="944"/>
      <c r="H238" s="944"/>
      <c r="I238" s="946" t="s">
        <v>1555</v>
      </c>
      <c r="J238" s="948" t="s">
        <v>709</v>
      </c>
      <c r="K238" s="960" t="s">
        <v>707</v>
      </c>
      <c r="L238" s="949">
        <v>85.0</v>
      </c>
      <c r="M238" s="949">
        <v>90.0</v>
      </c>
      <c r="N238" s="949">
        <v>80.0</v>
      </c>
      <c r="O238" s="949">
        <v>70.0</v>
      </c>
      <c r="P238" s="949">
        <v>80.0</v>
      </c>
      <c r="Q238" s="949">
        <v>130.0</v>
      </c>
      <c r="R238" s="949">
        <v>296.0</v>
      </c>
      <c r="S238" s="949">
        <v>359.0</v>
      </c>
      <c r="T238" s="949">
        <v>394.0</v>
      </c>
      <c r="U238" s="949"/>
      <c r="V238" s="949"/>
      <c r="W238" s="949"/>
      <c r="X238" s="949"/>
      <c r="Y238" s="949"/>
      <c r="Z238" s="949"/>
      <c r="AA238" s="949"/>
      <c r="AB238" s="949"/>
      <c r="AC238" s="949"/>
      <c r="AD238" s="949"/>
      <c r="AE238" s="949"/>
      <c r="AF238" s="949"/>
      <c r="AG238" s="949"/>
      <c r="AH238" s="949"/>
      <c r="AI238" s="949"/>
      <c r="AJ238" s="949"/>
      <c r="AK238" s="949"/>
      <c r="AL238" s="949"/>
      <c r="AM238" s="953" t="s">
        <v>994</v>
      </c>
      <c r="AN238" s="954"/>
      <c r="AO238" s="955" t="s">
        <v>995</v>
      </c>
      <c r="AP238" s="931"/>
      <c r="AQ238" s="956"/>
      <c r="AR238" s="957"/>
      <c r="AS238" s="931"/>
    </row>
    <row r="239" ht="15.75" customHeight="1">
      <c r="A239" s="931"/>
      <c r="B239" s="941" t="s">
        <v>1556</v>
      </c>
      <c r="C239" s="942" t="s">
        <v>1557</v>
      </c>
      <c r="D239" s="942" t="s">
        <v>1557</v>
      </c>
      <c r="E239" s="943" t="s">
        <v>1557</v>
      </c>
      <c r="F239" s="935"/>
      <c r="G239" s="944"/>
      <c r="H239" s="944"/>
      <c r="I239" s="946" t="s">
        <v>1558</v>
      </c>
      <c r="J239" s="962" t="s">
        <v>706</v>
      </c>
      <c r="K239" s="970" t="s">
        <v>710</v>
      </c>
      <c r="L239" s="949">
        <v>75.0</v>
      </c>
      <c r="M239" s="949">
        <v>38.0</v>
      </c>
      <c r="N239" s="949">
        <v>38.0</v>
      </c>
      <c r="O239" s="949">
        <v>56.0</v>
      </c>
      <c r="P239" s="949">
        <v>56.0</v>
      </c>
      <c r="Q239" s="949">
        <v>67.0</v>
      </c>
      <c r="R239" s="949">
        <v>170.0</v>
      </c>
      <c r="S239" s="949">
        <v>233.0</v>
      </c>
      <c r="T239" s="949">
        <v>256.0</v>
      </c>
      <c r="U239" s="949"/>
      <c r="V239" s="949"/>
      <c r="W239" s="949"/>
      <c r="X239" s="949"/>
      <c r="Y239" s="949"/>
      <c r="Z239" s="949"/>
      <c r="AA239" s="949"/>
      <c r="AB239" s="949"/>
      <c r="AC239" s="949"/>
      <c r="AD239" s="949"/>
      <c r="AE239" s="949"/>
      <c r="AF239" s="949"/>
      <c r="AG239" s="949"/>
      <c r="AH239" s="949"/>
      <c r="AI239" s="949"/>
      <c r="AJ239" s="949"/>
      <c r="AK239" s="949"/>
      <c r="AL239" s="949"/>
      <c r="AM239" s="953" t="s">
        <v>1428</v>
      </c>
      <c r="AN239" s="954" t="s">
        <v>1362</v>
      </c>
      <c r="AO239" s="955" t="s">
        <v>1084</v>
      </c>
      <c r="AP239" s="931"/>
      <c r="AQ239" s="956"/>
      <c r="AR239" s="957"/>
      <c r="AS239" s="931"/>
    </row>
    <row r="240" ht="15.75" customHeight="1">
      <c r="A240" s="931"/>
      <c r="B240" s="941" t="s">
        <v>1559</v>
      </c>
      <c r="C240" s="942" t="s">
        <v>1560</v>
      </c>
      <c r="D240" s="942" t="s">
        <v>1560</v>
      </c>
      <c r="E240" s="943" t="s">
        <v>1560</v>
      </c>
      <c r="F240" s="935"/>
      <c r="G240" s="944"/>
      <c r="H240" s="944"/>
      <c r="I240" s="946" t="s">
        <v>1561</v>
      </c>
      <c r="J240" s="962" t="s">
        <v>706</v>
      </c>
      <c r="K240" s="970" t="s">
        <v>710</v>
      </c>
      <c r="L240" s="949">
        <v>125.0</v>
      </c>
      <c r="M240" s="949">
        <v>58.0</v>
      </c>
      <c r="N240" s="949">
        <v>58.0</v>
      </c>
      <c r="O240" s="949">
        <v>76.0</v>
      </c>
      <c r="P240" s="949">
        <v>76.0</v>
      </c>
      <c r="Q240" s="949">
        <v>67.0</v>
      </c>
      <c r="R240" s="949">
        <v>170.0</v>
      </c>
      <c r="S240" s="949">
        <v>233.0</v>
      </c>
      <c r="T240" s="949">
        <v>256.0</v>
      </c>
      <c r="U240" s="949"/>
      <c r="V240" s="949"/>
      <c r="W240" s="949"/>
      <c r="X240" s="949"/>
      <c r="Y240" s="949"/>
      <c r="Z240" s="949"/>
      <c r="AA240" s="949"/>
      <c r="AB240" s="949"/>
      <c r="AC240" s="949"/>
      <c r="AD240" s="949"/>
      <c r="AE240" s="949"/>
      <c r="AF240" s="949"/>
      <c r="AG240" s="949"/>
      <c r="AH240" s="949"/>
      <c r="AI240" s="949"/>
      <c r="AJ240" s="949"/>
      <c r="AK240" s="949"/>
      <c r="AL240" s="949"/>
      <c r="AM240" s="953" t="s">
        <v>1428</v>
      </c>
      <c r="AN240" s="954" t="s">
        <v>1362</v>
      </c>
      <c r="AO240" s="955" t="s">
        <v>1084</v>
      </c>
      <c r="AP240" s="931"/>
      <c r="AQ240" s="956"/>
      <c r="AR240" s="957"/>
      <c r="AS240" s="931"/>
    </row>
    <row r="241" ht="15.75" customHeight="1">
      <c r="A241" s="931"/>
      <c r="B241" s="941" t="s">
        <v>1562</v>
      </c>
      <c r="C241" s="942" t="s">
        <v>1563</v>
      </c>
      <c r="D241" s="942" t="s">
        <v>1563</v>
      </c>
      <c r="E241" s="943" t="s">
        <v>1563</v>
      </c>
      <c r="F241" s="935"/>
      <c r="G241" s="944"/>
      <c r="H241" s="944"/>
      <c r="I241" s="959" t="s">
        <v>498</v>
      </c>
      <c r="J241" s="970" t="s">
        <v>710</v>
      </c>
      <c r="K241" s="954" t="s">
        <v>158</v>
      </c>
      <c r="L241" s="949">
        <v>20.0</v>
      </c>
      <c r="M241" s="949">
        <v>40.0</v>
      </c>
      <c r="N241" s="949">
        <v>15.0</v>
      </c>
      <c r="O241" s="949">
        <v>35.0</v>
      </c>
      <c r="P241" s="949">
        <v>35.0</v>
      </c>
      <c r="Q241" s="949">
        <v>60.0</v>
      </c>
      <c r="R241" s="949">
        <v>156.0</v>
      </c>
      <c r="S241" s="949">
        <v>219.0</v>
      </c>
      <c r="T241" s="949">
        <v>240.0</v>
      </c>
      <c r="U241" s="949"/>
      <c r="V241" s="949"/>
      <c r="W241" s="949"/>
      <c r="X241" s="949"/>
      <c r="Y241" s="949"/>
      <c r="Z241" s="949"/>
      <c r="AA241" s="949"/>
      <c r="AB241" s="949"/>
      <c r="AC241" s="949"/>
      <c r="AD241" s="949"/>
      <c r="AE241" s="949"/>
      <c r="AF241" s="949"/>
      <c r="AG241" s="949"/>
      <c r="AH241" s="949"/>
      <c r="AI241" s="949"/>
      <c r="AJ241" s="949"/>
      <c r="AK241" s="949"/>
      <c r="AL241" s="949"/>
      <c r="AM241" s="953" t="s">
        <v>861</v>
      </c>
      <c r="AN241" s="954"/>
      <c r="AO241" s="955" t="s">
        <v>862</v>
      </c>
      <c r="AP241" s="931"/>
      <c r="AQ241" s="956"/>
      <c r="AR241" s="957"/>
      <c r="AS241" s="931"/>
    </row>
    <row r="242" ht="15.75" customHeight="1">
      <c r="A242" s="931"/>
      <c r="B242" s="941" t="s">
        <v>1564</v>
      </c>
      <c r="C242" s="942" t="s">
        <v>1565</v>
      </c>
      <c r="D242" s="942" t="s">
        <v>1566</v>
      </c>
      <c r="E242" s="943" t="s">
        <v>1565</v>
      </c>
      <c r="F242" s="935"/>
      <c r="G242" s="944"/>
      <c r="H242" s="944"/>
      <c r="I242" s="946" t="s">
        <v>1567</v>
      </c>
      <c r="J242" s="970" t="s">
        <v>710</v>
      </c>
      <c r="K242" s="954" t="s">
        <v>158</v>
      </c>
      <c r="L242" s="949">
        <v>20.0</v>
      </c>
      <c r="M242" s="949">
        <v>40.0</v>
      </c>
      <c r="N242" s="949">
        <v>15.0</v>
      </c>
      <c r="O242" s="949">
        <v>35.0</v>
      </c>
      <c r="P242" s="949">
        <v>35.0</v>
      </c>
      <c r="Q242" s="949">
        <v>60.0</v>
      </c>
      <c r="R242" s="949">
        <v>156.0</v>
      </c>
      <c r="S242" s="949">
        <v>219.0</v>
      </c>
      <c r="T242" s="949">
        <v>240.0</v>
      </c>
      <c r="U242" s="949"/>
      <c r="V242" s="949"/>
      <c r="W242" s="949"/>
      <c r="X242" s="949"/>
      <c r="Y242" s="949"/>
      <c r="Z242" s="949"/>
      <c r="AA242" s="949"/>
      <c r="AB242" s="949"/>
      <c r="AC242" s="949"/>
      <c r="AD242" s="949"/>
      <c r="AE242" s="949"/>
      <c r="AF242" s="949"/>
      <c r="AG242" s="949"/>
      <c r="AH242" s="949"/>
      <c r="AI242" s="949"/>
      <c r="AJ242" s="949"/>
      <c r="AK242" s="949"/>
      <c r="AL242" s="949"/>
      <c r="AM242" s="953" t="s">
        <v>861</v>
      </c>
      <c r="AN242" s="954"/>
      <c r="AO242" s="955" t="s">
        <v>862</v>
      </c>
      <c r="AP242" s="931"/>
      <c r="AQ242" s="956"/>
      <c r="AR242" s="957"/>
      <c r="AS242" s="931"/>
    </row>
    <row r="243" ht="15.75" customHeight="1">
      <c r="A243" s="931"/>
      <c r="B243" s="941" t="s">
        <v>1568</v>
      </c>
      <c r="C243" s="942" t="s">
        <v>1569</v>
      </c>
      <c r="D243" s="942" t="s">
        <v>1569</v>
      </c>
      <c r="E243" s="943" t="s">
        <v>1569</v>
      </c>
      <c r="F243" s="935"/>
      <c r="G243" s="944"/>
      <c r="H243" s="944"/>
      <c r="I243" s="946" t="s">
        <v>1570</v>
      </c>
      <c r="J243" s="980" t="s">
        <v>720</v>
      </c>
      <c r="K243" s="954" t="s">
        <v>158</v>
      </c>
      <c r="L243" s="949">
        <v>50.0</v>
      </c>
      <c r="M243" s="949">
        <v>25.0</v>
      </c>
      <c r="N243" s="949">
        <v>28.0</v>
      </c>
      <c r="O243" s="949">
        <v>45.0</v>
      </c>
      <c r="P243" s="949">
        <v>55.0</v>
      </c>
      <c r="Q243" s="949">
        <v>15.0</v>
      </c>
      <c r="R243" s="949">
        <v>66.0</v>
      </c>
      <c r="S243" s="949">
        <v>129.0</v>
      </c>
      <c r="T243" s="949">
        <v>141.0</v>
      </c>
      <c r="U243" s="949"/>
      <c r="V243" s="949"/>
      <c r="W243" s="949"/>
      <c r="X243" s="949"/>
      <c r="Y243" s="949"/>
      <c r="Z243" s="949"/>
      <c r="AA243" s="949"/>
      <c r="AB243" s="949"/>
      <c r="AC243" s="949"/>
      <c r="AD243" s="949"/>
      <c r="AE243" s="949"/>
      <c r="AF243" s="949"/>
      <c r="AG243" s="949"/>
      <c r="AH243" s="949"/>
      <c r="AI243" s="949"/>
      <c r="AJ243" s="949"/>
      <c r="AK243" s="949"/>
      <c r="AL243" s="949"/>
      <c r="AM243" s="953" t="s">
        <v>962</v>
      </c>
      <c r="AN243" s="954" t="s">
        <v>963</v>
      </c>
      <c r="AO243" s="955" t="s">
        <v>964</v>
      </c>
      <c r="AP243" s="931"/>
      <c r="AQ243" s="956"/>
      <c r="AR243" s="957"/>
      <c r="AS243" s="931"/>
    </row>
    <row r="244" ht="15.75" customHeight="1">
      <c r="A244" s="931"/>
      <c r="B244" s="941" t="s">
        <v>1571</v>
      </c>
      <c r="C244" s="942" t="s">
        <v>1572</v>
      </c>
      <c r="D244" s="942" t="s">
        <v>1572</v>
      </c>
      <c r="E244" s="943" t="s">
        <v>1572</v>
      </c>
      <c r="F244" s="935"/>
      <c r="G244" s="944"/>
      <c r="H244" s="944"/>
      <c r="I244" s="946" t="s">
        <v>576</v>
      </c>
      <c r="J244" s="968" t="s">
        <v>703</v>
      </c>
      <c r="K244" s="980" t="s">
        <v>720</v>
      </c>
      <c r="L244" s="949">
        <v>90.0</v>
      </c>
      <c r="M244" s="949">
        <v>30.0</v>
      </c>
      <c r="N244" s="949">
        <v>15.0</v>
      </c>
      <c r="O244" s="949">
        <v>40.0</v>
      </c>
      <c r="P244" s="949">
        <v>20.0</v>
      </c>
      <c r="Q244" s="949">
        <v>15.0</v>
      </c>
      <c r="R244" s="949">
        <v>66.0</v>
      </c>
      <c r="S244" s="949">
        <v>129.0</v>
      </c>
      <c r="T244" s="949">
        <v>141.0</v>
      </c>
      <c r="U244" s="949"/>
      <c r="V244" s="949"/>
      <c r="W244" s="949"/>
      <c r="X244" s="949"/>
      <c r="Y244" s="949"/>
      <c r="Z244" s="949"/>
      <c r="AA244" s="949"/>
      <c r="AB244" s="949"/>
      <c r="AC244" s="949"/>
      <c r="AD244" s="949"/>
      <c r="AE244" s="949"/>
      <c r="AF244" s="949"/>
      <c r="AG244" s="949"/>
      <c r="AH244" s="949"/>
      <c r="AI244" s="949"/>
      <c r="AJ244" s="949"/>
      <c r="AK244" s="949"/>
      <c r="AL244" s="949"/>
      <c r="AM244" s="953" t="s">
        <v>962</v>
      </c>
      <c r="AN244" s="954" t="s">
        <v>987</v>
      </c>
      <c r="AO244" s="955" t="s">
        <v>964</v>
      </c>
      <c r="AP244" s="931"/>
      <c r="AQ244" s="956"/>
      <c r="AR244" s="957"/>
      <c r="AS244" s="931"/>
    </row>
    <row r="245" ht="15.75" customHeight="1">
      <c r="A245" s="931"/>
      <c r="B245" s="941" t="s">
        <v>1573</v>
      </c>
      <c r="C245" s="942" t="s">
        <v>1574</v>
      </c>
      <c r="D245" s="942" t="s">
        <v>1574</v>
      </c>
      <c r="E245" s="943" t="s">
        <v>1574</v>
      </c>
      <c r="F245" s="935"/>
      <c r="G245" s="944"/>
      <c r="H245" s="944"/>
      <c r="I245" s="959" t="s">
        <v>1575</v>
      </c>
      <c r="J245" s="980" t="s">
        <v>720</v>
      </c>
      <c r="K245" s="954" t="s">
        <v>158</v>
      </c>
      <c r="L245" s="949">
        <v>35.0</v>
      </c>
      <c r="M245" s="949">
        <v>20.0</v>
      </c>
      <c r="N245" s="949">
        <v>65.0</v>
      </c>
      <c r="O245" s="949">
        <v>40.0</v>
      </c>
      <c r="P245" s="949">
        <v>65.0</v>
      </c>
      <c r="Q245" s="949">
        <v>20.0</v>
      </c>
      <c r="R245" s="949">
        <v>76.0</v>
      </c>
      <c r="S245" s="949">
        <v>139.0</v>
      </c>
      <c r="T245" s="949">
        <v>152.0</v>
      </c>
      <c r="U245" s="949"/>
      <c r="V245" s="949"/>
      <c r="W245" s="949"/>
      <c r="X245" s="949"/>
      <c r="Y245" s="949"/>
      <c r="Z245" s="949"/>
      <c r="AA245" s="949"/>
      <c r="AB245" s="949"/>
      <c r="AC245" s="949"/>
      <c r="AD245" s="949"/>
      <c r="AE245" s="949"/>
      <c r="AF245" s="949"/>
      <c r="AG245" s="949"/>
      <c r="AH245" s="949"/>
      <c r="AI245" s="949"/>
      <c r="AJ245" s="949"/>
      <c r="AK245" s="949"/>
      <c r="AL245" s="949"/>
      <c r="AM245" s="953" t="s">
        <v>832</v>
      </c>
      <c r="AN245" s="954" t="s">
        <v>1334</v>
      </c>
      <c r="AO245" s="955" t="s">
        <v>1576</v>
      </c>
      <c r="AP245" s="931"/>
      <c r="AQ245" s="956"/>
      <c r="AR245" s="957"/>
      <c r="AS245" s="931"/>
    </row>
    <row r="246" ht="15.75" customHeight="1">
      <c r="A246" s="931"/>
      <c r="B246" s="941" t="s">
        <v>1577</v>
      </c>
      <c r="C246" s="942" t="s">
        <v>1578</v>
      </c>
      <c r="D246" s="942" t="s">
        <v>1578</v>
      </c>
      <c r="E246" s="943" t="s">
        <v>1578</v>
      </c>
      <c r="F246" s="935"/>
      <c r="G246" s="944"/>
      <c r="H246" s="944"/>
      <c r="I246" s="946" t="s">
        <v>1579</v>
      </c>
      <c r="J246" s="980" t="s">
        <v>720</v>
      </c>
      <c r="K246" s="960" t="s">
        <v>707</v>
      </c>
      <c r="L246" s="949">
        <v>55.0</v>
      </c>
      <c r="M246" s="949">
        <v>40.0</v>
      </c>
      <c r="N246" s="949">
        <v>85.0</v>
      </c>
      <c r="O246" s="949">
        <v>80.0</v>
      </c>
      <c r="P246" s="949">
        <v>105.0</v>
      </c>
      <c r="Q246" s="949">
        <v>40.0</v>
      </c>
      <c r="R246" s="949">
        <v>116.0</v>
      </c>
      <c r="S246" s="949">
        <v>179.0</v>
      </c>
      <c r="T246" s="949">
        <v>196.0</v>
      </c>
      <c r="U246" s="949"/>
      <c r="V246" s="949"/>
      <c r="W246" s="949"/>
      <c r="X246" s="949"/>
      <c r="Y246" s="949"/>
      <c r="Z246" s="949"/>
      <c r="AA246" s="949"/>
      <c r="AB246" s="949"/>
      <c r="AC246" s="949"/>
      <c r="AD246" s="949"/>
      <c r="AE246" s="949"/>
      <c r="AF246" s="949"/>
      <c r="AG246" s="949"/>
      <c r="AH246" s="949"/>
      <c r="AI246" s="949"/>
      <c r="AJ246" s="949"/>
      <c r="AK246" s="949"/>
      <c r="AL246" s="949"/>
      <c r="AM246" s="953" t="s">
        <v>832</v>
      </c>
      <c r="AN246" s="954" t="s">
        <v>1334</v>
      </c>
      <c r="AO246" s="955" t="s">
        <v>1576</v>
      </c>
      <c r="AP246" s="931"/>
      <c r="AQ246" s="956"/>
      <c r="AR246" s="957"/>
      <c r="AS246" s="931"/>
    </row>
    <row r="247" ht="15.75" customHeight="1">
      <c r="A247" s="931"/>
      <c r="B247" s="941" t="s">
        <v>1580</v>
      </c>
      <c r="C247" s="942" t="s">
        <v>1581</v>
      </c>
      <c r="D247" s="942" t="s">
        <v>1581</v>
      </c>
      <c r="E247" s="943" t="s">
        <v>1581</v>
      </c>
      <c r="F247" s="935"/>
      <c r="G247" s="944"/>
      <c r="H247" s="944"/>
      <c r="I247" s="946" t="s">
        <v>1582</v>
      </c>
      <c r="J247" s="975" t="s">
        <v>712</v>
      </c>
      <c r="K247" s="960" t="s">
        <v>707</v>
      </c>
      <c r="L247" s="949">
        <v>40.0</v>
      </c>
      <c r="M247" s="949">
        <v>50.0</v>
      </c>
      <c r="N247" s="949">
        <v>45.0</v>
      </c>
      <c r="O247" s="949">
        <v>70.0</v>
      </c>
      <c r="P247" s="949">
        <v>45.0</v>
      </c>
      <c r="Q247" s="949">
        <v>70.0</v>
      </c>
      <c r="R247" s="949">
        <v>176.0</v>
      </c>
      <c r="S247" s="949">
        <v>239.0</v>
      </c>
      <c r="T247" s="949">
        <v>262.0</v>
      </c>
      <c r="U247" s="949"/>
      <c r="V247" s="949"/>
      <c r="W247" s="949"/>
      <c r="X247" s="949"/>
      <c r="Y247" s="949"/>
      <c r="Z247" s="949"/>
      <c r="AA247" s="949"/>
      <c r="AB247" s="949"/>
      <c r="AC247" s="949"/>
      <c r="AD247" s="949"/>
      <c r="AE247" s="949"/>
      <c r="AF247" s="949"/>
      <c r="AG247" s="949"/>
      <c r="AH247" s="949"/>
      <c r="AI247" s="949"/>
      <c r="AJ247" s="949"/>
      <c r="AK247" s="949"/>
      <c r="AL247" s="949"/>
      <c r="AM247" s="953" t="s">
        <v>1094</v>
      </c>
      <c r="AN247" s="954" t="s">
        <v>1209</v>
      </c>
      <c r="AO247" s="955" t="s">
        <v>1583</v>
      </c>
      <c r="AP247" s="931"/>
      <c r="AQ247" s="956"/>
      <c r="AR247" s="957"/>
      <c r="AS247" s="931"/>
    </row>
    <row r="248" ht="15.75" customHeight="1">
      <c r="A248" s="931"/>
      <c r="B248" s="941" t="s">
        <v>1584</v>
      </c>
      <c r="C248" s="942" t="s">
        <v>1585</v>
      </c>
      <c r="D248" s="942" t="s">
        <v>1585</v>
      </c>
      <c r="E248" s="943" t="s">
        <v>1585</v>
      </c>
      <c r="F248" s="935"/>
      <c r="G248" s="944"/>
      <c r="H248" s="944"/>
      <c r="I248" s="946" t="s">
        <v>1586</v>
      </c>
      <c r="J248" s="975" t="s">
        <v>712</v>
      </c>
      <c r="K248" s="960" t="s">
        <v>707</v>
      </c>
      <c r="L248" s="949">
        <v>65.0</v>
      </c>
      <c r="M248" s="949">
        <v>75.0</v>
      </c>
      <c r="N248" s="949">
        <v>70.0</v>
      </c>
      <c r="O248" s="949">
        <v>95.0</v>
      </c>
      <c r="P248" s="949">
        <v>70.0</v>
      </c>
      <c r="Q248" s="949">
        <v>95.0</v>
      </c>
      <c r="R248" s="949">
        <v>226.0</v>
      </c>
      <c r="S248" s="949">
        <v>289.0</v>
      </c>
      <c r="T248" s="949">
        <v>317.0</v>
      </c>
      <c r="U248" s="949"/>
      <c r="V248" s="949"/>
      <c r="W248" s="949"/>
      <c r="X248" s="949"/>
      <c r="Y248" s="949"/>
      <c r="Z248" s="949"/>
      <c r="AA248" s="949"/>
      <c r="AB248" s="949"/>
      <c r="AC248" s="949"/>
      <c r="AD248" s="949"/>
      <c r="AE248" s="949"/>
      <c r="AF248" s="949"/>
      <c r="AG248" s="949"/>
      <c r="AH248" s="949"/>
      <c r="AI248" s="949"/>
      <c r="AJ248" s="949"/>
      <c r="AK248" s="949"/>
      <c r="AL248" s="949"/>
      <c r="AM248" s="953" t="s">
        <v>1094</v>
      </c>
      <c r="AN248" s="954" t="s">
        <v>1209</v>
      </c>
      <c r="AO248" s="955" t="s">
        <v>1583</v>
      </c>
      <c r="AP248" s="931"/>
      <c r="AQ248" s="956"/>
      <c r="AR248" s="957"/>
      <c r="AS248" s="931"/>
    </row>
    <row r="249" ht="15.75" customHeight="1">
      <c r="A249" s="931"/>
      <c r="B249" s="941" t="s">
        <v>1587</v>
      </c>
      <c r="C249" s="942" t="s">
        <v>1588</v>
      </c>
      <c r="D249" s="942" t="s">
        <v>1588</v>
      </c>
      <c r="E249" s="943" t="s">
        <v>1588</v>
      </c>
      <c r="F249" s="935"/>
      <c r="G249" s="944"/>
      <c r="H249" s="944"/>
      <c r="I249" s="946" t="s">
        <v>577</v>
      </c>
      <c r="J249" s="970" t="s">
        <v>710</v>
      </c>
      <c r="K249" s="954" t="s">
        <v>158</v>
      </c>
      <c r="L249" s="949">
        <v>55.0</v>
      </c>
      <c r="M249" s="949">
        <v>40.0</v>
      </c>
      <c r="N249" s="949">
        <v>40.0</v>
      </c>
      <c r="O249" s="949">
        <v>65.0</v>
      </c>
      <c r="P249" s="949">
        <v>45.0</v>
      </c>
      <c r="Q249" s="949">
        <v>35.0</v>
      </c>
      <c r="R249" s="949">
        <v>106.0</v>
      </c>
      <c r="S249" s="949">
        <v>169.0</v>
      </c>
      <c r="T249" s="949">
        <v>185.0</v>
      </c>
      <c r="U249" s="949"/>
      <c r="V249" s="949"/>
      <c r="W249" s="949"/>
      <c r="X249" s="949"/>
      <c r="Y249" s="949"/>
      <c r="Z249" s="949"/>
      <c r="AA249" s="949"/>
      <c r="AB249" s="949"/>
      <c r="AC249" s="949"/>
      <c r="AD249" s="949"/>
      <c r="AE249" s="949"/>
      <c r="AF249" s="949"/>
      <c r="AG249" s="949"/>
      <c r="AH249" s="949"/>
      <c r="AI249" s="949"/>
      <c r="AJ249" s="949"/>
      <c r="AK249" s="949"/>
      <c r="AL249" s="949"/>
      <c r="AM249" s="953" t="s">
        <v>861</v>
      </c>
      <c r="AN249" s="954"/>
      <c r="AO249" s="955" t="s">
        <v>1589</v>
      </c>
      <c r="AP249" s="931"/>
      <c r="AQ249" s="956"/>
      <c r="AR249" s="957"/>
      <c r="AS249" s="931"/>
    </row>
    <row r="250" ht="15.75" customHeight="1">
      <c r="A250" s="931"/>
      <c r="B250" s="941" t="s">
        <v>1590</v>
      </c>
      <c r="C250" s="942" t="s">
        <v>1591</v>
      </c>
      <c r="D250" s="942" t="s">
        <v>1591</v>
      </c>
      <c r="E250" s="943" t="s">
        <v>1591</v>
      </c>
      <c r="F250" s="935"/>
      <c r="G250" s="944"/>
      <c r="H250" s="944"/>
      <c r="I250" s="946" t="s">
        <v>578</v>
      </c>
      <c r="J250" s="970" t="s">
        <v>710</v>
      </c>
      <c r="K250" s="954" t="s">
        <v>158</v>
      </c>
      <c r="L250" s="949">
        <v>70.0</v>
      </c>
      <c r="M250" s="949">
        <v>55.0</v>
      </c>
      <c r="N250" s="949">
        <v>55.0</v>
      </c>
      <c r="O250" s="949">
        <v>80.0</v>
      </c>
      <c r="P250" s="949">
        <v>60.0</v>
      </c>
      <c r="Q250" s="949">
        <v>45.0</v>
      </c>
      <c r="R250" s="949">
        <v>126.0</v>
      </c>
      <c r="S250" s="949">
        <v>189.0</v>
      </c>
      <c r="T250" s="949">
        <v>207.0</v>
      </c>
      <c r="U250" s="949"/>
      <c r="V250" s="949"/>
      <c r="W250" s="949"/>
      <c r="X250" s="949"/>
      <c r="Y250" s="949"/>
      <c r="Z250" s="949"/>
      <c r="AA250" s="949"/>
      <c r="AB250" s="949"/>
      <c r="AC250" s="949"/>
      <c r="AD250" s="949"/>
      <c r="AE250" s="949"/>
      <c r="AF250" s="949"/>
      <c r="AG250" s="949"/>
      <c r="AH250" s="949"/>
      <c r="AI250" s="949"/>
      <c r="AJ250" s="949"/>
      <c r="AK250" s="949"/>
      <c r="AL250" s="949"/>
      <c r="AM250" s="953" t="s">
        <v>861</v>
      </c>
      <c r="AN250" s="954"/>
      <c r="AO250" s="955" t="s">
        <v>1589</v>
      </c>
      <c r="AP250" s="931"/>
      <c r="AQ250" s="956"/>
      <c r="AR250" s="957"/>
      <c r="AS250" s="931"/>
    </row>
    <row r="251" ht="15.75" customHeight="1">
      <c r="A251" s="931"/>
      <c r="B251" s="941" t="s">
        <v>1592</v>
      </c>
      <c r="C251" s="942" t="s">
        <v>1593</v>
      </c>
      <c r="D251" s="942" t="s">
        <v>1593</v>
      </c>
      <c r="E251" s="943" t="s">
        <v>1593</v>
      </c>
      <c r="F251" s="935"/>
      <c r="G251" s="944"/>
      <c r="H251" s="944"/>
      <c r="I251" s="959" t="s">
        <v>499</v>
      </c>
      <c r="J251" s="970" t="s">
        <v>710</v>
      </c>
      <c r="K251" s="954" t="s">
        <v>158</v>
      </c>
      <c r="L251" s="949">
        <v>90.0</v>
      </c>
      <c r="M251" s="949">
        <v>75.0</v>
      </c>
      <c r="N251" s="949">
        <v>85.0</v>
      </c>
      <c r="O251" s="949">
        <v>115.0</v>
      </c>
      <c r="P251" s="949">
        <v>90.0</v>
      </c>
      <c r="Q251" s="949">
        <v>55.0</v>
      </c>
      <c r="R251" s="949">
        <v>146.0</v>
      </c>
      <c r="S251" s="949">
        <v>209.0</v>
      </c>
      <c r="T251" s="949">
        <v>229.0</v>
      </c>
      <c r="U251" s="949"/>
      <c r="V251" s="949"/>
      <c r="W251" s="949"/>
      <c r="X251" s="949"/>
      <c r="Y251" s="949"/>
      <c r="Z251" s="949"/>
      <c r="AA251" s="949"/>
      <c r="AB251" s="949"/>
      <c r="AC251" s="949"/>
      <c r="AD251" s="949"/>
      <c r="AE251" s="949"/>
      <c r="AF251" s="949"/>
      <c r="AG251" s="949"/>
      <c r="AH251" s="949"/>
      <c r="AI251" s="949"/>
      <c r="AJ251" s="949"/>
      <c r="AK251" s="949"/>
      <c r="AL251" s="949"/>
      <c r="AM251" s="953" t="s">
        <v>861</v>
      </c>
      <c r="AN251" s="954"/>
      <c r="AO251" s="955" t="s">
        <v>1589</v>
      </c>
      <c r="AP251" s="931"/>
      <c r="AQ251" s="956"/>
      <c r="AR251" s="957"/>
      <c r="AS251" s="931"/>
    </row>
    <row r="252" ht="15.75" customHeight="1">
      <c r="A252" s="931"/>
      <c r="B252" s="941" t="s">
        <v>1594</v>
      </c>
      <c r="C252" s="942" t="s">
        <v>1595</v>
      </c>
      <c r="D252" s="942" t="s">
        <v>1595</v>
      </c>
      <c r="E252" s="943" t="s">
        <v>1595</v>
      </c>
      <c r="F252" s="935"/>
      <c r="G252" s="944"/>
      <c r="H252" s="944"/>
      <c r="I252" s="946" t="s">
        <v>1596</v>
      </c>
      <c r="J252" s="970" t="s">
        <v>710</v>
      </c>
      <c r="K252" s="961" t="s">
        <v>716</v>
      </c>
      <c r="L252" s="949">
        <v>90.0</v>
      </c>
      <c r="M252" s="949">
        <v>95.0</v>
      </c>
      <c r="N252" s="949">
        <v>105.0</v>
      </c>
      <c r="O252" s="949">
        <v>165.0</v>
      </c>
      <c r="P252" s="949">
        <v>110.0</v>
      </c>
      <c r="Q252" s="949">
        <v>45.0</v>
      </c>
      <c r="R252" s="949">
        <v>126.0</v>
      </c>
      <c r="S252" s="949">
        <v>189.0</v>
      </c>
      <c r="T252" s="949">
        <v>207.0</v>
      </c>
      <c r="U252" s="949"/>
      <c r="V252" s="949"/>
      <c r="W252" s="949"/>
      <c r="X252" s="949"/>
      <c r="Y252" s="949"/>
      <c r="Z252" s="949"/>
      <c r="AA252" s="949"/>
      <c r="AB252" s="949"/>
      <c r="AC252" s="949"/>
      <c r="AD252" s="949"/>
      <c r="AE252" s="949"/>
      <c r="AF252" s="949"/>
      <c r="AG252" s="949"/>
      <c r="AH252" s="949"/>
      <c r="AI252" s="949"/>
      <c r="AJ252" s="949"/>
      <c r="AK252" s="949"/>
      <c r="AL252" s="949"/>
      <c r="AM252" s="953" t="s">
        <v>1391</v>
      </c>
      <c r="AN252" s="954"/>
      <c r="AO252" s="955"/>
      <c r="AP252" s="931"/>
      <c r="AQ252" s="956"/>
      <c r="AR252" s="957"/>
      <c r="AS252" s="931"/>
    </row>
    <row r="253" ht="15.75" customHeight="1">
      <c r="A253" s="931"/>
      <c r="B253" s="941" t="s">
        <v>1597</v>
      </c>
      <c r="C253" s="942" t="s">
        <v>1598</v>
      </c>
      <c r="D253" s="942" t="s">
        <v>1598</v>
      </c>
      <c r="E253" s="943" t="s">
        <v>1598</v>
      </c>
      <c r="F253" s="935"/>
      <c r="G253" s="944"/>
      <c r="H253" s="944"/>
      <c r="I253" s="946" t="s">
        <v>1599</v>
      </c>
      <c r="J253" s="947" t="s">
        <v>708</v>
      </c>
      <c r="K253" s="954" t="s">
        <v>158</v>
      </c>
      <c r="L253" s="949">
        <v>75.0</v>
      </c>
      <c r="M253" s="949">
        <v>80.0</v>
      </c>
      <c r="N253" s="949">
        <v>95.0</v>
      </c>
      <c r="O253" s="949">
        <v>90.0</v>
      </c>
      <c r="P253" s="949">
        <v>100.0</v>
      </c>
      <c r="Q253" s="949">
        <v>50.0</v>
      </c>
      <c r="R253" s="949">
        <v>136.0</v>
      </c>
      <c r="S253" s="949">
        <v>199.0</v>
      </c>
      <c r="T253" s="949">
        <v>218.0</v>
      </c>
      <c r="U253" s="949"/>
      <c r="V253" s="949"/>
      <c r="W253" s="949"/>
      <c r="X253" s="949"/>
      <c r="Y253" s="949"/>
      <c r="Z253" s="949"/>
      <c r="AA253" s="949"/>
      <c r="AB253" s="949"/>
      <c r="AC253" s="949"/>
      <c r="AD253" s="949"/>
      <c r="AE253" s="949"/>
      <c r="AF253" s="949"/>
      <c r="AG253" s="949"/>
      <c r="AH253" s="949"/>
      <c r="AI253" s="949"/>
      <c r="AJ253" s="949"/>
      <c r="AK253" s="949"/>
      <c r="AL253" s="949"/>
      <c r="AM253" s="953" t="s">
        <v>736</v>
      </c>
      <c r="AN253" s="954"/>
      <c r="AO253" s="955" t="s">
        <v>1335</v>
      </c>
      <c r="AP253" s="931"/>
      <c r="AQ253" s="956"/>
      <c r="AR253" s="957"/>
      <c r="AS253" s="931"/>
    </row>
    <row r="254" ht="15.75" customHeight="1">
      <c r="A254" s="931"/>
      <c r="B254" s="941" t="s">
        <v>1600</v>
      </c>
      <c r="C254" s="942" t="s">
        <v>1601</v>
      </c>
      <c r="D254" s="942" t="s">
        <v>1601</v>
      </c>
      <c r="E254" s="943" t="s">
        <v>1601</v>
      </c>
      <c r="F254" s="935"/>
      <c r="G254" s="944"/>
      <c r="H254" s="944"/>
      <c r="I254" s="959" t="s">
        <v>579</v>
      </c>
      <c r="J254" s="962" t="s">
        <v>706</v>
      </c>
      <c r="K254" s="980" t="s">
        <v>720</v>
      </c>
      <c r="L254" s="974">
        <v>70.0</v>
      </c>
      <c r="M254" s="974">
        <v>20.0</v>
      </c>
      <c r="N254" s="974">
        <v>50.0</v>
      </c>
      <c r="O254" s="974">
        <v>20.0</v>
      </c>
      <c r="P254" s="974">
        <v>50.0</v>
      </c>
      <c r="Q254" s="974">
        <v>40.0</v>
      </c>
      <c r="R254" s="949">
        <v>116.0</v>
      </c>
      <c r="S254" s="949">
        <v>179.0</v>
      </c>
      <c r="T254" s="949">
        <v>196.0</v>
      </c>
      <c r="U254" s="949"/>
      <c r="V254" s="949"/>
      <c r="W254" s="949"/>
      <c r="X254" s="949"/>
      <c r="Y254" s="949"/>
      <c r="Z254" s="949"/>
      <c r="AA254" s="949"/>
      <c r="AB254" s="949"/>
      <c r="AC254" s="949"/>
      <c r="AD254" s="949"/>
      <c r="AE254" s="949"/>
      <c r="AF254" s="949"/>
      <c r="AG254" s="949"/>
      <c r="AH254" s="949"/>
      <c r="AI254" s="949"/>
      <c r="AJ254" s="949"/>
      <c r="AK254" s="949"/>
      <c r="AL254" s="949"/>
      <c r="AM254" s="953" t="s">
        <v>746</v>
      </c>
      <c r="AN254" s="954" t="s">
        <v>1602</v>
      </c>
      <c r="AO254" s="955" t="s">
        <v>1603</v>
      </c>
      <c r="AP254" s="931"/>
      <c r="AQ254" s="956"/>
      <c r="AR254" s="957"/>
      <c r="AS254" s="931"/>
    </row>
    <row r="255" ht="15.75" customHeight="1">
      <c r="A255" s="931"/>
      <c r="B255" s="941" t="s">
        <v>1604</v>
      </c>
      <c r="C255" s="942" t="s">
        <v>241</v>
      </c>
      <c r="D255" s="942" t="s">
        <v>241</v>
      </c>
      <c r="E255" s="943" t="s">
        <v>241</v>
      </c>
      <c r="F255" s="935"/>
      <c r="G255" s="944"/>
      <c r="H255" s="944"/>
      <c r="I255" s="946" t="s">
        <v>87</v>
      </c>
      <c r="J255" s="962" t="s">
        <v>706</v>
      </c>
      <c r="K255" s="980" t="s">
        <v>720</v>
      </c>
      <c r="L255" s="949">
        <v>100.0</v>
      </c>
      <c r="M255" s="949">
        <v>50.0</v>
      </c>
      <c r="N255" s="949">
        <v>80.0</v>
      </c>
      <c r="O255" s="949">
        <v>60.0</v>
      </c>
      <c r="P255" s="949">
        <v>80.0</v>
      </c>
      <c r="Q255" s="949">
        <v>50.0</v>
      </c>
      <c r="R255" s="949">
        <v>136.0</v>
      </c>
      <c r="S255" s="949">
        <v>199.0</v>
      </c>
      <c r="T255" s="949">
        <v>218.0</v>
      </c>
      <c r="U255" s="949"/>
      <c r="V255" s="949"/>
      <c r="W255" s="949"/>
      <c r="X255" s="949"/>
      <c r="Y255" s="949"/>
      <c r="Z255" s="949"/>
      <c r="AA255" s="949"/>
      <c r="AB255" s="949"/>
      <c r="AC255" s="949"/>
      <c r="AD255" s="949"/>
      <c r="AE255" s="949"/>
      <c r="AF255" s="949"/>
      <c r="AG255" s="949"/>
      <c r="AH255" s="949"/>
      <c r="AI255" s="949"/>
      <c r="AJ255" s="949"/>
      <c r="AK255" s="949"/>
      <c r="AL255" s="949"/>
      <c r="AM255" s="953" t="s">
        <v>746</v>
      </c>
      <c r="AN255" s="954" t="s">
        <v>1602</v>
      </c>
      <c r="AO255" s="955" t="s">
        <v>1603</v>
      </c>
      <c r="AP255" s="931"/>
      <c r="AQ255" s="956"/>
      <c r="AR255" s="957"/>
      <c r="AS255" s="931"/>
    </row>
    <row r="256" ht="15.75" customHeight="1">
      <c r="A256" s="931"/>
      <c r="B256" s="941" t="s">
        <v>1605</v>
      </c>
      <c r="C256" s="942" t="s">
        <v>1606</v>
      </c>
      <c r="D256" s="942" t="s">
        <v>1606</v>
      </c>
      <c r="E256" s="943" t="s">
        <v>1606</v>
      </c>
      <c r="F256" s="935"/>
      <c r="G256" s="944"/>
      <c r="H256" s="944"/>
      <c r="I256" s="946" t="s">
        <v>528</v>
      </c>
      <c r="J256" s="989" t="s">
        <v>713</v>
      </c>
      <c r="K256" s="954" t="s">
        <v>158</v>
      </c>
      <c r="L256" s="949">
        <v>70.0</v>
      </c>
      <c r="M256" s="949">
        <v>100.0</v>
      </c>
      <c r="N256" s="949">
        <v>115.0</v>
      </c>
      <c r="O256" s="949">
        <v>30.0</v>
      </c>
      <c r="P256" s="949">
        <v>65.0</v>
      </c>
      <c r="Q256" s="949">
        <v>30.0</v>
      </c>
      <c r="R256" s="949">
        <v>96.0</v>
      </c>
      <c r="S256" s="949">
        <v>159.0</v>
      </c>
      <c r="T256" s="949">
        <v>174.0</v>
      </c>
      <c r="U256" s="949"/>
      <c r="V256" s="949"/>
      <c r="W256" s="949"/>
      <c r="X256" s="949"/>
      <c r="Y256" s="949"/>
      <c r="Z256" s="949"/>
      <c r="AA256" s="949"/>
      <c r="AB256" s="949"/>
      <c r="AC256" s="949"/>
      <c r="AD256" s="949"/>
      <c r="AE256" s="949"/>
      <c r="AF256" s="949"/>
      <c r="AG256" s="949"/>
      <c r="AH256" s="949"/>
      <c r="AI256" s="949"/>
      <c r="AJ256" s="949"/>
      <c r="AK256" s="949"/>
      <c r="AL256" s="949"/>
      <c r="AM256" s="953" t="s">
        <v>1135</v>
      </c>
      <c r="AN256" s="954" t="s">
        <v>1077</v>
      </c>
      <c r="AO256" s="955" t="s">
        <v>1046</v>
      </c>
      <c r="AP256" s="931"/>
      <c r="AQ256" s="956"/>
      <c r="AR256" s="957"/>
      <c r="AS256" s="931"/>
    </row>
    <row r="257" ht="15.75" customHeight="1">
      <c r="A257" s="931"/>
      <c r="B257" s="941" t="s">
        <v>1607</v>
      </c>
      <c r="C257" s="942" t="s">
        <v>1608</v>
      </c>
      <c r="D257" s="942" t="s">
        <v>1608</v>
      </c>
      <c r="E257" s="943" t="s">
        <v>1608</v>
      </c>
      <c r="F257" s="935"/>
      <c r="G257" s="944"/>
      <c r="H257" s="944"/>
      <c r="I257" s="946" t="s">
        <v>1609</v>
      </c>
      <c r="J257" s="962" t="s">
        <v>706</v>
      </c>
      <c r="K257" s="954" t="s">
        <v>158</v>
      </c>
      <c r="L257" s="949">
        <v>90.0</v>
      </c>
      <c r="M257" s="949">
        <v>75.0</v>
      </c>
      <c r="N257" s="949">
        <v>75.0</v>
      </c>
      <c r="O257" s="949">
        <v>90.0</v>
      </c>
      <c r="P257" s="949">
        <v>100.0</v>
      </c>
      <c r="Q257" s="949">
        <v>70.0</v>
      </c>
      <c r="R257" s="949">
        <v>176.0</v>
      </c>
      <c r="S257" s="949">
        <v>239.0</v>
      </c>
      <c r="T257" s="949">
        <v>262.0</v>
      </c>
      <c r="U257" s="949"/>
      <c r="V257" s="949"/>
      <c r="W257" s="949"/>
      <c r="X257" s="949"/>
      <c r="Y257" s="949"/>
      <c r="Z257" s="949"/>
      <c r="AA257" s="949"/>
      <c r="AB257" s="949"/>
      <c r="AC257" s="949"/>
      <c r="AD257" s="949"/>
      <c r="AE257" s="949"/>
      <c r="AF257" s="949"/>
      <c r="AG257" s="949"/>
      <c r="AH257" s="949"/>
      <c r="AI257" s="949"/>
      <c r="AJ257" s="949"/>
      <c r="AK257" s="949"/>
      <c r="AL257" s="949"/>
      <c r="AM257" s="953" t="s">
        <v>1084</v>
      </c>
      <c r="AN257" s="954" t="s">
        <v>1014</v>
      </c>
      <c r="AO257" s="955" t="s">
        <v>331</v>
      </c>
      <c r="AP257" s="931"/>
      <c r="AQ257" s="956"/>
      <c r="AR257" s="957"/>
      <c r="AS257" s="931"/>
    </row>
    <row r="258" ht="15.75" customHeight="1">
      <c r="A258" s="931"/>
      <c r="B258" s="941" t="s">
        <v>1610</v>
      </c>
      <c r="C258" s="942" t="s">
        <v>1611</v>
      </c>
      <c r="D258" s="942" t="s">
        <v>1611</v>
      </c>
      <c r="E258" s="943" t="s">
        <v>1611</v>
      </c>
      <c r="F258" s="935"/>
      <c r="G258" s="944"/>
      <c r="H258" s="944"/>
      <c r="I258" s="946" t="s">
        <v>580</v>
      </c>
      <c r="J258" s="947" t="s">
        <v>708</v>
      </c>
      <c r="K258" s="960" t="s">
        <v>707</v>
      </c>
      <c r="L258" s="949">
        <v>35.0</v>
      </c>
      <c r="M258" s="949">
        <v>35.0</v>
      </c>
      <c r="N258" s="949">
        <v>40.0</v>
      </c>
      <c r="O258" s="949">
        <v>35.0</v>
      </c>
      <c r="P258" s="949">
        <v>55.0</v>
      </c>
      <c r="Q258" s="949">
        <v>50.0</v>
      </c>
      <c r="R258" s="949">
        <v>136.0</v>
      </c>
      <c r="S258" s="949">
        <v>199.0</v>
      </c>
      <c r="T258" s="949">
        <v>218.0</v>
      </c>
      <c r="U258" s="949"/>
      <c r="V258" s="949"/>
      <c r="W258" s="949"/>
      <c r="X258" s="949"/>
      <c r="Y258" s="949"/>
      <c r="Z258" s="949"/>
      <c r="AA258" s="949"/>
      <c r="AB258" s="949"/>
      <c r="AC258" s="949"/>
      <c r="AD258" s="949"/>
      <c r="AE258" s="949"/>
      <c r="AF258" s="949"/>
      <c r="AG258" s="949"/>
      <c r="AH258" s="949"/>
      <c r="AI258" s="949"/>
      <c r="AJ258" s="949"/>
      <c r="AK258" s="949"/>
      <c r="AL258" s="949"/>
      <c r="AM258" s="953" t="s">
        <v>736</v>
      </c>
      <c r="AN258" s="954" t="s">
        <v>1339</v>
      </c>
      <c r="AO258" s="955" t="s">
        <v>995</v>
      </c>
      <c r="AP258" s="931"/>
      <c r="AQ258" s="956"/>
      <c r="AR258" s="957"/>
      <c r="AS258" s="931"/>
    </row>
    <row r="259" ht="15.75" customHeight="1">
      <c r="A259" s="931"/>
      <c r="B259" s="941" t="s">
        <v>1612</v>
      </c>
      <c r="C259" s="942" t="s">
        <v>1613</v>
      </c>
      <c r="D259" s="942" t="s">
        <v>1613</v>
      </c>
      <c r="E259" s="943" t="s">
        <v>1613</v>
      </c>
      <c r="F259" s="935"/>
      <c r="G259" s="944"/>
      <c r="H259" s="944"/>
      <c r="I259" s="946" t="s">
        <v>500</v>
      </c>
      <c r="J259" s="947" t="s">
        <v>708</v>
      </c>
      <c r="K259" s="960" t="s">
        <v>707</v>
      </c>
      <c r="L259" s="949">
        <v>55.0</v>
      </c>
      <c r="M259" s="949">
        <v>45.0</v>
      </c>
      <c r="N259" s="949">
        <v>50.0</v>
      </c>
      <c r="O259" s="949">
        <v>45.0</v>
      </c>
      <c r="P259" s="949">
        <v>65.0</v>
      </c>
      <c r="Q259" s="949">
        <v>80.0</v>
      </c>
      <c r="R259" s="949">
        <v>196.0</v>
      </c>
      <c r="S259" s="949">
        <v>259.0</v>
      </c>
      <c r="T259" s="949">
        <v>284.0</v>
      </c>
      <c r="U259" s="949"/>
      <c r="V259" s="949"/>
      <c r="W259" s="949"/>
      <c r="X259" s="949"/>
      <c r="Y259" s="949"/>
      <c r="Z259" s="949"/>
      <c r="AA259" s="949"/>
      <c r="AB259" s="949"/>
      <c r="AC259" s="949"/>
      <c r="AD259" s="949"/>
      <c r="AE259" s="949"/>
      <c r="AF259" s="949"/>
      <c r="AG259" s="949"/>
      <c r="AH259" s="949"/>
      <c r="AI259" s="949"/>
      <c r="AJ259" s="949"/>
      <c r="AK259" s="949"/>
      <c r="AL259" s="949"/>
      <c r="AM259" s="953" t="s">
        <v>736</v>
      </c>
      <c r="AN259" s="954" t="s">
        <v>1339</v>
      </c>
      <c r="AO259" s="955" t="s">
        <v>995</v>
      </c>
      <c r="AP259" s="931"/>
      <c r="AQ259" s="956"/>
      <c r="AR259" s="957"/>
      <c r="AS259" s="931"/>
    </row>
    <row r="260" ht="15.75" customHeight="1">
      <c r="A260" s="931"/>
      <c r="B260" s="941" t="s">
        <v>1614</v>
      </c>
      <c r="C260" s="942" t="s">
        <v>1615</v>
      </c>
      <c r="D260" s="942" t="s">
        <v>1615</v>
      </c>
      <c r="E260" s="943" t="s">
        <v>1615</v>
      </c>
      <c r="F260" s="935"/>
      <c r="G260" s="944"/>
      <c r="H260" s="944"/>
      <c r="I260" s="946" t="s">
        <v>366</v>
      </c>
      <c r="J260" s="947" t="s">
        <v>708</v>
      </c>
      <c r="K260" s="960" t="s">
        <v>707</v>
      </c>
      <c r="L260" s="949">
        <v>75.0</v>
      </c>
      <c r="M260" s="949">
        <v>55.0</v>
      </c>
      <c r="N260" s="949">
        <v>70.0</v>
      </c>
      <c r="O260" s="949">
        <v>55.0</v>
      </c>
      <c r="P260" s="949">
        <v>95.0</v>
      </c>
      <c r="Q260" s="949">
        <v>110.0</v>
      </c>
      <c r="R260" s="949">
        <v>256.0</v>
      </c>
      <c r="S260" s="949">
        <v>319.0</v>
      </c>
      <c r="T260" s="949">
        <v>350.0</v>
      </c>
      <c r="U260" s="949"/>
      <c r="V260" s="949"/>
      <c r="W260" s="949"/>
      <c r="X260" s="949"/>
      <c r="Y260" s="949"/>
      <c r="Z260" s="949"/>
      <c r="AA260" s="949"/>
      <c r="AB260" s="949"/>
      <c r="AC260" s="949"/>
      <c r="AD260" s="949"/>
      <c r="AE260" s="949"/>
      <c r="AF260" s="949"/>
      <c r="AG260" s="949"/>
      <c r="AH260" s="949"/>
      <c r="AI260" s="949"/>
      <c r="AJ260" s="949"/>
      <c r="AK260" s="949"/>
      <c r="AL260" s="949"/>
      <c r="AM260" s="953" t="s">
        <v>736</v>
      </c>
      <c r="AN260" s="954" t="s">
        <v>1339</v>
      </c>
      <c r="AO260" s="955" t="s">
        <v>995</v>
      </c>
      <c r="AP260" s="931"/>
      <c r="AQ260" s="956"/>
      <c r="AR260" s="957"/>
      <c r="AS260" s="931"/>
    </row>
    <row r="261" ht="15.75" customHeight="1">
      <c r="A261" s="963"/>
      <c r="B261" s="941" t="s">
        <v>1616</v>
      </c>
      <c r="C261" s="971" t="s">
        <v>1617</v>
      </c>
      <c r="D261" s="971" t="s">
        <v>1617</v>
      </c>
      <c r="E261" s="966" t="s">
        <v>1617</v>
      </c>
      <c r="F261" s="935"/>
      <c r="G261" s="944"/>
      <c r="H261" s="944"/>
      <c r="I261" s="959" t="s">
        <v>1618</v>
      </c>
      <c r="J261" s="991" t="s">
        <v>703</v>
      </c>
      <c r="K261" s="973" t="s">
        <v>158</v>
      </c>
      <c r="L261" s="974">
        <v>55.0</v>
      </c>
      <c r="M261" s="974">
        <v>70.0</v>
      </c>
      <c r="N261" s="974">
        <v>55.0</v>
      </c>
      <c r="O261" s="974">
        <v>40.0</v>
      </c>
      <c r="P261" s="974">
        <v>55.0</v>
      </c>
      <c r="Q261" s="974">
        <v>85.0</v>
      </c>
      <c r="R261" s="949">
        <v>206.0</v>
      </c>
      <c r="S261" s="949">
        <v>269.0</v>
      </c>
      <c r="T261" s="949">
        <v>295.0</v>
      </c>
      <c r="U261" s="949"/>
      <c r="V261" s="949"/>
      <c r="W261" s="949"/>
      <c r="X261" s="949"/>
      <c r="Y261" s="949"/>
      <c r="Z261" s="949"/>
      <c r="AA261" s="949"/>
      <c r="AB261" s="949"/>
      <c r="AC261" s="949"/>
      <c r="AD261" s="949"/>
      <c r="AE261" s="949"/>
      <c r="AF261" s="949"/>
      <c r="AG261" s="949"/>
      <c r="AH261" s="949"/>
      <c r="AI261" s="949"/>
      <c r="AJ261" s="949"/>
      <c r="AK261" s="949"/>
      <c r="AL261" s="949"/>
      <c r="AM261" s="964" t="s">
        <v>787</v>
      </c>
      <c r="AN261" s="954" t="s">
        <v>1040</v>
      </c>
      <c r="AO261" s="965" t="s">
        <v>1238</v>
      </c>
      <c r="AP261" s="931"/>
      <c r="AQ261" s="956"/>
      <c r="AR261" s="957"/>
      <c r="AS261" s="931"/>
    </row>
    <row r="262" ht="15.75" customHeight="1">
      <c r="A262" s="963"/>
      <c r="B262" s="941" t="s">
        <v>1619</v>
      </c>
      <c r="C262" s="971" t="s">
        <v>1620</v>
      </c>
      <c r="D262" s="971" t="s">
        <v>1620</v>
      </c>
      <c r="E262" s="966" t="s">
        <v>1620</v>
      </c>
      <c r="F262" s="935"/>
      <c r="G262" s="944"/>
      <c r="H262" s="944"/>
      <c r="I262" s="959" t="s">
        <v>581</v>
      </c>
      <c r="J262" s="1002" t="s">
        <v>708</v>
      </c>
      <c r="K262" s="973" t="s">
        <v>158</v>
      </c>
      <c r="L262" s="974">
        <v>30.0</v>
      </c>
      <c r="M262" s="974">
        <v>30.0</v>
      </c>
      <c r="N262" s="974">
        <v>30.0</v>
      </c>
      <c r="O262" s="974">
        <v>30.0</v>
      </c>
      <c r="P262" s="974">
        <v>30.0</v>
      </c>
      <c r="Q262" s="974">
        <v>30.0</v>
      </c>
      <c r="R262" s="949">
        <v>96.0</v>
      </c>
      <c r="S262" s="949">
        <v>159.0</v>
      </c>
      <c r="T262" s="949">
        <v>174.0</v>
      </c>
      <c r="U262" s="949"/>
      <c r="V262" s="949"/>
      <c r="W262" s="949"/>
      <c r="X262" s="949"/>
      <c r="Y262" s="949"/>
      <c r="Z262" s="949"/>
      <c r="AA262" s="949"/>
      <c r="AB262" s="949"/>
      <c r="AC262" s="949"/>
      <c r="AD262" s="949"/>
      <c r="AE262" s="949"/>
      <c r="AF262" s="949"/>
      <c r="AG262" s="949"/>
      <c r="AH262" s="949"/>
      <c r="AI262" s="949"/>
      <c r="AJ262" s="949"/>
      <c r="AK262" s="949"/>
      <c r="AL262" s="949"/>
      <c r="AM262" s="964" t="s">
        <v>736</v>
      </c>
      <c r="AN262" s="973" t="s">
        <v>751</v>
      </c>
      <c r="AO262" s="965" t="s">
        <v>1209</v>
      </c>
      <c r="AP262" s="931"/>
      <c r="AQ262" s="956"/>
      <c r="AR262" s="957"/>
      <c r="AS262" s="931"/>
    </row>
    <row r="263" ht="15.75" customHeight="1">
      <c r="A263" s="931"/>
      <c r="B263" s="941" t="s">
        <v>1621</v>
      </c>
      <c r="C263" s="942" t="s">
        <v>1622</v>
      </c>
      <c r="D263" s="942" t="s">
        <v>1622</v>
      </c>
      <c r="E263" s="943" t="s">
        <v>1622</v>
      </c>
      <c r="F263" s="935"/>
      <c r="G263" s="944"/>
      <c r="H263" s="944"/>
      <c r="I263" s="946" t="s">
        <v>529</v>
      </c>
      <c r="J263" s="947" t="s">
        <v>708</v>
      </c>
      <c r="K263" s="954" t="s">
        <v>158</v>
      </c>
      <c r="L263" s="949">
        <v>75.0</v>
      </c>
      <c r="M263" s="949">
        <v>75.0</v>
      </c>
      <c r="N263" s="949">
        <v>55.0</v>
      </c>
      <c r="O263" s="949">
        <v>105.0</v>
      </c>
      <c r="P263" s="949">
        <v>85.0</v>
      </c>
      <c r="Q263" s="949">
        <v>30.0</v>
      </c>
      <c r="R263" s="949">
        <v>96.0</v>
      </c>
      <c r="S263" s="949">
        <v>159.0</v>
      </c>
      <c r="T263" s="949">
        <v>174.0</v>
      </c>
      <c r="U263" s="949"/>
      <c r="V263" s="949"/>
      <c r="W263" s="949"/>
      <c r="X263" s="949"/>
      <c r="Y263" s="949"/>
      <c r="Z263" s="949"/>
      <c r="AA263" s="949"/>
      <c r="AB263" s="949"/>
      <c r="AC263" s="949"/>
      <c r="AD263" s="949"/>
      <c r="AE263" s="949"/>
      <c r="AF263" s="949"/>
      <c r="AG263" s="949"/>
      <c r="AH263" s="949"/>
      <c r="AI263" s="949"/>
      <c r="AJ263" s="949"/>
      <c r="AK263" s="949"/>
      <c r="AL263" s="949"/>
      <c r="AM263" s="953" t="s">
        <v>736</v>
      </c>
      <c r="AN263" s="954" t="s">
        <v>751</v>
      </c>
      <c r="AO263" s="955" t="s">
        <v>1209</v>
      </c>
      <c r="AP263" s="931"/>
      <c r="AQ263" s="956"/>
      <c r="AR263" s="957"/>
      <c r="AS263" s="931"/>
    </row>
    <row r="264" ht="15.75" customHeight="1">
      <c r="A264" s="963"/>
      <c r="B264" s="941" t="s">
        <v>1623</v>
      </c>
      <c r="C264" s="942" t="s">
        <v>1624</v>
      </c>
      <c r="D264" s="942" t="s">
        <v>1624</v>
      </c>
      <c r="E264" s="943" t="s">
        <v>1624</v>
      </c>
      <c r="F264" s="935"/>
      <c r="G264" s="944"/>
      <c r="H264" s="944"/>
      <c r="I264" s="946" t="s">
        <v>1625</v>
      </c>
      <c r="J264" s="967" t="s">
        <v>715</v>
      </c>
      <c r="K264" s="960" t="s">
        <v>707</v>
      </c>
      <c r="L264" s="949">
        <v>65.0</v>
      </c>
      <c r="M264" s="949">
        <v>65.0</v>
      </c>
      <c r="N264" s="949">
        <v>45.0</v>
      </c>
      <c r="O264" s="949">
        <v>75.0</v>
      </c>
      <c r="P264" s="949">
        <v>45.0</v>
      </c>
      <c r="Q264" s="949">
        <v>95.0</v>
      </c>
      <c r="R264" s="949">
        <v>226.0</v>
      </c>
      <c r="S264" s="949">
        <v>289.0</v>
      </c>
      <c r="T264" s="949">
        <v>317.0</v>
      </c>
      <c r="U264" s="949"/>
      <c r="V264" s="949"/>
      <c r="W264" s="949"/>
      <c r="X264" s="949"/>
      <c r="Y264" s="949"/>
      <c r="Z264" s="949"/>
      <c r="AA264" s="949"/>
      <c r="AB264" s="949"/>
      <c r="AC264" s="949"/>
      <c r="AD264" s="949"/>
      <c r="AE264" s="949"/>
      <c r="AF264" s="949"/>
      <c r="AG264" s="949"/>
      <c r="AH264" s="949"/>
      <c r="AI264" s="949"/>
      <c r="AJ264" s="949"/>
      <c r="AK264" s="949"/>
      <c r="AL264" s="949"/>
      <c r="AM264" s="964" t="s">
        <v>1626</v>
      </c>
      <c r="AN264" s="973" t="s">
        <v>795</v>
      </c>
      <c r="AO264" s="965" t="s">
        <v>990</v>
      </c>
      <c r="AP264" s="931"/>
      <c r="AQ264" s="956"/>
      <c r="AR264" s="957"/>
      <c r="AS264" s="931"/>
    </row>
    <row r="265" ht="15.75" customHeight="1">
      <c r="A265" s="931"/>
      <c r="B265" s="941" t="s">
        <v>1627</v>
      </c>
      <c r="C265" s="942" t="s">
        <v>1628</v>
      </c>
      <c r="D265" s="942" t="s">
        <v>1628</v>
      </c>
      <c r="E265" s="943" t="s">
        <v>1628</v>
      </c>
      <c r="F265" s="935"/>
      <c r="G265" s="944"/>
      <c r="H265" s="944"/>
      <c r="I265" s="946" t="s">
        <v>1629</v>
      </c>
      <c r="J265" s="962" t="s">
        <v>706</v>
      </c>
      <c r="K265" s="976" t="s">
        <v>711</v>
      </c>
      <c r="L265" s="949">
        <v>55.0</v>
      </c>
      <c r="M265" s="949">
        <v>45.0</v>
      </c>
      <c r="N265" s="949">
        <v>45.0</v>
      </c>
      <c r="O265" s="949">
        <v>25.0</v>
      </c>
      <c r="P265" s="949">
        <v>25.0</v>
      </c>
      <c r="Q265" s="949">
        <v>15.0</v>
      </c>
      <c r="R265" s="949">
        <v>66.0</v>
      </c>
      <c r="S265" s="949">
        <v>129.0</v>
      </c>
      <c r="T265" s="949">
        <v>141.0</v>
      </c>
      <c r="U265" s="949"/>
      <c r="V265" s="949"/>
      <c r="W265" s="949"/>
      <c r="X265" s="949"/>
      <c r="Y265" s="949"/>
      <c r="Z265" s="949"/>
      <c r="AA265" s="949"/>
      <c r="AB265" s="949"/>
      <c r="AC265" s="949"/>
      <c r="AD265" s="949"/>
      <c r="AE265" s="949"/>
      <c r="AF265" s="949"/>
      <c r="AG265" s="949"/>
      <c r="AH265" s="949"/>
      <c r="AI265" s="949"/>
      <c r="AJ265" s="949"/>
      <c r="AK265" s="949"/>
      <c r="AL265" s="949"/>
      <c r="AM265" s="953" t="s">
        <v>1014</v>
      </c>
      <c r="AN265" s="954" t="s">
        <v>1084</v>
      </c>
      <c r="AO265" s="955" t="s">
        <v>968</v>
      </c>
      <c r="AP265" s="931"/>
      <c r="AQ265" s="956"/>
      <c r="AR265" s="957"/>
      <c r="AS265" s="931"/>
    </row>
    <row r="266" ht="15.75" customHeight="1">
      <c r="A266" s="963"/>
      <c r="B266" s="941" t="s">
        <v>1630</v>
      </c>
      <c r="C266" s="942" t="s">
        <v>1631</v>
      </c>
      <c r="D266" s="942" t="s">
        <v>1631</v>
      </c>
      <c r="E266" s="943" t="s">
        <v>1631</v>
      </c>
      <c r="F266" s="935"/>
      <c r="G266" s="944"/>
      <c r="H266" s="944"/>
      <c r="I266" s="946" t="s">
        <v>1632</v>
      </c>
      <c r="J266" s="948" t="s">
        <v>709</v>
      </c>
      <c r="K266" s="976" t="s">
        <v>711</v>
      </c>
      <c r="L266" s="949">
        <v>55.0</v>
      </c>
      <c r="M266" s="949">
        <v>45.0</v>
      </c>
      <c r="N266" s="949">
        <v>45.0</v>
      </c>
      <c r="O266" s="949">
        <v>25.0</v>
      </c>
      <c r="P266" s="949">
        <v>25.0</v>
      </c>
      <c r="Q266" s="949">
        <v>15.0</v>
      </c>
      <c r="R266" s="949">
        <v>66.0</v>
      </c>
      <c r="S266" s="949">
        <v>129.0</v>
      </c>
      <c r="T266" s="949">
        <v>141.0</v>
      </c>
      <c r="U266" s="949"/>
      <c r="V266" s="949"/>
      <c r="W266" s="949"/>
      <c r="X266" s="949"/>
      <c r="Y266" s="949"/>
      <c r="Z266" s="949"/>
      <c r="AA266" s="949"/>
      <c r="AB266" s="949"/>
      <c r="AC266" s="949"/>
      <c r="AD266" s="949"/>
      <c r="AE266" s="949"/>
      <c r="AF266" s="949"/>
      <c r="AG266" s="949"/>
      <c r="AH266" s="949"/>
      <c r="AI266" s="949"/>
      <c r="AJ266" s="949"/>
      <c r="AK266" s="949"/>
      <c r="AL266" s="949"/>
      <c r="AM266" s="964" t="s">
        <v>942</v>
      </c>
      <c r="AN266" s="973" t="s">
        <v>1084</v>
      </c>
      <c r="AO266" s="965" t="s">
        <v>968</v>
      </c>
      <c r="AP266" s="931"/>
      <c r="AQ266" s="956"/>
      <c r="AR266" s="957"/>
      <c r="AS266" s="931"/>
    </row>
    <row r="267" ht="15.75" customHeight="1">
      <c r="A267" s="963"/>
      <c r="B267" s="941" t="s">
        <v>1633</v>
      </c>
      <c r="C267" s="942" t="s">
        <v>1634</v>
      </c>
      <c r="D267" s="942" t="s">
        <v>1634</v>
      </c>
      <c r="E267" s="943" t="s">
        <v>1634</v>
      </c>
      <c r="F267" s="935"/>
      <c r="G267" s="944"/>
      <c r="H267" s="944"/>
      <c r="I267" s="946" t="s">
        <v>1635</v>
      </c>
      <c r="J267" s="962" t="s">
        <v>706</v>
      </c>
      <c r="K267" s="976" t="s">
        <v>711</v>
      </c>
      <c r="L267" s="949">
        <v>95.0</v>
      </c>
      <c r="M267" s="949">
        <v>85.0</v>
      </c>
      <c r="N267" s="949">
        <v>85.0</v>
      </c>
      <c r="O267" s="949">
        <v>65.0</v>
      </c>
      <c r="P267" s="949">
        <v>65.0</v>
      </c>
      <c r="Q267" s="949">
        <v>35.0</v>
      </c>
      <c r="R267" s="949">
        <v>106.0</v>
      </c>
      <c r="S267" s="949">
        <v>169.0</v>
      </c>
      <c r="T267" s="949">
        <v>185.0</v>
      </c>
      <c r="U267" s="949"/>
      <c r="V267" s="949"/>
      <c r="W267" s="949"/>
      <c r="X267" s="949"/>
      <c r="Y267" s="949"/>
      <c r="Z267" s="949"/>
      <c r="AA267" s="949"/>
      <c r="AB267" s="949"/>
      <c r="AC267" s="949"/>
      <c r="AD267" s="949"/>
      <c r="AE267" s="949"/>
      <c r="AF267" s="949"/>
      <c r="AG267" s="949"/>
      <c r="AH267" s="949"/>
      <c r="AI267" s="949"/>
      <c r="AJ267" s="949"/>
      <c r="AK267" s="949"/>
      <c r="AL267" s="949"/>
      <c r="AM267" s="964" t="s">
        <v>1014</v>
      </c>
      <c r="AN267" s="973" t="s">
        <v>1084</v>
      </c>
      <c r="AO267" s="965" t="s">
        <v>968</v>
      </c>
      <c r="AP267" s="931"/>
      <c r="AQ267" s="956"/>
      <c r="AR267" s="957"/>
      <c r="AS267" s="931"/>
    </row>
    <row r="268" ht="15.75" customHeight="1">
      <c r="A268" s="931"/>
      <c r="B268" s="941" t="s">
        <v>1636</v>
      </c>
      <c r="C268" s="942" t="s">
        <v>1637</v>
      </c>
      <c r="D268" s="942" t="s">
        <v>1637</v>
      </c>
      <c r="E268" s="943" t="s">
        <v>1637</v>
      </c>
      <c r="F268" s="935"/>
      <c r="G268" s="944"/>
      <c r="H268" s="944"/>
      <c r="I268" s="946" t="s">
        <v>441</v>
      </c>
      <c r="J268" s="975" t="s">
        <v>712</v>
      </c>
      <c r="K268" s="954" t="s">
        <v>158</v>
      </c>
      <c r="L268" s="949">
        <v>65.0</v>
      </c>
      <c r="M268" s="949">
        <v>65.0</v>
      </c>
      <c r="N268" s="949">
        <v>60.0</v>
      </c>
      <c r="O268" s="949">
        <v>130.0</v>
      </c>
      <c r="P268" s="949">
        <v>95.0</v>
      </c>
      <c r="Q268" s="949">
        <v>110.0</v>
      </c>
      <c r="R268" s="949">
        <v>256.0</v>
      </c>
      <c r="S268" s="949">
        <v>319.0</v>
      </c>
      <c r="T268" s="949">
        <v>350.0</v>
      </c>
      <c r="U268" s="949"/>
      <c r="V268" s="949"/>
      <c r="W268" s="949"/>
      <c r="X268" s="949"/>
      <c r="Y268" s="949"/>
      <c r="Z268" s="949"/>
      <c r="AA268" s="949"/>
      <c r="AB268" s="949"/>
      <c r="AC268" s="949"/>
      <c r="AD268" s="949"/>
      <c r="AE268" s="949"/>
      <c r="AF268" s="949"/>
      <c r="AG268" s="949"/>
      <c r="AH268" s="949"/>
      <c r="AI268" s="949"/>
      <c r="AJ268" s="949"/>
      <c r="AK268" s="949"/>
      <c r="AL268" s="949"/>
      <c r="AM268" s="953" t="s">
        <v>1094</v>
      </c>
      <c r="AN268" s="954"/>
      <c r="AO268" s="955" t="s">
        <v>1583</v>
      </c>
      <c r="AP268" s="931"/>
      <c r="AQ268" s="956"/>
      <c r="AR268" s="957"/>
      <c r="AS268" s="931"/>
    </row>
    <row r="269" ht="15.75" customHeight="1">
      <c r="A269" s="963"/>
      <c r="B269" s="941" t="s">
        <v>1638</v>
      </c>
      <c r="C269" s="942" t="s">
        <v>1639</v>
      </c>
      <c r="D269" s="942" t="s">
        <v>1639</v>
      </c>
      <c r="E269" s="943" t="s">
        <v>1639</v>
      </c>
      <c r="F269" s="935"/>
      <c r="G269" s="944"/>
      <c r="H269" s="944"/>
      <c r="I269" s="946" t="s">
        <v>420</v>
      </c>
      <c r="J269" s="969" t="s">
        <v>718</v>
      </c>
      <c r="K269" s="954" t="s">
        <v>158</v>
      </c>
      <c r="L269" s="949">
        <v>95.0</v>
      </c>
      <c r="M269" s="949">
        <v>65.0</v>
      </c>
      <c r="N269" s="949">
        <v>110.0</v>
      </c>
      <c r="O269" s="949">
        <v>60.0</v>
      </c>
      <c r="P269" s="949">
        <v>130.0</v>
      </c>
      <c r="Q269" s="949">
        <v>65.0</v>
      </c>
      <c r="R269" s="949">
        <v>166.0</v>
      </c>
      <c r="S269" s="949">
        <v>229.0</v>
      </c>
      <c r="T269" s="949">
        <v>251.0</v>
      </c>
      <c r="U269" s="949"/>
      <c r="V269" s="949"/>
      <c r="W269" s="949"/>
      <c r="X269" s="949"/>
      <c r="Y269" s="949"/>
      <c r="Z269" s="949"/>
      <c r="AA269" s="949"/>
      <c r="AB269" s="949"/>
      <c r="AC269" s="949"/>
      <c r="AD269" s="949"/>
      <c r="AE269" s="949"/>
      <c r="AF269" s="949"/>
      <c r="AG269" s="949"/>
      <c r="AH269" s="949"/>
      <c r="AI269" s="949"/>
      <c r="AJ269" s="949"/>
      <c r="AK269" s="949"/>
      <c r="AL269" s="949"/>
      <c r="AM269" s="964" t="s">
        <v>1094</v>
      </c>
      <c r="AN269" s="973"/>
      <c r="AO269" s="965" t="s">
        <v>994</v>
      </c>
      <c r="AP269" s="931"/>
      <c r="AQ269" s="956"/>
      <c r="AR269" s="957"/>
      <c r="AS269" s="931"/>
    </row>
    <row r="270" ht="15.75" customHeight="1">
      <c r="A270" s="931"/>
      <c r="B270" s="941" t="s">
        <v>1640</v>
      </c>
      <c r="C270" s="942" t="s">
        <v>223</v>
      </c>
      <c r="D270" s="942" t="s">
        <v>223</v>
      </c>
      <c r="E270" s="943" t="s">
        <v>223</v>
      </c>
      <c r="F270" s="935"/>
      <c r="G270" s="944"/>
      <c r="H270" s="944"/>
      <c r="I270" s="946" t="s">
        <v>61</v>
      </c>
      <c r="J270" s="969" t="s">
        <v>718</v>
      </c>
      <c r="K270" s="960" t="s">
        <v>707</v>
      </c>
      <c r="L270" s="949">
        <v>60.0</v>
      </c>
      <c r="M270" s="949">
        <v>85.0</v>
      </c>
      <c r="N270" s="949">
        <v>42.0</v>
      </c>
      <c r="O270" s="949">
        <v>85.0</v>
      </c>
      <c r="P270" s="949">
        <v>42.0</v>
      </c>
      <c r="Q270" s="949">
        <v>91.0</v>
      </c>
      <c r="R270" s="949">
        <v>218.0</v>
      </c>
      <c r="S270" s="949">
        <v>281.0</v>
      </c>
      <c r="T270" s="949">
        <v>309.0</v>
      </c>
      <c r="U270" s="949"/>
      <c r="V270" s="949"/>
      <c r="W270" s="949"/>
      <c r="X270" s="949"/>
      <c r="Y270" s="949"/>
      <c r="Z270" s="949"/>
      <c r="AA270" s="949"/>
      <c r="AB270" s="949"/>
      <c r="AC270" s="949"/>
      <c r="AD270" s="949"/>
      <c r="AE270" s="949"/>
      <c r="AF270" s="949"/>
      <c r="AG270" s="949"/>
      <c r="AH270" s="949"/>
      <c r="AI270" s="949"/>
      <c r="AJ270" s="949"/>
      <c r="AK270" s="949"/>
      <c r="AL270" s="949"/>
      <c r="AM270" s="953" t="s">
        <v>1259</v>
      </c>
      <c r="AN270" s="954" t="s">
        <v>1576</v>
      </c>
      <c r="AO270" s="955" t="s">
        <v>1641</v>
      </c>
      <c r="AP270" s="931"/>
      <c r="AQ270" s="956"/>
      <c r="AR270" s="957"/>
      <c r="AS270" s="931"/>
    </row>
    <row r="271" ht="15.75" customHeight="1">
      <c r="A271" s="931"/>
      <c r="B271" s="941" t="s">
        <v>1642</v>
      </c>
      <c r="C271" s="942" t="s">
        <v>1643</v>
      </c>
      <c r="D271" s="942" t="s">
        <v>1643</v>
      </c>
      <c r="E271" s="943" t="s">
        <v>1643</v>
      </c>
      <c r="F271" s="935"/>
      <c r="G271" s="944"/>
      <c r="H271" s="944"/>
      <c r="I271" s="946" t="s">
        <v>398</v>
      </c>
      <c r="J271" s="962" t="s">
        <v>706</v>
      </c>
      <c r="K271" s="975" t="s">
        <v>712</v>
      </c>
      <c r="L271" s="949">
        <v>95.0</v>
      </c>
      <c r="M271" s="949">
        <v>75.0</v>
      </c>
      <c r="N271" s="949">
        <v>80.0</v>
      </c>
      <c r="O271" s="949">
        <v>100.0</v>
      </c>
      <c r="P271" s="949">
        <v>110.0</v>
      </c>
      <c r="Q271" s="949">
        <v>30.0</v>
      </c>
      <c r="R271" s="949">
        <v>96.0</v>
      </c>
      <c r="S271" s="949">
        <v>159.0</v>
      </c>
      <c r="T271" s="949">
        <v>174.0</v>
      </c>
      <c r="U271" s="949"/>
      <c r="V271" s="949"/>
      <c r="W271" s="949"/>
      <c r="X271" s="949"/>
      <c r="Y271" s="949"/>
      <c r="Z271" s="949"/>
      <c r="AA271" s="949"/>
      <c r="AB271" s="949"/>
      <c r="AC271" s="949"/>
      <c r="AD271" s="949"/>
      <c r="AE271" s="949"/>
      <c r="AF271" s="949"/>
      <c r="AG271" s="949"/>
      <c r="AH271" s="949"/>
      <c r="AI271" s="949"/>
      <c r="AJ271" s="949"/>
      <c r="AK271" s="949"/>
      <c r="AL271" s="949"/>
      <c r="AM271" s="953" t="s">
        <v>1175</v>
      </c>
      <c r="AN271" s="954" t="s">
        <v>1176</v>
      </c>
      <c r="AO271" s="955" t="s">
        <v>1177</v>
      </c>
      <c r="AP271" s="931"/>
      <c r="AQ271" s="956"/>
      <c r="AR271" s="957"/>
      <c r="AS271" s="931"/>
    </row>
    <row r="272" ht="15.75" customHeight="1">
      <c r="A272" s="963"/>
      <c r="B272" s="941" t="s">
        <v>1644</v>
      </c>
      <c r="C272" s="942" t="s">
        <v>1645</v>
      </c>
      <c r="D272" s="942" t="s">
        <v>1645</v>
      </c>
      <c r="E272" s="943" t="s">
        <v>1646</v>
      </c>
      <c r="F272" s="935"/>
      <c r="G272" s="944"/>
      <c r="H272" s="944"/>
      <c r="I272" s="946" t="s">
        <v>1647</v>
      </c>
      <c r="J272" s="948" t="s">
        <v>709</v>
      </c>
      <c r="K272" s="975" t="s">
        <v>712</v>
      </c>
      <c r="L272" s="949">
        <v>95.0</v>
      </c>
      <c r="M272" s="949">
        <v>65.0</v>
      </c>
      <c r="N272" s="949">
        <v>80.0</v>
      </c>
      <c r="O272" s="949">
        <v>110.0</v>
      </c>
      <c r="P272" s="949">
        <v>110.0</v>
      </c>
      <c r="Q272" s="949">
        <v>30.0</v>
      </c>
      <c r="R272" s="949">
        <v>96.0</v>
      </c>
      <c r="S272" s="949">
        <v>159.0</v>
      </c>
      <c r="T272" s="949">
        <v>174.0</v>
      </c>
      <c r="U272" s="949"/>
      <c r="V272" s="949"/>
      <c r="W272" s="949"/>
      <c r="X272" s="949"/>
      <c r="Y272" s="949"/>
      <c r="Z272" s="949"/>
      <c r="AA272" s="949"/>
      <c r="AB272" s="949"/>
      <c r="AC272" s="949"/>
      <c r="AD272" s="949"/>
      <c r="AE272" s="949"/>
      <c r="AF272" s="949"/>
      <c r="AG272" s="949"/>
      <c r="AH272" s="949"/>
      <c r="AI272" s="949"/>
      <c r="AJ272" s="949"/>
      <c r="AK272" s="949"/>
      <c r="AL272" s="949"/>
      <c r="AM272" s="964" t="s">
        <v>1648</v>
      </c>
      <c r="AN272" s="973" t="s">
        <v>1176</v>
      </c>
      <c r="AO272" s="965" t="s">
        <v>1177</v>
      </c>
      <c r="AP272" s="931"/>
      <c r="AQ272" s="956"/>
      <c r="AR272" s="957"/>
      <c r="AS272" s="931"/>
    </row>
    <row r="273" ht="15.75" customHeight="1">
      <c r="A273" s="931"/>
      <c r="B273" s="941" t="s">
        <v>1649</v>
      </c>
      <c r="C273" s="942" t="s">
        <v>1650</v>
      </c>
      <c r="D273" s="942" t="s">
        <v>1650</v>
      </c>
      <c r="E273" s="943" t="s">
        <v>1650</v>
      </c>
      <c r="F273" s="935"/>
      <c r="G273" s="944"/>
      <c r="H273" s="944"/>
      <c r="I273" s="946" t="s">
        <v>530</v>
      </c>
      <c r="J273" s="994" t="s">
        <v>717</v>
      </c>
      <c r="K273" s="954" t="s">
        <v>158</v>
      </c>
      <c r="L273" s="949">
        <v>60.0</v>
      </c>
      <c r="M273" s="949">
        <v>60.0</v>
      </c>
      <c r="N273" s="949">
        <v>60.0</v>
      </c>
      <c r="O273" s="949">
        <v>85.0</v>
      </c>
      <c r="P273" s="949">
        <v>85.0</v>
      </c>
      <c r="Q273" s="949">
        <v>85.0</v>
      </c>
      <c r="R273" s="949">
        <v>206.0</v>
      </c>
      <c r="S273" s="949">
        <v>269.0</v>
      </c>
      <c r="T273" s="949">
        <v>295.0</v>
      </c>
      <c r="U273" s="949"/>
      <c r="V273" s="949"/>
      <c r="W273" s="949"/>
      <c r="X273" s="949"/>
      <c r="Y273" s="949"/>
      <c r="Z273" s="949"/>
      <c r="AA273" s="949"/>
      <c r="AB273" s="949"/>
      <c r="AC273" s="949"/>
      <c r="AD273" s="949"/>
      <c r="AE273" s="949"/>
      <c r="AF273" s="949"/>
      <c r="AG273" s="949"/>
      <c r="AH273" s="949"/>
      <c r="AI273" s="949"/>
      <c r="AJ273" s="949"/>
      <c r="AK273" s="949"/>
      <c r="AL273" s="949"/>
      <c r="AM273" s="953" t="s">
        <v>1244</v>
      </c>
      <c r="AN273" s="954"/>
      <c r="AO273" s="955"/>
      <c r="AP273" s="931"/>
      <c r="AQ273" s="956"/>
      <c r="AR273" s="957"/>
      <c r="AS273" s="931"/>
    </row>
    <row r="274" ht="15.75" customHeight="1">
      <c r="A274" s="931"/>
      <c r="B274" s="941" t="s">
        <v>1651</v>
      </c>
      <c r="C274" s="942" t="s">
        <v>1652</v>
      </c>
      <c r="D274" s="942" t="s">
        <v>1652</v>
      </c>
      <c r="E274" s="943" t="s">
        <v>1652</v>
      </c>
      <c r="F274" s="935"/>
      <c r="G274" s="944"/>
      <c r="H274" s="944"/>
      <c r="I274" s="946" t="s">
        <v>1653</v>
      </c>
      <c r="J274" s="975" t="s">
        <v>712</v>
      </c>
      <c r="K274" s="954" t="s">
        <v>158</v>
      </c>
      <c r="L274" s="949">
        <v>48.0</v>
      </c>
      <c r="M274" s="949">
        <v>72.0</v>
      </c>
      <c r="N274" s="949">
        <v>48.0</v>
      </c>
      <c r="O274" s="949">
        <v>72.0</v>
      </c>
      <c r="P274" s="949">
        <v>48.0</v>
      </c>
      <c r="Q274" s="949">
        <v>48.0</v>
      </c>
      <c r="R274" s="949">
        <v>132.0</v>
      </c>
      <c r="S274" s="949">
        <v>195.0</v>
      </c>
      <c r="T274" s="949">
        <v>214.0</v>
      </c>
      <c r="U274" s="949"/>
      <c r="V274" s="949"/>
      <c r="W274" s="949"/>
      <c r="X274" s="949"/>
      <c r="Y274" s="949"/>
      <c r="Z274" s="949"/>
      <c r="AA274" s="949"/>
      <c r="AB274" s="949"/>
      <c r="AC274" s="949"/>
      <c r="AD274" s="949"/>
      <c r="AE274" s="949"/>
      <c r="AF274" s="949"/>
      <c r="AG274" s="949"/>
      <c r="AH274" s="949"/>
      <c r="AI274" s="949"/>
      <c r="AJ274" s="949"/>
      <c r="AK274" s="949"/>
      <c r="AL274" s="949"/>
      <c r="AM274" s="953" t="s">
        <v>1244</v>
      </c>
      <c r="AN274" s="954"/>
      <c r="AO274" s="955"/>
      <c r="AP274" s="931"/>
      <c r="AQ274" s="956"/>
      <c r="AR274" s="957"/>
      <c r="AS274" s="931"/>
    </row>
    <row r="275" ht="15.75" customHeight="1">
      <c r="A275" s="931"/>
      <c r="B275" s="941" t="s">
        <v>1654</v>
      </c>
      <c r="C275" s="942" t="s">
        <v>1655</v>
      </c>
      <c r="D275" s="942" t="s">
        <v>1655</v>
      </c>
      <c r="E275" s="943" t="s">
        <v>1655</v>
      </c>
      <c r="F275" s="935"/>
      <c r="G275" s="944"/>
      <c r="H275" s="944"/>
      <c r="I275" s="946" t="s">
        <v>1656</v>
      </c>
      <c r="J275" s="975" t="s">
        <v>712</v>
      </c>
      <c r="K275" s="954" t="s">
        <v>158</v>
      </c>
      <c r="L275" s="949">
        <v>190.0</v>
      </c>
      <c r="M275" s="949">
        <v>33.0</v>
      </c>
      <c r="N275" s="949">
        <v>58.0</v>
      </c>
      <c r="O275" s="949">
        <v>33.0</v>
      </c>
      <c r="P275" s="949">
        <v>58.0</v>
      </c>
      <c r="Q275" s="949">
        <v>33.0</v>
      </c>
      <c r="R275" s="949">
        <v>102.0</v>
      </c>
      <c r="S275" s="949">
        <v>165.0</v>
      </c>
      <c r="T275" s="949">
        <v>181.0</v>
      </c>
      <c r="U275" s="949"/>
      <c r="V275" s="949"/>
      <c r="W275" s="949"/>
      <c r="X275" s="949"/>
      <c r="Y275" s="949"/>
      <c r="Z275" s="949"/>
      <c r="AA275" s="949"/>
      <c r="AB275" s="949"/>
      <c r="AC275" s="949"/>
      <c r="AD275" s="949"/>
      <c r="AE275" s="949"/>
      <c r="AF275" s="949"/>
      <c r="AG275" s="949"/>
      <c r="AH275" s="949"/>
      <c r="AI275" s="949"/>
      <c r="AJ275" s="949"/>
      <c r="AK275" s="949"/>
      <c r="AL275" s="949"/>
      <c r="AM275" s="953" t="s">
        <v>1252</v>
      </c>
      <c r="AN275" s="954"/>
      <c r="AO275" s="955" t="s">
        <v>1657</v>
      </c>
      <c r="AP275" s="931"/>
      <c r="AQ275" s="956"/>
      <c r="AR275" s="957"/>
      <c r="AS275" s="931"/>
    </row>
    <row r="276" ht="15.75" customHeight="1">
      <c r="A276" s="963"/>
      <c r="B276" s="941" t="s">
        <v>1658</v>
      </c>
      <c r="C276" s="942" t="s">
        <v>1659</v>
      </c>
      <c r="D276" s="942" t="s">
        <v>1659</v>
      </c>
      <c r="E276" s="943" t="s">
        <v>1659</v>
      </c>
      <c r="F276" s="935"/>
      <c r="G276" s="944"/>
      <c r="H276" s="944"/>
      <c r="I276" s="946" t="s">
        <v>462</v>
      </c>
      <c r="J276" s="968" t="s">
        <v>703</v>
      </c>
      <c r="K276" s="975" t="s">
        <v>712</v>
      </c>
      <c r="L276" s="949">
        <v>70.0</v>
      </c>
      <c r="M276" s="949">
        <v>80.0</v>
      </c>
      <c r="N276" s="949">
        <v>65.0</v>
      </c>
      <c r="O276" s="949">
        <v>90.0</v>
      </c>
      <c r="P276" s="949">
        <v>65.0</v>
      </c>
      <c r="Q276" s="949">
        <v>85.0</v>
      </c>
      <c r="R276" s="949">
        <v>206.0</v>
      </c>
      <c r="S276" s="949">
        <v>269.0</v>
      </c>
      <c r="T276" s="949">
        <v>295.0</v>
      </c>
      <c r="U276" s="949"/>
      <c r="V276" s="949"/>
      <c r="W276" s="949"/>
      <c r="X276" s="949"/>
      <c r="Y276" s="949"/>
      <c r="Z276" s="949"/>
      <c r="AA276" s="949"/>
      <c r="AB276" s="949"/>
      <c r="AC276" s="949"/>
      <c r="AD276" s="949"/>
      <c r="AE276" s="949"/>
      <c r="AF276" s="949"/>
      <c r="AG276" s="949"/>
      <c r="AH276" s="949"/>
      <c r="AI276" s="949"/>
      <c r="AJ276" s="949"/>
      <c r="AK276" s="949"/>
      <c r="AL276" s="949"/>
      <c r="AM276" s="964" t="s">
        <v>994</v>
      </c>
      <c r="AN276" s="973" t="s">
        <v>1209</v>
      </c>
      <c r="AO276" s="965" t="s">
        <v>1603</v>
      </c>
      <c r="AP276" s="931"/>
      <c r="AQ276" s="956"/>
      <c r="AR276" s="957"/>
      <c r="AS276" s="931"/>
    </row>
    <row r="277" ht="15.75" customHeight="1">
      <c r="A277" s="963"/>
      <c r="B277" s="941" t="s">
        <v>1660</v>
      </c>
      <c r="C277" s="942" t="s">
        <v>1661</v>
      </c>
      <c r="D277" s="942" t="s">
        <v>1661</v>
      </c>
      <c r="E277" s="943" t="s">
        <v>1661</v>
      </c>
      <c r="F277" s="935"/>
      <c r="G277" s="944"/>
      <c r="H277" s="944"/>
      <c r="I277" s="946" t="s">
        <v>583</v>
      </c>
      <c r="J277" s="967" t="s">
        <v>715</v>
      </c>
      <c r="K277" s="954" t="s">
        <v>158</v>
      </c>
      <c r="L277" s="949">
        <v>50.0</v>
      </c>
      <c r="M277" s="949">
        <v>65.0</v>
      </c>
      <c r="N277" s="949">
        <v>90.0</v>
      </c>
      <c r="O277" s="949">
        <v>35.0</v>
      </c>
      <c r="P277" s="949">
        <v>35.0</v>
      </c>
      <c r="Q277" s="949">
        <v>15.0</v>
      </c>
      <c r="R277" s="949">
        <v>66.0</v>
      </c>
      <c r="S277" s="949">
        <v>129.0</v>
      </c>
      <c r="T277" s="949">
        <v>141.0</v>
      </c>
      <c r="U277" s="949"/>
      <c r="V277" s="949"/>
      <c r="W277" s="949"/>
      <c r="X277" s="949"/>
      <c r="Y277" s="949"/>
      <c r="Z277" s="949"/>
      <c r="AA277" s="949"/>
      <c r="AB277" s="949"/>
      <c r="AC277" s="949"/>
      <c r="AD277" s="949"/>
      <c r="AE277" s="949"/>
      <c r="AF277" s="949"/>
      <c r="AG277" s="949"/>
      <c r="AH277" s="949"/>
      <c r="AI277" s="949"/>
      <c r="AJ277" s="949"/>
      <c r="AK277" s="949"/>
      <c r="AL277" s="949"/>
      <c r="AM277" s="964" t="s">
        <v>1135</v>
      </c>
      <c r="AN277" s="973"/>
      <c r="AO277" s="965" t="s">
        <v>1239</v>
      </c>
      <c r="AP277" s="931"/>
      <c r="AQ277" s="956"/>
      <c r="AR277" s="957"/>
      <c r="AS277" s="931"/>
    </row>
    <row r="278" ht="15.75" customHeight="1">
      <c r="A278" s="931"/>
      <c r="B278" s="941" t="s">
        <v>1662</v>
      </c>
      <c r="C278" s="942" t="s">
        <v>1663</v>
      </c>
      <c r="D278" s="942" t="s">
        <v>1663</v>
      </c>
      <c r="E278" s="943" t="s">
        <v>1663</v>
      </c>
      <c r="F278" s="935"/>
      <c r="G278" s="944"/>
      <c r="H278" s="944"/>
      <c r="I278" s="946" t="s">
        <v>501</v>
      </c>
      <c r="J278" s="967" t="s">
        <v>715</v>
      </c>
      <c r="K278" s="978" t="s">
        <v>719</v>
      </c>
      <c r="L278" s="949">
        <v>75.0</v>
      </c>
      <c r="M278" s="949">
        <v>90.0</v>
      </c>
      <c r="N278" s="949">
        <v>140.0</v>
      </c>
      <c r="O278" s="949">
        <v>60.0</v>
      </c>
      <c r="P278" s="949">
        <v>60.0</v>
      </c>
      <c r="Q278" s="949">
        <v>40.0</v>
      </c>
      <c r="R278" s="949">
        <v>116.0</v>
      </c>
      <c r="S278" s="949">
        <v>179.0</v>
      </c>
      <c r="T278" s="949">
        <v>196.0</v>
      </c>
      <c r="U278" s="949"/>
      <c r="V278" s="949"/>
      <c r="W278" s="949"/>
      <c r="X278" s="949"/>
      <c r="Y278" s="949"/>
      <c r="Z278" s="949"/>
      <c r="AA278" s="949"/>
      <c r="AB278" s="949"/>
      <c r="AC278" s="949"/>
      <c r="AD278" s="949"/>
      <c r="AE278" s="949"/>
      <c r="AF278" s="949"/>
      <c r="AG278" s="949"/>
      <c r="AH278" s="949"/>
      <c r="AI278" s="949"/>
      <c r="AJ278" s="949"/>
      <c r="AK278" s="949"/>
      <c r="AL278" s="949"/>
      <c r="AM278" s="953" t="s">
        <v>1135</v>
      </c>
      <c r="AN278" s="954"/>
      <c r="AO278" s="955" t="s">
        <v>1239</v>
      </c>
      <c r="AP278" s="931"/>
      <c r="AQ278" s="956"/>
      <c r="AR278" s="957"/>
      <c r="AS278" s="931"/>
    </row>
    <row r="279" ht="15.75" customHeight="1">
      <c r="A279" s="931"/>
      <c r="B279" s="941" t="s">
        <v>1664</v>
      </c>
      <c r="C279" s="942" t="s">
        <v>1665</v>
      </c>
      <c r="D279" s="942" t="s">
        <v>1665</v>
      </c>
      <c r="E279" s="943" t="s">
        <v>1665</v>
      </c>
      <c r="F279" s="935"/>
      <c r="G279" s="944"/>
      <c r="H279" s="944"/>
      <c r="I279" s="946" t="s">
        <v>473</v>
      </c>
      <c r="J279" s="968" t="s">
        <v>703</v>
      </c>
      <c r="K279" s="954" t="s">
        <v>158</v>
      </c>
      <c r="L279" s="949">
        <v>100.0</v>
      </c>
      <c r="M279" s="949">
        <v>70.0</v>
      </c>
      <c r="N279" s="949">
        <v>70.0</v>
      </c>
      <c r="O279" s="949">
        <v>65.0</v>
      </c>
      <c r="P279" s="949">
        <v>65.0</v>
      </c>
      <c r="Q279" s="949">
        <v>45.0</v>
      </c>
      <c r="R279" s="949">
        <v>126.0</v>
      </c>
      <c r="S279" s="949">
        <v>189.0</v>
      </c>
      <c r="T279" s="949">
        <v>207.0</v>
      </c>
      <c r="U279" s="949"/>
      <c r="V279" s="949"/>
      <c r="W279" s="949"/>
      <c r="X279" s="949"/>
      <c r="Y279" s="949"/>
      <c r="Z279" s="949"/>
      <c r="AA279" s="949"/>
      <c r="AB279" s="949"/>
      <c r="AC279" s="949"/>
      <c r="AD279" s="949"/>
      <c r="AE279" s="949"/>
      <c r="AF279" s="949"/>
      <c r="AG279" s="949"/>
      <c r="AH279" s="949"/>
      <c r="AI279" s="949"/>
      <c r="AJ279" s="949"/>
      <c r="AK279" s="949"/>
      <c r="AL279" s="949"/>
      <c r="AM279" s="953" t="s">
        <v>1334</v>
      </c>
      <c r="AN279" s="954" t="s">
        <v>787</v>
      </c>
      <c r="AO279" s="955" t="s">
        <v>1046</v>
      </c>
      <c r="AP279" s="931"/>
      <c r="AQ279" s="956"/>
      <c r="AR279" s="957"/>
      <c r="AS279" s="931"/>
    </row>
    <row r="280" ht="15.75" customHeight="1">
      <c r="A280" s="931"/>
      <c r="B280" s="941" t="s">
        <v>1666</v>
      </c>
      <c r="C280" s="942" t="s">
        <v>1667</v>
      </c>
      <c r="D280" s="942" t="s">
        <v>1667</v>
      </c>
      <c r="E280" s="943" t="s">
        <v>1667</v>
      </c>
      <c r="F280" s="935"/>
      <c r="G280" s="944"/>
      <c r="H280" s="944"/>
      <c r="I280" s="946" t="s">
        <v>1668</v>
      </c>
      <c r="J280" s="976" t="s">
        <v>711</v>
      </c>
      <c r="K280" s="960" t="s">
        <v>707</v>
      </c>
      <c r="L280" s="949">
        <v>65.0</v>
      </c>
      <c r="M280" s="949">
        <v>75.0</v>
      </c>
      <c r="N280" s="949">
        <v>105.0</v>
      </c>
      <c r="O280" s="949">
        <v>35.0</v>
      </c>
      <c r="P280" s="949">
        <v>65.0</v>
      </c>
      <c r="Q280" s="949">
        <v>85.0</v>
      </c>
      <c r="R280" s="949">
        <v>206.0</v>
      </c>
      <c r="S280" s="949">
        <v>269.0</v>
      </c>
      <c r="T280" s="949">
        <v>295.0</v>
      </c>
      <c r="U280" s="949"/>
      <c r="V280" s="949"/>
      <c r="W280" s="949"/>
      <c r="X280" s="949"/>
      <c r="Y280" s="949"/>
      <c r="Z280" s="949"/>
      <c r="AA280" s="949"/>
      <c r="AB280" s="949"/>
      <c r="AC280" s="949"/>
      <c r="AD280" s="949"/>
      <c r="AE280" s="949"/>
      <c r="AF280" s="949"/>
      <c r="AG280" s="949"/>
      <c r="AH280" s="949"/>
      <c r="AI280" s="949"/>
      <c r="AJ280" s="949"/>
      <c r="AK280" s="949"/>
      <c r="AL280" s="949"/>
      <c r="AM280" s="953" t="s">
        <v>1266</v>
      </c>
      <c r="AN280" s="954" t="s">
        <v>923</v>
      </c>
      <c r="AO280" s="955" t="s">
        <v>1458</v>
      </c>
      <c r="AP280" s="931"/>
      <c r="AQ280" s="956"/>
      <c r="AR280" s="957"/>
      <c r="AS280" s="931"/>
    </row>
    <row r="281" ht="15.75" customHeight="1">
      <c r="A281" s="963"/>
      <c r="B281" s="941" t="s">
        <v>1669</v>
      </c>
      <c r="C281" s="942" t="s">
        <v>1670</v>
      </c>
      <c r="D281" s="942" t="s">
        <v>1670</v>
      </c>
      <c r="E281" s="943" t="s">
        <v>1670</v>
      </c>
      <c r="F281" s="935"/>
      <c r="G281" s="944"/>
      <c r="H281" s="944"/>
      <c r="I281" s="946" t="s">
        <v>1671</v>
      </c>
      <c r="J281" s="978" t="s">
        <v>719</v>
      </c>
      <c r="K281" s="976" t="s">
        <v>711</v>
      </c>
      <c r="L281" s="949">
        <v>75.0</v>
      </c>
      <c r="M281" s="949">
        <v>85.0</v>
      </c>
      <c r="N281" s="949">
        <v>200.0</v>
      </c>
      <c r="O281" s="949">
        <v>55.0</v>
      </c>
      <c r="P281" s="949">
        <v>65.0</v>
      </c>
      <c r="Q281" s="949">
        <v>30.0</v>
      </c>
      <c r="R281" s="949">
        <v>96.0</v>
      </c>
      <c r="S281" s="949">
        <v>159.0</v>
      </c>
      <c r="T281" s="949">
        <v>174.0</v>
      </c>
      <c r="U281" s="949"/>
      <c r="V281" s="949"/>
      <c r="W281" s="949"/>
      <c r="X281" s="949"/>
      <c r="Y281" s="949"/>
      <c r="Z281" s="949"/>
      <c r="AA281" s="949"/>
      <c r="AB281" s="949"/>
      <c r="AC281" s="949"/>
      <c r="AD281" s="949"/>
      <c r="AE281" s="949"/>
      <c r="AF281" s="949"/>
      <c r="AG281" s="949"/>
      <c r="AH281" s="949"/>
      <c r="AI281" s="949"/>
      <c r="AJ281" s="949"/>
      <c r="AK281" s="949"/>
      <c r="AL281" s="949"/>
      <c r="AM281" s="964" t="s">
        <v>1077</v>
      </c>
      <c r="AN281" s="954" t="s">
        <v>1135</v>
      </c>
      <c r="AO281" s="965" t="s">
        <v>949</v>
      </c>
      <c r="AP281" s="931"/>
      <c r="AQ281" s="956"/>
      <c r="AR281" s="957"/>
      <c r="AS281" s="931"/>
    </row>
    <row r="282" ht="15.75" customHeight="1">
      <c r="A282" s="931"/>
      <c r="B282" s="941" t="s">
        <v>1672</v>
      </c>
      <c r="C282" s="942" t="s">
        <v>1673</v>
      </c>
      <c r="D282" s="942" t="s">
        <v>1673</v>
      </c>
      <c r="E282" s="943" t="s">
        <v>1673</v>
      </c>
      <c r="F282" s="935"/>
      <c r="G282" s="944"/>
      <c r="H282" s="944"/>
      <c r="I282" s="946" t="s">
        <v>1674</v>
      </c>
      <c r="J282" s="978" t="s">
        <v>719</v>
      </c>
      <c r="K282" s="976" t="s">
        <v>711</v>
      </c>
      <c r="L282" s="949">
        <v>75.0</v>
      </c>
      <c r="M282" s="949">
        <v>125.0</v>
      </c>
      <c r="N282" s="949">
        <v>230.0</v>
      </c>
      <c r="O282" s="949">
        <v>55.0</v>
      </c>
      <c r="P282" s="949">
        <v>95.0</v>
      </c>
      <c r="Q282" s="949">
        <v>30.0</v>
      </c>
      <c r="R282" s="949">
        <v>96.0</v>
      </c>
      <c r="S282" s="949">
        <v>159.0</v>
      </c>
      <c r="T282" s="949">
        <v>174.0</v>
      </c>
      <c r="U282" s="949"/>
      <c r="V282" s="949"/>
      <c r="W282" s="949"/>
      <c r="X282" s="949"/>
      <c r="Y282" s="949"/>
      <c r="Z282" s="949"/>
      <c r="AA282" s="949"/>
      <c r="AB282" s="949"/>
      <c r="AC282" s="949"/>
      <c r="AD282" s="949"/>
      <c r="AE282" s="949"/>
      <c r="AF282" s="949"/>
      <c r="AG282" s="949"/>
      <c r="AH282" s="949"/>
      <c r="AI282" s="949"/>
      <c r="AJ282" s="949"/>
      <c r="AK282" s="949"/>
      <c r="AL282" s="949"/>
      <c r="AM282" s="953" t="s">
        <v>1026</v>
      </c>
      <c r="AN282" s="954"/>
      <c r="AO282" s="955"/>
      <c r="AP282" s="931"/>
      <c r="AQ282" s="956"/>
      <c r="AR282" s="957"/>
      <c r="AS282" s="931"/>
    </row>
    <row r="283" ht="15.75" customHeight="1">
      <c r="A283" s="931"/>
      <c r="B283" s="941" t="s">
        <v>1675</v>
      </c>
      <c r="C283" s="942" t="s">
        <v>1676</v>
      </c>
      <c r="D283" s="942" t="s">
        <v>1676</v>
      </c>
      <c r="E283" s="943" t="s">
        <v>1676</v>
      </c>
      <c r="F283" s="935"/>
      <c r="G283" s="944"/>
      <c r="H283" s="944"/>
      <c r="I283" s="946" t="s">
        <v>1677</v>
      </c>
      <c r="J283" s="980" t="s">
        <v>720</v>
      </c>
      <c r="K283" s="954" t="s">
        <v>158</v>
      </c>
      <c r="L283" s="949">
        <v>60.0</v>
      </c>
      <c r="M283" s="949">
        <v>80.0</v>
      </c>
      <c r="N283" s="949">
        <v>50.0</v>
      </c>
      <c r="O283" s="949">
        <v>40.0</v>
      </c>
      <c r="P283" s="949">
        <v>40.0</v>
      </c>
      <c r="Q283" s="949">
        <v>30.0</v>
      </c>
      <c r="R283" s="949">
        <v>96.0</v>
      </c>
      <c r="S283" s="949">
        <v>159.0</v>
      </c>
      <c r="T283" s="949">
        <v>174.0</v>
      </c>
      <c r="U283" s="949"/>
      <c r="V283" s="949"/>
      <c r="W283" s="949"/>
      <c r="X283" s="949"/>
      <c r="Y283" s="949"/>
      <c r="Z283" s="949"/>
      <c r="AA283" s="949"/>
      <c r="AB283" s="949"/>
      <c r="AC283" s="949"/>
      <c r="AD283" s="949"/>
      <c r="AE283" s="949"/>
      <c r="AF283" s="949"/>
      <c r="AG283" s="949"/>
      <c r="AH283" s="949"/>
      <c r="AI283" s="949"/>
      <c r="AJ283" s="949"/>
      <c r="AK283" s="949"/>
      <c r="AL283" s="949"/>
      <c r="AM283" s="953" t="s">
        <v>854</v>
      </c>
      <c r="AN283" s="954" t="s">
        <v>787</v>
      </c>
      <c r="AO283" s="955" t="s">
        <v>1046</v>
      </c>
      <c r="AP283" s="931"/>
      <c r="AQ283" s="956"/>
      <c r="AR283" s="957"/>
      <c r="AS283" s="931"/>
    </row>
    <row r="284" ht="15.75" customHeight="1">
      <c r="A284" s="963"/>
      <c r="B284" s="941" t="s">
        <v>1678</v>
      </c>
      <c r="C284" s="942" t="s">
        <v>1679</v>
      </c>
      <c r="D284" s="942" t="s">
        <v>1679</v>
      </c>
      <c r="E284" s="943" t="s">
        <v>1679</v>
      </c>
      <c r="F284" s="935"/>
      <c r="G284" s="944"/>
      <c r="H284" s="944"/>
      <c r="I284" s="946" t="s">
        <v>1680</v>
      </c>
      <c r="J284" s="980" t="s">
        <v>720</v>
      </c>
      <c r="K284" s="954" t="s">
        <v>158</v>
      </c>
      <c r="L284" s="949">
        <v>90.0</v>
      </c>
      <c r="M284" s="949">
        <v>120.0</v>
      </c>
      <c r="N284" s="949">
        <v>75.0</v>
      </c>
      <c r="O284" s="949">
        <v>60.0</v>
      </c>
      <c r="P284" s="949">
        <v>60.0</v>
      </c>
      <c r="Q284" s="949">
        <v>45.0</v>
      </c>
      <c r="R284" s="949">
        <v>126.0</v>
      </c>
      <c r="S284" s="949">
        <v>189.0</v>
      </c>
      <c r="T284" s="949">
        <v>207.0</v>
      </c>
      <c r="U284" s="949"/>
      <c r="V284" s="949"/>
      <c r="W284" s="949"/>
      <c r="X284" s="949"/>
      <c r="Y284" s="949"/>
      <c r="Z284" s="949"/>
      <c r="AA284" s="949"/>
      <c r="AB284" s="949"/>
      <c r="AC284" s="949"/>
      <c r="AD284" s="949"/>
      <c r="AE284" s="949"/>
      <c r="AF284" s="949"/>
      <c r="AG284" s="949"/>
      <c r="AH284" s="949"/>
      <c r="AI284" s="949"/>
      <c r="AJ284" s="949"/>
      <c r="AK284" s="949"/>
      <c r="AL284" s="949"/>
      <c r="AM284" s="964" t="s">
        <v>854</v>
      </c>
      <c r="AN284" s="973" t="s">
        <v>1429</v>
      </c>
      <c r="AO284" s="965" t="s">
        <v>1046</v>
      </c>
      <c r="AP284" s="931"/>
      <c r="AQ284" s="956"/>
      <c r="AR284" s="957"/>
      <c r="AS284" s="931"/>
    </row>
    <row r="285" ht="15.75" customHeight="1">
      <c r="A285" s="931"/>
      <c r="B285" s="941" t="s">
        <v>1681</v>
      </c>
      <c r="C285" s="942" t="s">
        <v>1682</v>
      </c>
      <c r="D285" s="942" t="s">
        <v>1682</v>
      </c>
      <c r="E285" s="943" t="s">
        <v>1682</v>
      </c>
      <c r="F285" s="935"/>
      <c r="G285" s="944"/>
      <c r="H285" s="944"/>
      <c r="I285" s="946" t="s">
        <v>434</v>
      </c>
      <c r="J285" s="962" t="s">
        <v>706</v>
      </c>
      <c r="K285" s="948" t="s">
        <v>709</v>
      </c>
      <c r="L285" s="949">
        <v>65.0</v>
      </c>
      <c r="M285" s="949">
        <v>95.0</v>
      </c>
      <c r="N285" s="949">
        <v>85.0</v>
      </c>
      <c r="O285" s="949">
        <v>55.0</v>
      </c>
      <c r="P285" s="949">
        <v>55.0</v>
      </c>
      <c r="Q285" s="949">
        <v>85.0</v>
      </c>
      <c r="R285" s="949">
        <v>206.0</v>
      </c>
      <c r="S285" s="949">
        <v>269.0</v>
      </c>
      <c r="T285" s="949">
        <v>295.0</v>
      </c>
      <c r="U285" s="949"/>
      <c r="V285" s="949"/>
      <c r="W285" s="949"/>
      <c r="X285" s="949"/>
      <c r="Y285" s="949"/>
      <c r="Z285" s="949"/>
      <c r="AA285" s="949"/>
      <c r="AB285" s="949"/>
      <c r="AC285" s="949"/>
      <c r="AD285" s="949"/>
      <c r="AE285" s="949"/>
      <c r="AF285" s="949"/>
      <c r="AG285" s="949"/>
      <c r="AH285" s="949"/>
      <c r="AI285" s="949"/>
      <c r="AJ285" s="949"/>
      <c r="AK285" s="949"/>
      <c r="AL285" s="949"/>
      <c r="AM285" s="953" t="s">
        <v>942</v>
      </c>
      <c r="AN285" s="954" t="s">
        <v>1062</v>
      </c>
      <c r="AO285" s="955" t="s">
        <v>854</v>
      </c>
      <c r="AP285" s="931"/>
      <c r="AQ285" s="956"/>
      <c r="AR285" s="957"/>
      <c r="AS285" s="931"/>
    </row>
    <row r="286" ht="15.75" customHeight="1">
      <c r="A286" s="963"/>
      <c r="B286" s="941" t="s">
        <v>1683</v>
      </c>
      <c r="C286" s="971" t="str">
        <f t="shared" ref="C286:E286" si="6">C285&amp;"-hisui"</f>
        <v>qwilfish-hisui</v>
      </c>
      <c r="D286" s="971" t="str">
        <f t="shared" si="6"/>
        <v>qwilfish-hisui</v>
      </c>
      <c r="E286" s="966" t="str">
        <f t="shared" si="6"/>
        <v>qwilfish-hisui</v>
      </c>
      <c r="F286" s="935"/>
      <c r="G286" s="944"/>
      <c r="H286" s="944"/>
      <c r="I286" s="959" t="s">
        <v>1684</v>
      </c>
      <c r="J286" s="1003" t="s">
        <v>718</v>
      </c>
      <c r="K286" s="983" t="s">
        <v>709</v>
      </c>
      <c r="L286" s="974">
        <v>65.0</v>
      </c>
      <c r="M286" s="974">
        <v>95.0</v>
      </c>
      <c r="N286" s="974">
        <v>85.0</v>
      </c>
      <c r="O286" s="974">
        <v>55.0</v>
      </c>
      <c r="P286" s="974">
        <v>55.0</v>
      </c>
      <c r="Q286" s="974">
        <v>85.0</v>
      </c>
      <c r="R286" s="949">
        <v>206.0</v>
      </c>
      <c r="S286" s="949">
        <v>269.0</v>
      </c>
      <c r="T286" s="949">
        <v>295.0</v>
      </c>
      <c r="U286" s="949"/>
      <c r="V286" s="949"/>
      <c r="W286" s="949"/>
      <c r="X286" s="949"/>
      <c r="Y286" s="949"/>
      <c r="Z286" s="949"/>
      <c r="AA286" s="949"/>
      <c r="AB286" s="949"/>
      <c r="AC286" s="949"/>
      <c r="AD286" s="949"/>
      <c r="AE286" s="949"/>
      <c r="AF286" s="949"/>
      <c r="AG286" s="949"/>
      <c r="AH286" s="949"/>
      <c r="AI286" s="949"/>
      <c r="AJ286" s="949"/>
      <c r="AK286" s="949"/>
      <c r="AL286" s="949"/>
      <c r="AM286" s="964" t="s">
        <v>942</v>
      </c>
      <c r="AN286" s="973" t="s">
        <v>1062</v>
      </c>
      <c r="AO286" s="965" t="s">
        <v>854</v>
      </c>
      <c r="AP286" s="931"/>
      <c r="AQ286" s="956"/>
      <c r="AR286" s="957"/>
      <c r="AS286" s="931"/>
    </row>
    <row r="287" ht="15.75" customHeight="1">
      <c r="A287" s="931"/>
      <c r="B287" s="941" t="s">
        <v>1685</v>
      </c>
      <c r="C287" s="942" t="s">
        <v>231</v>
      </c>
      <c r="D287" s="942" t="s">
        <v>231</v>
      </c>
      <c r="E287" s="943" t="s">
        <v>231</v>
      </c>
      <c r="F287" s="935"/>
      <c r="G287" s="944"/>
      <c r="H287" s="944"/>
      <c r="I287" s="946" t="s">
        <v>105</v>
      </c>
      <c r="J287" s="967" t="s">
        <v>715</v>
      </c>
      <c r="K287" s="978" t="s">
        <v>719</v>
      </c>
      <c r="L287" s="949">
        <v>70.0</v>
      </c>
      <c r="M287" s="949">
        <v>130.0</v>
      </c>
      <c r="N287" s="949">
        <v>100.0</v>
      </c>
      <c r="O287" s="949">
        <v>55.0</v>
      </c>
      <c r="P287" s="949">
        <v>80.0</v>
      </c>
      <c r="Q287" s="949">
        <v>65.0</v>
      </c>
      <c r="R287" s="949">
        <v>166.0</v>
      </c>
      <c r="S287" s="949">
        <v>229.0</v>
      </c>
      <c r="T287" s="949">
        <v>251.0</v>
      </c>
      <c r="U287" s="949"/>
      <c r="V287" s="949"/>
      <c r="W287" s="949"/>
      <c r="X287" s="949"/>
      <c r="Y287" s="949"/>
      <c r="Z287" s="949"/>
      <c r="AA287" s="949"/>
      <c r="AB287" s="949"/>
      <c r="AC287" s="949"/>
      <c r="AD287" s="949"/>
      <c r="AE287" s="949"/>
      <c r="AF287" s="949"/>
      <c r="AG287" s="949"/>
      <c r="AH287" s="949"/>
      <c r="AI287" s="949"/>
      <c r="AJ287" s="949"/>
      <c r="AK287" s="949"/>
      <c r="AL287" s="949"/>
      <c r="AM287" s="953" t="s">
        <v>806</v>
      </c>
      <c r="AN287" s="954" t="s">
        <v>1041</v>
      </c>
      <c r="AO287" s="955" t="s">
        <v>1686</v>
      </c>
      <c r="AP287" s="931"/>
      <c r="AQ287" s="956"/>
      <c r="AR287" s="957"/>
      <c r="AS287" s="931"/>
    </row>
    <row r="288" ht="15.75" customHeight="1">
      <c r="A288" s="931"/>
      <c r="B288" s="941" t="s">
        <v>1687</v>
      </c>
      <c r="C288" s="942" t="s">
        <v>1688</v>
      </c>
      <c r="D288" s="942" t="s">
        <v>1688</v>
      </c>
      <c r="E288" s="943" t="s">
        <v>1688</v>
      </c>
      <c r="F288" s="935"/>
      <c r="G288" s="944"/>
      <c r="H288" s="944"/>
      <c r="I288" s="946" t="s">
        <v>1689</v>
      </c>
      <c r="J288" s="967" t="s">
        <v>715</v>
      </c>
      <c r="K288" s="978" t="s">
        <v>719</v>
      </c>
      <c r="L288" s="949">
        <v>70.0</v>
      </c>
      <c r="M288" s="949">
        <v>150.0</v>
      </c>
      <c r="N288" s="949">
        <v>140.0</v>
      </c>
      <c r="O288" s="949">
        <v>65.0</v>
      </c>
      <c r="P288" s="949">
        <v>100.0</v>
      </c>
      <c r="Q288" s="949">
        <v>75.0</v>
      </c>
      <c r="R288" s="949">
        <v>186.0</v>
      </c>
      <c r="S288" s="949">
        <v>249.0</v>
      </c>
      <c r="T288" s="949">
        <v>273.0</v>
      </c>
      <c r="U288" s="949"/>
      <c r="V288" s="949"/>
      <c r="W288" s="949"/>
      <c r="X288" s="949"/>
      <c r="Y288" s="949"/>
      <c r="Z288" s="949"/>
      <c r="AA288" s="949"/>
      <c r="AB288" s="949"/>
      <c r="AC288" s="949"/>
      <c r="AD288" s="949"/>
      <c r="AE288" s="949"/>
      <c r="AF288" s="949"/>
      <c r="AG288" s="949"/>
      <c r="AH288" s="949"/>
      <c r="AI288" s="949"/>
      <c r="AJ288" s="949"/>
      <c r="AK288" s="949"/>
      <c r="AL288" s="949"/>
      <c r="AM288" s="953" t="s">
        <v>1041</v>
      </c>
      <c r="AN288" s="954"/>
      <c r="AO288" s="955"/>
      <c r="AP288" s="931"/>
      <c r="AQ288" s="956"/>
      <c r="AR288" s="957"/>
      <c r="AS288" s="931"/>
    </row>
    <row r="289" ht="15.75" customHeight="1">
      <c r="A289" s="931"/>
      <c r="B289" s="941" t="s">
        <v>1690</v>
      </c>
      <c r="C289" s="942" t="s">
        <v>1691</v>
      </c>
      <c r="D289" s="942" t="s">
        <v>1691</v>
      </c>
      <c r="E289" s="943" t="s">
        <v>1691</v>
      </c>
      <c r="F289" s="935"/>
      <c r="G289" s="944"/>
      <c r="H289" s="944"/>
      <c r="I289" s="946" t="s">
        <v>1692</v>
      </c>
      <c r="J289" s="967" t="s">
        <v>715</v>
      </c>
      <c r="K289" s="989" t="s">
        <v>713</v>
      </c>
      <c r="L289" s="949">
        <v>20.0</v>
      </c>
      <c r="M289" s="949">
        <v>10.0</v>
      </c>
      <c r="N289" s="949">
        <v>230.0</v>
      </c>
      <c r="O289" s="949">
        <v>10.0</v>
      </c>
      <c r="P289" s="949">
        <v>230.0</v>
      </c>
      <c r="Q289" s="949">
        <v>5.0</v>
      </c>
      <c r="R289" s="949">
        <v>46.0</v>
      </c>
      <c r="S289" s="949">
        <v>109.0</v>
      </c>
      <c r="T289" s="949">
        <v>119.0</v>
      </c>
      <c r="U289" s="949"/>
      <c r="V289" s="949"/>
      <c r="W289" s="949"/>
      <c r="X289" s="949"/>
      <c r="Y289" s="949"/>
      <c r="Z289" s="949"/>
      <c r="AA289" s="949"/>
      <c r="AB289" s="949"/>
      <c r="AC289" s="949"/>
      <c r="AD289" s="949"/>
      <c r="AE289" s="949"/>
      <c r="AF289" s="949"/>
      <c r="AG289" s="949"/>
      <c r="AH289" s="949"/>
      <c r="AI289" s="949"/>
      <c r="AJ289" s="949"/>
      <c r="AK289" s="949"/>
      <c r="AL289" s="949"/>
      <c r="AM289" s="953" t="s">
        <v>1135</v>
      </c>
      <c r="AN289" s="954" t="s">
        <v>837</v>
      </c>
      <c r="AO289" s="955" t="s">
        <v>1693</v>
      </c>
      <c r="AP289" s="931"/>
      <c r="AQ289" s="956"/>
      <c r="AR289" s="957"/>
      <c r="AS289" s="931"/>
    </row>
    <row r="290" ht="15.75" customHeight="1">
      <c r="A290" s="963"/>
      <c r="B290" s="941" t="s">
        <v>1694</v>
      </c>
      <c r="C290" s="942" t="s">
        <v>1695</v>
      </c>
      <c r="D290" s="942" t="s">
        <v>1695</v>
      </c>
      <c r="E290" s="943" t="s">
        <v>1695</v>
      </c>
      <c r="F290" s="935"/>
      <c r="G290" s="944"/>
      <c r="H290" s="944"/>
      <c r="I290" s="946" t="s">
        <v>1696</v>
      </c>
      <c r="J290" s="967" t="s">
        <v>715</v>
      </c>
      <c r="K290" s="988" t="s">
        <v>705</v>
      </c>
      <c r="L290" s="949">
        <v>80.0</v>
      </c>
      <c r="M290" s="949">
        <v>125.0</v>
      </c>
      <c r="N290" s="949">
        <v>75.0</v>
      </c>
      <c r="O290" s="949">
        <v>40.0</v>
      </c>
      <c r="P290" s="949">
        <v>95.0</v>
      </c>
      <c r="Q290" s="949">
        <v>85.0</v>
      </c>
      <c r="R290" s="949">
        <v>206.0</v>
      </c>
      <c r="S290" s="949">
        <v>269.0</v>
      </c>
      <c r="T290" s="949">
        <v>295.0</v>
      </c>
      <c r="U290" s="949"/>
      <c r="V290" s="949"/>
      <c r="W290" s="949"/>
      <c r="X290" s="949"/>
      <c r="Y290" s="949"/>
      <c r="Z290" s="949"/>
      <c r="AA290" s="949"/>
      <c r="AB290" s="949"/>
      <c r="AC290" s="949"/>
      <c r="AD290" s="949"/>
      <c r="AE290" s="949"/>
      <c r="AF290" s="949"/>
      <c r="AG290" s="949"/>
      <c r="AH290" s="949"/>
      <c r="AI290" s="949"/>
      <c r="AJ290" s="949"/>
      <c r="AK290" s="949"/>
      <c r="AL290" s="949"/>
      <c r="AM290" s="964" t="s">
        <v>806</v>
      </c>
      <c r="AN290" s="973" t="s">
        <v>831</v>
      </c>
      <c r="AO290" s="965" t="s">
        <v>1392</v>
      </c>
      <c r="AP290" s="931"/>
      <c r="AQ290" s="956"/>
      <c r="AR290" s="957"/>
      <c r="AS290" s="931"/>
    </row>
    <row r="291" ht="15.75" customHeight="1">
      <c r="A291" s="931"/>
      <c r="B291" s="941" t="s">
        <v>1697</v>
      </c>
      <c r="C291" s="942" t="s">
        <v>1698</v>
      </c>
      <c r="D291" s="942" t="s">
        <v>1698</v>
      </c>
      <c r="E291" s="943" t="s">
        <v>1698</v>
      </c>
      <c r="F291" s="935"/>
      <c r="G291" s="944"/>
      <c r="H291" s="944"/>
      <c r="I291" s="959" t="s">
        <v>1699</v>
      </c>
      <c r="J291" s="967" t="s">
        <v>715</v>
      </c>
      <c r="K291" s="988" t="s">
        <v>705</v>
      </c>
      <c r="L291" s="949">
        <v>80.0</v>
      </c>
      <c r="M291" s="949">
        <v>185.0</v>
      </c>
      <c r="N291" s="949">
        <v>115.0</v>
      </c>
      <c r="O291" s="949">
        <v>40.0</v>
      </c>
      <c r="P291" s="949">
        <v>105.0</v>
      </c>
      <c r="Q291" s="949">
        <v>75.0</v>
      </c>
      <c r="R291" s="949">
        <v>186.0</v>
      </c>
      <c r="S291" s="949">
        <v>249.0</v>
      </c>
      <c r="T291" s="949">
        <v>273.0</v>
      </c>
      <c r="U291" s="949"/>
      <c r="V291" s="949"/>
      <c r="W291" s="949"/>
      <c r="X291" s="949"/>
      <c r="Y291" s="949"/>
      <c r="Z291" s="949"/>
      <c r="AA291" s="949"/>
      <c r="AB291" s="949"/>
      <c r="AC291" s="949"/>
      <c r="AD291" s="949"/>
      <c r="AE291" s="949"/>
      <c r="AF291" s="949"/>
      <c r="AG291" s="949"/>
      <c r="AH291" s="949"/>
      <c r="AI291" s="949"/>
      <c r="AJ291" s="949"/>
      <c r="AK291" s="949"/>
      <c r="AL291" s="949"/>
      <c r="AM291" s="953" t="s">
        <v>1238</v>
      </c>
      <c r="AN291" s="954"/>
      <c r="AO291" s="955"/>
      <c r="AP291" s="931"/>
      <c r="AQ291" s="956"/>
      <c r="AR291" s="957"/>
      <c r="AS291" s="931"/>
    </row>
    <row r="292" ht="15.75" customHeight="1">
      <c r="A292" s="931"/>
      <c r="B292" s="941" t="s">
        <v>1700</v>
      </c>
      <c r="C292" s="942" t="s">
        <v>1701</v>
      </c>
      <c r="D292" s="942" t="s">
        <v>1701</v>
      </c>
      <c r="E292" s="943" t="s">
        <v>1701</v>
      </c>
      <c r="F292" s="935"/>
      <c r="G292" s="944"/>
      <c r="H292" s="944"/>
      <c r="I292" s="946" t="s">
        <v>424</v>
      </c>
      <c r="J292" s="969" t="s">
        <v>718</v>
      </c>
      <c r="K292" s="977" t="s">
        <v>714</v>
      </c>
      <c r="L292" s="949">
        <v>55.0</v>
      </c>
      <c r="M292" s="949">
        <v>95.0</v>
      </c>
      <c r="N292" s="949">
        <v>55.0</v>
      </c>
      <c r="O292" s="949">
        <v>35.0</v>
      </c>
      <c r="P292" s="949">
        <v>75.0</v>
      </c>
      <c r="Q292" s="949">
        <v>115.0</v>
      </c>
      <c r="R292" s="949">
        <v>266.0</v>
      </c>
      <c r="S292" s="949">
        <v>329.0</v>
      </c>
      <c r="T292" s="949">
        <v>361.0</v>
      </c>
      <c r="U292" s="949"/>
      <c r="V292" s="949"/>
      <c r="W292" s="949"/>
      <c r="X292" s="949"/>
      <c r="Y292" s="949"/>
      <c r="Z292" s="949"/>
      <c r="AA292" s="949"/>
      <c r="AB292" s="949"/>
      <c r="AC292" s="949"/>
      <c r="AD292" s="949"/>
      <c r="AE292" s="949"/>
      <c r="AF292" s="949"/>
      <c r="AG292" s="949"/>
      <c r="AH292" s="949"/>
      <c r="AI292" s="949"/>
      <c r="AJ292" s="949"/>
      <c r="AK292" s="949"/>
      <c r="AL292" s="949"/>
      <c r="AM292" s="953" t="s">
        <v>994</v>
      </c>
      <c r="AN292" s="954" t="s">
        <v>815</v>
      </c>
      <c r="AO292" s="955" t="s">
        <v>1702</v>
      </c>
      <c r="AP292" s="931"/>
      <c r="AQ292" s="956"/>
      <c r="AR292" s="957"/>
      <c r="AS292" s="931"/>
    </row>
    <row r="293" ht="15.75" customHeight="1">
      <c r="A293" s="931"/>
      <c r="B293" s="941" t="s">
        <v>1703</v>
      </c>
      <c r="C293" s="942" t="str">
        <f t="shared" ref="C293:E293" si="7">C292&amp;"-hisui"</f>
        <v>sneasel-hisui</v>
      </c>
      <c r="D293" s="942" t="str">
        <f t="shared" si="7"/>
        <v>sneasel-hisui</v>
      </c>
      <c r="E293" s="943" t="str">
        <f t="shared" si="7"/>
        <v>sneasel-hisui</v>
      </c>
      <c r="F293" s="935"/>
      <c r="G293" s="944"/>
      <c r="H293" s="944"/>
      <c r="I293" s="1004" t="s">
        <v>1704</v>
      </c>
      <c r="J293" s="988" t="s">
        <v>705</v>
      </c>
      <c r="K293" s="948" t="s">
        <v>709</v>
      </c>
      <c r="L293" s="949">
        <v>55.0</v>
      </c>
      <c r="M293" s="949">
        <v>95.0</v>
      </c>
      <c r="N293" s="949">
        <v>55.0</v>
      </c>
      <c r="O293" s="949">
        <v>35.0</v>
      </c>
      <c r="P293" s="949">
        <v>75.0</v>
      </c>
      <c r="Q293" s="949">
        <v>115.0</v>
      </c>
      <c r="R293" s="949">
        <v>266.0</v>
      </c>
      <c r="S293" s="949">
        <v>329.0</v>
      </c>
      <c r="T293" s="949">
        <v>361.0</v>
      </c>
      <c r="U293" s="949"/>
      <c r="V293" s="949"/>
      <c r="W293" s="949"/>
      <c r="X293" s="949"/>
      <c r="Y293" s="949"/>
      <c r="Z293" s="949"/>
      <c r="AA293" s="949"/>
      <c r="AB293" s="949"/>
      <c r="AC293" s="949"/>
      <c r="AD293" s="949"/>
      <c r="AE293" s="949"/>
      <c r="AF293" s="949"/>
      <c r="AG293" s="949"/>
      <c r="AH293" s="949"/>
      <c r="AI293" s="949"/>
      <c r="AJ293" s="949"/>
      <c r="AK293" s="949"/>
      <c r="AL293" s="949"/>
      <c r="AM293" s="953" t="s">
        <v>994</v>
      </c>
      <c r="AN293" s="954" t="s">
        <v>815</v>
      </c>
      <c r="AO293" s="955" t="s">
        <v>1702</v>
      </c>
      <c r="AP293" s="931"/>
      <c r="AQ293" s="956"/>
      <c r="AR293" s="957"/>
      <c r="AS293" s="931"/>
    </row>
    <row r="294" ht="15.75" customHeight="1">
      <c r="A294" s="931"/>
      <c r="B294" s="941" t="s">
        <v>1705</v>
      </c>
      <c r="C294" s="942" t="s">
        <v>1706</v>
      </c>
      <c r="D294" s="942" t="s">
        <v>1706</v>
      </c>
      <c r="E294" s="943" t="s">
        <v>1706</v>
      </c>
      <c r="F294" s="935"/>
      <c r="G294" s="944"/>
      <c r="H294" s="944"/>
      <c r="I294" s="946" t="s">
        <v>584</v>
      </c>
      <c r="J294" s="968" t="s">
        <v>703</v>
      </c>
      <c r="K294" s="954" t="s">
        <v>158</v>
      </c>
      <c r="L294" s="949">
        <v>60.0</v>
      </c>
      <c r="M294" s="949">
        <v>80.0</v>
      </c>
      <c r="N294" s="949">
        <v>50.0</v>
      </c>
      <c r="O294" s="949">
        <v>50.0</v>
      </c>
      <c r="P294" s="949">
        <v>50.0</v>
      </c>
      <c r="Q294" s="949">
        <v>40.0</v>
      </c>
      <c r="R294" s="949">
        <v>116.0</v>
      </c>
      <c r="S294" s="949">
        <v>179.0</v>
      </c>
      <c r="T294" s="949">
        <v>196.0</v>
      </c>
      <c r="U294" s="949"/>
      <c r="V294" s="949"/>
      <c r="W294" s="949"/>
      <c r="X294" s="949"/>
      <c r="Y294" s="949"/>
      <c r="Z294" s="949"/>
      <c r="AA294" s="949"/>
      <c r="AB294" s="949"/>
      <c r="AC294" s="949"/>
      <c r="AD294" s="949"/>
      <c r="AE294" s="949"/>
      <c r="AF294" s="949"/>
      <c r="AG294" s="949"/>
      <c r="AH294" s="949"/>
      <c r="AI294" s="949"/>
      <c r="AJ294" s="949"/>
      <c r="AK294" s="949"/>
      <c r="AL294" s="949"/>
      <c r="AM294" s="953" t="s">
        <v>1040</v>
      </c>
      <c r="AN294" s="954" t="s">
        <v>1429</v>
      </c>
      <c r="AO294" s="955" t="s">
        <v>1707</v>
      </c>
      <c r="AP294" s="931"/>
      <c r="AQ294" s="956"/>
      <c r="AR294" s="957"/>
      <c r="AS294" s="931"/>
    </row>
    <row r="295" ht="15.75" customHeight="1">
      <c r="A295" s="931"/>
      <c r="B295" s="941" t="s">
        <v>1708</v>
      </c>
      <c r="C295" s="942" t="s">
        <v>1709</v>
      </c>
      <c r="D295" s="942" t="s">
        <v>1709</v>
      </c>
      <c r="E295" s="943" t="s">
        <v>1709</v>
      </c>
      <c r="F295" s="935"/>
      <c r="G295" s="944"/>
      <c r="H295" s="944"/>
      <c r="I295" s="946" t="s">
        <v>435</v>
      </c>
      <c r="J295" s="968" t="s">
        <v>703</v>
      </c>
      <c r="K295" s="954" t="s">
        <v>158</v>
      </c>
      <c r="L295" s="949">
        <v>90.0</v>
      </c>
      <c r="M295" s="949">
        <v>130.0</v>
      </c>
      <c r="N295" s="949">
        <v>75.0</v>
      </c>
      <c r="O295" s="949">
        <v>75.0</v>
      </c>
      <c r="P295" s="949">
        <v>75.0</v>
      </c>
      <c r="Q295" s="949">
        <v>55.0</v>
      </c>
      <c r="R295" s="949">
        <v>146.0</v>
      </c>
      <c r="S295" s="949">
        <v>209.0</v>
      </c>
      <c r="T295" s="949">
        <v>229.0</v>
      </c>
      <c r="U295" s="949"/>
      <c r="V295" s="949"/>
      <c r="W295" s="949"/>
      <c r="X295" s="949"/>
      <c r="Y295" s="949"/>
      <c r="Z295" s="949"/>
      <c r="AA295" s="949"/>
      <c r="AB295" s="949"/>
      <c r="AC295" s="949"/>
      <c r="AD295" s="949"/>
      <c r="AE295" s="949"/>
      <c r="AF295" s="949"/>
      <c r="AG295" s="949"/>
      <c r="AH295" s="949"/>
      <c r="AI295" s="949"/>
      <c r="AJ295" s="949"/>
      <c r="AK295" s="949"/>
      <c r="AL295" s="949"/>
      <c r="AM295" s="953" t="s">
        <v>831</v>
      </c>
      <c r="AN295" s="954" t="s">
        <v>1429</v>
      </c>
      <c r="AO295" s="955" t="s">
        <v>855</v>
      </c>
      <c r="AP295" s="931"/>
      <c r="AQ295" s="956"/>
      <c r="AR295" s="957"/>
      <c r="AS295" s="931"/>
    </row>
    <row r="296" ht="15.75" customHeight="1">
      <c r="A296" s="931"/>
      <c r="B296" s="941" t="s">
        <v>1710</v>
      </c>
      <c r="C296" s="942" t="s">
        <v>1711</v>
      </c>
      <c r="D296" s="942" t="s">
        <v>1711</v>
      </c>
      <c r="E296" s="943" t="s">
        <v>1711</v>
      </c>
      <c r="F296" s="935"/>
      <c r="G296" s="944"/>
      <c r="H296" s="944"/>
      <c r="I296" s="946" t="s">
        <v>1712</v>
      </c>
      <c r="J296" s="958" t="s">
        <v>704</v>
      </c>
      <c r="K296" s="954" t="s">
        <v>158</v>
      </c>
      <c r="L296" s="949">
        <v>40.0</v>
      </c>
      <c r="M296" s="949">
        <v>40.0</v>
      </c>
      <c r="N296" s="949">
        <v>40.0</v>
      </c>
      <c r="O296" s="949">
        <v>70.0</v>
      </c>
      <c r="P296" s="949">
        <v>40.0</v>
      </c>
      <c r="Q296" s="949">
        <v>20.0</v>
      </c>
      <c r="R296" s="949">
        <v>76.0</v>
      </c>
      <c r="S296" s="949">
        <v>139.0</v>
      </c>
      <c r="T296" s="949">
        <v>152.0</v>
      </c>
      <c r="U296" s="949"/>
      <c r="V296" s="949"/>
      <c r="W296" s="949"/>
      <c r="X296" s="949"/>
      <c r="Y296" s="949"/>
      <c r="Z296" s="949"/>
      <c r="AA296" s="949"/>
      <c r="AB296" s="949"/>
      <c r="AC296" s="949"/>
      <c r="AD296" s="949"/>
      <c r="AE296" s="949"/>
      <c r="AF296" s="949"/>
      <c r="AG296" s="949"/>
      <c r="AH296" s="949"/>
      <c r="AI296" s="949"/>
      <c r="AJ296" s="949"/>
      <c r="AK296" s="949"/>
      <c r="AL296" s="949"/>
      <c r="AM296" s="953" t="s">
        <v>1713</v>
      </c>
      <c r="AN296" s="954" t="s">
        <v>1159</v>
      </c>
      <c r="AO296" s="955" t="s">
        <v>1256</v>
      </c>
      <c r="AP296" s="931"/>
      <c r="AQ296" s="956"/>
      <c r="AR296" s="957"/>
      <c r="AS296" s="931"/>
    </row>
    <row r="297" ht="15.75" customHeight="1">
      <c r="A297" s="931"/>
      <c r="B297" s="941" t="s">
        <v>1714</v>
      </c>
      <c r="C297" s="942" t="s">
        <v>1715</v>
      </c>
      <c r="D297" s="942" t="s">
        <v>1715</v>
      </c>
      <c r="E297" s="943" t="s">
        <v>1715</v>
      </c>
      <c r="F297" s="935"/>
      <c r="G297" s="944"/>
      <c r="H297" s="944"/>
      <c r="I297" s="946" t="s">
        <v>1716</v>
      </c>
      <c r="J297" s="958" t="s">
        <v>704</v>
      </c>
      <c r="K297" s="989" t="s">
        <v>713</v>
      </c>
      <c r="L297" s="949">
        <v>60.0</v>
      </c>
      <c r="M297" s="949">
        <v>50.0</v>
      </c>
      <c r="N297" s="949">
        <v>120.0</v>
      </c>
      <c r="O297" s="949">
        <v>90.0</v>
      </c>
      <c r="P297" s="949">
        <v>80.0</v>
      </c>
      <c r="Q297" s="949">
        <v>30.0</v>
      </c>
      <c r="R297" s="949">
        <v>96.0</v>
      </c>
      <c r="S297" s="949">
        <v>159.0</v>
      </c>
      <c r="T297" s="949">
        <v>174.0</v>
      </c>
      <c r="U297" s="949"/>
      <c r="V297" s="949"/>
      <c r="W297" s="949"/>
      <c r="X297" s="949"/>
      <c r="Y297" s="949"/>
      <c r="Z297" s="949"/>
      <c r="AA297" s="949"/>
      <c r="AB297" s="949"/>
      <c r="AC297" s="949"/>
      <c r="AD297" s="949"/>
      <c r="AE297" s="949"/>
      <c r="AF297" s="949"/>
      <c r="AG297" s="949"/>
      <c r="AH297" s="949"/>
      <c r="AI297" s="949"/>
      <c r="AJ297" s="949"/>
      <c r="AK297" s="949"/>
      <c r="AL297" s="949"/>
      <c r="AM297" s="953" t="s">
        <v>1713</v>
      </c>
      <c r="AN297" s="954" t="s">
        <v>1159</v>
      </c>
      <c r="AO297" s="955" t="s">
        <v>1256</v>
      </c>
      <c r="AP297" s="931"/>
      <c r="AQ297" s="956"/>
      <c r="AR297" s="957"/>
      <c r="AS297" s="931"/>
    </row>
    <row r="298" ht="15.75" customHeight="1">
      <c r="A298" s="931"/>
      <c r="B298" s="941" t="s">
        <v>1717</v>
      </c>
      <c r="C298" s="942" t="s">
        <v>1718</v>
      </c>
      <c r="D298" s="942" t="s">
        <v>1718</v>
      </c>
      <c r="E298" s="943" t="s">
        <v>1718</v>
      </c>
      <c r="F298" s="935"/>
      <c r="G298" s="944"/>
      <c r="H298" s="944"/>
      <c r="I298" s="946" t="s">
        <v>1719</v>
      </c>
      <c r="J298" s="977" t="s">
        <v>714</v>
      </c>
      <c r="K298" s="976" t="s">
        <v>711</v>
      </c>
      <c r="L298" s="949">
        <v>50.0</v>
      </c>
      <c r="M298" s="949">
        <v>50.0</v>
      </c>
      <c r="N298" s="949">
        <v>40.0</v>
      </c>
      <c r="O298" s="949">
        <v>30.0</v>
      </c>
      <c r="P298" s="949">
        <v>30.0</v>
      </c>
      <c r="Q298" s="949">
        <v>50.0</v>
      </c>
      <c r="R298" s="949">
        <v>136.0</v>
      </c>
      <c r="S298" s="949">
        <v>199.0</v>
      </c>
      <c r="T298" s="949">
        <v>218.0</v>
      </c>
      <c r="U298" s="949"/>
      <c r="V298" s="949"/>
      <c r="W298" s="949"/>
      <c r="X298" s="949"/>
      <c r="Y298" s="949"/>
      <c r="Z298" s="949"/>
      <c r="AA298" s="949"/>
      <c r="AB298" s="949"/>
      <c r="AC298" s="949"/>
      <c r="AD298" s="949"/>
      <c r="AE298" s="949"/>
      <c r="AF298" s="949"/>
      <c r="AG298" s="949"/>
      <c r="AH298" s="949"/>
      <c r="AI298" s="949"/>
      <c r="AJ298" s="949"/>
      <c r="AK298" s="949"/>
      <c r="AL298" s="949"/>
      <c r="AM298" s="953" t="s">
        <v>1175</v>
      </c>
      <c r="AN298" s="954" t="s">
        <v>929</v>
      </c>
      <c r="AO298" s="955" t="s">
        <v>746</v>
      </c>
      <c r="AP298" s="931"/>
      <c r="AQ298" s="956"/>
      <c r="AR298" s="957"/>
      <c r="AS298" s="931"/>
    </row>
    <row r="299" ht="15.75" customHeight="1">
      <c r="A299" s="931"/>
      <c r="B299" s="941" t="s">
        <v>1720</v>
      </c>
      <c r="C299" s="942" t="s">
        <v>1721</v>
      </c>
      <c r="D299" s="942" t="s">
        <v>1721</v>
      </c>
      <c r="E299" s="943" t="s">
        <v>1721</v>
      </c>
      <c r="F299" s="935"/>
      <c r="G299" s="944"/>
      <c r="H299" s="944"/>
      <c r="I299" s="959" t="s">
        <v>1722</v>
      </c>
      <c r="J299" s="977" t="s">
        <v>714</v>
      </c>
      <c r="K299" s="976" t="s">
        <v>711</v>
      </c>
      <c r="L299" s="949">
        <v>100.0</v>
      </c>
      <c r="M299" s="949">
        <v>100.0</v>
      </c>
      <c r="N299" s="949">
        <v>80.0</v>
      </c>
      <c r="O299" s="949">
        <v>60.0</v>
      </c>
      <c r="P299" s="949">
        <v>60.0</v>
      </c>
      <c r="Q299" s="949">
        <v>50.0</v>
      </c>
      <c r="R299" s="949">
        <v>136.0</v>
      </c>
      <c r="S299" s="949">
        <v>199.0</v>
      </c>
      <c r="T299" s="949">
        <v>218.0</v>
      </c>
      <c r="U299" s="949"/>
      <c r="V299" s="949"/>
      <c r="W299" s="949"/>
      <c r="X299" s="949"/>
      <c r="Y299" s="949"/>
      <c r="Z299" s="949"/>
      <c r="AA299" s="949"/>
      <c r="AB299" s="949"/>
      <c r="AC299" s="949"/>
      <c r="AD299" s="949"/>
      <c r="AE299" s="949"/>
      <c r="AF299" s="949"/>
      <c r="AG299" s="949"/>
      <c r="AH299" s="949"/>
      <c r="AI299" s="949"/>
      <c r="AJ299" s="949"/>
      <c r="AK299" s="949"/>
      <c r="AL299" s="949"/>
      <c r="AM299" s="964" t="s">
        <v>1175</v>
      </c>
      <c r="AN299" s="973" t="s">
        <v>929</v>
      </c>
      <c r="AO299" s="965" t="s">
        <v>746</v>
      </c>
      <c r="AP299" s="931"/>
      <c r="AQ299" s="956"/>
      <c r="AR299" s="957"/>
      <c r="AS299" s="931"/>
    </row>
    <row r="300" ht="15.75" customHeight="1">
      <c r="A300" s="931"/>
      <c r="B300" s="941" t="s">
        <v>1723</v>
      </c>
      <c r="C300" s="942" t="s">
        <v>1724</v>
      </c>
      <c r="D300" s="942" t="s">
        <v>1724</v>
      </c>
      <c r="E300" s="943" t="s">
        <v>1724</v>
      </c>
      <c r="F300" s="935"/>
      <c r="G300" s="944"/>
      <c r="H300" s="944"/>
      <c r="I300" s="946" t="s">
        <v>1725</v>
      </c>
      <c r="J300" s="962" t="s">
        <v>706</v>
      </c>
      <c r="K300" s="989" t="s">
        <v>713</v>
      </c>
      <c r="L300" s="949">
        <v>65.0</v>
      </c>
      <c r="M300" s="949">
        <v>55.0</v>
      </c>
      <c r="N300" s="949">
        <v>95.0</v>
      </c>
      <c r="O300" s="949">
        <v>65.0</v>
      </c>
      <c r="P300" s="949">
        <v>95.0</v>
      </c>
      <c r="Q300" s="949">
        <v>35.0</v>
      </c>
      <c r="R300" s="949">
        <v>106.0</v>
      </c>
      <c r="S300" s="949">
        <v>169.0</v>
      </c>
      <c r="T300" s="949">
        <v>185.0</v>
      </c>
      <c r="U300" s="949"/>
      <c r="V300" s="949"/>
      <c r="W300" s="949"/>
      <c r="X300" s="949"/>
      <c r="Y300" s="949"/>
      <c r="Z300" s="949"/>
      <c r="AA300" s="949"/>
      <c r="AB300" s="949"/>
      <c r="AC300" s="949"/>
      <c r="AD300" s="949"/>
      <c r="AE300" s="949"/>
      <c r="AF300" s="949"/>
      <c r="AG300" s="949"/>
      <c r="AH300" s="949"/>
      <c r="AI300" s="949"/>
      <c r="AJ300" s="949"/>
      <c r="AK300" s="949"/>
      <c r="AL300" s="949"/>
      <c r="AM300" s="964" t="s">
        <v>832</v>
      </c>
      <c r="AN300" s="973" t="s">
        <v>1333</v>
      </c>
      <c r="AO300" s="965" t="s">
        <v>1177</v>
      </c>
      <c r="AP300" s="931"/>
      <c r="AQ300" s="956"/>
      <c r="AR300" s="957"/>
      <c r="AS300" s="931"/>
    </row>
    <row r="301" ht="15.75" customHeight="1">
      <c r="A301" s="963"/>
      <c r="B301" s="941" t="s">
        <v>1726</v>
      </c>
      <c r="C301" s="942" t="s">
        <v>1727</v>
      </c>
      <c r="D301" s="942" t="s">
        <v>1727</v>
      </c>
      <c r="E301" s="943" t="s">
        <v>1728</v>
      </c>
      <c r="F301" s="935"/>
      <c r="G301" s="944"/>
      <c r="H301" s="944"/>
      <c r="I301" s="946" t="s">
        <v>1729</v>
      </c>
      <c r="J301" s="994" t="s">
        <v>717</v>
      </c>
      <c r="K301" s="954" t="s">
        <v>158</v>
      </c>
      <c r="L301" s="949">
        <v>60.0</v>
      </c>
      <c r="M301" s="949">
        <v>55.0</v>
      </c>
      <c r="N301" s="949">
        <v>100.0</v>
      </c>
      <c r="O301" s="949">
        <v>65.0</v>
      </c>
      <c r="P301" s="949">
        <v>100.0</v>
      </c>
      <c r="Q301" s="949">
        <v>30.0</v>
      </c>
      <c r="R301" s="949">
        <v>96.0</v>
      </c>
      <c r="S301" s="949">
        <v>159.0</v>
      </c>
      <c r="T301" s="949">
        <v>174.0</v>
      </c>
      <c r="U301" s="949"/>
      <c r="V301" s="949"/>
      <c r="W301" s="949"/>
      <c r="X301" s="949"/>
      <c r="Y301" s="949"/>
      <c r="Z301" s="949"/>
      <c r="AA301" s="949"/>
      <c r="AB301" s="949"/>
      <c r="AC301" s="949"/>
      <c r="AD301" s="949"/>
      <c r="AE301" s="949"/>
      <c r="AF301" s="949"/>
      <c r="AG301" s="949"/>
      <c r="AH301" s="949"/>
      <c r="AI301" s="949"/>
      <c r="AJ301" s="949"/>
      <c r="AK301" s="949"/>
      <c r="AL301" s="949"/>
      <c r="AM301" s="964" t="s">
        <v>1256</v>
      </c>
      <c r="AN301" s="954"/>
      <c r="AO301" s="955" t="s">
        <v>1248</v>
      </c>
      <c r="AP301" s="931"/>
      <c r="AQ301" s="956"/>
      <c r="AR301" s="957"/>
      <c r="AS301" s="931"/>
    </row>
    <row r="302" ht="15.75" customHeight="1">
      <c r="A302" s="963"/>
      <c r="B302" s="941" t="s">
        <v>1730</v>
      </c>
      <c r="C302" s="942" t="s">
        <v>1731</v>
      </c>
      <c r="D302" s="942" t="s">
        <v>1731</v>
      </c>
      <c r="E302" s="966" t="s">
        <v>1731</v>
      </c>
      <c r="F302" s="935"/>
      <c r="G302" s="944"/>
      <c r="H302" s="944"/>
      <c r="I302" s="959" t="s">
        <v>1732</v>
      </c>
      <c r="J302" s="962" t="s">
        <v>706</v>
      </c>
      <c r="K302" s="954" t="s">
        <v>158</v>
      </c>
      <c r="L302" s="949">
        <v>35.0</v>
      </c>
      <c r="M302" s="949">
        <v>65.0</v>
      </c>
      <c r="N302" s="949">
        <v>35.0</v>
      </c>
      <c r="O302" s="949">
        <v>65.0</v>
      </c>
      <c r="P302" s="949">
        <v>35.0</v>
      </c>
      <c r="Q302" s="949">
        <v>65.0</v>
      </c>
      <c r="R302" s="949">
        <v>166.0</v>
      </c>
      <c r="S302" s="949">
        <v>229.0</v>
      </c>
      <c r="T302" s="949">
        <v>251.0</v>
      </c>
      <c r="U302" s="949"/>
      <c r="V302" s="949"/>
      <c r="W302" s="949"/>
      <c r="X302" s="949"/>
      <c r="Y302" s="949"/>
      <c r="Z302" s="949"/>
      <c r="AA302" s="949"/>
      <c r="AB302" s="949"/>
      <c r="AC302" s="949"/>
      <c r="AD302" s="949"/>
      <c r="AE302" s="949"/>
      <c r="AF302" s="949"/>
      <c r="AG302" s="949"/>
      <c r="AH302" s="949"/>
      <c r="AI302" s="949"/>
      <c r="AJ302" s="949"/>
      <c r="AK302" s="949"/>
      <c r="AL302" s="949"/>
      <c r="AM302" s="964" t="s">
        <v>832</v>
      </c>
      <c r="AN302" s="954" t="s">
        <v>807</v>
      </c>
      <c r="AO302" s="955" t="s">
        <v>1733</v>
      </c>
      <c r="AP302" s="931"/>
      <c r="AQ302" s="956"/>
      <c r="AR302" s="957"/>
      <c r="AS302" s="931"/>
    </row>
    <row r="303" ht="15.75" customHeight="1">
      <c r="A303" s="931"/>
      <c r="B303" s="941" t="s">
        <v>1734</v>
      </c>
      <c r="C303" s="942" t="s">
        <v>1735</v>
      </c>
      <c r="D303" s="942" t="s">
        <v>1735</v>
      </c>
      <c r="E303" s="943" t="s">
        <v>1735</v>
      </c>
      <c r="F303" s="935"/>
      <c r="G303" s="944"/>
      <c r="H303" s="944"/>
      <c r="I303" s="959" t="s">
        <v>1736</v>
      </c>
      <c r="J303" s="962" t="s">
        <v>706</v>
      </c>
      <c r="K303" s="954" t="s">
        <v>158</v>
      </c>
      <c r="L303" s="949">
        <v>75.0</v>
      </c>
      <c r="M303" s="949">
        <v>105.0</v>
      </c>
      <c r="N303" s="949">
        <v>75.0</v>
      </c>
      <c r="O303" s="949">
        <v>105.0</v>
      </c>
      <c r="P303" s="949">
        <v>75.0</v>
      </c>
      <c r="Q303" s="949">
        <v>45.0</v>
      </c>
      <c r="R303" s="949">
        <v>126.0</v>
      </c>
      <c r="S303" s="949">
        <v>189.0</v>
      </c>
      <c r="T303" s="949">
        <v>207.0</v>
      </c>
      <c r="U303" s="949"/>
      <c r="V303" s="949"/>
      <c r="W303" s="949"/>
      <c r="X303" s="949"/>
      <c r="Y303" s="949"/>
      <c r="Z303" s="949"/>
      <c r="AA303" s="949"/>
      <c r="AB303" s="949"/>
      <c r="AC303" s="949"/>
      <c r="AD303" s="949"/>
      <c r="AE303" s="949"/>
      <c r="AF303" s="949"/>
      <c r="AG303" s="949"/>
      <c r="AH303" s="949"/>
      <c r="AI303" s="949"/>
      <c r="AJ303" s="949"/>
      <c r="AK303" s="949"/>
      <c r="AL303" s="949"/>
      <c r="AM303" s="953" t="s">
        <v>1737</v>
      </c>
      <c r="AN303" s="954" t="s">
        <v>807</v>
      </c>
      <c r="AO303" s="955" t="s">
        <v>1733</v>
      </c>
      <c r="AP303" s="931"/>
      <c r="AQ303" s="956"/>
      <c r="AR303" s="957"/>
      <c r="AS303" s="931"/>
    </row>
    <row r="304" ht="15.75" customHeight="1">
      <c r="A304" s="963"/>
      <c r="B304" s="941" t="s">
        <v>1738</v>
      </c>
      <c r="C304" s="942" t="s">
        <v>1739</v>
      </c>
      <c r="D304" s="942" t="s">
        <v>1739</v>
      </c>
      <c r="E304" s="943" t="s">
        <v>1739</v>
      </c>
      <c r="F304" s="935"/>
      <c r="G304" s="944"/>
      <c r="H304" s="944"/>
      <c r="I304" s="946" t="s">
        <v>502</v>
      </c>
      <c r="J304" s="977" t="s">
        <v>714</v>
      </c>
      <c r="K304" s="960" t="s">
        <v>707</v>
      </c>
      <c r="L304" s="949">
        <v>45.0</v>
      </c>
      <c r="M304" s="949">
        <v>55.0</v>
      </c>
      <c r="N304" s="949">
        <v>45.0</v>
      </c>
      <c r="O304" s="949">
        <v>65.0</v>
      </c>
      <c r="P304" s="949">
        <v>45.0</v>
      </c>
      <c r="Q304" s="949">
        <v>75.0</v>
      </c>
      <c r="R304" s="949">
        <v>186.0</v>
      </c>
      <c r="S304" s="949">
        <v>249.0</v>
      </c>
      <c r="T304" s="949">
        <v>273.0</v>
      </c>
      <c r="U304" s="949"/>
      <c r="V304" s="949"/>
      <c r="W304" s="949"/>
      <c r="X304" s="949"/>
      <c r="Y304" s="949"/>
      <c r="Z304" s="949"/>
      <c r="AA304" s="949"/>
      <c r="AB304" s="949"/>
      <c r="AC304" s="949"/>
      <c r="AD304" s="949"/>
      <c r="AE304" s="949"/>
      <c r="AF304" s="949"/>
      <c r="AG304" s="949"/>
      <c r="AH304" s="949"/>
      <c r="AI304" s="949"/>
      <c r="AJ304" s="949"/>
      <c r="AK304" s="949"/>
      <c r="AL304" s="949"/>
      <c r="AM304" s="964" t="s">
        <v>1067</v>
      </c>
      <c r="AN304" s="973" t="s">
        <v>832</v>
      </c>
      <c r="AO304" s="965" t="s">
        <v>1259</v>
      </c>
      <c r="AP304" s="931"/>
      <c r="AQ304" s="956"/>
      <c r="AR304" s="957"/>
      <c r="AS304" s="931"/>
    </row>
    <row r="305" ht="15.75" customHeight="1">
      <c r="A305" s="931"/>
      <c r="B305" s="941" t="s">
        <v>1740</v>
      </c>
      <c r="C305" s="942" t="s">
        <v>1741</v>
      </c>
      <c r="D305" s="942" t="s">
        <v>1741</v>
      </c>
      <c r="E305" s="943" t="s">
        <v>1741</v>
      </c>
      <c r="F305" s="935"/>
      <c r="G305" s="944"/>
      <c r="H305" s="944"/>
      <c r="I305" s="946" t="s">
        <v>1742</v>
      </c>
      <c r="J305" s="962" t="s">
        <v>706</v>
      </c>
      <c r="K305" s="960" t="s">
        <v>707</v>
      </c>
      <c r="L305" s="949">
        <v>85.0</v>
      </c>
      <c r="M305" s="949">
        <v>40.0</v>
      </c>
      <c r="N305" s="949">
        <v>70.0</v>
      </c>
      <c r="O305" s="949">
        <v>80.0</v>
      </c>
      <c r="P305" s="949">
        <v>140.0</v>
      </c>
      <c r="Q305" s="949">
        <v>70.0</v>
      </c>
      <c r="R305" s="949">
        <v>176.0</v>
      </c>
      <c r="S305" s="949">
        <v>239.0</v>
      </c>
      <c r="T305" s="949">
        <v>262.0</v>
      </c>
      <c r="U305" s="949"/>
      <c r="V305" s="949"/>
      <c r="W305" s="949"/>
      <c r="X305" s="949"/>
      <c r="Y305" s="949"/>
      <c r="Z305" s="949"/>
      <c r="AA305" s="949"/>
      <c r="AB305" s="949"/>
      <c r="AC305" s="949"/>
      <c r="AD305" s="949"/>
      <c r="AE305" s="949"/>
      <c r="AF305" s="949"/>
      <c r="AG305" s="949"/>
      <c r="AH305" s="949"/>
      <c r="AI305" s="949"/>
      <c r="AJ305" s="949"/>
      <c r="AK305" s="949"/>
      <c r="AL305" s="949"/>
      <c r="AM305" s="953" t="s">
        <v>1062</v>
      </c>
      <c r="AN305" s="954" t="s">
        <v>1084</v>
      </c>
      <c r="AO305" s="955" t="s">
        <v>1355</v>
      </c>
      <c r="AP305" s="931"/>
      <c r="AQ305" s="956"/>
      <c r="AR305" s="957"/>
      <c r="AS305" s="931"/>
    </row>
    <row r="306" ht="15.75" customHeight="1">
      <c r="A306" s="931"/>
      <c r="B306" s="941" t="s">
        <v>1743</v>
      </c>
      <c r="C306" s="942" t="s">
        <v>1744</v>
      </c>
      <c r="D306" s="942" t="s">
        <v>1744</v>
      </c>
      <c r="E306" s="943" t="s">
        <v>1744</v>
      </c>
      <c r="F306" s="935"/>
      <c r="G306" s="944"/>
      <c r="H306" s="944"/>
      <c r="I306" s="946" t="s">
        <v>1745</v>
      </c>
      <c r="J306" s="978" t="s">
        <v>719</v>
      </c>
      <c r="K306" s="960" t="s">
        <v>707</v>
      </c>
      <c r="L306" s="949">
        <v>65.0</v>
      </c>
      <c r="M306" s="949">
        <v>80.0</v>
      </c>
      <c r="N306" s="949">
        <v>140.0</v>
      </c>
      <c r="O306" s="949">
        <v>40.0</v>
      </c>
      <c r="P306" s="949">
        <v>70.0</v>
      </c>
      <c r="Q306" s="949">
        <v>70.0</v>
      </c>
      <c r="R306" s="949">
        <v>176.0</v>
      </c>
      <c r="S306" s="949">
        <v>239.0</v>
      </c>
      <c r="T306" s="949">
        <v>262.0</v>
      </c>
      <c r="U306" s="949"/>
      <c r="V306" s="949"/>
      <c r="W306" s="949"/>
      <c r="X306" s="949"/>
      <c r="Y306" s="949"/>
      <c r="Z306" s="949"/>
      <c r="AA306" s="949"/>
      <c r="AB306" s="949"/>
      <c r="AC306" s="949"/>
      <c r="AD306" s="949"/>
      <c r="AE306" s="949"/>
      <c r="AF306" s="949"/>
      <c r="AG306" s="949"/>
      <c r="AH306" s="949"/>
      <c r="AI306" s="949"/>
      <c r="AJ306" s="949"/>
      <c r="AK306" s="949"/>
      <c r="AL306" s="949"/>
      <c r="AM306" s="953" t="s">
        <v>815</v>
      </c>
      <c r="AN306" s="954" t="s">
        <v>1135</v>
      </c>
      <c r="AO306" s="955" t="s">
        <v>1256</v>
      </c>
      <c r="AP306" s="931"/>
      <c r="AQ306" s="956"/>
      <c r="AR306" s="957"/>
      <c r="AS306" s="931"/>
    </row>
    <row r="307" ht="15.75" customHeight="1">
      <c r="A307" s="931"/>
      <c r="B307" s="941" t="s">
        <v>1746</v>
      </c>
      <c r="C307" s="942" t="s">
        <v>1747</v>
      </c>
      <c r="D307" s="942" t="s">
        <v>1747</v>
      </c>
      <c r="E307" s="943" t="s">
        <v>1747</v>
      </c>
      <c r="F307" s="935"/>
      <c r="G307" s="944"/>
      <c r="H307" s="944"/>
      <c r="I307" s="946" t="s">
        <v>585</v>
      </c>
      <c r="J307" s="969" t="s">
        <v>718</v>
      </c>
      <c r="K307" s="958" t="s">
        <v>704</v>
      </c>
      <c r="L307" s="949">
        <v>45.0</v>
      </c>
      <c r="M307" s="949">
        <v>60.0</v>
      </c>
      <c r="N307" s="949">
        <v>30.0</v>
      </c>
      <c r="O307" s="949">
        <v>80.0</v>
      </c>
      <c r="P307" s="949">
        <v>50.0</v>
      </c>
      <c r="Q307" s="949">
        <v>65.0</v>
      </c>
      <c r="R307" s="949">
        <v>166.0</v>
      </c>
      <c r="S307" s="949">
        <v>229.0</v>
      </c>
      <c r="T307" s="949">
        <v>251.0</v>
      </c>
      <c r="U307" s="949"/>
      <c r="V307" s="949"/>
      <c r="W307" s="949"/>
      <c r="X307" s="949"/>
      <c r="Y307" s="949"/>
      <c r="Z307" s="949"/>
      <c r="AA307" s="949"/>
      <c r="AB307" s="949"/>
      <c r="AC307" s="949"/>
      <c r="AD307" s="949"/>
      <c r="AE307" s="949"/>
      <c r="AF307" s="949"/>
      <c r="AG307" s="949"/>
      <c r="AH307" s="949"/>
      <c r="AI307" s="949"/>
      <c r="AJ307" s="949"/>
      <c r="AK307" s="949"/>
      <c r="AL307" s="949"/>
      <c r="AM307" s="953" t="s">
        <v>1209</v>
      </c>
      <c r="AN307" s="954" t="s">
        <v>972</v>
      </c>
      <c r="AO307" s="955" t="s">
        <v>855</v>
      </c>
      <c r="AP307" s="931"/>
      <c r="AQ307" s="956"/>
      <c r="AR307" s="957"/>
      <c r="AS307" s="931"/>
    </row>
    <row r="308" ht="15.75" customHeight="1">
      <c r="A308" s="931"/>
      <c r="B308" s="941" t="s">
        <v>1748</v>
      </c>
      <c r="C308" s="942" t="s">
        <v>1749</v>
      </c>
      <c r="D308" s="942" t="s">
        <v>1749</v>
      </c>
      <c r="E308" s="943" t="s">
        <v>1749</v>
      </c>
      <c r="F308" s="935"/>
      <c r="G308" s="944"/>
      <c r="H308" s="944"/>
      <c r="I308" s="946" t="s">
        <v>474</v>
      </c>
      <c r="J308" s="969" t="s">
        <v>718</v>
      </c>
      <c r="K308" s="981" t="s">
        <v>704</v>
      </c>
      <c r="L308" s="949">
        <v>75.0</v>
      </c>
      <c r="M308" s="949">
        <v>90.0</v>
      </c>
      <c r="N308" s="949">
        <v>50.0</v>
      </c>
      <c r="O308" s="949">
        <v>110.0</v>
      </c>
      <c r="P308" s="949">
        <v>80.0</v>
      </c>
      <c r="Q308" s="949">
        <v>95.0</v>
      </c>
      <c r="R308" s="949">
        <v>226.0</v>
      </c>
      <c r="S308" s="949">
        <v>289.0</v>
      </c>
      <c r="T308" s="949">
        <v>317.0</v>
      </c>
      <c r="U308" s="949"/>
      <c r="V308" s="949"/>
      <c r="W308" s="949"/>
      <c r="X308" s="949"/>
      <c r="Y308" s="949"/>
      <c r="Z308" s="949"/>
      <c r="AA308" s="949"/>
      <c r="AB308" s="949"/>
      <c r="AC308" s="949"/>
      <c r="AD308" s="949"/>
      <c r="AE308" s="949"/>
      <c r="AF308" s="949"/>
      <c r="AG308" s="949"/>
      <c r="AH308" s="949"/>
      <c r="AI308" s="949"/>
      <c r="AJ308" s="949"/>
      <c r="AK308" s="949"/>
      <c r="AL308" s="949"/>
      <c r="AM308" s="953" t="s">
        <v>1209</v>
      </c>
      <c r="AN308" s="954" t="s">
        <v>972</v>
      </c>
      <c r="AO308" s="955" t="s">
        <v>855</v>
      </c>
      <c r="AP308" s="931"/>
      <c r="AQ308" s="956"/>
      <c r="AR308" s="957"/>
      <c r="AS308" s="931"/>
    </row>
    <row r="309" ht="15.75" customHeight="1">
      <c r="A309" s="931"/>
      <c r="B309" s="941" t="s">
        <v>1750</v>
      </c>
      <c r="C309" s="942" t="s">
        <v>1751</v>
      </c>
      <c r="D309" s="942" t="s">
        <v>1751</v>
      </c>
      <c r="E309" s="943" t="s">
        <v>1751</v>
      </c>
      <c r="F309" s="935"/>
      <c r="G309" s="944"/>
      <c r="H309" s="944"/>
      <c r="I309" s="946" t="s">
        <v>1752</v>
      </c>
      <c r="J309" s="969" t="s">
        <v>718</v>
      </c>
      <c r="K309" s="958" t="s">
        <v>704</v>
      </c>
      <c r="L309" s="949">
        <v>75.0</v>
      </c>
      <c r="M309" s="949">
        <v>90.0</v>
      </c>
      <c r="N309" s="949">
        <v>90.0</v>
      </c>
      <c r="O309" s="949">
        <v>140.0</v>
      </c>
      <c r="P309" s="949">
        <v>90.0</v>
      </c>
      <c r="Q309" s="949">
        <v>115.0</v>
      </c>
      <c r="R309" s="949">
        <v>266.0</v>
      </c>
      <c r="S309" s="949">
        <v>329.0</v>
      </c>
      <c r="T309" s="949">
        <v>361.0</v>
      </c>
      <c r="U309" s="949"/>
      <c r="V309" s="949"/>
      <c r="W309" s="949"/>
      <c r="X309" s="949"/>
      <c r="Y309" s="949"/>
      <c r="Z309" s="949"/>
      <c r="AA309" s="949"/>
      <c r="AB309" s="949"/>
      <c r="AC309" s="949"/>
      <c r="AD309" s="949"/>
      <c r="AE309" s="949"/>
      <c r="AF309" s="949"/>
      <c r="AG309" s="949"/>
      <c r="AH309" s="949"/>
      <c r="AI309" s="949"/>
      <c r="AJ309" s="949"/>
      <c r="AK309" s="949"/>
      <c r="AL309" s="949"/>
      <c r="AM309" s="953" t="s">
        <v>751</v>
      </c>
      <c r="AN309" s="954"/>
      <c r="AO309" s="955"/>
      <c r="AP309" s="931"/>
      <c r="AQ309" s="956"/>
      <c r="AR309" s="957"/>
      <c r="AS309" s="931"/>
    </row>
    <row r="310" ht="15.75" customHeight="1">
      <c r="A310" s="931"/>
      <c r="B310" s="941" t="s">
        <v>1753</v>
      </c>
      <c r="C310" s="942" t="s">
        <v>1754</v>
      </c>
      <c r="D310" s="942" t="s">
        <v>1754</v>
      </c>
      <c r="E310" s="943" t="s">
        <v>1754</v>
      </c>
      <c r="F310" s="935"/>
      <c r="G310" s="944"/>
      <c r="H310" s="944"/>
      <c r="I310" s="946" t="s">
        <v>1755</v>
      </c>
      <c r="J310" s="962" t="s">
        <v>706</v>
      </c>
      <c r="K310" s="961" t="s">
        <v>716</v>
      </c>
      <c r="L310" s="949">
        <v>75.0</v>
      </c>
      <c r="M310" s="949">
        <v>95.0</v>
      </c>
      <c r="N310" s="949">
        <v>95.0</v>
      </c>
      <c r="O310" s="949">
        <v>95.0</v>
      </c>
      <c r="P310" s="949">
        <v>95.0</v>
      </c>
      <c r="Q310" s="949">
        <v>85.0</v>
      </c>
      <c r="R310" s="949">
        <v>206.0</v>
      </c>
      <c r="S310" s="949">
        <v>269.0</v>
      </c>
      <c r="T310" s="949">
        <v>295.0</v>
      </c>
      <c r="U310" s="949"/>
      <c r="V310" s="949"/>
      <c r="W310" s="949"/>
      <c r="X310" s="949"/>
      <c r="Y310" s="949"/>
      <c r="Z310" s="949"/>
      <c r="AA310" s="949"/>
      <c r="AB310" s="949"/>
      <c r="AC310" s="949"/>
      <c r="AD310" s="949"/>
      <c r="AE310" s="949"/>
      <c r="AF310" s="949"/>
      <c r="AG310" s="949"/>
      <c r="AH310" s="949"/>
      <c r="AI310" s="949"/>
      <c r="AJ310" s="949"/>
      <c r="AK310" s="949"/>
      <c r="AL310" s="949"/>
      <c r="AM310" s="953" t="s">
        <v>1062</v>
      </c>
      <c r="AN310" s="954" t="s">
        <v>807</v>
      </c>
      <c r="AO310" s="955" t="s">
        <v>1014</v>
      </c>
      <c r="AP310" s="931"/>
      <c r="AQ310" s="956"/>
      <c r="AR310" s="957"/>
      <c r="AS310" s="931"/>
    </row>
    <row r="311" ht="15.75" customHeight="1">
      <c r="A311" s="931"/>
      <c r="B311" s="941" t="s">
        <v>1756</v>
      </c>
      <c r="C311" s="942" t="s">
        <v>1757</v>
      </c>
      <c r="D311" s="942" t="s">
        <v>1757</v>
      </c>
      <c r="E311" s="943" t="s">
        <v>1757</v>
      </c>
      <c r="F311" s="935"/>
      <c r="G311" s="944"/>
      <c r="H311" s="944"/>
      <c r="I311" s="946" t="s">
        <v>586</v>
      </c>
      <c r="J311" s="976" t="s">
        <v>711</v>
      </c>
      <c r="K311" s="954" t="s">
        <v>158</v>
      </c>
      <c r="L311" s="949">
        <v>90.0</v>
      </c>
      <c r="M311" s="949">
        <v>60.0</v>
      </c>
      <c r="N311" s="949">
        <v>60.0</v>
      </c>
      <c r="O311" s="949">
        <v>40.0</v>
      </c>
      <c r="P311" s="949">
        <v>40.0</v>
      </c>
      <c r="Q311" s="949">
        <v>40.0</v>
      </c>
      <c r="R311" s="949">
        <v>116.0</v>
      </c>
      <c r="S311" s="949">
        <v>179.0</v>
      </c>
      <c r="T311" s="949">
        <v>196.0</v>
      </c>
      <c r="U311" s="949"/>
      <c r="V311" s="949"/>
      <c r="W311" s="949"/>
      <c r="X311" s="949"/>
      <c r="Y311" s="949"/>
      <c r="Z311" s="949"/>
      <c r="AA311" s="949"/>
      <c r="AB311" s="949"/>
      <c r="AC311" s="949"/>
      <c r="AD311" s="949"/>
      <c r="AE311" s="949"/>
      <c r="AF311" s="949"/>
      <c r="AG311" s="949"/>
      <c r="AH311" s="949"/>
      <c r="AI311" s="949"/>
      <c r="AJ311" s="949"/>
      <c r="AK311" s="949"/>
      <c r="AL311" s="949"/>
      <c r="AM311" s="953" t="s">
        <v>1040</v>
      </c>
      <c r="AN311" s="954"/>
      <c r="AO311" s="955" t="s">
        <v>923</v>
      </c>
      <c r="AP311" s="931"/>
      <c r="AQ311" s="956"/>
      <c r="AR311" s="957"/>
      <c r="AS311" s="931"/>
    </row>
    <row r="312" ht="15.75" customHeight="1">
      <c r="A312" s="931"/>
      <c r="B312" s="941" t="s">
        <v>1758</v>
      </c>
      <c r="C312" s="942" t="s">
        <v>1759</v>
      </c>
      <c r="D312" s="942" t="s">
        <v>1759</v>
      </c>
      <c r="E312" s="943" t="s">
        <v>1759</v>
      </c>
      <c r="F312" s="935"/>
      <c r="G312" s="944"/>
      <c r="H312" s="944"/>
      <c r="I312" s="946" t="s">
        <v>411</v>
      </c>
      <c r="J312" s="976" t="s">
        <v>711</v>
      </c>
      <c r="K312" s="954" t="s">
        <v>158</v>
      </c>
      <c r="L312" s="949">
        <v>90.0</v>
      </c>
      <c r="M312" s="949">
        <v>120.0</v>
      </c>
      <c r="N312" s="949">
        <v>120.0</v>
      </c>
      <c r="O312" s="949">
        <v>60.0</v>
      </c>
      <c r="P312" s="949">
        <v>60.0</v>
      </c>
      <c r="Q312" s="949">
        <v>50.0</v>
      </c>
      <c r="R312" s="949">
        <v>136.0</v>
      </c>
      <c r="S312" s="949">
        <v>199.0</v>
      </c>
      <c r="T312" s="949">
        <v>218.0</v>
      </c>
      <c r="U312" s="949"/>
      <c r="V312" s="949"/>
      <c r="W312" s="949"/>
      <c r="X312" s="949"/>
      <c r="Y312" s="949"/>
      <c r="Z312" s="949"/>
      <c r="AA312" s="949"/>
      <c r="AB312" s="949"/>
      <c r="AC312" s="949"/>
      <c r="AD312" s="949"/>
      <c r="AE312" s="949"/>
      <c r="AF312" s="949"/>
      <c r="AG312" s="949"/>
      <c r="AH312" s="949"/>
      <c r="AI312" s="949"/>
      <c r="AJ312" s="949"/>
      <c r="AK312" s="949"/>
      <c r="AL312" s="949"/>
      <c r="AM312" s="953" t="s">
        <v>1135</v>
      </c>
      <c r="AN312" s="954"/>
      <c r="AO312" s="955" t="s">
        <v>923</v>
      </c>
      <c r="AP312" s="931"/>
      <c r="AQ312" s="956"/>
      <c r="AR312" s="957"/>
      <c r="AS312" s="931"/>
    </row>
    <row r="313" ht="15.75" customHeight="1">
      <c r="A313" s="931"/>
      <c r="B313" s="941" t="s">
        <v>1760</v>
      </c>
      <c r="C313" s="942" t="s">
        <v>1761</v>
      </c>
      <c r="D313" s="942" t="s">
        <v>1761</v>
      </c>
      <c r="E313" s="943" t="s">
        <v>1761</v>
      </c>
      <c r="F313" s="935"/>
      <c r="G313" s="944"/>
      <c r="H313" s="944"/>
      <c r="I313" s="946" t="s">
        <v>1762</v>
      </c>
      <c r="J313" s="968" t="s">
        <v>703</v>
      </c>
      <c r="K313" s="954" t="s">
        <v>158</v>
      </c>
      <c r="L313" s="949">
        <v>85.0</v>
      </c>
      <c r="M313" s="949">
        <v>80.0</v>
      </c>
      <c r="N313" s="949">
        <v>90.0</v>
      </c>
      <c r="O313" s="949">
        <v>105.0</v>
      </c>
      <c r="P313" s="949">
        <v>95.0</v>
      </c>
      <c r="Q313" s="949">
        <v>60.0</v>
      </c>
      <c r="R313" s="949">
        <v>156.0</v>
      </c>
      <c r="S313" s="949">
        <v>219.0</v>
      </c>
      <c r="T313" s="949">
        <v>240.0</v>
      </c>
      <c r="U313" s="949"/>
      <c r="V313" s="949"/>
      <c r="W313" s="949"/>
      <c r="X313" s="949"/>
      <c r="Y313" s="949"/>
      <c r="Z313" s="949"/>
      <c r="AA313" s="949"/>
      <c r="AB313" s="949"/>
      <c r="AC313" s="949"/>
      <c r="AD313" s="949"/>
      <c r="AE313" s="949"/>
      <c r="AF313" s="949"/>
      <c r="AG313" s="949"/>
      <c r="AH313" s="949"/>
      <c r="AI313" s="949"/>
      <c r="AJ313" s="949"/>
      <c r="AK313" s="949"/>
      <c r="AL313" s="949"/>
      <c r="AM313" s="953" t="s">
        <v>1104</v>
      </c>
      <c r="AN313" s="954" t="s">
        <v>1435</v>
      </c>
      <c r="AO313" s="955" t="s">
        <v>1195</v>
      </c>
      <c r="AP313" s="931"/>
      <c r="AQ313" s="956"/>
      <c r="AR313" s="957"/>
      <c r="AS313" s="931"/>
    </row>
    <row r="314" ht="15.75" customHeight="1">
      <c r="A314" s="963"/>
      <c r="B314" s="941" t="s">
        <v>1763</v>
      </c>
      <c r="C314" s="971" t="s">
        <v>1764</v>
      </c>
      <c r="D314" s="971" t="s">
        <v>1764</v>
      </c>
      <c r="E314" s="966" t="s">
        <v>1764</v>
      </c>
      <c r="F314" s="935"/>
      <c r="G314" s="944"/>
      <c r="H314" s="944"/>
      <c r="I314" s="959" t="s">
        <v>475</v>
      </c>
      <c r="J314" s="991" t="s">
        <v>703</v>
      </c>
      <c r="K314" s="973" t="s">
        <v>158</v>
      </c>
      <c r="L314" s="974">
        <v>73.0</v>
      </c>
      <c r="M314" s="974">
        <v>95.0</v>
      </c>
      <c r="N314" s="974">
        <v>62.0</v>
      </c>
      <c r="O314" s="974">
        <v>85.0</v>
      </c>
      <c r="P314" s="974">
        <v>65.0</v>
      </c>
      <c r="Q314" s="974">
        <v>85.0</v>
      </c>
      <c r="R314" s="949">
        <v>206.0</v>
      </c>
      <c r="S314" s="949">
        <v>269.0</v>
      </c>
      <c r="T314" s="949">
        <v>295.0</v>
      </c>
      <c r="U314" s="949"/>
      <c r="V314" s="949"/>
      <c r="W314" s="949"/>
      <c r="X314" s="949"/>
      <c r="Y314" s="949"/>
      <c r="Z314" s="949"/>
      <c r="AA314" s="949"/>
      <c r="AB314" s="949"/>
      <c r="AC314" s="949"/>
      <c r="AD314" s="949"/>
      <c r="AE314" s="949"/>
      <c r="AF314" s="949"/>
      <c r="AG314" s="949"/>
      <c r="AH314" s="949"/>
      <c r="AI314" s="949"/>
      <c r="AJ314" s="949"/>
      <c r="AK314" s="949"/>
      <c r="AL314" s="949"/>
      <c r="AM314" s="964" t="s">
        <v>854</v>
      </c>
      <c r="AN314" s="954" t="s">
        <v>990</v>
      </c>
      <c r="AO314" s="965" t="s">
        <v>1603</v>
      </c>
      <c r="AP314" s="931"/>
      <c r="AQ314" s="956"/>
      <c r="AR314" s="957"/>
      <c r="AS314" s="931"/>
    </row>
    <row r="315" ht="15.75" customHeight="1">
      <c r="A315" s="963"/>
      <c r="B315" s="941" t="s">
        <v>1765</v>
      </c>
      <c r="C315" s="971" t="s">
        <v>1766</v>
      </c>
      <c r="D315" s="971" t="s">
        <v>1766</v>
      </c>
      <c r="E315" s="966" t="s">
        <v>1766</v>
      </c>
      <c r="F315" s="935"/>
      <c r="G315" s="944"/>
      <c r="H315" s="944"/>
      <c r="I315" s="959" t="s">
        <v>1767</v>
      </c>
      <c r="J315" s="991" t="s">
        <v>703</v>
      </c>
      <c r="K315" s="973" t="s">
        <v>158</v>
      </c>
      <c r="L315" s="974">
        <v>55.0</v>
      </c>
      <c r="M315" s="974">
        <v>20.0</v>
      </c>
      <c r="N315" s="974">
        <v>35.0</v>
      </c>
      <c r="O315" s="974">
        <v>20.0</v>
      </c>
      <c r="P315" s="974">
        <v>45.0</v>
      </c>
      <c r="Q315" s="974">
        <v>75.0</v>
      </c>
      <c r="R315" s="949">
        <v>186.0</v>
      </c>
      <c r="S315" s="949">
        <v>249.0</v>
      </c>
      <c r="T315" s="949">
        <v>273.0</v>
      </c>
      <c r="U315" s="949"/>
      <c r="V315" s="949"/>
      <c r="W315" s="949"/>
      <c r="X315" s="949"/>
      <c r="Y315" s="949"/>
      <c r="Z315" s="949"/>
      <c r="AA315" s="949"/>
      <c r="AB315" s="949"/>
      <c r="AC315" s="949"/>
      <c r="AD315" s="949"/>
      <c r="AE315" s="949"/>
      <c r="AF315" s="949"/>
      <c r="AG315" s="949"/>
      <c r="AH315" s="949"/>
      <c r="AI315" s="949"/>
      <c r="AJ315" s="949"/>
      <c r="AK315" s="949"/>
      <c r="AL315" s="949"/>
      <c r="AM315" s="964" t="s">
        <v>1176</v>
      </c>
      <c r="AN315" s="954" t="s">
        <v>1041</v>
      </c>
      <c r="AO315" s="955" t="s">
        <v>1733</v>
      </c>
      <c r="AP315" s="931"/>
      <c r="AQ315" s="956"/>
      <c r="AR315" s="957"/>
      <c r="AS315" s="931"/>
    </row>
    <row r="316" ht="15.75" customHeight="1">
      <c r="A316" s="931"/>
      <c r="B316" s="941" t="s">
        <v>1768</v>
      </c>
      <c r="C316" s="942" t="s">
        <v>1769</v>
      </c>
      <c r="D316" s="942" t="s">
        <v>1769</v>
      </c>
      <c r="E316" s="943" t="s">
        <v>1769</v>
      </c>
      <c r="F316" s="935"/>
      <c r="G316" s="944"/>
      <c r="H316" s="944"/>
      <c r="I316" s="946" t="s">
        <v>1770</v>
      </c>
      <c r="J316" s="988" t="s">
        <v>705</v>
      </c>
      <c r="K316" s="954" t="s">
        <v>158</v>
      </c>
      <c r="L316" s="949">
        <v>35.0</v>
      </c>
      <c r="M316" s="949">
        <v>35.0</v>
      </c>
      <c r="N316" s="949">
        <v>35.0</v>
      </c>
      <c r="O316" s="949">
        <v>35.0</v>
      </c>
      <c r="P316" s="949">
        <v>35.0</v>
      </c>
      <c r="Q316" s="949">
        <v>35.0</v>
      </c>
      <c r="R316" s="949">
        <v>106.0</v>
      </c>
      <c r="S316" s="949">
        <v>169.0</v>
      </c>
      <c r="T316" s="949">
        <v>185.0</v>
      </c>
      <c r="U316" s="949"/>
      <c r="V316" s="949"/>
      <c r="W316" s="949"/>
      <c r="X316" s="949"/>
      <c r="Y316" s="949"/>
      <c r="Z316" s="949"/>
      <c r="AA316" s="949"/>
      <c r="AB316" s="949"/>
      <c r="AC316" s="949"/>
      <c r="AD316" s="949"/>
      <c r="AE316" s="949"/>
      <c r="AF316" s="949"/>
      <c r="AG316" s="949"/>
      <c r="AH316" s="949"/>
      <c r="AI316" s="949"/>
      <c r="AJ316" s="949"/>
      <c r="AK316" s="949"/>
      <c r="AL316" s="949"/>
      <c r="AM316" s="953" t="s">
        <v>831</v>
      </c>
      <c r="AN316" s="954" t="s">
        <v>1108</v>
      </c>
      <c r="AO316" s="955" t="s">
        <v>1067</v>
      </c>
      <c r="AP316" s="931"/>
      <c r="AQ316" s="956"/>
      <c r="AR316" s="957"/>
      <c r="AS316" s="931"/>
    </row>
    <row r="317" ht="15.75" customHeight="1">
      <c r="A317" s="931"/>
      <c r="B317" s="941" t="s">
        <v>1771</v>
      </c>
      <c r="C317" s="942" t="s">
        <v>1772</v>
      </c>
      <c r="D317" s="942" t="s">
        <v>1772</v>
      </c>
      <c r="E317" s="943" t="s">
        <v>1772</v>
      </c>
      <c r="F317" s="935"/>
      <c r="G317" s="944"/>
      <c r="H317" s="944"/>
      <c r="I317" s="946" t="s">
        <v>1773</v>
      </c>
      <c r="J317" s="988" t="s">
        <v>705</v>
      </c>
      <c r="K317" s="954" t="s">
        <v>158</v>
      </c>
      <c r="L317" s="949">
        <v>50.0</v>
      </c>
      <c r="M317" s="949">
        <v>95.0</v>
      </c>
      <c r="N317" s="949">
        <v>95.0</v>
      </c>
      <c r="O317" s="949">
        <v>35.0</v>
      </c>
      <c r="P317" s="949">
        <v>110.0</v>
      </c>
      <c r="Q317" s="949">
        <v>70.0</v>
      </c>
      <c r="R317" s="949">
        <v>176.0</v>
      </c>
      <c r="S317" s="949">
        <v>239.0</v>
      </c>
      <c r="T317" s="949">
        <v>262.0</v>
      </c>
      <c r="U317" s="949"/>
      <c r="V317" s="949"/>
      <c r="W317" s="949"/>
      <c r="X317" s="949"/>
      <c r="Y317" s="949"/>
      <c r="Z317" s="949"/>
      <c r="AA317" s="949"/>
      <c r="AB317" s="949"/>
      <c r="AC317" s="949"/>
      <c r="AD317" s="949"/>
      <c r="AE317" s="949"/>
      <c r="AF317" s="949"/>
      <c r="AG317" s="949"/>
      <c r="AH317" s="949"/>
      <c r="AI317" s="949"/>
      <c r="AJ317" s="949"/>
      <c r="AK317" s="949"/>
      <c r="AL317" s="949"/>
      <c r="AM317" s="953" t="s">
        <v>854</v>
      </c>
      <c r="AN317" s="954" t="s">
        <v>1041</v>
      </c>
      <c r="AO317" s="955" t="s">
        <v>1108</v>
      </c>
      <c r="AP317" s="931"/>
      <c r="AQ317" s="956"/>
      <c r="AR317" s="957"/>
      <c r="AS317" s="931"/>
    </row>
    <row r="318" ht="15.75" customHeight="1">
      <c r="A318" s="963"/>
      <c r="B318" s="941" t="s">
        <v>1774</v>
      </c>
      <c r="C318" s="971" t="s">
        <v>1775</v>
      </c>
      <c r="D318" s="971" t="s">
        <v>1775</v>
      </c>
      <c r="E318" s="966" t="s">
        <v>1775</v>
      </c>
      <c r="F318" s="935"/>
      <c r="G318" s="944"/>
      <c r="H318" s="944"/>
      <c r="I318" s="959" t="s">
        <v>1776</v>
      </c>
      <c r="J318" s="998" t="s">
        <v>714</v>
      </c>
      <c r="K318" s="990" t="s">
        <v>712</v>
      </c>
      <c r="L318" s="974">
        <v>45.0</v>
      </c>
      <c r="M318" s="974">
        <v>30.0</v>
      </c>
      <c r="N318" s="974">
        <v>15.0</v>
      </c>
      <c r="O318" s="974">
        <v>85.0</v>
      </c>
      <c r="P318" s="974">
        <v>65.0</v>
      </c>
      <c r="Q318" s="974">
        <v>65.0</v>
      </c>
      <c r="R318" s="949">
        <v>166.0</v>
      </c>
      <c r="S318" s="949">
        <v>229.0</v>
      </c>
      <c r="T318" s="949">
        <v>251.0</v>
      </c>
      <c r="U318" s="949"/>
      <c r="V318" s="949"/>
      <c r="W318" s="949"/>
      <c r="X318" s="949"/>
      <c r="Y318" s="949"/>
      <c r="Z318" s="949"/>
      <c r="AA318" s="949"/>
      <c r="AB318" s="949"/>
      <c r="AC318" s="949"/>
      <c r="AD318" s="949"/>
      <c r="AE318" s="949"/>
      <c r="AF318" s="949"/>
      <c r="AG318" s="949"/>
      <c r="AH318" s="949"/>
      <c r="AI318" s="949"/>
      <c r="AJ318" s="949"/>
      <c r="AK318" s="949"/>
      <c r="AL318" s="949"/>
      <c r="AM318" s="964" t="s">
        <v>1175</v>
      </c>
      <c r="AN318" s="973" t="s">
        <v>1260</v>
      </c>
      <c r="AO318" s="965" t="s">
        <v>1216</v>
      </c>
      <c r="AP318" s="931"/>
      <c r="AQ318" s="956"/>
      <c r="AR318" s="957"/>
      <c r="AS318" s="931"/>
    </row>
    <row r="319" ht="15.75" customHeight="1">
      <c r="A319" s="931"/>
      <c r="B319" s="941" t="s">
        <v>1777</v>
      </c>
      <c r="C319" s="942" t="s">
        <v>1778</v>
      </c>
      <c r="D319" s="942" t="s">
        <v>1778</v>
      </c>
      <c r="E319" s="943" t="s">
        <v>1778</v>
      </c>
      <c r="F319" s="935"/>
      <c r="G319" s="944"/>
      <c r="H319" s="944"/>
      <c r="I319" s="946" t="s">
        <v>1779</v>
      </c>
      <c r="J319" s="970" t="s">
        <v>710</v>
      </c>
      <c r="K319" s="954" t="s">
        <v>158</v>
      </c>
      <c r="L319" s="949">
        <v>45.0</v>
      </c>
      <c r="M319" s="949">
        <v>63.0</v>
      </c>
      <c r="N319" s="949">
        <v>37.0</v>
      </c>
      <c r="O319" s="949">
        <v>65.0</v>
      </c>
      <c r="P319" s="949">
        <v>55.0</v>
      </c>
      <c r="Q319" s="949">
        <v>95.0</v>
      </c>
      <c r="R319" s="949">
        <v>226.0</v>
      </c>
      <c r="S319" s="949">
        <v>289.0</v>
      </c>
      <c r="T319" s="949">
        <v>317.0</v>
      </c>
      <c r="U319" s="949"/>
      <c r="V319" s="949"/>
      <c r="W319" s="949"/>
      <c r="X319" s="949"/>
      <c r="Y319" s="949"/>
      <c r="Z319" s="949"/>
      <c r="AA319" s="949"/>
      <c r="AB319" s="949"/>
      <c r="AC319" s="949"/>
      <c r="AD319" s="949"/>
      <c r="AE319" s="949"/>
      <c r="AF319" s="949"/>
      <c r="AG319" s="949"/>
      <c r="AH319" s="949"/>
      <c r="AI319" s="949"/>
      <c r="AJ319" s="949"/>
      <c r="AK319" s="949"/>
      <c r="AL319" s="949"/>
      <c r="AM319" s="953" t="s">
        <v>861</v>
      </c>
      <c r="AN319" s="954"/>
      <c r="AO319" s="955" t="s">
        <v>1067</v>
      </c>
      <c r="AP319" s="931"/>
      <c r="AQ319" s="956"/>
      <c r="AR319" s="957"/>
      <c r="AS319" s="931"/>
    </row>
    <row r="320" ht="15.75" customHeight="1">
      <c r="A320" s="931"/>
      <c r="B320" s="941" t="s">
        <v>1780</v>
      </c>
      <c r="C320" s="942" t="s">
        <v>1781</v>
      </c>
      <c r="D320" s="942" t="s">
        <v>1781</v>
      </c>
      <c r="E320" s="943" t="s">
        <v>1781</v>
      </c>
      <c r="F320" s="935"/>
      <c r="G320" s="944"/>
      <c r="H320" s="944"/>
      <c r="I320" s="946" t="s">
        <v>1782</v>
      </c>
      <c r="J320" s="958" t="s">
        <v>704</v>
      </c>
      <c r="K320" s="954" t="s">
        <v>158</v>
      </c>
      <c r="L320" s="949">
        <v>45.0</v>
      </c>
      <c r="M320" s="949">
        <v>75.0</v>
      </c>
      <c r="N320" s="949">
        <v>37.0</v>
      </c>
      <c r="O320" s="949">
        <v>70.0</v>
      </c>
      <c r="P320" s="949">
        <v>55.0</v>
      </c>
      <c r="Q320" s="949">
        <v>83.0</v>
      </c>
      <c r="R320" s="949">
        <v>202.0</v>
      </c>
      <c r="S320" s="949">
        <v>265.0</v>
      </c>
      <c r="T320" s="949">
        <v>291.0</v>
      </c>
      <c r="U320" s="949"/>
      <c r="V320" s="949"/>
      <c r="W320" s="949"/>
      <c r="X320" s="949"/>
      <c r="Y320" s="949"/>
      <c r="Z320" s="949"/>
      <c r="AA320" s="949"/>
      <c r="AB320" s="949"/>
      <c r="AC320" s="949"/>
      <c r="AD320" s="949"/>
      <c r="AE320" s="949"/>
      <c r="AF320" s="949"/>
      <c r="AG320" s="949"/>
      <c r="AH320" s="949"/>
      <c r="AI320" s="949"/>
      <c r="AJ320" s="949"/>
      <c r="AK320" s="949"/>
      <c r="AL320" s="949"/>
      <c r="AM320" s="953" t="s">
        <v>1159</v>
      </c>
      <c r="AN320" s="954"/>
      <c r="AO320" s="955" t="s">
        <v>1067</v>
      </c>
      <c r="AP320" s="931"/>
      <c r="AQ320" s="956"/>
      <c r="AR320" s="957"/>
      <c r="AS320" s="931"/>
    </row>
    <row r="321" ht="15.75" customHeight="1">
      <c r="A321" s="963"/>
      <c r="B321" s="941" t="s">
        <v>1783</v>
      </c>
      <c r="C321" s="942" t="s">
        <v>1784</v>
      </c>
      <c r="D321" s="942" t="s">
        <v>1784</v>
      </c>
      <c r="E321" s="943" t="s">
        <v>1784</v>
      </c>
      <c r="F321" s="935"/>
      <c r="G321" s="944"/>
      <c r="H321" s="944"/>
      <c r="I321" s="959" t="s">
        <v>1785</v>
      </c>
      <c r="J321" s="968" t="s">
        <v>703</v>
      </c>
      <c r="K321" s="954" t="s">
        <v>158</v>
      </c>
      <c r="L321" s="949">
        <v>95.0</v>
      </c>
      <c r="M321" s="949">
        <v>80.0</v>
      </c>
      <c r="N321" s="949">
        <v>105.0</v>
      </c>
      <c r="O321" s="949">
        <v>40.0</v>
      </c>
      <c r="P321" s="949">
        <v>70.0</v>
      </c>
      <c r="Q321" s="949">
        <v>100.0</v>
      </c>
      <c r="R321" s="949">
        <v>236.0</v>
      </c>
      <c r="S321" s="949">
        <v>299.0</v>
      </c>
      <c r="T321" s="949">
        <v>328.0</v>
      </c>
      <c r="U321" s="949"/>
      <c r="V321" s="949"/>
      <c r="W321" s="949"/>
      <c r="X321" s="949"/>
      <c r="Y321" s="949"/>
      <c r="Z321" s="949"/>
      <c r="AA321" s="949"/>
      <c r="AB321" s="949"/>
      <c r="AC321" s="949"/>
      <c r="AD321" s="949"/>
      <c r="AE321" s="949"/>
      <c r="AF321" s="949"/>
      <c r="AG321" s="949"/>
      <c r="AH321" s="949"/>
      <c r="AI321" s="949"/>
      <c r="AJ321" s="949"/>
      <c r="AK321" s="949"/>
      <c r="AL321" s="949"/>
      <c r="AM321" s="964" t="s">
        <v>746</v>
      </c>
      <c r="AN321" s="954" t="s">
        <v>1205</v>
      </c>
      <c r="AO321" s="955" t="s">
        <v>1603</v>
      </c>
      <c r="AP321" s="931"/>
      <c r="AQ321" s="956"/>
      <c r="AR321" s="957"/>
      <c r="AS321" s="931"/>
    </row>
    <row r="322" ht="15.75" customHeight="1">
      <c r="A322" s="963"/>
      <c r="B322" s="941" t="s">
        <v>1786</v>
      </c>
      <c r="C322" s="942" t="s">
        <v>1787</v>
      </c>
      <c r="D322" s="942" t="s">
        <v>1787</v>
      </c>
      <c r="E322" s="943" t="s">
        <v>1787</v>
      </c>
      <c r="F322" s="935"/>
      <c r="G322" s="944"/>
      <c r="H322" s="944"/>
      <c r="I322" s="946" t="s">
        <v>436</v>
      </c>
      <c r="J322" s="968" t="s">
        <v>703</v>
      </c>
      <c r="K322" s="954" t="s">
        <v>158</v>
      </c>
      <c r="L322" s="949">
        <v>255.0</v>
      </c>
      <c r="M322" s="949">
        <v>10.0</v>
      </c>
      <c r="N322" s="949">
        <v>10.0</v>
      </c>
      <c r="O322" s="949">
        <v>75.0</v>
      </c>
      <c r="P322" s="949">
        <v>135.0</v>
      </c>
      <c r="Q322" s="949">
        <v>55.0</v>
      </c>
      <c r="R322" s="949">
        <v>146.0</v>
      </c>
      <c r="S322" s="949">
        <v>209.0</v>
      </c>
      <c r="T322" s="949">
        <v>229.0</v>
      </c>
      <c r="U322" s="949"/>
      <c r="V322" s="949"/>
      <c r="W322" s="949"/>
      <c r="X322" s="949"/>
      <c r="Y322" s="949"/>
      <c r="Z322" s="949"/>
      <c r="AA322" s="949"/>
      <c r="AB322" s="949"/>
      <c r="AC322" s="949"/>
      <c r="AD322" s="949"/>
      <c r="AE322" s="949"/>
      <c r="AF322" s="949"/>
      <c r="AG322" s="949"/>
      <c r="AH322" s="949"/>
      <c r="AI322" s="949"/>
      <c r="AJ322" s="949"/>
      <c r="AK322" s="949"/>
      <c r="AL322" s="949"/>
      <c r="AM322" s="964" t="s">
        <v>1333</v>
      </c>
      <c r="AN322" s="954" t="s">
        <v>1334</v>
      </c>
      <c r="AO322" s="955" t="s">
        <v>1335</v>
      </c>
      <c r="AP322" s="931"/>
      <c r="AQ322" s="956"/>
      <c r="AR322" s="957"/>
      <c r="AS322" s="931"/>
    </row>
    <row r="323" ht="15.75" customHeight="1">
      <c r="A323" s="931"/>
      <c r="B323" s="941" t="s">
        <v>1788</v>
      </c>
      <c r="C323" s="942" t="s">
        <v>1789</v>
      </c>
      <c r="D323" s="942" t="s">
        <v>1789</v>
      </c>
      <c r="E323" s="943" t="s">
        <v>1789</v>
      </c>
      <c r="F323" s="935"/>
      <c r="G323" s="944"/>
      <c r="H323" s="944"/>
      <c r="I323" s="946" t="s">
        <v>1790</v>
      </c>
      <c r="J323" s="970" t="s">
        <v>710</v>
      </c>
      <c r="K323" s="954" t="s">
        <v>158</v>
      </c>
      <c r="L323" s="949">
        <v>90.0</v>
      </c>
      <c r="M323" s="949">
        <v>85.0</v>
      </c>
      <c r="N323" s="949">
        <v>75.0</v>
      </c>
      <c r="O323" s="949">
        <v>115.0</v>
      </c>
      <c r="P323" s="949">
        <v>100.0</v>
      </c>
      <c r="Q323" s="949">
        <v>115.0</v>
      </c>
      <c r="R323" s="949">
        <v>266.0</v>
      </c>
      <c r="S323" s="949">
        <v>329.0</v>
      </c>
      <c r="T323" s="949">
        <v>361.0</v>
      </c>
      <c r="U323" s="949"/>
      <c r="V323" s="949"/>
      <c r="W323" s="949"/>
      <c r="X323" s="949"/>
      <c r="Y323" s="949"/>
      <c r="Z323" s="949"/>
      <c r="AA323" s="949"/>
      <c r="AB323" s="949"/>
      <c r="AC323" s="949"/>
      <c r="AD323" s="949"/>
      <c r="AE323" s="949"/>
      <c r="AF323" s="949"/>
      <c r="AG323" s="949"/>
      <c r="AH323" s="949"/>
      <c r="AI323" s="949"/>
      <c r="AJ323" s="949"/>
      <c r="AK323" s="949"/>
      <c r="AL323" s="949"/>
      <c r="AM323" s="953" t="s">
        <v>1451</v>
      </c>
      <c r="AN323" s="954"/>
      <c r="AO323" s="955" t="s">
        <v>994</v>
      </c>
      <c r="AP323" s="931"/>
      <c r="AQ323" s="956"/>
      <c r="AR323" s="957"/>
      <c r="AS323" s="931"/>
    </row>
    <row r="324" ht="15.75" customHeight="1">
      <c r="A324" s="931"/>
      <c r="B324" s="941" t="s">
        <v>1791</v>
      </c>
      <c r="C324" s="942" t="s">
        <v>1792</v>
      </c>
      <c r="D324" s="942" t="s">
        <v>1792</v>
      </c>
      <c r="E324" s="943" t="s">
        <v>1792</v>
      </c>
      <c r="F324" s="935"/>
      <c r="G324" s="944"/>
      <c r="H324" s="944"/>
      <c r="I324" s="946" t="s">
        <v>1793</v>
      </c>
      <c r="J324" s="958" t="s">
        <v>704</v>
      </c>
      <c r="K324" s="954" t="s">
        <v>158</v>
      </c>
      <c r="L324" s="949">
        <v>115.0</v>
      </c>
      <c r="M324" s="949">
        <v>115.0</v>
      </c>
      <c r="N324" s="949">
        <v>85.0</v>
      </c>
      <c r="O324" s="949">
        <v>90.0</v>
      </c>
      <c r="P324" s="949">
        <v>75.0</v>
      </c>
      <c r="Q324" s="949">
        <v>100.0</v>
      </c>
      <c r="R324" s="949">
        <v>236.0</v>
      </c>
      <c r="S324" s="949">
        <v>299.0</v>
      </c>
      <c r="T324" s="949">
        <v>328.0</v>
      </c>
      <c r="U324" s="949"/>
      <c r="V324" s="949"/>
      <c r="W324" s="949"/>
      <c r="X324" s="949"/>
      <c r="Y324" s="949"/>
      <c r="Z324" s="949"/>
      <c r="AA324" s="949"/>
      <c r="AB324" s="949"/>
      <c r="AC324" s="949"/>
      <c r="AD324" s="949"/>
      <c r="AE324" s="949"/>
      <c r="AF324" s="949"/>
      <c r="AG324" s="949"/>
      <c r="AH324" s="949"/>
      <c r="AI324" s="949"/>
      <c r="AJ324" s="949"/>
      <c r="AK324" s="949"/>
      <c r="AL324" s="949"/>
      <c r="AM324" s="953" t="s">
        <v>1451</v>
      </c>
      <c r="AN324" s="954"/>
      <c r="AO324" s="955" t="s">
        <v>994</v>
      </c>
      <c r="AP324" s="931"/>
      <c r="AQ324" s="956"/>
      <c r="AR324" s="957"/>
      <c r="AS324" s="931"/>
    </row>
    <row r="325" ht="15.75" customHeight="1">
      <c r="A325" s="931"/>
      <c r="B325" s="941" t="s">
        <v>1794</v>
      </c>
      <c r="C325" s="942" t="s">
        <v>1795</v>
      </c>
      <c r="D325" s="942" t="s">
        <v>1795</v>
      </c>
      <c r="E325" s="943" t="s">
        <v>1795</v>
      </c>
      <c r="F325" s="935"/>
      <c r="G325" s="944"/>
      <c r="H325" s="944"/>
      <c r="I325" s="946" t="s">
        <v>1796</v>
      </c>
      <c r="J325" s="962" t="s">
        <v>706</v>
      </c>
      <c r="K325" s="954" t="s">
        <v>158</v>
      </c>
      <c r="L325" s="949">
        <v>100.0</v>
      </c>
      <c r="M325" s="949">
        <v>75.0</v>
      </c>
      <c r="N325" s="949">
        <v>115.0</v>
      </c>
      <c r="O325" s="949">
        <v>90.0</v>
      </c>
      <c r="P325" s="949">
        <v>115.0</v>
      </c>
      <c r="Q325" s="949">
        <v>85.0</v>
      </c>
      <c r="R325" s="949">
        <v>206.0</v>
      </c>
      <c r="S325" s="949">
        <v>269.0</v>
      </c>
      <c r="T325" s="949">
        <v>295.0</v>
      </c>
      <c r="U325" s="949"/>
      <c r="V325" s="949"/>
      <c r="W325" s="949"/>
      <c r="X325" s="949"/>
      <c r="Y325" s="949"/>
      <c r="Z325" s="949"/>
      <c r="AA325" s="949"/>
      <c r="AB325" s="949"/>
      <c r="AC325" s="949"/>
      <c r="AD325" s="949"/>
      <c r="AE325" s="949"/>
      <c r="AF325" s="949"/>
      <c r="AG325" s="949"/>
      <c r="AH325" s="949"/>
      <c r="AI325" s="949"/>
      <c r="AJ325" s="949"/>
      <c r="AK325" s="949"/>
      <c r="AL325" s="949"/>
      <c r="AM325" s="953" t="s">
        <v>1451</v>
      </c>
      <c r="AN325" s="954"/>
      <c r="AO325" s="955" t="s">
        <v>994</v>
      </c>
      <c r="AP325" s="931"/>
      <c r="AQ325" s="956"/>
      <c r="AR325" s="957"/>
      <c r="AS325" s="931"/>
    </row>
    <row r="326" ht="15.75" customHeight="1">
      <c r="A326" s="931"/>
      <c r="B326" s="941" t="s">
        <v>1797</v>
      </c>
      <c r="C326" s="942" t="s">
        <v>1798</v>
      </c>
      <c r="D326" s="942" t="s">
        <v>1798</v>
      </c>
      <c r="E326" s="943" t="s">
        <v>1798</v>
      </c>
      <c r="F326" s="935"/>
      <c r="G326" s="944"/>
      <c r="H326" s="944"/>
      <c r="I326" s="946" t="s">
        <v>587</v>
      </c>
      <c r="J326" s="989" t="s">
        <v>713</v>
      </c>
      <c r="K326" s="976" t="s">
        <v>711</v>
      </c>
      <c r="L326" s="949">
        <v>50.0</v>
      </c>
      <c r="M326" s="949">
        <v>64.0</v>
      </c>
      <c r="N326" s="949">
        <v>50.0</v>
      </c>
      <c r="O326" s="949">
        <v>45.0</v>
      </c>
      <c r="P326" s="949">
        <v>50.0</v>
      </c>
      <c r="Q326" s="949">
        <v>41.0</v>
      </c>
      <c r="R326" s="949">
        <v>118.0</v>
      </c>
      <c r="S326" s="949">
        <v>181.0</v>
      </c>
      <c r="T326" s="949">
        <v>199.0</v>
      </c>
      <c r="U326" s="949"/>
      <c r="V326" s="949"/>
      <c r="W326" s="949"/>
      <c r="X326" s="949"/>
      <c r="Y326" s="949"/>
      <c r="Z326" s="949"/>
      <c r="AA326" s="949"/>
      <c r="AB326" s="949"/>
      <c r="AC326" s="949"/>
      <c r="AD326" s="949"/>
      <c r="AE326" s="949"/>
      <c r="AF326" s="949"/>
      <c r="AG326" s="949"/>
      <c r="AH326" s="949"/>
      <c r="AI326" s="949"/>
      <c r="AJ326" s="949"/>
      <c r="AK326" s="949"/>
      <c r="AL326" s="949"/>
      <c r="AM326" s="953" t="s">
        <v>831</v>
      </c>
      <c r="AN326" s="954"/>
      <c r="AO326" s="955" t="s">
        <v>923</v>
      </c>
      <c r="AP326" s="931"/>
      <c r="AQ326" s="956"/>
      <c r="AR326" s="957"/>
      <c r="AS326" s="931"/>
    </row>
    <row r="327" ht="15.75" customHeight="1">
      <c r="A327" s="963"/>
      <c r="B327" s="941" t="s">
        <v>1799</v>
      </c>
      <c r="C327" s="942" t="s">
        <v>1800</v>
      </c>
      <c r="D327" s="942" t="s">
        <v>1800</v>
      </c>
      <c r="E327" s="943" t="s">
        <v>1800</v>
      </c>
      <c r="F327" s="935"/>
      <c r="G327" s="944"/>
      <c r="H327" s="944"/>
      <c r="I327" s="946" t="s">
        <v>588</v>
      </c>
      <c r="J327" s="989" t="s">
        <v>713</v>
      </c>
      <c r="K327" s="976" t="s">
        <v>711</v>
      </c>
      <c r="L327" s="949">
        <v>70.0</v>
      </c>
      <c r="M327" s="949">
        <v>84.0</v>
      </c>
      <c r="N327" s="949">
        <v>70.0</v>
      </c>
      <c r="O327" s="949">
        <v>65.0</v>
      </c>
      <c r="P327" s="949">
        <v>70.0</v>
      </c>
      <c r="Q327" s="949">
        <v>51.0</v>
      </c>
      <c r="R327" s="949">
        <v>138.0</v>
      </c>
      <c r="S327" s="949">
        <v>201.0</v>
      </c>
      <c r="T327" s="949">
        <v>221.0</v>
      </c>
      <c r="U327" s="949"/>
      <c r="V327" s="949"/>
      <c r="W327" s="949"/>
      <c r="X327" s="949"/>
      <c r="Y327" s="949"/>
      <c r="Z327" s="949"/>
      <c r="AA327" s="949"/>
      <c r="AB327" s="949"/>
      <c r="AC327" s="949"/>
      <c r="AD327" s="949"/>
      <c r="AE327" s="949"/>
      <c r="AF327" s="949"/>
      <c r="AG327" s="949"/>
      <c r="AH327" s="949"/>
      <c r="AI327" s="949"/>
      <c r="AJ327" s="949"/>
      <c r="AK327" s="949"/>
      <c r="AL327" s="949"/>
      <c r="AM327" s="964" t="s">
        <v>791</v>
      </c>
      <c r="AN327" s="954"/>
      <c r="AO327" s="965"/>
      <c r="AP327" s="931"/>
      <c r="AQ327" s="956"/>
      <c r="AR327" s="957"/>
      <c r="AS327" s="931"/>
    </row>
    <row r="328" ht="15.75" customHeight="1">
      <c r="A328" s="931"/>
      <c r="B328" s="941" t="s">
        <v>1801</v>
      </c>
      <c r="C328" s="942" t="s">
        <v>266</v>
      </c>
      <c r="D328" s="942" t="s">
        <v>266</v>
      </c>
      <c r="E328" s="943" t="s">
        <v>266</v>
      </c>
      <c r="F328" s="935"/>
      <c r="G328" s="944"/>
      <c r="H328" s="944"/>
      <c r="I328" s="946" t="s">
        <v>107</v>
      </c>
      <c r="J328" s="989" t="s">
        <v>713</v>
      </c>
      <c r="K328" s="969" t="s">
        <v>718</v>
      </c>
      <c r="L328" s="949">
        <v>100.0</v>
      </c>
      <c r="M328" s="949">
        <v>134.0</v>
      </c>
      <c r="N328" s="949">
        <v>110.0</v>
      </c>
      <c r="O328" s="949">
        <v>95.0</v>
      </c>
      <c r="P328" s="949">
        <v>100.0</v>
      </c>
      <c r="Q328" s="949">
        <v>61.0</v>
      </c>
      <c r="R328" s="949">
        <v>158.0</v>
      </c>
      <c r="S328" s="949">
        <v>221.0</v>
      </c>
      <c r="T328" s="949">
        <v>243.0</v>
      </c>
      <c r="U328" s="949"/>
      <c r="V328" s="949"/>
      <c r="W328" s="949"/>
      <c r="X328" s="949"/>
      <c r="Y328" s="949"/>
      <c r="Z328" s="949"/>
      <c r="AA328" s="949"/>
      <c r="AB328" s="949"/>
      <c r="AC328" s="949"/>
      <c r="AD328" s="949"/>
      <c r="AE328" s="949"/>
      <c r="AF328" s="949"/>
      <c r="AG328" s="949"/>
      <c r="AH328" s="949"/>
      <c r="AI328" s="949"/>
      <c r="AJ328" s="949"/>
      <c r="AK328" s="949"/>
      <c r="AL328" s="949"/>
      <c r="AM328" s="953" t="s">
        <v>1802</v>
      </c>
      <c r="AN328" s="954"/>
      <c r="AO328" s="955" t="s">
        <v>855</v>
      </c>
      <c r="AP328" s="931"/>
      <c r="AQ328" s="956"/>
      <c r="AR328" s="957"/>
      <c r="AS328" s="931"/>
    </row>
    <row r="329" ht="15.75" customHeight="1">
      <c r="A329" s="963"/>
      <c r="B329" s="941" t="s">
        <v>1803</v>
      </c>
      <c r="C329" s="971" t="s">
        <v>1804</v>
      </c>
      <c r="D329" s="971" t="s">
        <v>1804</v>
      </c>
      <c r="E329" s="966" t="s">
        <v>1804</v>
      </c>
      <c r="F329" s="935"/>
      <c r="G329" s="944"/>
      <c r="H329" s="944"/>
      <c r="I329" s="959" t="s">
        <v>1805</v>
      </c>
      <c r="J329" s="996" t="s">
        <v>713</v>
      </c>
      <c r="K329" s="1003" t="s">
        <v>718</v>
      </c>
      <c r="L329" s="974">
        <v>100.0</v>
      </c>
      <c r="M329" s="974">
        <v>164.0</v>
      </c>
      <c r="N329" s="974">
        <v>150.0</v>
      </c>
      <c r="O329" s="974">
        <v>95.0</v>
      </c>
      <c r="P329" s="974">
        <v>120.0</v>
      </c>
      <c r="Q329" s="974">
        <v>71.0</v>
      </c>
      <c r="R329" s="949">
        <v>178.0</v>
      </c>
      <c r="S329" s="949">
        <v>241.0</v>
      </c>
      <c r="T329" s="949">
        <v>265.0</v>
      </c>
      <c r="U329" s="949"/>
      <c r="V329" s="949"/>
      <c r="W329" s="949"/>
      <c r="X329" s="949"/>
      <c r="Y329" s="949"/>
      <c r="Z329" s="949"/>
      <c r="AA329" s="949"/>
      <c r="AB329" s="949"/>
      <c r="AC329" s="949"/>
      <c r="AD329" s="949"/>
      <c r="AE329" s="949"/>
      <c r="AF329" s="949"/>
      <c r="AG329" s="949"/>
      <c r="AH329" s="949"/>
      <c r="AI329" s="949"/>
      <c r="AJ329" s="949"/>
      <c r="AK329" s="949"/>
      <c r="AL329" s="949"/>
      <c r="AM329" s="964" t="s">
        <v>1802</v>
      </c>
      <c r="AN329" s="973"/>
      <c r="AO329" s="965"/>
      <c r="AP329" s="931"/>
      <c r="AQ329" s="956"/>
      <c r="AR329" s="957"/>
      <c r="AS329" s="931"/>
    </row>
    <row r="330" ht="15.75" customHeight="1">
      <c r="A330" s="931"/>
      <c r="B330" s="941" t="s">
        <v>1806</v>
      </c>
      <c r="C330" s="942" t="s">
        <v>253</v>
      </c>
      <c r="D330" s="942" t="s">
        <v>253</v>
      </c>
      <c r="E330" s="943" t="s">
        <v>253</v>
      </c>
      <c r="F330" s="935"/>
      <c r="G330" s="944"/>
      <c r="H330" s="944"/>
      <c r="I330" s="946" t="s">
        <v>254</v>
      </c>
      <c r="J330" s="975" t="s">
        <v>712</v>
      </c>
      <c r="K330" s="960" t="s">
        <v>707</v>
      </c>
      <c r="L330" s="949">
        <v>106.0</v>
      </c>
      <c r="M330" s="949">
        <v>90.0</v>
      </c>
      <c r="N330" s="949">
        <v>130.0</v>
      </c>
      <c r="O330" s="949">
        <v>90.0</v>
      </c>
      <c r="P330" s="949">
        <v>154.0</v>
      </c>
      <c r="Q330" s="949">
        <v>110.0</v>
      </c>
      <c r="R330" s="949">
        <v>256.0</v>
      </c>
      <c r="S330" s="949">
        <v>319.0</v>
      </c>
      <c r="T330" s="949">
        <v>350.0</v>
      </c>
      <c r="U330" s="949"/>
      <c r="V330" s="949"/>
      <c r="W330" s="949"/>
      <c r="X330" s="949"/>
      <c r="Y330" s="949"/>
      <c r="Z330" s="949"/>
      <c r="AA330" s="949"/>
      <c r="AB330" s="949"/>
      <c r="AC330" s="949"/>
      <c r="AD330" s="949"/>
      <c r="AE330" s="949"/>
      <c r="AF330" s="949"/>
      <c r="AG330" s="949"/>
      <c r="AH330" s="949"/>
      <c r="AI330" s="949"/>
      <c r="AJ330" s="949"/>
      <c r="AK330" s="949"/>
      <c r="AL330" s="949"/>
      <c r="AM330" s="953" t="s">
        <v>1451</v>
      </c>
      <c r="AN330" s="954"/>
      <c r="AO330" s="955" t="s">
        <v>1487</v>
      </c>
      <c r="AP330" s="931"/>
      <c r="AQ330" s="956"/>
      <c r="AR330" s="957"/>
      <c r="AS330" s="931"/>
    </row>
    <row r="331" ht="15.75" customHeight="1">
      <c r="A331" s="931"/>
      <c r="B331" s="941" t="s">
        <v>1807</v>
      </c>
      <c r="C331" s="942" t="s">
        <v>1808</v>
      </c>
      <c r="D331" s="942" t="s">
        <v>221</v>
      </c>
      <c r="E331" s="943" t="s">
        <v>1808</v>
      </c>
      <c r="F331" s="935"/>
      <c r="G331" s="944"/>
      <c r="H331" s="944"/>
      <c r="I331" s="946" t="s">
        <v>222</v>
      </c>
      <c r="J331" s="958" t="s">
        <v>704</v>
      </c>
      <c r="K331" s="960" t="s">
        <v>707</v>
      </c>
      <c r="L331" s="949">
        <v>106.0</v>
      </c>
      <c r="M331" s="949">
        <v>130.0</v>
      </c>
      <c r="N331" s="949">
        <v>90.0</v>
      </c>
      <c r="O331" s="949">
        <v>110.0</v>
      </c>
      <c r="P331" s="949">
        <v>154.0</v>
      </c>
      <c r="Q331" s="949">
        <v>90.0</v>
      </c>
      <c r="R331" s="949">
        <v>216.0</v>
      </c>
      <c r="S331" s="949">
        <v>279.0</v>
      </c>
      <c r="T331" s="949">
        <v>306.0</v>
      </c>
      <c r="U331" s="949"/>
      <c r="V331" s="949"/>
      <c r="W331" s="949"/>
      <c r="X331" s="949"/>
      <c r="Y331" s="949"/>
      <c r="Z331" s="949"/>
      <c r="AA331" s="949"/>
      <c r="AB331" s="949"/>
      <c r="AC331" s="949"/>
      <c r="AD331" s="949"/>
      <c r="AE331" s="949"/>
      <c r="AF331" s="949"/>
      <c r="AG331" s="949"/>
      <c r="AH331" s="949"/>
      <c r="AI331" s="949"/>
      <c r="AJ331" s="949"/>
      <c r="AK331" s="949"/>
      <c r="AL331" s="949"/>
      <c r="AM331" s="953" t="s">
        <v>1451</v>
      </c>
      <c r="AN331" s="954"/>
      <c r="AO331" s="955" t="s">
        <v>1177</v>
      </c>
      <c r="AP331" s="931"/>
      <c r="AQ331" s="956"/>
      <c r="AR331" s="957"/>
      <c r="AS331" s="931"/>
    </row>
    <row r="332" ht="15.75" customHeight="1">
      <c r="A332" s="931"/>
      <c r="B332" s="941" t="s">
        <v>1809</v>
      </c>
      <c r="C332" s="942" t="s">
        <v>1810</v>
      </c>
      <c r="D332" s="942" t="s">
        <v>1810</v>
      </c>
      <c r="E332" s="943" t="s">
        <v>1810</v>
      </c>
      <c r="F332" s="935"/>
      <c r="G332" s="944"/>
      <c r="H332" s="944"/>
      <c r="I332" s="946" t="s">
        <v>1811</v>
      </c>
      <c r="J332" s="975" t="s">
        <v>712</v>
      </c>
      <c r="K332" s="947" t="s">
        <v>708</v>
      </c>
      <c r="L332" s="949">
        <v>100.0</v>
      </c>
      <c r="M332" s="949">
        <v>100.0</v>
      </c>
      <c r="N332" s="949">
        <v>100.0</v>
      </c>
      <c r="O332" s="949">
        <v>100.0</v>
      </c>
      <c r="P332" s="949">
        <v>100.0</v>
      </c>
      <c r="Q332" s="949">
        <v>100.0</v>
      </c>
      <c r="R332" s="949">
        <v>236.0</v>
      </c>
      <c r="S332" s="949">
        <v>299.0</v>
      </c>
      <c r="T332" s="949">
        <v>328.0</v>
      </c>
      <c r="U332" s="949"/>
      <c r="V332" s="949"/>
      <c r="W332" s="949"/>
      <c r="X332" s="949"/>
      <c r="Y332" s="949"/>
      <c r="Z332" s="949"/>
      <c r="AA332" s="949"/>
      <c r="AB332" s="949"/>
      <c r="AC332" s="949"/>
      <c r="AD332" s="949"/>
      <c r="AE332" s="949"/>
      <c r="AF332" s="949"/>
      <c r="AG332" s="949"/>
      <c r="AH332" s="949"/>
      <c r="AI332" s="949"/>
      <c r="AJ332" s="949"/>
      <c r="AK332" s="949"/>
      <c r="AL332" s="949"/>
      <c r="AM332" s="953" t="s">
        <v>1333</v>
      </c>
      <c r="AN332" s="954"/>
      <c r="AO332" s="955"/>
      <c r="AP332" s="931"/>
      <c r="AQ332" s="956"/>
      <c r="AR332" s="957"/>
      <c r="AS332" s="931"/>
    </row>
    <row r="333" ht="15.75" customHeight="1">
      <c r="A333" s="931"/>
      <c r="B333" s="941" t="s">
        <v>1812</v>
      </c>
      <c r="C333" s="942" t="s">
        <v>1813</v>
      </c>
      <c r="D333" s="942" t="s">
        <v>1813</v>
      </c>
      <c r="E333" s="943" t="s">
        <v>1813</v>
      </c>
      <c r="F333" s="935"/>
      <c r="G333" s="944"/>
      <c r="H333" s="944"/>
      <c r="I333" s="946" t="s">
        <v>1814</v>
      </c>
      <c r="J333" s="947" t="s">
        <v>708</v>
      </c>
      <c r="K333" s="954" t="s">
        <v>158</v>
      </c>
      <c r="L333" s="949">
        <v>40.0</v>
      </c>
      <c r="M333" s="949">
        <v>45.0</v>
      </c>
      <c r="N333" s="949">
        <v>35.0</v>
      </c>
      <c r="O333" s="949">
        <v>65.0</v>
      </c>
      <c r="P333" s="949">
        <v>55.0</v>
      </c>
      <c r="Q333" s="949">
        <v>70.0</v>
      </c>
      <c r="R333" s="949">
        <v>176.0</v>
      </c>
      <c r="S333" s="949">
        <v>239.0</v>
      </c>
      <c r="T333" s="949">
        <v>262.0</v>
      </c>
      <c r="U333" s="949"/>
      <c r="V333" s="949"/>
      <c r="W333" s="949"/>
      <c r="X333" s="949"/>
      <c r="Y333" s="949"/>
      <c r="Z333" s="949"/>
      <c r="AA333" s="949"/>
      <c r="AB333" s="949"/>
      <c r="AC333" s="949"/>
      <c r="AD333" s="949"/>
      <c r="AE333" s="949"/>
      <c r="AF333" s="949"/>
      <c r="AG333" s="949"/>
      <c r="AH333" s="949"/>
      <c r="AI333" s="949"/>
      <c r="AJ333" s="949"/>
      <c r="AK333" s="949"/>
      <c r="AL333" s="949"/>
      <c r="AM333" s="953" t="s">
        <v>735</v>
      </c>
      <c r="AN333" s="954"/>
      <c r="AO333" s="955" t="s">
        <v>1306</v>
      </c>
      <c r="AP333" s="931"/>
      <c r="AQ333" s="956"/>
      <c r="AR333" s="957"/>
      <c r="AS333" s="931"/>
    </row>
    <row r="334" ht="15.75" customHeight="1">
      <c r="A334" s="931"/>
      <c r="B334" s="941" t="s">
        <v>1815</v>
      </c>
      <c r="C334" s="942" t="s">
        <v>1816</v>
      </c>
      <c r="D334" s="942" t="s">
        <v>1816</v>
      </c>
      <c r="E334" s="943" t="s">
        <v>1816</v>
      </c>
      <c r="F334" s="935"/>
      <c r="G334" s="944"/>
      <c r="H334" s="944"/>
      <c r="I334" s="946" t="s">
        <v>1817</v>
      </c>
      <c r="J334" s="947" t="s">
        <v>708</v>
      </c>
      <c r="K334" s="954" t="s">
        <v>158</v>
      </c>
      <c r="L334" s="949">
        <v>50.0</v>
      </c>
      <c r="M334" s="949">
        <v>65.0</v>
      </c>
      <c r="N334" s="949">
        <v>45.0</v>
      </c>
      <c r="O334" s="949">
        <v>85.0</v>
      </c>
      <c r="P334" s="949">
        <v>65.0</v>
      </c>
      <c r="Q334" s="949">
        <v>95.0</v>
      </c>
      <c r="R334" s="949">
        <v>226.0</v>
      </c>
      <c r="S334" s="949">
        <v>289.0</v>
      </c>
      <c r="T334" s="949">
        <v>317.0</v>
      </c>
      <c r="U334" s="949"/>
      <c r="V334" s="949"/>
      <c r="W334" s="949"/>
      <c r="X334" s="949"/>
      <c r="Y334" s="949"/>
      <c r="Z334" s="949"/>
      <c r="AA334" s="949"/>
      <c r="AB334" s="949"/>
      <c r="AC334" s="949"/>
      <c r="AD334" s="949"/>
      <c r="AE334" s="949"/>
      <c r="AF334" s="949"/>
      <c r="AG334" s="949"/>
      <c r="AH334" s="949"/>
      <c r="AI334" s="949"/>
      <c r="AJ334" s="949"/>
      <c r="AK334" s="949"/>
      <c r="AL334" s="949"/>
      <c r="AM334" s="953" t="s">
        <v>735</v>
      </c>
      <c r="AN334" s="954"/>
      <c r="AO334" s="955" t="s">
        <v>1306</v>
      </c>
      <c r="AP334" s="931"/>
      <c r="AQ334" s="956"/>
      <c r="AR334" s="957"/>
      <c r="AS334" s="931"/>
    </row>
    <row r="335" ht="15.75" customHeight="1">
      <c r="A335" s="931"/>
      <c r="B335" s="941" t="s">
        <v>1818</v>
      </c>
      <c r="C335" s="942" t="s">
        <v>1819</v>
      </c>
      <c r="D335" s="942" t="s">
        <v>1819</v>
      </c>
      <c r="E335" s="943" t="s">
        <v>1819</v>
      </c>
      <c r="F335" s="935"/>
      <c r="G335" s="944"/>
      <c r="H335" s="944"/>
      <c r="I335" s="946" t="s">
        <v>1820</v>
      </c>
      <c r="J335" s="947" t="s">
        <v>708</v>
      </c>
      <c r="K335" s="954" t="s">
        <v>158</v>
      </c>
      <c r="L335" s="949">
        <v>70.0</v>
      </c>
      <c r="M335" s="949">
        <v>85.0</v>
      </c>
      <c r="N335" s="949">
        <v>65.0</v>
      </c>
      <c r="O335" s="949">
        <v>105.0</v>
      </c>
      <c r="P335" s="949">
        <v>85.0</v>
      </c>
      <c r="Q335" s="949">
        <v>120.0</v>
      </c>
      <c r="R335" s="949">
        <v>276.0</v>
      </c>
      <c r="S335" s="949">
        <v>339.0</v>
      </c>
      <c r="T335" s="949">
        <v>372.0</v>
      </c>
      <c r="U335" s="949"/>
      <c r="V335" s="949"/>
      <c r="W335" s="949"/>
      <c r="X335" s="949"/>
      <c r="Y335" s="949"/>
      <c r="Z335" s="949"/>
      <c r="AA335" s="949"/>
      <c r="AB335" s="949"/>
      <c r="AC335" s="949"/>
      <c r="AD335" s="949"/>
      <c r="AE335" s="949"/>
      <c r="AF335" s="949"/>
      <c r="AG335" s="949"/>
      <c r="AH335" s="949"/>
      <c r="AI335" s="949"/>
      <c r="AJ335" s="949"/>
      <c r="AK335" s="949"/>
      <c r="AL335" s="949"/>
      <c r="AM335" s="953" t="s">
        <v>735</v>
      </c>
      <c r="AN335" s="954"/>
      <c r="AO335" s="955" t="s">
        <v>1306</v>
      </c>
      <c r="AP335" s="931"/>
      <c r="AQ335" s="956"/>
      <c r="AR335" s="957"/>
      <c r="AS335" s="931"/>
    </row>
    <row r="336" ht="15.75" customHeight="1">
      <c r="A336" s="963"/>
      <c r="B336" s="941" t="s">
        <v>1821</v>
      </c>
      <c r="C336" s="971" t="s">
        <v>1822</v>
      </c>
      <c r="D336" s="971" t="s">
        <v>1822</v>
      </c>
      <c r="E336" s="966" t="s">
        <v>1822</v>
      </c>
      <c r="F336" s="935"/>
      <c r="G336" s="944"/>
      <c r="H336" s="944"/>
      <c r="I336" s="959" t="s">
        <v>1823</v>
      </c>
      <c r="J336" s="1002" t="s">
        <v>708</v>
      </c>
      <c r="K336" s="1005" t="s">
        <v>716</v>
      </c>
      <c r="L336" s="974">
        <v>70.0</v>
      </c>
      <c r="M336" s="974">
        <v>110.0</v>
      </c>
      <c r="N336" s="974">
        <v>75.0</v>
      </c>
      <c r="O336" s="974">
        <v>145.0</v>
      </c>
      <c r="P336" s="974">
        <v>85.0</v>
      </c>
      <c r="Q336" s="974">
        <v>145.0</v>
      </c>
      <c r="R336" s="949">
        <v>326.0</v>
      </c>
      <c r="S336" s="949">
        <v>389.0</v>
      </c>
      <c r="T336" s="949">
        <v>427.0</v>
      </c>
      <c r="U336" s="949"/>
      <c r="V336" s="949"/>
      <c r="W336" s="949"/>
      <c r="X336" s="949"/>
      <c r="Y336" s="949"/>
      <c r="Z336" s="949"/>
      <c r="AA336" s="949"/>
      <c r="AB336" s="949"/>
      <c r="AC336" s="949"/>
      <c r="AD336" s="949"/>
      <c r="AE336" s="949"/>
      <c r="AF336" s="949"/>
      <c r="AG336" s="949"/>
      <c r="AH336" s="949"/>
      <c r="AI336" s="949"/>
      <c r="AJ336" s="949"/>
      <c r="AK336" s="949"/>
      <c r="AL336" s="949"/>
      <c r="AM336" s="964" t="s">
        <v>862</v>
      </c>
      <c r="AN336" s="973"/>
      <c r="AO336" s="965"/>
      <c r="AP336" s="931"/>
      <c r="AQ336" s="956"/>
      <c r="AR336" s="957"/>
      <c r="AS336" s="931"/>
    </row>
    <row r="337" ht="15.75" customHeight="1">
      <c r="A337" s="963"/>
      <c r="B337" s="941" t="s">
        <v>1824</v>
      </c>
      <c r="C337" s="971" t="s">
        <v>1825</v>
      </c>
      <c r="D337" s="971" t="s">
        <v>1825</v>
      </c>
      <c r="E337" s="966" t="s">
        <v>1825</v>
      </c>
      <c r="F337" s="935"/>
      <c r="G337" s="944"/>
      <c r="H337" s="944"/>
      <c r="I337" s="959" t="s">
        <v>1826</v>
      </c>
      <c r="J337" s="981" t="s">
        <v>704</v>
      </c>
      <c r="K337" s="973" t="s">
        <v>158</v>
      </c>
      <c r="L337" s="974">
        <v>45.0</v>
      </c>
      <c r="M337" s="974">
        <v>60.0</v>
      </c>
      <c r="N337" s="974">
        <v>40.0</v>
      </c>
      <c r="O337" s="974">
        <v>70.0</v>
      </c>
      <c r="P337" s="974">
        <v>50.0</v>
      </c>
      <c r="Q337" s="974">
        <v>45.0</v>
      </c>
      <c r="R337" s="949">
        <v>126.0</v>
      </c>
      <c r="S337" s="949">
        <v>189.0</v>
      </c>
      <c r="T337" s="949">
        <v>207.0</v>
      </c>
      <c r="U337" s="949"/>
      <c r="V337" s="949"/>
      <c r="W337" s="949"/>
      <c r="X337" s="949"/>
      <c r="Y337" s="949"/>
      <c r="Z337" s="949"/>
      <c r="AA337" s="949"/>
      <c r="AB337" s="949"/>
      <c r="AC337" s="949"/>
      <c r="AD337" s="949"/>
      <c r="AE337" s="949"/>
      <c r="AF337" s="949"/>
      <c r="AG337" s="949"/>
      <c r="AH337" s="949"/>
      <c r="AI337" s="949"/>
      <c r="AJ337" s="949"/>
      <c r="AK337" s="949"/>
      <c r="AL337" s="949"/>
      <c r="AM337" s="964" t="s">
        <v>750</v>
      </c>
      <c r="AN337" s="973"/>
      <c r="AO337" s="965" t="s">
        <v>1626</v>
      </c>
      <c r="AP337" s="931"/>
      <c r="AQ337" s="956"/>
      <c r="AR337" s="957"/>
      <c r="AS337" s="931"/>
    </row>
    <row r="338" ht="15.75" customHeight="1">
      <c r="A338" s="931"/>
      <c r="B338" s="941" t="s">
        <v>1827</v>
      </c>
      <c r="C338" s="942" t="s">
        <v>1828</v>
      </c>
      <c r="D338" s="942" t="s">
        <v>1828</v>
      </c>
      <c r="E338" s="943" t="s">
        <v>1828</v>
      </c>
      <c r="F338" s="935"/>
      <c r="G338" s="944"/>
      <c r="H338" s="944"/>
      <c r="I338" s="946" t="s">
        <v>1829</v>
      </c>
      <c r="J338" s="958" t="s">
        <v>704</v>
      </c>
      <c r="K338" s="988" t="s">
        <v>705</v>
      </c>
      <c r="L338" s="949">
        <v>60.0</v>
      </c>
      <c r="M338" s="949">
        <v>85.0</v>
      </c>
      <c r="N338" s="949">
        <v>60.0</v>
      </c>
      <c r="O338" s="949">
        <v>85.0</v>
      </c>
      <c r="P338" s="949">
        <v>60.0</v>
      </c>
      <c r="Q338" s="949">
        <v>55.0</v>
      </c>
      <c r="R338" s="949">
        <v>146.0</v>
      </c>
      <c r="S338" s="949">
        <v>209.0</v>
      </c>
      <c r="T338" s="949">
        <v>229.0</v>
      </c>
      <c r="U338" s="949"/>
      <c r="V338" s="949"/>
      <c r="W338" s="949"/>
      <c r="X338" s="949"/>
      <c r="Y338" s="949"/>
      <c r="Z338" s="949"/>
      <c r="AA338" s="949"/>
      <c r="AB338" s="949"/>
      <c r="AC338" s="949"/>
      <c r="AD338" s="949"/>
      <c r="AE338" s="949"/>
      <c r="AF338" s="949"/>
      <c r="AG338" s="949"/>
      <c r="AH338" s="949"/>
      <c r="AI338" s="949"/>
      <c r="AJ338" s="949"/>
      <c r="AK338" s="949"/>
      <c r="AL338" s="949"/>
      <c r="AM338" s="953" t="s">
        <v>750</v>
      </c>
      <c r="AN338" s="954"/>
      <c r="AO338" s="955" t="s">
        <v>1626</v>
      </c>
      <c r="AP338" s="931"/>
      <c r="AQ338" s="956"/>
      <c r="AR338" s="957"/>
      <c r="AS338" s="931"/>
    </row>
    <row r="339" ht="15.75" customHeight="1">
      <c r="A339" s="931"/>
      <c r="B339" s="941" t="s">
        <v>1830</v>
      </c>
      <c r="C339" s="942" t="s">
        <v>1831</v>
      </c>
      <c r="D339" s="942" t="s">
        <v>1831</v>
      </c>
      <c r="E339" s="943" t="s">
        <v>1831</v>
      </c>
      <c r="F339" s="935"/>
      <c r="G339" s="944"/>
      <c r="H339" s="944"/>
      <c r="I339" s="946" t="s">
        <v>1832</v>
      </c>
      <c r="J339" s="958" t="s">
        <v>704</v>
      </c>
      <c r="K339" s="988" t="s">
        <v>705</v>
      </c>
      <c r="L339" s="949">
        <v>80.0</v>
      </c>
      <c r="M339" s="949">
        <v>120.0</v>
      </c>
      <c r="N339" s="949">
        <v>70.0</v>
      </c>
      <c r="O339" s="949">
        <v>110.0</v>
      </c>
      <c r="P339" s="949">
        <v>70.0</v>
      </c>
      <c r="Q339" s="949">
        <v>80.0</v>
      </c>
      <c r="R339" s="949">
        <v>196.0</v>
      </c>
      <c r="S339" s="949">
        <v>259.0</v>
      </c>
      <c r="T339" s="949">
        <v>284.0</v>
      </c>
      <c r="U339" s="949"/>
      <c r="V339" s="949"/>
      <c r="W339" s="949"/>
      <c r="X339" s="949"/>
      <c r="Y339" s="949"/>
      <c r="Z339" s="949"/>
      <c r="AA339" s="949"/>
      <c r="AB339" s="949"/>
      <c r="AC339" s="949"/>
      <c r="AD339" s="949"/>
      <c r="AE339" s="949"/>
      <c r="AF339" s="949"/>
      <c r="AG339" s="949"/>
      <c r="AH339" s="949"/>
      <c r="AI339" s="949"/>
      <c r="AJ339" s="949"/>
      <c r="AK339" s="949"/>
      <c r="AL339" s="949"/>
      <c r="AM339" s="953" t="s">
        <v>750</v>
      </c>
      <c r="AN339" s="954"/>
      <c r="AO339" s="955" t="s">
        <v>1626</v>
      </c>
      <c r="AP339" s="931"/>
      <c r="AQ339" s="956"/>
      <c r="AR339" s="957"/>
      <c r="AS339" s="931"/>
    </row>
    <row r="340" ht="15.75" customHeight="1">
      <c r="A340" s="931"/>
      <c r="B340" s="941" t="s">
        <v>1833</v>
      </c>
      <c r="C340" s="942" t="s">
        <v>1834</v>
      </c>
      <c r="D340" s="942" t="s">
        <v>1834</v>
      </c>
      <c r="E340" s="943" t="s">
        <v>1834</v>
      </c>
      <c r="F340" s="935"/>
      <c r="G340" s="944"/>
      <c r="H340" s="944"/>
      <c r="I340" s="946" t="s">
        <v>1835</v>
      </c>
      <c r="J340" s="958" t="s">
        <v>704</v>
      </c>
      <c r="K340" s="988" t="s">
        <v>705</v>
      </c>
      <c r="L340" s="949">
        <v>80.0</v>
      </c>
      <c r="M340" s="949">
        <v>160.0</v>
      </c>
      <c r="N340" s="949">
        <v>80.0</v>
      </c>
      <c r="O340" s="949">
        <v>130.0</v>
      </c>
      <c r="P340" s="949">
        <v>80.0</v>
      </c>
      <c r="Q340" s="949">
        <v>100.0</v>
      </c>
      <c r="R340" s="949">
        <v>236.0</v>
      </c>
      <c r="S340" s="949">
        <v>299.0</v>
      </c>
      <c r="T340" s="949">
        <v>328.0</v>
      </c>
      <c r="U340" s="949"/>
      <c r="V340" s="949"/>
      <c r="W340" s="949"/>
      <c r="X340" s="949"/>
      <c r="Y340" s="949"/>
      <c r="Z340" s="949"/>
      <c r="AA340" s="949"/>
      <c r="AB340" s="949"/>
      <c r="AC340" s="949"/>
      <c r="AD340" s="949"/>
      <c r="AE340" s="949"/>
      <c r="AF340" s="949"/>
      <c r="AG340" s="949"/>
      <c r="AH340" s="949"/>
      <c r="AI340" s="949"/>
      <c r="AJ340" s="949"/>
      <c r="AK340" s="949"/>
      <c r="AL340" s="949"/>
      <c r="AM340" s="953" t="s">
        <v>1626</v>
      </c>
      <c r="AN340" s="954"/>
      <c r="AO340" s="955"/>
      <c r="AP340" s="931"/>
      <c r="AQ340" s="956"/>
      <c r="AR340" s="957"/>
      <c r="AS340" s="931"/>
    </row>
    <row r="341" ht="15.75" customHeight="1">
      <c r="A341" s="963"/>
      <c r="B341" s="941" t="s">
        <v>1836</v>
      </c>
      <c r="C341" s="971" t="s">
        <v>1837</v>
      </c>
      <c r="D341" s="971" t="s">
        <v>1837</v>
      </c>
      <c r="E341" s="966" t="s">
        <v>1837</v>
      </c>
      <c r="F341" s="935"/>
      <c r="G341" s="944"/>
      <c r="H341" s="944"/>
      <c r="I341" s="959" t="s">
        <v>1838</v>
      </c>
      <c r="J341" s="986" t="s">
        <v>706</v>
      </c>
      <c r="K341" s="973" t="s">
        <v>158</v>
      </c>
      <c r="L341" s="974">
        <v>50.0</v>
      </c>
      <c r="M341" s="974">
        <v>70.0</v>
      </c>
      <c r="N341" s="974">
        <v>50.0</v>
      </c>
      <c r="O341" s="974">
        <v>50.0</v>
      </c>
      <c r="P341" s="974">
        <v>50.0</v>
      </c>
      <c r="Q341" s="974">
        <v>40.0</v>
      </c>
      <c r="R341" s="949">
        <v>116.0</v>
      </c>
      <c r="S341" s="949">
        <v>179.0</v>
      </c>
      <c r="T341" s="949">
        <v>196.0</v>
      </c>
      <c r="U341" s="949"/>
      <c r="V341" s="949"/>
      <c r="W341" s="949"/>
      <c r="X341" s="949"/>
      <c r="Y341" s="949"/>
      <c r="Z341" s="949"/>
      <c r="AA341" s="949"/>
      <c r="AB341" s="949"/>
      <c r="AC341" s="949"/>
      <c r="AD341" s="949"/>
      <c r="AE341" s="949"/>
      <c r="AF341" s="949"/>
      <c r="AG341" s="949"/>
      <c r="AH341" s="949"/>
      <c r="AI341" s="949"/>
      <c r="AJ341" s="949"/>
      <c r="AK341" s="949"/>
      <c r="AL341" s="949"/>
      <c r="AM341" s="964" t="s">
        <v>771</v>
      </c>
      <c r="AN341" s="973"/>
      <c r="AO341" s="965" t="s">
        <v>1014</v>
      </c>
      <c r="AP341" s="931"/>
      <c r="AQ341" s="956"/>
      <c r="AR341" s="957"/>
      <c r="AS341" s="931"/>
    </row>
    <row r="342" ht="15.75" customHeight="1">
      <c r="A342" s="963"/>
      <c r="B342" s="941" t="s">
        <v>1839</v>
      </c>
      <c r="C342" s="942" t="s">
        <v>1840</v>
      </c>
      <c r="D342" s="942" t="s">
        <v>1840</v>
      </c>
      <c r="E342" s="943" t="s">
        <v>1840</v>
      </c>
      <c r="F342" s="935"/>
      <c r="G342" s="944"/>
      <c r="H342" s="944"/>
      <c r="I342" s="946" t="s">
        <v>1841</v>
      </c>
      <c r="J342" s="962" t="s">
        <v>706</v>
      </c>
      <c r="K342" s="976" t="s">
        <v>711</v>
      </c>
      <c r="L342" s="949">
        <v>70.0</v>
      </c>
      <c r="M342" s="949">
        <v>85.0</v>
      </c>
      <c r="N342" s="949">
        <v>70.0</v>
      </c>
      <c r="O342" s="949">
        <v>60.0</v>
      </c>
      <c r="P342" s="949">
        <v>70.0</v>
      </c>
      <c r="Q342" s="949">
        <v>50.0</v>
      </c>
      <c r="R342" s="949">
        <v>136.0</v>
      </c>
      <c r="S342" s="949">
        <v>199.0</v>
      </c>
      <c r="T342" s="949">
        <v>218.0</v>
      </c>
      <c r="U342" s="949"/>
      <c r="V342" s="949"/>
      <c r="W342" s="949"/>
      <c r="X342" s="949"/>
      <c r="Y342" s="949"/>
      <c r="Z342" s="949"/>
      <c r="AA342" s="949"/>
      <c r="AB342" s="949"/>
      <c r="AC342" s="949"/>
      <c r="AD342" s="949"/>
      <c r="AE342" s="949"/>
      <c r="AF342" s="949"/>
      <c r="AG342" s="949"/>
      <c r="AH342" s="949"/>
      <c r="AI342" s="949"/>
      <c r="AJ342" s="949"/>
      <c r="AK342" s="949"/>
      <c r="AL342" s="949"/>
      <c r="AM342" s="964" t="s">
        <v>771</v>
      </c>
      <c r="AN342" s="973"/>
      <c r="AO342" s="965" t="s">
        <v>1014</v>
      </c>
      <c r="AP342" s="931"/>
      <c r="AQ342" s="956"/>
      <c r="AR342" s="957"/>
      <c r="AS342" s="931"/>
    </row>
    <row r="343" ht="15.75" customHeight="1">
      <c r="A343" s="931"/>
      <c r="B343" s="941" t="s">
        <v>1842</v>
      </c>
      <c r="C343" s="942" t="s">
        <v>1843</v>
      </c>
      <c r="D343" s="942" t="s">
        <v>1843</v>
      </c>
      <c r="E343" s="943" t="s">
        <v>1843</v>
      </c>
      <c r="F343" s="935"/>
      <c r="G343" s="944"/>
      <c r="H343" s="944"/>
      <c r="I343" s="946" t="s">
        <v>1844</v>
      </c>
      <c r="J343" s="962" t="s">
        <v>706</v>
      </c>
      <c r="K343" s="976" t="s">
        <v>711</v>
      </c>
      <c r="L343" s="949">
        <v>100.0</v>
      </c>
      <c r="M343" s="949">
        <v>110.0</v>
      </c>
      <c r="N343" s="949">
        <v>90.0</v>
      </c>
      <c r="O343" s="949">
        <v>85.0</v>
      </c>
      <c r="P343" s="949">
        <v>90.0</v>
      </c>
      <c r="Q343" s="949">
        <v>60.0</v>
      </c>
      <c r="R343" s="949">
        <v>156.0</v>
      </c>
      <c r="S343" s="949">
        <v>219.0</v>
      </c>
      <c r="T343" s="949">
        <v>240.0</v>
      </c>
      <c r="U343" s="949"/>
      <c r="V343" s="949"/>
      <c r="W343" s="949"/>
      <c r="X343" s="949"/>
      <c r="Y343" s="949"/>
      <c r="Z343" s="949"/>
      <c r="AA343" s="949"/>
      <c r="AB343" s="949"/>
      <c r="AC343" s="949"/>
      <c r="AD343" s="949"/>
      <c r="AE343" s="949"/>
      <c r="AF343" s="949"/>
      <c r="AG343" s="949"/>
      <c r="AH343" s="949"/>
      <c r="AI343" s="949"/>
      <c r="AJ343" s="949"/>
      <c r="AK343" s="949"/>
      <c r="AL343" s="949"/>
      <c r="AM343" s="953" t="s">
        <v>771</v>
      </c>
      <c r="AN343" s="954"/>
      <c r="AO343" s="955" t="s">
        <v>1014</v>
      </c>
      <c r="AP343" s="931"/>
      <c r="AQ343" s="956"/>
      <c r="AR343" s="957"/>
      <c r="AS343" s="931"/>
    </row>
    <row r="344" ht="15.75" customHeight="1">
      <c r="A344" s="931"/>
      <c r="B344" s="941" t="s">
        <v>1845</v>
      </c>
      <c r="C344" s="942" t="s">
        <v>1846</v>
      </c>
      <c r="D344" s="942" t="s">
        <v>1846</v>
      </c>
      <c r="E344" s="943" t="s">
        <v>1846</v>
      </c>
      <c r="F344" s="935"/>
      <c r="G344" s="944"/>
      <c r="H344" s="944"/>
      <c r="I344" s="946" t="s">
        <v>1847</v>
      </c>
      <c r="J344" s="962" t="s">
        <v>706</v>
      </c>
      <c r="K344" s="976" t="s">
        <v>711</v>
      </c>
      <c r="L344" s="949">
        <v>100.0</v>
      </c>
      <c r="M344" s="949">
        <v>150.0</v>
      </c>
      <c r="N344" s="949">
        <v>110.0</v>
      </c>
      <c r="O344" s="949">
        <v>95.0</v>
      </c>
      <c r="P344" s="949">
        <v>110.0</v>
      </c>
      <c r="Q344" s="949">
        <v>70.0</v>
      </c>
      <c r="R344" s="949">
        <v>176.0</v>
      </c>
      <c r="S344" s="949">
        <v>239.0</v>
      </c>
      <c r="T344" s="949">
        <v>262.0</v>
      </c>
      <c r="U344" s="949"/>
      <c r="V344" s="949"/>
      <c r="W344" s="949"/>
      <c r="X344" s="949"/>
      <c r="Y344" s="949"/>
      <c r="Z344" s="949"/>
      <c r="AA344" s="949"/>
      <c r="AB344" s="949"/>
      <c r="AC344" s="949"/>
      <c r="AD344" s="949"/>
      <c r="AE344" s="949"/>
      <c r="AF344" s="949"/>
      <c r="AG344" s="949"/>
      <c r="AH344" s="949"/>
      <c r="AI344" s="949"/>
      <c r="AJ344" s="949"/>
      <c r="AK344" s="949"/>
      <c r="AL344" s="949"/>
      <c r="AM344" s="953" t="s">
        <v>1062</v>
      </c>
      <c r="AN344" s="954"/>
      <c r="AO344" s="955"/>
      <c r="AP344" s="931"/>
      <c r="AQ344" s="956"/>
      <c r="AR344" s="957"/>
      <c r="AS344" s="931"/>
    </row>
    <row r="345" ht="15.75" customHeight="1">
      <c r="A345" s="931"/>
      <c r="B345" s="941" t="s">
        <v>1848</v>
      </c>
      <c r="C345" s="942" t="s">
        <v>1849</v>
      </c>
      <c r="D345" s="942" t="s">
        <v>1849</v>
      </c>
      <c r="E345" s="943" t="s">
        <v>1849</v>
      </c>
      <c r="F345" s="935"/>
      <c r="G345" s="944"/>
      <c r="H345" s="944"/>
      <c r="I345" s="946" t="s">
        <v>1850</v>
      </c>
      <c r="J345" s="969" t="s">
        <v>718</v>
      </c>
      <c r="K345" s="954" t="s">
        <v>158</v>
      </c>
      <c r="L345" s="949">
        <v>35.0</v>
      </c>
      <c r="M345" s="949">
        <v>55.0</v>
      </c>
      <c r="N345" s="949">
        <v>35.0</v>
      </c>
      <c r="O345" s="949">
        <v>30.0</v>
      </c>
      <c r="P345" s="949">
        <v>30.0</v>
      </c>
      <c r="Q345" s="949">
        <v>35.0</v>
      </c>
      <c r="R345" s="949">
        <v>106.0</v>
      </c>
      <c r="S345" s="949">
        <v>169.0</v>
      </c>
      <c r="T345" s="949">
        <v>185.0</v>
      </c>
      <c r="U345" s="949"/>
      <c r="V345" s="949"/>
      <c r="W345" s="949"/>
      <c r="X345" s="949"/>
      <c r="Y345" s="949"/>
      <c r="Z345" s="949"/>
      <c r="AA345" s="949"/>
      <c r="AB345" s="949"/>
      <c r="AC345" s="949"/>
      <c r="AD345" s="949"/>
      <c r="AE345" s="949"/>
      <c r="AF345" s="949"/>
      <c r="AG345" s="949"/>
      <c r="AH345" s="949"/>
      <c r="AI345" s="949"/>
      <c r="AJ345" s="949"/>
      <c r="AK345" s="949"/>
      <c r="AL345" s="949"/>
      <c r="AM345" s="953" t="s">
        <v>787</v>
      </c>
      <c r="AN345" s="954" t="s">
        <v>1429</v>
      </c>
      <c r="AO345" s="955" t="s">
        <v>1046</v>
      </c>
      <c r="AP345" s="931"/>
      <c r="AQ345" s="956"/>
      <c r="AR345" s="957"/>
      <c r="AS345" s="931"/>
    </row>
    <row r="346" ht="15.75" customHeight="1">
      <c r="A346" s="963"/>
      <c r="B346" s="941" t="s">
        <v>1851</v>
      </c>
      <c r="C346" s="971" t="s">
        <v>1852</v>
      </c>
      <c r="D346" s="971" t="s">
        <v>1852</v>
      </c>
      <c r="E346" s="966" t="s">
        <v>1852</v>
      </c>
      <c r="F346" s="935"/>
      <c r="G346" s="944"/>
      <c r="H346" s="944"/>
      <c r="I346" s="959" t="s">
        <v>1853</v>
      </c>
      <c r="J346" s="1003" t="s">
        <v>718</v>
      </c>
      <c r="K346" s="973" t="s">
        <v>158</v>
      </c>
      <c r="L346" s="974">
        <v>70.0</v>
      </c>
      <c r="M346" s="974">
        <v>90.0</v>
      </c>
      <c r="N346" s="974">
        <v>70.0</v>
      </c>
      <c r="O346" s="974">
        <v>60.0</v>
      </c>
      <c r="P346" s="974">
        <v>60.0</v>
      </c>
      <c r="Q346" s="974">
        <v>70.0</v>
      </c>
      <c r="R346" s="949">
        <v>176.0</v>
      </c>
      <c r="S346" s="949">
        <v>239.0</v>
      </c>
      <c r="T346" s="949">
        <v>262.0</v>
      </c>
      <c r="U346" s="949"/>
      <c r="V346" s="949"/>
      <c r="W346" s="949"/>
      <c r="X346" s="949"/>
      <c r="Y346" s="949"/>
      <c r="Z346" s="949"/>
      <c r="AA346" s="949"/>
      <c r="AB346" s="949"/>
      <c r="AC346" s="949"/>
      <c r="AD346" s="949"/>
      <c r="AE346" s="949"/>
      <c r="AF346" s="949"/>
      <c r="AG346" s="949"/>
      <c r="AH346" s="949"/>
      <c r="AI346" s="949"/>
      <c r="AJ346" s="949"/>
      <c r="AK346" s="949"/>
      <c r="AL346" s="949"/>
      <c r="AM346" s="964" t="s">
        <v>854</v>
      </c>
      <c r="AN346" s="973" t="s">
        <v>1429</v>
      </c>
      <c r="AO346" s="965" t="s">
        <v>1392</v>
      </c>
      <c r="AP346" s="931"/>
      <c r="AQ346" s="956"/>
      <c r="AR346" s="957"/>
      <c r="AS346" s="931"/>
    </row>
    <row r="347" ht="15.75" customHeight="1">
      <c r="A347" s="931"/>
      <c r="B347" s="941" t="s">
        <v>1854</v>
      </c>
      <c r="C347" s="942" t="s">
        <v>1855</v>
      </c>
      <c r="D347" s="942" t="s">
        <v>1855</v>
      </c>
      <c r="E347" s="943" t="s">
        <v>1855</v>
      </c>
      <c r="F347" s="935"/>
      <c r="G347" s="944"/>
      <c r="H347" s="944"/>
      <c r="I347" s="946" t="s">
        <v>1856</v>
      </c>
      <c r="J347" s="968" t="s">
        <v>703</v>
      </c>
      <c r="K347" s="954" t="s">
        <v>158</v>
      </c>
      <c r="L347" s="949">
        <v>38.0</v>
      </c>
      <c r="M347" s="949">
        <v>30.0</v>
      </c>
      <c r="N347" s="949">
        <v>41.0</v>
      </c>
      <c r="O347" s="949">
        <v>30.0</v>
      </c>
      <c r="P347" s="949">
        <v>41.0</v>
      </c>
      <c r="Q347" s="949">
        <v>60.0</v>
      </c>
      <c r="R347" s="949">
        <v>156.0</v>
      </c>
      <c r="S347" s="949">
        <v>219.0</v>
      </c>
      <c r="T347" s="949">
        <v>240.0</v>
      </c>
      <c r="U347" s="949"/>
      <c r="V347" s="949"/>
      <c r="W347" s="949"/>
      <c r="X347" s="949"/>
      <c r="Y347" s="949"/>
      <c r="Z347" s="949"/>
      <c r="AA347" s="949"/>
      <c r="AB347" s="949"/>
      <c r="AC347" s="949"/>
      <c r="AD347" s="949"/>
      <c r="AE347" s="949"/>
      <c r="AF347" s="949"/>
      <c r="AG347" s="949"/>
      <c r="AH347" s="949"/>
      <c r="AI347" s="949"/>
      <c r="AJ347" s="949"/>
      <c r="AK347" s="949"/>
      <c r="AL347" s="949"/>
      <c r="AM347" s="953" t="s">
        <v>1040</v>
      </c>
      <c r="AN347" s="954" t="s">
        <v>837</v>
      </c>
      <c r="AO347" s="955" t="s">
        <v>1429</v>
      </c>
      <c r="AP347" s="931"/>
      <c r="AQ347" s="956"/>
      <c r="AR347" s="957"/>
      <c r="AS347" s="931"/>
    </row>
    <row r="348" ht="15.75" customHeight="1">
      <c r="A348" s="931"/>
      <c r="B348" s="941" t="s">
        <v>1857</v>
      </c>
      <c r="C348" s="942" t="s">
        <v>1858</v>
      </c>
      <c r="D348" s="942" t="s">
        <v>1858</v>
      </c>
      <c r="E348" s="943" t="s">
        <v>1859</v>
      </c>
      <c r="F348" s="935"/>
      <c r="G348" s="944"/>
      <c r="H348" s="944"/>
      <c r="I348" s="959" t="s">
        <v>1860</v>
      </c>
      <c r="J348" s="969" t="s">
        <v>718</v>
      </c>
      <c r="K348" s="968" t="s">
        <v>703</v>
      </c>
      <c r="L348" s="949">
        <v>38.0</v>
      </c>
      <c r="M348" s="949">
        <v>30.0</v>
      </c>
      <c r="N348" s="949">
        <v>41.0</v>
      </c>
      <c r="O348" s="949">
        <v>30.0</v>
      </c>
      <c r="P348" s="949">
        <v>41.0</v>
      </c>
      <c r="Q348" s="949">
        <v>60.0</v>
      </c>
      <c r="R348" s="949">
        <v>156.0</v>
      </c>
      <c r="S348" s="949">
        <v>219.0</v>
      </c>
      <c r="T348" s="949">
        <v>240.0</v>
      </c>
      <c r="U348" s="949"/>
      <c r="V348" s="949"/>
      <c r="W348" s="949"/>
      <c r="X348" s="949"/>
      <c r="Y348" s="949"/>
      <c r="Z348" s="949"/>
      <c r="AA348" s="949"/>
      <c r="AB348" s="949"/>
      <c r="AC348" s="949"/>
      <c r="AD348" s="949"/>
      <c r="AE348" s="949"/>
      <c r="AF348" s="949"/>
      <c r="AG348" s="949"/>
      <c r="AH348" s="949"/>
      <c r="AI348" s="949"/>
      <c r="AJ348" s="949"/>
      <c r="AK348" s="949"/>
      <c r="AL348" s="949"/>
      <c r="AM348" s="953" t="s">
        <v>1040</v>
      </c>
      <c r="AN348" s="954" t="s">
        <v>837</v>
      </c>
      <c r="AO348" s="955" t="s">
        <v>1429</v>
      </c>
      <c r="AP348" s="931"/>
      <c r="AQ348" s="956"/>
      <c r="AR348" s="957"/>
      <c r="AS348" s="931"/>
    </row>
    <row r="349" ht="15.75" customHeight="1">
      <c r="A349" s="931"/>
      <c r="B349" s="941" t="s">
        <v>1861</v>
      </c>
      <c r="C349" s="942" t="s">
        <v>1862</v>
      </c>
      <c r="D349" s="942" t="s">
        <v>1862</v>
      </c>
      <c r="E349" s="943" t="s">
        <v>1862</v>
      </c>
      <c r="F349" s="935"/>
      <c r="G349" s="944"/>
      <c r="H349" s="944"/>
      <c r="I349" s="946" t="s">
        <v>1863</v>
      </c>
      <c r="J349" s="968" t="s">
        <v>703</v>
      </c>
      <c r="K349" s="954" t="s">
        <v>158</v>
      </c>
      <c r="L349" s="949">
        <v>78.0</v>
      </c>
      <c r="M349" s="949">
        <v>70.0</v>
      </c>
      <c r="N349" s="949">
        <v>61.0</v>
      </c>
      <c r="O349" s="949">
        <v>50.0</v>
      </c>
      <c r="P349" s="949">
        <v>61.0</v>
      </c>
      <c r="Q349" s="949">
        <v>100.0</v>
      </c>
      <c r="R349" s="949">
        <v>236.0</v>
      </c>
      <c r="S349" s="949">
        <v>299.0</v>
      </c>
      <c r="T349" s="949">
        <v>328.0</v>
      </c>
      <c r="U349" s="949"/>
      <c r="V349" s="949"/>
      <c r="W349" s="949"/>
      <c r="X349" s="949"/>
      <c r="Y349" s="949"/>
      <c r="Z349" s="949"/>
      <c r="AA349" s="949"/>
      <c r="AB349" s="949"/>
      <c r="AC349" s="949"/>
      <c r="AD349" s="949"/>
      <c r="AE349" s="949"/>
      <c r="AF349" s="949"/>
      <c r="AG349" s="949"/>
      <c r="AH349" s="949"/>
      <c r="AI349" s="949"/>
      <c r="AJ349" s="949"/>
      <c r="AK349" s="949"/>
      <c r="AL349" s="949"/>
      <c r="AM349" s="953" t="s">
        <v>1040</v>
      </c>
      <c r="AN349" s="954" t="s">
        <v>837</v>
      </c>
      <c r="AO349" s="955" t="s">
        <v>1429</v>
      </c>
      <c r="AP349" s="931"/>
      <c r="AQ349" s="956"/>
      <c r="AR349" s="957"/>
      <c r="AS349" s="931"/>
    </row>
    <row r="350" ht="15.75" customHeight="1">
      <c r="A350" s="963"/>
      <c r="B350" s="941" t="s">
        <v>1864</v>
      </c>
      <c r="C350" s="971" t="s">
        <v>1865</v>
      </c>
      <c r="D350" s="971" t="s">
        <v>1865</v>
      </c>
      <c r="E350" s="966" t="s">
        <v>1866</v>
      </c>
      <c r="F350" s="935"/>
      <c r="G350" s="944"/>
      <c r="H350" s="944"/>
      <c r="I350" s="959" t="s">
        <v>1867</v>
      </c>
      <c r="J350" s="1003" t="s">
        <v>718</v>
      </c>
      <c r="K350" s="991" t="s">
        <v>703</v>
      </c>
      <c r="L350" s="974">
        <v>78.0</v>
      </c>
      <c r="M350" s="974">
        <v>70.0</v>
      </c>
      <c r="N350" s="974">
        <v>61.0</v>
      </c>
      <c r="O350" s="974">
        <v>50.0</v>
      </c>
      <c r="P350" s="974">
        <v>61.0</v>
      </c>
      <c r="Q350" s="974">
        <v>100.0</v>
      </c>
      <c r="R350" s="949">
        <v>236.0</v>
      </c>
      <c r="S350" s="949">
        <v>299.0</v>
      </c>
      <c r="T350" s="949">
        <v>328.0</v>
      </c>
      <c r="U350" s="949"/>
      <c r="V350" s="949"/>
      <c r="W350" s="949"/>
      <c r="X350" s="949"/>
      <c r="Y350" s="949"/>
      <c r="Z350" s="949"/>
      <c r="AA350" s="949"/>
      <c r="AB350" s="949"/>
      <c r="AC350" s="949"/>
      <c r="AD350" s="949"/>
      <c r="AE350" s="949"/>
      <c r="AF350" s="949"/>
      <c r="AG350" s="949"/>
      <c r="AH350" s="949"/>
      <c r="AI350" s="949"/>
      <c r="AJ350" s="949"/>
      <c r="AK350" s="949"/>
      <c r="AL350" s="949"/>
      <c r="AM350" s="964" t="s">
        <v>1040</v>
      </c>
      <c r="AN350" s="954" t="s">
        <v>837</v>
      </c>
      <c r="AO350" s="965" t="s">
        <v>1429</v>
      </c>
      <c r="AP350" s="931"/>
      <c r="AQ350" s="956"/>
      <c r="AR350" s="957"/>
      <c r="AS350" s="931"/>
    </row>
    <row r="351" ht="15.75" customHeight="1">
      <c r="A351" s="931"/>
      <c r="B351" s="941" t="s">
        <v>1868</v>
      </c>
      <c r="C351" s="942" t="s">
        <v>1869</v>
      </c>
      <c r="D351" s="942" t="s">
        <v>1869</v>
      </c>
      <c r="E351" s="943" t="s">
        <v>1869</v>
      </c>
      <c r="F351" s="935"/>
      <c r="G351" s="944"/>
      <c r="H351" s="944"/>
      <c r="I351" s="946" t="s">
        <v>1870</v>
      </c>
      <c r="J351" s="967" t="s">
        <v>715</v>
      </c>
      <c r="K351" s="954" t="s">
        <v>158</v>
      </c>
      <c r="L351" s="949">
        <v>45.0</v>
      </c>
      <c r="M351" s="949">
        <v>45.0</v>
      </c>
      <c r="N351" s="949">
        <v>35.0</v>
      </c>
      <c r="O351" s="949">
        <v>20.0</v>
      </c>
      <c r="P351" s="949">
        <v>30.0</v>
      </c>
      <c r="Q351" s="949">
        <v>20.0</v>
      </c>
      <c r="R351" s="949">
        <v>76.0</v>
      </c>
      <c r="S351" s="949">
        <v>139.0</v>
      </c>
      <c r="T351" s="949">
        <v>152.0</v>
      </c>
      <c r="U351" s="949"/>
      <c r="V351" s="949"/>
      <c r="W351" s="949"/>
      <c r="X351" s="949"/>
      <c r="Y351" s="949"/>
      <c r="Z351" s="949"/>
      <c r="AA351" s="949"/>
      <c r="AB351" s="949"/>
      <c r="AC351" s="949"/>
      <c r="AD351" s="949"/>
      <c r="AE351" s="949"/>
      <c r="AF351" s="949"/>
      <c r="AG351" s="949"/>
      <c r="AH351" s="949"/>
      <c r="AI351" s="949"/>
      <c r="AJ351" s="949"/>
      <c r="AK351" s="949"/>
      <c r="AL351" s="949"/>
      <c r="AM351" s="953" t="s">
        <v>786</v>
      </c>
      <c r="AN351" s="954"/>
      <c r="AO351" s="955" t="s">
        <v>787</v>
      </c>
      <c r="AP351" s="931"/>
      <c r="AQ351" s="956"/>
      <c r="AR351" s="957"/>
      <c r="AS351" s="931"/>
    </row>
    <row r="352" ht="15.75" customHeight="1">
      <c r="A352" s="963"/>
      <c r="B352" s="941" t="s">
        <v>1871</v>
      </c>
      <c r="C352" s="971" t="s">
        <v>1872</v>
      </c>
      <c r="D352" s="971" t="s">
        <v>1872</v>
      </c>
      <c r="E352" s="966" t="s">
        <v>1872</v>
      </c>
      <c r="F352" s="935"/>
      <c r="G352" s="944"/>
      <c r="H352" s="944"/>
      <c r="I352" s="959" t="s">
        <v>1873</v>
      </c>
      <c r="J352" s="999" t="s">
        <v>715</v>
      </c>
      <c r="K352" s="973" t="s">
        <v>158</v>
      </c>
      <c r="L352" s="974">
        <v>50.0</v>
      </c>
      <c r="M352" s="974">
        <v>35.0</v>
      </c>
      <c r="N352" s="974">
        <v>55.0</v>
      </c>
      <c r="O352" s="974">
        <v>25.0</v>
      </c>
      <c r="P352" s="974">
        <v>25.0</v>
      </c>
      <c r="Q352" s="974">
        <v>15.0</v>
      </c>
      <c r="R352" s="949">
        <v>66.0</v>
      </c>
      <c r="S352" s="949">
        <v>129.0</v>
      </c>
      <c r="T352" s="949">
        <v>141.0</v>
      </c>
      <c r="U352" s="949"/>
      <c r="V352" s="949"/>
      <c r="W352" s="949"/>
      <c r="X352" s="949"/>
      <c r="Y352" s="949"/>
      <c r="Z352" s="949"/>
      <c r="AA352" s="949"/>
      <c r="AB352" s="949"/>
      <c r="AC352" s="949"/>
      <c r="AD352" s="949"/>
      <c r="AE352" s="949"/>
      <c r="AF352" s="949"/>
      <c r="AG352" s="949"/>
      <c r="AH352" s="949"/>
      <c r="AI352" s="949"/>
      <c r="AJ352" s="949"/>
      <c r="AK352" s="949"/>
      <c r="AL352" s="949"/>
      <c r="AM352" s="964" t="s">
        <v>791</v>
      </c>
      <c r="AN352" s="954"/>
      <c r="AO352" s="955"/>
      <c r="AP352" s="931"/>
      <c r="AQ352" s="956"/>
      <c r="AR352" s="957"/>
      <c r="AS352" s="931"/>
    </row>
    <row r="353" ht="15.75" customHeight="1">
      <c r="A353" s="931"/>
      <c r="B353" s="941" t="s">
        <v>1874</v>
      </c>
      <c r="C353" s="942" t="s">
        <v>1875</v>
      </c>
      <c r="D353" s="942" t="s">
        <v>1875</v>
      </c>
      <c r="E353" s="943" t="s">
        <v>1875</v>
      </c>
      <c r="F353" s="935"/>
      <c r="G353" s="944"/>
      <c r="H353" s="944"/>
      <c r="I353" s="946" t="s">
        <v>1876</v>
      </c>
      <c r="J353" s="967" t="s">
        <v>715</v>
      </c>
      <c r="K353" s="960" t="s">
        <v>707</v>
      </c>
      <c r="L353" s="949">
        <v>60.0</v>
      </c>
      <c r="M353" s="949">
        <v>70.0</v>
      </c>
      <c r="N353" s="949">
        <v>50.0</v>
      </c>
      <c r="O353" s="949">
        <v>100.0</v>
      </c>
      <c r="P353" s="949">
        <v>50.0</v>
      </c>
      <c r="Q353" s="949">
        <v>65.0</v>
      </c>
      <c r="R353" s="949">
        <v>166.0</v>
      </c>
      <c r="S353" s="949">
        <v>229.0</v>
      </c>
      <c r="T353" s="949">
        <v>251.0</v>
      </c>
      <c r="U353" s="949"/>
      <c r="V353" s="949"/>
      <c r="W353" s="949"/>
      <c r="X353" s="949"/>
      <c r="Y353" s="949"/>
      <c r="Z353" s="949"/>
      <c r="AA353" s="949"/>
      <c r="AB353" s="949"/>
      <c r="AC353" s="949"/>
      <c r="AD353" s="949"/>
      <c r="AE353" s="949"/>
      <c r="AF353" s="949"/>
      <c r="AG353" s="949"/>
      <c r="AH353" s="949"/>
      <c r="AI353" s="949"/>
      <c r="AJ353" s="949"/>
      <c r="AK353" s="949"/>
      <c r="AL353" s="949"/>
      <c r="AM353" s="953" t="s">
        <v>806</v>
      </c>
      <c r="AN353" s="954"/>
      <c r="AO353" s="955" t="s">
        <v>943</v>
      </c>
      <c r="AP353" s="931"/>
      <c r="AQ353" s="956"/>
      <c r="AR353" s="957"/>
      <c r="AS353" s="931"/>
    </row>
    <row r="354" ht="15.75" customHeight="1">
      <c r="A354" s="931"/>
      <c r="B354" s="941" t="s">
        <v>1877</v>
      </c>
      <c r="C354" s="942" t="s">
        <v>1878</v>
      </c>
      <c r="D354" s="942" t="s">
        <v>1878</v>
      </c>
      <c r="E354" s="943" t="s">
        <v>1878</v>
      </c>
      <c r="F354" s="935"/>
      <c r="G354" s="944"/>
      <c r="H354" s="944"/>
      <c r="I354" s="959" t="s">
        <v>1879</v>
      </c>
      <c r="J354" s="967" t="s">
        <v>715</v>
      </c>
      <c r="K354" s="954" t="s">
        <v>158</v>
      </c>
      <c r="L354" s="949">
        <v>50.0</v>
      </c>
      <c r="M354" s="949">
        <v>35.0</v>
      </c>
      <c r="N354" s="949">
        <v>55.0</v>
      </c>
      <c r="O354" s="949">
        <v>25.0</v>
      </c>
      <c r="P354" s="949">
        <v>25.0</v>
      </c>
      <c r="Q354" s="949">
        <v>15.0</v>
      </c>
      <c r="R354" s="949">
        <v>66.0</v>
      </c>
      <c r="S354" s="949">
        <v>129.0</v>
      </c>
      <c r="T354" s="949">
        <v>141.0</v>
      </c>
      <c r="U354" s="949"/>
      <c r="V354" s="949"/>
      <c r="W354" s="949"/>
      <c r="X354" s="949"/>
      <c r="Y354" s="949"/>
      <c r="Z354" s="949"/>
      <c r="AA354" s="949"/>
      <c r="AB354" s="949"/>
      <c r="AC354" s="949"/>
      <c r="AD354" s="949"/>
      <c r="AE354" s="949"/>
      <c r="AF354" s="949"/>
      <c r="AG354" s="949"/>
      <c r="AH354" s="949"/>
      <c r="AI354" s="949"/>
      <c r="AJ354" s="949"/>
      <c r="AK354" s="949"/>
      <c r="AL354" s="949"/>
      <c r="AM354" s="953" t="s">
        <v>791</v>
      </c>
      <c r="AN354" s="954"/>
      <c r="AO354" s="955"/>
      <c r="AP354" s="931"/>
      <c r="AQ354" s="956"/>
      <c r="AR354" s="957"/>
      <c r="AS354" s="931"/>
    </row>
    <row r="355" ht="15.75" customHeight="1">
      <c r="A355" s="931"/>
      <c r="B355" s="941" t="s">
        <v>1880</v>
      </c>
      <c r="C355" s="942" t="s">
        <v>1881</v>
      </c>
      <c r="D355" s="942" t="s">
        <v>1881</v>
      </c>
      <c r="E355" s="943" t="s">
        <v>1881</v>
      </c>
      <c r="F355" s="935"/>
      <c r="G355" s="944"/>
      <c r="H355" s="944"/>
      <c r="I355" s="946" t="s">
        <v>1882</v>
      </c>
      <c r="J355" s="967" t="s">
        <v>715</v>
      </c>
      <c r="K355" s="948" t="s">
        <v>709</v>
      </c>
      <c r="L355" s="949">
        <v>60.0</v>
      </c>
      <c r="M355" s="949">
        <v>50.0</v>
      </c>
      <c r="N355" s="949">
        <v>70.0</v>
      </c>
      <c r="O355" s="949">
        <v>50.0</v>
      </c>
      <c r="P355" s="949">
        <v>90.0</v>
      </c>
      <c r="Q355" s="949">
        <v>65.0</v>
      </c>
      <c r="R355" s="949">
        <v>166.0</v>
      </c>
      <c r="S355" s="949">
        <v>229.0</v>
      </c>
      <c r="T355" s="949">
        <v>251.0</v>
      </c>
      <c r="U355" s="949"/>
      <c r="V355" s="949"/>
      <c r="W355" s="949"/>
      <c r="X355" s="949"/>
      <c r="Y355" s="949"/>
      <c r="Z355" s="949"/>
      <c r="AA355" s="949"/>
      <c r="AB355" s="949"/>
      <c r="AC355" s="949"/>
      <c r="AD355" s="949"/>
      <c r="AE355" s="949"/>
      <c r="AF355" s="949"/>
      <c r="AG355" s="949"/>
      <c r="AH355" s="949"/>
      <c r="AI355" s="949"/>
      <c r="AJ355" s="949"/>
      <c r="AK355" s="949"/>
      <c r="AL355" s="949"/>
      <c r="AM355" s="953" t="s">
        <v>786</v>
      </c>
      <c r="AN355" s="954"/>
      <c r="AO355" s="955" t="s">
        <v>795</v>
      </c>
      <c r="AP355" s="931"/>
      <c r="AQ355" s="956"/>
      <c r="AR355" s="957"/>
      <c r="AS355" s="931"/>
    </row>
    <row r="356" ht="15.75" customHeight="1">
      <c r="A356" s="931"/>
      <c r="B356" s="941" t="s">
        <v>1883</v>
      </c>
      <c r="C356" s="942" t="s">
        <v>1884</v>
      </c>
      <c r="D356" s="942" t="s">
        <v>1884</v>
      </c>
      <c r="E356" s="943" t="s">
        <v>1884</v>
      </c>
      <c r="F356" s="935"/>
      <c r="G356" s="944"/>
      <c r="H356" s="944"/>
      <c r="I356" s="946" t="s">
        <v>1885</v>
      </c>
      <c r="J356" s="962" t="s">
        <v>706</v>
      </c>
      <c r="K356" s="947" t="s">
        <v>708</v>
      </c>
      <c r="L356" s="949">
        <v>40.0</v>
      </c>
      <c r="M356" s="949">
        <v>30.0</v>
      </c>
      <c r="N356" s="949">
        <v>30.0</v>
      </c>
      <c r="O356" s="949">
        <v>40.0</v>
      </c>
      <c r="P356" s="949">
        <v>50.0</v>
      </c>
      <c r="Q356" s="949">
        <v>30.0</v>
      </c>
      <c r="R356" s="949">
        <v>96.0</v>
      </c>
      <c r="S356" s="949">
        <v>159.0</v>
      </c>
      <c r="T356" s="949">
        <v>174.0</v>
      </c>
      <c r="U356" s="949"/>
      <c r="V356" s="949"/>
      <c r="W356" s="949"/>
      <c r="X356" s="949"/>
      <c r="Y356" s="949"/>
      <c r="Z356" s="949"/>
      <c r="AA356" s="949"/>
      <c r="AB356" s="949"/>
      <c r="AC356" s="949"/>
      <c r="AD356" s="949"/>
      <c r="AE356" s="949"/>
      <c r="AF356" s="949"/>
      <c r="AG356" s="949"/>
      <c r="AH356" s="949"/>
      <c r="AI356" s="949"/>
      <c r="AJ356" s="949"/>
      <c r="AK356" s="949"/>
      <c r="AL356" s="949"/>
      <c r="AM356" s="953" t="s">
        <v>1062</v>
      </c>
      <c r="AN356" s="954" t="s">
        <v>772</v>
      </c>
      <c r="AO356" s="955" t="s">
        <v>1176</v>
      </c>
      <c r="AP356" s="931"/>
      <c r="AQ356" s="956"/>
      <c r="AR356" s="957"/>
      <c r="AS356" s="931"/>
    </row>
    <row r="357" ht="15.75" customHeight="1">
      <c r="A357" s="931"/>
      <c r="B357" s="941" t="s">
        <v>1886</v>
      </c>
      <c r="C357" s="942" t="s">
        <v>1887</v>
      </c>
      <c r="D357" s="942" t="s">
        <v>1887</v>
      </c>
      <c r="E357" s="943" t="s">
        <v>1887</v>
      </c>
      <c r="F357" s="935"/>
      <c r="G357" s="944"/>
      <c r="H357" s="944"/>
      <c r="I357" s="946" t="s">
        <v>1888</v>
      </c>
      <c r="J357" s="962" t="s">
        <v>706</v>
      </c>
      <c r="K357" s="947" t="s">
        <v>708</v>
      </c>
      <c r="L357" s="949">
        <v>60.0</v>
      </c>
      <c r="M357" s="949">
        <v>50.0</v>
      </c>
      <c r="N357" s="949">
        <v>50.0</v>
      </c>
      <c r="O357" s="949">
        <v>60.0</v>
      </c>
      <c r="P357" s="949">
        <v>70.0</v>
      </c>
      <c r="Q357" s="949">
        <v>50.0</v>
      </c>
      <c r="R357" s="949">
        <v>136.0</v>
      </c>
      <c r="S357" s="949">
        <v>199.0</v>
      </c>
      <c r="T357" s="949">
        <v>218.0</v>
      </c>
      <c r="U357" s="949"/>
      <c r="V357" s="949"/>
      <c r="W357" s="949"/>
      <c r="X357" s="949"/>
      <c r="Y357" s="949"/>
      <c r="Z357" s="949"/>
      <c r="AA357" s="949"/>
      <c r="AB357" s="949"/>
      <c r="AC357" s="949"/>
      <c r="AD357" s="949"/>
      <c r="AE357" s="949"/>
      <c r="AF357" s="949"/>
      <c r="AG357" s="949"/>
      <c r="AH357" s="949"/>
      <c r="AI357" s="949"/>
      <c r="AJ357" s="949"/>
      <c r="AK357" s="949"/>
      <c r="AL357" s="949"/>
      <c r="AM357" s="953" t="s">
        <v>1062</v>
      </c>
      <c r="AN357" s="954" t="s">
        <v>772</v>
      </c>
      <c r="AO357" s="955" t="s">
        <v>1176</v>
      </c>
      <c r="AP357" s="931"/>
      <c r="AQ357" s="956"/>
      <c r="AR357" s="957"/>
      <c r="AS357" s="931"/>
    </row>
    <row r="358" ht="15.75" customHeight="1">
      <c r="A358" s="963"/>
      <c r="B358" s="941" t="s">
        <v>1889</v>
      </c>
      <c r="C358" s="971" t="s">
        <v>1890</v>
      </c>
      <c r="D358" s="971" t="s">
        <v>1890</v>
      </c>
      <c r="E358" s="966" t="s">
        <v>1890</v>
      </c>
      <c r="F358" s="935"/>
      <c r="G358" s="944"/>
      <c r="H358" s="944"/>
      <c r="I358" s="959" t="s">
        <v>1891</v>
      </c>
      <c r="J358" s="986" t="s">
        <v>706</v>
      </c>
      <c r="K358" s="1002" t="s">
        <v>708</v>
      </c>
      <c r="L358" s="974">
        <v>80.0</v>
      </c>
      <c r="M358" s="974">
        <v>70.0</v>
      </c>
      <c r="N358" s="974">
        <v>70.0</v>
      </c>
      <c r="O358" s="974">
        <v>90.0</v>
      </c>
      <c r="P358" s="974">
        <v>100.0</v>
      </c>
      <c r="Q358" s="974">
        <v>70.0</v>
      </c>
      <c r="R358" s="949">
        <v>176.0</v>
      </c>
      <c r="S358" s="949">
        <v>239.0</v>
      </c>
      <c r="T358" s="949">
        <v>262.0</v>
      </c>
      <c r="U358" s="949"/>
      <c r="V358" s="949"/>
      <c r="W358" s="949"/>
      <c r="X358" s="949"/>
      <c r="Y358" s="949"/>
      <c r="Z358" s="949"/>
      <c r="AA358" s="949"/>
      <c r="AB358" s="949"/>
      <c r="AC358" s="949"/>
      <c r="AD358" s="949"/>
      <c r="AE358" s="949"/>
      <c r="AF358" s="949"/>
      <c r="AG358" s="949"/>
      <c r="AH358" s="949"/>
      <c r="AI358" s="949"/>
      <c r="AJ358" s="949"/>
      <c r="AK358" s="949"/>
      <c r="AL358" s="949"/>
      <c r="AM358" s="964" t="s">
        <v>1062</v>
      </c>
      <c r="AN358" s="973" t="s">
        <v>772</v>
      </c>
      <c r="AO358" s="965" t="s">
        <v>1176</v>
      </c>
      <c r="AP358" s="931"/>
      <c r="AQ358" s="956"/>
      <c r="AR358" s="957"/>
      <c r="AS358" s="931"/>
    </row>
    <row r="359" ht="15.75" customHeight="1">
      <c r="A359" s="931"/>
      <c r="B359" s="941" t="s">
        <v>1892</v>
      </c>
      <c r="C359" s="942" t="s">
        <v>1893</v>
      </c>
      <c r="D359" s="942" t="s">
        <v>1893</v>
      </c>
      <c r="E359" s="943" t="s">
        <v>1893</v>
      </c>
      <c r="F359" s="935"/>
      <c r="G359" s="944"/>
      <c r="H359" s="944"/>
      <c r="I359" s="946" t="s">
        <v>1894</v>
      </c>
      <c r="J359" s="947" t="s">
        <v>708</v>
      </c>
      <c r="K359" s="954" t="s">
        <v>158</v>
      </c>
      <c r="L359" s="949">
        <v>40.0</v>
      </c>
      <c r="M359" s="949">
        <v>40.0</v>
      </c>
      <c r="N359" s="949">
        <v>50.0</v>
      </c>
      <c r="O359" s="949">
        <v>30.0</v>
      </c>
      <c r="P359" s="949">
        <v>30.0</v>
      </c>
      <c r="Q359" s="949">
        <v>30.0</v>
      </c>
      <c r="R359" s="949">
        <v>96.0</v>
      </c>
      <c r="S359" s="949">
        <v>159.0</v>
      </c>
      <c r="T359" s="949">
        <v>174.0</v>
      </c>
      <c r="U359" s="949"/>
      <c r="V359" s="949"/>
      <c r="W359" s="949"/>
      <c r="X359" s="949"/>
      <c r="Y359" s="949"/>
      <c r="Z359" s="949"/>
      <c r="AA359" s="949"/>
      <c r="AB359" s="949"/>
      <c r="AC359" s="949"/>
      <c r="AD359" s="949"/>
      <c r="AE359" s="949"/>
      <c r="AF359" s="949"/>
      <c r="AG359" s="949"/>
      <c r="AH359" s="949"/>
      <c r="AI359" s="949"/>
      <c r="AJ359" s="949"/>
      <c r="AK359" s="949"/>
      <c r="AL359" s="949"/>
      <c r="AM359" s="953" t="s">
        <v>736</v>
      </c>
      <c r="AN359" s="954" t="s">
        <v>1209</v>
      </c>
      <c r="AO359" s="955" t="s">
        <v>1702</v>
      </c>
      <c r="AP359" s="931"/>
      <c r="AQ359" s="956"/>
      <c r="AR359" s="957"/>
      <c r="AS359" s="931"/>
    </row>
    <row r="360" ht="15.75" customHeight="1">
      <c r="A360" s="931"/>
      <c r="B360" s="941" t="s">
        <v>1895</v>
      </c>
      <c r="C360" s="942" t="s">
        <v>1896</v>
      </c>
      <c r="D360" s="942" t="s">
        <v>1896</v>
      </c>
      <c r="E360" s="943" t="s">
        <v>1896</v>
      </c>
      <c r="F360" s="935"/>
      <c r="G360" s="944"/>
      <c r="H360" s="944"/>
      <c r="I360" s="946" t="s">
        <v>1897</v>
      </c>
      <c r="J360" s="947" t="s">
        <v>708</v>
      </c>
      <c r="K360" s="969" t="s">
        <v>718</v>
      </c>
      <c r="L360" s="949">
        <v>70.0</v>
      </c>
      <c r="M360" s="949">
        <v>70.0</v>
      </c>
      <c r="N360" s="949">
        <v>40.0</v>
      </c>
      <c r="O360" s="949">
        <v>60.0</v>
      </c>
      <c r="P360" s="949">
        <v>40.0</v>
      </c>
      <c r="Q360" s="949">
        <v>60.0</v>
      </c>
      <c r="R360" s="949">
        <v>156.0</v>
      </c>
      <c r="S360" s="949">
        <v>219.0</v>
      </c>
      <c r="T360" s="949">
        <v>240.0</v>
      </c>
      <c r="U360" s="949"/>
      <c r="V360" s="949"/>
      <c r="W360" s="949"/>
      <c r="X360" s="949"/>
      <c r="Y360" s="949"/>
      <c r="Z360" s="949"/>
      <c r="AA360" s="949"/>
      <c r="AB360" s="949"/>
      <c r="AC360" s="949"/>
      <c r="AD360" s="949"/>
      <c r="AE360" s="949"/>
      <c r="AF360" s="949"/>
      <c r="AG360" s="949"/>
      <c r="AH360" s="949"/>
      <c r="AI360" s="949"/>
      <c r="AJ360" s="949"/>
      <c r="AK360" s="949"/>
      <c r="AL360" s="949"/>
      <c r="AM360" s="953" t="s">
        <v>736</v>
      </c>
      <c r="AN360" s="954" t="s">
        <v>1209</v>
      </c>
      <c r="AO360" s="955" t="s">
        <v>1702</v>
      </c>
      <c r="AP360" s="931"/>
      <c r="AQ360" s="956"/>
      <c r="AR360" s="957"/>
      <c r="AS360" s="931"/>
    </row>
    <row r="361" ht="15.75" customHeight="1">
      <c r="A361" s="931"/>
      <c r="B361" s="941" t="s">
        <v>1898</v>
      </c>
      <c r="C361" s="942" t="s">
        <v>1899</v>
      </c>
      <c r="D361" s="942" t="s">
        <v>1899</v>
      </c>
      <c r="E361" s="943" t="s">
        <v>1899</v>
      </c>
      <c r="F361" s="935"/>
      <c r="G361" s="944"/>
      <c r="H361" s="944"/>
      <c r="I361" s="946" t="s">
        <v>1900</v>
      </c>
      <c r="J361" s="947" t="s">
        <v>708</v>
      </c>
      <c r="K361" s="969" t="s">
        <v>718</v>
      </c>
      <c r="L361" s="949">
        <v>90.0</v>
      </c>
      <c r="M361" s="949">
        <v>100.0</v>
      </c>
      <c r="N361" s="949">
        <v>60.0</v>
      </c>
      <c r="O361" s="949">
        <v>90.0</v>
      </c>
      <c r="P361" s="949">
        <v>60.0</v>
      </c>
      <c r="Q361" s="949">
        <v>80.0</v>
      </c>
      <c r="R361" s="949">
        <v>196.0</v>
      </c>
      <c r="S361" s="949">
        <v>259.0</v>
      </c>
      <c r="T361" s="949">
        <v>284.0</v>
      </c>
      <c r="U361" s="949"/>
      <c r="V361" s="949"/>
      <c r="W361" s="949"/>
      <c r="X361" s="949"/>
      <c r="Y361" s="949"/>
      <c r="Z361" s="949"/>
      <c r="AA361" s="949"/>
      <c r="AB361" s="949"/>
      <c r="AC361" s="949"/>
      <c r="AD361" s="949"/>
      <c r="AE361" s="949"/>
      <c r="AF361" s="949"/>
      <c r="AG361" s="949"/>
      <c r="AH361" s="949"/>
      <c r="AI361" s="949"/>
      <c r="AJ361" s="949"/>
      <c r="AK361" s="949"/>
      <c r="AL361" s="949"/>
      <c r="AM361" s="953" t="s">
        <v>736</v>
      </c>
      <c r="AN361" s="954" t="s">
        <v>1209</v>
      </c>
      <c r="AO361" s="955" t="s">
        <v>1702</v>
      </c>
      <c r="AP361" s="931"/>
      <c r="AQ361" s="956"/>
      <c r="AR361" s="957"/>
      <c r="AS361" s="931"/>
    </row>
    <row r="362" ht="15.75" customHeight="1">
      <c r="A362" s="931"/>
      <c r="B362" s="941" t="s">
        <v>1901</v>
      </c>
      <c r="C362" s="942" t="s">
        <v>1902</v>
      </c>
      <c r="D362" s="942" t="s">
        <v>1902</v>
      </c>
      <c r="E362" s="943" t="s">
        <v>1902</v>
      </c>
      <c r="F362" s="935"/>
      <c r="G362" s="944"/>
      <c r="H362" s="944"/>
      <c r="I362" s="946" t="s">
        <v>1903</v>
      </c>
      <c r="J362" s="968" t="s">
        <v>703</v>
      </c>
      <c r="K362" s="960" t="s">
        <v>707</v>
      </c>
      <c r="L362" s="949">
        <v>40.0</v>
      </c>
      <c r="M362" s="949">
        <v>55.0</v>
      </c>
      <c r="N362" s="949">
        <v>30.0</v>
      </c>
      <c r="O362" s="949">
        <v>30.0</v>
      </c>
      <c r="P362" s="949">
        <v>30.0</v>
      </c>
      <c r="Q362" s="949">
        <v>85.0</v>
      </c>
      <c r="R362" s="949">
        <v>206.0</v>
      </c>
      <c r="S362" s="949">
        <v>269.0</v>
      </c>
      <c r="T362" s="949">
        <v>295.0</v>
      </c>
      <c r="U362" s="949"/>
      <c r="V362" s="949"/>
      <c r="W362" s="949"/>
      <c r="X362" s="949"/>
      <c r="Y362" s="949"/>
      <c r="Z362" s="949"/>
      <c r="AA362" s="949"/>
      <c r="AB362" s="949"/>
      <c r="AC362" s="949"/>
      <c r="AD362" s="949"/>
      <c r="AE362" s="949"/>
      <c r="AF362" s="949"/>
      <c r="AG362" s="949"/>
      <c r="AH362" s="949"/>
      <c r="AI362" s="949"/>
      <c r="AJ362" s="949"/>
      <c r="AK362" s="949"/>
      <c r="AL362" s="949"/>
      <c r="AM362" s="953" t="s">
        <v>831</v>
      </c>
      <c r="AN362" s="954"/>
      <c r="AO362" s="955" t="s">
        <v>1205</v>
      </c>
      <c r="AP362" s="931"/>
      <c r="AQ362" s="956"/>
      <c r="AR362" s="957"/>
      <c r="AS362" s="931"/>
    </row>
    <row r="363" ht="15.75" customHeight="1">
      <c r="A363" s="963"/>
      <c r="B363" s="941" t="s">
        <v>1904</v>
      </c>
      <c r="C363" s="942" t="s">
        <v>1905</v>
      </c>
      <c r="D363" s="942" t="s">
        <v>1905</v>
      </c>
      <c r="E363" s="943" t="s">
        <v>1905</v>
      </c>
      <c r="F363" s="935"/>
      <c r="G363" s="944"/>
      <c r="H363" s="944"/>
      <c r="I363" s="946" t="s">
        <v>1906</v>
      </c>
      <c r="J363" s="968" t="s">
        <v>703</v>
      </c>
      <c r="K363" s="960" t="s">
        <v>707</v>
      </c>
      <c r="L363" s="949">
        <v>60.0</v>
      </c>
      <c r="M363" s="949">
        <v>85.0</v>
      </c>
      <c r="N363" s="949">
        <v>60.0</v>
      </c>
      <c r="O363" s="949">
        <v>75.0</v>
      </c>
      <c r="P363" s="949">
        <v>50.0</v>
      </c>
      <c r="Q363" s="949">
        <v>125.0</v>
      </c>
      <c r="R363" s="949">
        <v>286.0</v>
      </c>
      <c r="S363" s="949">
        <v>349.0</v>
      </c>
      <c r="T363" s="949">
        <v>383.0</v>
      </c>
      <c r="U363" s="949"/>
      <c r="V363" s="949"/>
      <c r="W363" s="949"/>
      <c r="X363" s="949"/>
      <c r="Y363" s="949"/>
      <c r="Z363" s="949"/>
      <c r="AA363" s="949"/>
      <c r="AB363" s="949"/>
      <c r="AC363" s="949"/>
      <c r="AD363" s="949"/>
      <c r="AE363" s="949"/>
      <c r="AF363" s="949"/>
      <c r="AG363" s="949"/>
      <c r="AH363" s="949"/>
      <c r="AI363" s="949"/>
      <c r="AJ363" s="949"/>
      <c r="AK363" s="949"/>
      <c r="AL363" s="949"/>
      <c r="AM363" s="964" t="s">
        <v>831</v>
      </c>
      <c r="AN363" s="954"/>
      <c r="AO363" s="965" t="s">
        <v>1205</v>
      </c>
      <c r="AP363" s="931"/>
      <c r="AQ363" s="956"/>
      <c r="AR363" s="957"/>
      <c r="AS363" s="931"/>
    </row>
    <row r="364" ht="15.75" customHeight="1">
      <c r="A364" s="963"/>
      <c r="B364" s="941" t="s">
        <v>1907</v>
      </c>
      <c r="C364" s="971" t="s">
        <v>1908</v>
      </c>
      <c r="D364" s="971" t="s">
        <v>1908</v>
      </c>
      <c r="E364" s="966" t="s">
        <v>1908</v>
      </c>
      <c r="F364" s="935"/>
      <c r="G364" s="944"/>
      <c r="H364" s="944"/>
      <c r="I364" s="959" t="s">
        <v>589</v>
      </c>
      <c r="J364" s="986" t="s">
        <v>706</v>
      </c>
      <c r="K364" s="984" t="s">
        <v>707</v>
      </c>
      <c r="L364" s="974">
        <v>40.0</v>
      </c>
      <c r="M364" s="974">
        <v>30.0</v>
      </c>
      <c r="N364" s="974">
        <v>30.0</v>
      </c>
      <c r="O364" s="974">
        <v>55.0</v>
      </c>
      <c r="P364" s="974">
        <v>30.0</v>
      </c>
      <c r="Q364" s="974">
        <v>85.0</v>
      </c>
      <c r="R364" s="949">
        <v>206.0</v>
      </c>
      <c r="S364" s="949">
        <v>269.0</v>
      </c>
      <c r="T364" s="949">
        <v>295.0</v>
      </c>
      <c r="U364" s="949"/>
      <c r="V364" s="949"/>
      <c r="W364" s="949"/>
      <c r="X364" s="949"/>
      <c r="Y364" s="949"/>
      <c r="Z364" s="949"/>
      <c r="AA364" s="949"/>
      <c r="AB364" s="949"/>
      <c r="AC364" s="949"/>
      <c r="AD364" s="949"/>
      <c r="AE364" s="949"/>
      <c r="AF364" s="949"/>
      <c r="AG364" s="949"/>
      <c r="AH364" s="949"/>
      <c r="AI364" s="949"/>
      <c r="AJ364" s="949"/>
      <c r="AK364" s="949"/>
      <c r="AL364" s="949"/>
      <c r="AM364" s="964" t="s">
        <v>815</v>
      </c>
      <c r="AN364" s="954" t="s">
        <v>1216</v>
      </c>
      <c r="AO364" s="965" t="s">
        <v>772</v>
      </c>
      <c r="AP364" s="931"/>
      <c r="AQ364" s="956"/>
      <c r="AR364" s="957"/>
      <c r="AS364" s="931"/>
    </row>
    <row r="365" ht="15.75" customHeight="1">
      <c r="A365" s="931"/>
      <c r="B365" s="941" t="s">
        <v>1909</v>
      </c>
      <c r="C365" s="942" t="s">
        <v>204</v>
      </c>
      <c r="D365" s="942" t="s">
        <v>204</v>
      </c>
      <c r="E365" s="943" t="s">
        <v>204</v>
      </c>
      <c r="F365" s="935"/>
      <c r="G365" s="944"/>
      <c r="H365" s="944"/>
      <c r="I365" s="946" t="s">
        <v>85</v>
      </c>
      <c r="J365" s="962" t="s">
        <v>706</v>
      </c>
      <c r="K365" s="960" t="s">
        <v>707</v>
      </c>
      <c r="L365" s="949">
        <v>60.0</v>
      </c>
      <c r="M365" s="949">
        <v>50.0</v>
      </c>
      <c r="N365" s="949">
        <v>100.0</v>
      </c>
      <c r="O365" s="949">
        <v>95.0</v>
      </c>
      <c r="P365" s="949">
        <v>70.0</v>
      </c>
      <c r="Q365" s="949">
        <v>65.0</v>
      </c>
      <c r="R365" s="949">
        <v>166.0</v>
      </c>
      <c r="S365" s="949">
        <v>229.0</v>
      </c>
      <c r="T365" s="949">
        <v>251.0</v>
      </c>
      <c r="U365" s="949"/>
      <c r="V365" s="949"/>
      <c r="W365" s="949"/>
      <c r="X365" s="949"/>
      <c r="Y365" s="949"/>
      <c r="Z365" s="949"/>
      <c r="AA365" s="949"/>
      <c r="AB365" s="949"/>
      <c r="AC365" s="949"/>
      <c r="AD365" s="949"/>
      <c r="AE365" s="949"/>
      <c r="AF365" s="949"/>
      <c r="AG365" s="949"/>
      <c r="AH365" s="949"/>
      <c r="AI365" s="949"/>
      <c r="AJ365" s="949"/>
      <c r="AK365" s="949"/>
      <c r="AL365" s="949"/>
      <c r="AM365" s="953" t="s">
        <v>815</v>
      </c>
      <c r="AN365" s="954" t="s">
        <v>331</v>
      </c>
      <c r="AO365" s="955" t="s">
        <v>772</v>
      </c>
      <c r="AP365" s="931"/>
      <c r="AQ365" s="956"/>
      <c r="AR365" s="957"/>
      <c r="AS365" s="931"/>
    </row>
    <row r="366" ht="15.75" customHeight="1">
      <c r="A366" s="931"/>
      <c r="B366" s="941" t="s">
        <v>1910</v>
      </c>
      <c r="C366" s="942" t="s">
        <v>1911</v>
      </c>
      <c r="D366" s="942" t="s">
        <v>1911</v>
      </c>
      <c r="E366" s="943" t="s">
        <v>1911</v>
      </c>
      <c r="F366" s="935"/>
      <c r="G366" s="944"/>
      <c r="H366" s="944"/>
      <c r="I366" s="946" t="s">
        <v>590</v>
      </c>
      <c r="J366" s="975" t="s">
        <v>712</v>
      </c>
      <c r="K366" s="980" t="s">
        <v>720</v>
      </c>
      <c r="L366" s="949">
        <v>28.0</v>
      </c>
      <c r="M366" s="949">
        <v>25.0</v>
      </c>
      <c r="N366" s="949">
        <v>25.0</v>
      </c>
      <c r="O366" s="949">
        <v>45.0</v>
      </c>
      <c r="P366" s="949">
        <v>35.0</v>
      </c>
      <c r="Q366" s="949">
        <v>40.0</v>
      </c>
      <c r="R366" s="949">
        <v>116.0</v>
      </c>
      <c r="S366" s="949">
        <v>179.0</v>
      </c>
      <c r="T366" s="949">
        <v>196.0</v>
      </c>
      <c r="U366" s="949"/>
      <c r="V366" s="949"/>
      <c r="W366" s="949"/>
      <c r="X366" s="949"/>
      <c r="Y366" s="949"/>
      <c r="Z366" s="949"/>
      <c r="AA366" s="949"/>
      <c r="AB366" s="949"/>
      <c r="AC366" s="949"/>
      <c r="AD366" s="949"/>
      <c r="AE366" s="949"/>
      <c r="AF366" s="949"/>
      <c r="AG366" s="949"/>
      <c r="AH366" s="949"/>
      <c r="AI366" s="949"/>
      <c r="AJ366" s="949"/>
      <c r="AK366" s="949"/>
      <c r="AL366" s="949"/>
      <c r="AM366" s="953" t="s">
        <v>1094</v>
      </c>
      <c r="AN366" s="954" t="s">
        <v>1104</v>
      </c>
      <c r="AO366" s="955" t="s">
        <v>1657</v>
      </c>
      <c r="AP366" s="931"/>
      <c r="AQ366" s="956"/>
      <c r="AR366" s="957"/>
      <c r="AS366" s="931"/>
    </row>
    <row r="367" ht="15.75" customHeight="1">
      <c r="A367" s="931"/>
      <c r="B367" s="941" t="s">
        <v>1912</v>
      </c>
      <c r="C367" s="942" t="s">
        <v>1913</v>
      </c>
      <c r="D367" s="942" t="s">
        <v>1913</v>
      </c>
      <c r="E367" s="943" t="s">
        <v>1913</v>
      </c>
      <c r="F367" s="935"/>
      <c r="G367" s="944"/>
      <c r="H367" s="944"/>
      <c r="I367" s="946" t="s">
        <v>591</v>
      </c>
      <c r="J367" s="975" t="s">
        <v>712</v>
      </c>
      <c r="K367" s="980" t="s">
        <v>720</v>
      </c>
      <c r="L367" s="949">
        <v>38.0</v>
      </c>
      <c r="M367" s="949">
        <v>35.0</v>
      </c>
      <c r="N367" s="949">
        <v>35.0</v>
      </c>
      <c r="O367" s="949">
        <v>65.0</v>
      </c>
      <c r="P367" s="949">
        <v>55.0</v>
      </c>
      <c r="Q367" s="949">
        <v>50.0</v>
      </c>
      <c r="R367" s="949">
        <v>136.0</v>
      </c>
      <c r="S367" s="949">
        <v>199.0</v>
      </c>
      <c r="T367" s="949">
        <v>218.0</v>
      </c>
      <c r="U367" s="949"/>
      <c r="V367" s="949"/>
      <c r="W367" s="949"/>
      <c r="X367" s="949"/>
      <c r="Y367" s="949"/>
      <c r="Z367" s="949"/>
      <c r="AA367" s="949"/>
      <c r="AB367" s="949"/>
      <c r="AC367" s="949"/>
      <c r="AD367" s="949"/>
      <c r="AE367" s="949"/>
      <c r="AF367" s="949"/>
      <c r="AG367" s="949"/>
      <c r="AH367" s="949"/>
      <c r="AI367" s="949"/>
      <c r="AJ367" s="949"/>
      <c r="AK367" s="949"/>
      <c r="AL367" s="949"/>
      <c r="AM367" s="953" t="s">
        <v>1094</v>
      </c>
      <c r="AN367" s="954" t="s">
        <v>1104</v>
      </c>
      <c r="AO367" s="955" t="s">
        <v>1657</v>
      </c>
      <c r="AP367" s="931"/>
      <c r="AQ367" s="956"/>
      <c r="AR367" s="957"/>
      <c r="AS367" s="931"/>
    </row>
    <row r="368" ht="15.75" customHeight="1">
      <c r="A368" s="931"/>
      <c r="B368" s="941" t="s">
        <v>1914</v>
      </c>
      <c r="C368" s="942" t="s">
        <v>1915</v>
      </c>
      <c r="D368" s="942" t="s">
        <v>1915</v>
      </c>
      <c r="E368" s="966" t="s">
        <v>1915</v>
      </c>
      <c r="F368" s="935"/>
      <c r="G368" s="944"/>
      <c r="H368" s="944"/>
      <c r="I368" s="959" t="s">
        <v>365</v>
      </c>
      <c r="J368" s="990" t="s">
        <v>712</v>
      </c>
      <c r="K368" s="980" t="s">
        <v>720</v>
      </c>
      <c r="L368" s="974">
        <v>68.0</v>
      </c>
      <c r="M368" s="974">
        <v>65.0</v>
      </c>
      <c r="N368" s="974">
        <v>65.0</v>
      </c>
      <c r="O368" s="974">
        <v>125.0</v>
      </c>
      <c r="P368" s="974">
        <v>115.0</v>
      </c>
      <c r="Q368" s="974">
        <v>80.0</v>
      </c>
      <c r="R368" s="949">
        <v>196.0</v>
      </c>
      <c r="S368" s="949">
        <v>259.0</v>
      </c>
      <c r="T368" s="949">
        <v>284.0</v>
      </c>
      <c r="U368" s="949"/>
      <c r="V368" s="949"/>
      <c r="W368" s="949"/>
      <c r="X368" s="949"/>
      <c r="Y368" s="949"/>
      <c r="Z368" s="949"/>
      <c r="AA368" s="949"/>
      <c r="AB368" s="949"/>
      <c r="AC368" s="949"/>
      <c r="AD368" s="949"/>
      <c r="AE368" s="949"/>
      <c r="AF368" s="949"/>
      <c r="AG368" s="949"/>
      <c r="AH368" s="949"/>
      <c r="AI368" s="949"/>
      <c r="AJ368" s="949"/>
      <c r="AK368" s="949"/>
      <c r="AL368" s="949"/>
      <c r="AM368" s="964" t="s">
        <v>1094</v>
      </c>
      <c r="AN368" s="954" t="s">
        <v>1104</v>
      </c>
      <c r="AO368" s="955" t="s">
        <v>1657</v>
      </c>
      <c r="AP368" s="931"/>
      <c r="AQ368" s="956"/>
      <c r="AR368" s="957"/>
      <c r="AS368" s="931"/>
    </row>
    <row r="369" ht="15.75" customHeight="1">
      <c r="A369" s="963"/>
      <c r="B369" s="941" t="s">
        <v>1916</v>
      </c>
      <c r="C369" s="942" t="s">
        <v>1917</v>
      </c>
      <c r="D369" s="942" t="s">
        <v>1917</v>
      </c>
      <c r="E369" s="966" t="s">
        <v>1917</v>
      </c>
      <c r="F369" s="935"/>
      <c r="G369" s="944"/>
      <c r="H369" s="944"/>
      <c r="I369" s="959" t="s">
        <v>1918</v>
      </c>
      <c r="J369" s="975" t="s">
        <v>712</v>
      </c>
      <c r="K369" s="980" t="s">
        <v>720</v>
      </c>
      <c r="L369" s="949">
        <v>68.0</v>
      </c>
      <c r="M369" s="949">
        <v>85.0</v>
      </c>
      <c r="N369" s="949">
        <v>65.0</v>
      </c>
      <c r="O369" s="949">
        <v>165.0</v>
      </c>
      <c r="P369" s="949">
        <v>135.0</v>
      </c>
      <c r="Q369" s="949">
        <v>100.0</v>
      </c>
      <c r="R369" s="949">
        <v>236.0</v>
      </c>
      <c r="S369" s="949">
        <v>299.0</v>
      </c>
      <c r="T369" s="949">
        <v>328.0</v>
      </c>
      <c r="U369" s="949"/>
      <c r="V369" s="949"/>
      <c r="W369" s="949"/>
      <c r="X369" s="949"/>
      <c r="Y369" s="949"/>
      <c r="Z369" s="949"/>
      <c r="AA369" s="949"/>
      <c r="AB369" s="949"/>
      <c r="AC369" s="949"/>
      <c r="AD369" s="949"/>
      <c r="AE369" s="949"/>
      <c r="AF369" s="949"/>
      <c r="AG369" s="949"/>
      <c r="AH369" s="949"/>
      <c r="AI369" s="949"/>
      <c r="AJ369" s="949"/>
      <c r="AK369" s="949"/>
      <c r="AL369" s="949"/>
      <c r="AM369" s="964" t="s">
        <v>1919</v>
      </c>
      <c r="AN369" s="954"/>
      <c r="AO369" s="965"/>
      <c r="AP369" s="931"/>
      <c r="AQ369" s="956"/>
      <c r="AR369" s="957"/>
      <c r="AS369" s="931"/>
    </row>
    <row r="370" ht="15.75" customHeight="1">
      <c r="A370" s="963"/>
      <c r="B370" s="941" t="s">
        <v>1920</v>
      </c>
      <c r="C370" s="942" t="s">
        <v>1921</v>
      </c>
      <c r="D370" s="942" t="s">
        <v>1921</v>
      </c>
      <c r="E370" s="966" t="s">
        <v>1921</v>
      </c>
      <c r="F370" s="935"/>
      <c r="G370" s="944"/>
      <c r="H370" s="944"/>
      <c r="I370" s="959" t="s">
        <v>592</v>
      </c>
      <c r="J370" s="967" t="s">
        <v>715</v>
      </c>
      <c r="K370" s="962" t="s">
        <v>706</v>
      </c>
      <c r="L370" s="949">
        <v>40.0</v>
      </c>
      <c r="M370" s="949">
        <v>30.0</v>
      </c>
      <c r="N370" s="949">
        <v>32.0</v>
      </c>
      <c r="O370" s="949">
        <v>50.0</v>
      </c>
      <c r="P370" s="949">
        <v>52.0</v>
      </c>
      <c r="Q370" s="949">
        <v>65.0</v>
      </c>
      <c r="R370" s="949">
        <v>166.0</v>
      </c>
      <c r="S370" s="949">
        <v>229.0</v>
      </c>
      <c r="T370" s="949">
        <v>251.0</v>
      </c>
      <c r="U370" s="949"/>
      <c r="V370" s="949"/>
      <c r="W370" s="949"/>
      <c r="X370" s="949"/>
      <c r="Y370" s="949"/>
      <c r="Z370" s="949"/>
      <c r="AA370" s="949"/>
      <c r="AB370" s="949"/>
      <c r="AC370" s="949"/>
      <c r="AD370" s="949"/>
      <c r="AE370" s="949"/>
      <c r="AF370" s="949"/>
      <c r="AG370" s="949"/>
      <c r="AH370" s="949"/>
      <c r="AI370" s="949"/>
      <c r="AJ370" s="949"/>
      <c r="AK370" s="949"/>
      <c r="AL370" s="949"/>
      <c r="AM370" s="964" t="s">
        <v>1062</v>
      </c>
      <c r="AN370" s="954"/>
      <c r="AO370" s="965" t="s">
        <v>772</v>
      </c>
      <c r="AP370" s="931"/>
      <c r="AQ370" s="956"/>
      <c r="AR370" s="957"/>
      <c r="AS370" s="931"/>
    </row>
    <row r="371" ht="15.75" customHeight="1">
      <c r="A371" s="963"/>
      <c r="B371" s="941" t="s">
        <v>1922</v>
      </c>
      <c r="C371" s="942" t="s">
        <v>1923</v>
      </c>
      <c r="D371" s="971" t="s">
        <v>1923</v>
      </c>
      <c r="E371" s="966" t="s">
        <v>1923</v>
      </c>
      <c r="F371" s="935"/>
      <c r="G371" s="944"/>
      <c r="H371" s="944"/>
      <c r="I371" s="959" t="s">
        <v>485</v>
      </c>
      <c r="J371" s="967" t="s">
        <v>715</v>
      </c>
      <c r="K371" s="960" t="s">
        <v>707</v>
      </c>
      <c r="L371" s="949">
        <v>70.0</v>
      </c>
      <c r="M371" s="949">
        <v>60.0</v>
      </c>
      <c r="N371" s="949">
        <v>62.0</v>
      </c>
      <c r="O371" s="949">
        <v>100.0</v>
      </c>
      <c r="P371" s="949">
        <v>82.0</v>
      </c>
      <c r="Q371" s="949">
        <v>80.0</v>
      </c>
      <c r="R371" s="949">
        <v>196.0</v>
      </c>
      <c r="S371" s="949">
        <v>259.0</v>
      </c>
      <c r="T371" s="949">
        <v>284.0</v>
      </c>
      <c r="U371" s="949"/>
      <c r="V371" s="949"/>
      <c r="W371" s="949"/>
      <c r="X371" s="949"/>
      <c r="Y371" s="949"/>
      <c r="Z371" s="949"/>
      <c r="AA371" s="949"/>
      <c r="AB371" s="949"/>
      <c r="AC371" s="949"/>
      <c r="AD371" s="949"/>
      <c r="AE371" s="949"/>
      <c r="AF371" s="949"/>
      <c r="AG371" s="949"/>
      <c r="AH371" s="949"/>
      <c r="AI371" s="949"/>
      <c r="AJ371" s="949"/>
      <c r="AK371" s="949"/>
      <c r="AL371" s="949"/>
      <c r="AM371" s="953" t="s">
        <v>854</v>
      </c>
      <c r="AN371" s="954"/>
      <c r="AO371" s="965" t="s">
        <v>855</v>
      </c>
      <c r="AP371" s="931"/>
      <c r="AQ371" s="956"/>
      <c r="AR371" s="957"/>
      <c r="AS371" s="931"/>
    </row>
    <row r="372" ht="15.75" customHeight="1">
      <c r="A372" s="963"/>
      <c r="B372" s="941" t="s">
        <v>1924</v>
      </c>
      <c r="C372" s="942" t="s">
        <v>1925</v>
      </c>
      <c r="D372" s="942" t="s">
        <v>1925</v>
      </c>
      <c r="E372" s="966" t="s">
        <v>1925</v>
      </c>
      <c r="F372" s="935"/>
      <c r="G372" s="944"/>
      <c r="H372" s="944"/>
      <c r="I372" s="959" t="s">
        <v>593</v>
      </c>
      <c r="J372" s="947" t="s">
        <v>708</v>
      </c>
      <c r="K372" s="954" t="s">
        <v>158</v>
      </c>
      <c r="L372" s="949">
        <v>60.0</v>
      </c>
      <c r="M372" s="949">
        <v>40.0</v>
      </c>
      <c r="N372" s="949">
        <v>60.0</v>
      </c>
      <c r="O372" s="949">
        <v>40.0</v>
      </c>
      <c r="P372" s="949">
        <v>60.0</v>
      </c>
      <c r="Q372" s="949">
        <v>35.0</v>
      </c>
      <c r="R372" s="949">
        <v>106.0</v>
      </c>
      <c r="S372" s="949">
        <v>169.0</v>
      </c>
      <c r="T372" s="949">
        <v>185.0</v>
      </c>
      <c r="U372" s="949"/>
      <c r="V372" s="949"/>
      <c r="W372" s="949"/>
      <c r="X372" s="949"/>
      <c r="Y372" s="949"/>
      <c r="Z372" s="949"/>
      <c r="AA372" s="949"/>
      <c r="AB372" s="949"/>
      <c r="AC372" s="949"/>
      <c r="AD372" s="949"/>
      <c r="AE372" s="949"/>
      <c r="AF372" s="949"/>
      <c r="AG372" s="949"/>
      <c r="AH372" s="949"/>
      <c r="AI372" s="949"/>
      <c r="AJ372" s="949"/>
      <c r="AK372" s="949"/>
      <c r="AL372" s="949"/>
      <c r="AM372" s="964" t="s">
        <v>1009</v>
      </c>
      <c r="AN372" s="954" t="s">
        <v>1926</v>
      </c>
      <c r="AO372" s="965" t="s">
        <v>1429</v>
      </c>
      <c r="AP372" s="931"/>
      <c r="AQ372" s="956"/>
      <c r="AR372" s="957"/>
      <c r="AS372" s="931"/>
    </row>
    <row r="373" ht="15.75" customHeight="1">
      <c r="A373" s="963"/>
      <c r="B373" s="941" t="s">
        <v>1927</v>
      </c>
      <c r="C373" s="971" t="s">
        <v>1928</v>
      </c>
      <c r="D373" s="942" t="s">
        <v>1928</v>
      </c>
      <c r="E373" s="966" t="s">
        <v>1928</v>
      </c>
      <c r="F373" s="935"/>
      <c r="G373" s="944"/>
      <c r="H373" s="944"/>
      <c r="I373" s="959" t="s">
        <v>363</v>
      </c>
      <c r="J373" s="947" t="s">
        <v>708</v>
      </c>
      <c r="K373" s="988" t="s">
        <v>705</v>
      </c>
      <c r="L373" s="949">
        <v>60.0</v>
      </c>
      <c r="M373" s="949">
        <v>130.0</v>
      </c>
      <c r="N373" s="949">
        <v>80.0</v>
      </c>
      <c r="O373" s="949">
        <v>60.0</v>
      </c>
      <c r="P373" s="949">
        <v>60.0</v>
      </c>
      <c r="Q373" s="949">
        <v>70.0</v>
      </c>
      <c r="R373" s="949">
        <v>176.0</v>
      </c>
      <c r="S373" s="949">
        <v>239.0</v>
      </c>
      <c r="T373" s="949">
        <v>262.0</v>
      </c>
      <c r="U373" s="949"/>
      <c r="V373" s="949"/>
      <c r="W373" s="949"/>
      <c r="X373" s="949"/>
      <c r="Y373" s="949"/>
      <c r="Z373" s="949"/>
      <c r="AA373" s="949"/>
      <c r="AB373" s="949"/>
      <c r="AC373" s="949"/>
      <c r="AD373" s="949"/>
      <c r="AE373" s="949"/>
      <c r="AF373" s="949"/>
      <c r="AG373" s="949"/>
      <c r="AH373" s="949"/>
      <c r="AI373" s="949"/>
      <c r="AJ373" s="949"/>
      <c r="AK373" s="949"/>
      <c r="AL373" s="949"/>
      <c r="AM373" s="964" t="s">
        <v>1009</v>
      </c>
      <c r="AN373" s="954" t="s">
        <v>1926</v>
      </c>
      <c r="AO373" s="965" t="s">
        <v>1041</v>
      </c>
      <c r="AP373" s="931"/>
      <c r="AQ373" s="956"/>
      <c r="AR373" s="957"/>
      <c r="AS373" s="931"/>
    </row>
    <row r="374" ht="15.75" customHeight="1">
      <c r="A374" s="963"/>
      <c r="B374" s="941" t="s">
        <v>1929</v>
      </c>
      <c r="C374" s="942" t="s">
        <v>1930</v>
      </c>
      <c r="D374" s="942" t="s">
        <v>1930</v>
      </c>
      <c r="E374" s="966" t="s">
        <v>1930</v>
      </c>
      <c r="F374" s="935"/>
      <c r="G374" s="944"/>
      <c r="H374" s="944"/>
      <c r="I374" s="959" t="s">
        <v>594</v>
      </c>
      <c r="J374" s="968" t="s">
        <v>703</v>
      </c>
      <c r="K374" s="954" t="s">
        <v>158</v>
      </c>
      <c r="L374" s="949">
        <v>60.0</v>
      </c>
      <c r="M374" s="949">
        <v>60.0</v>
      </c>
      <c r="N374" s="949">
        <v>60.0</v>
      </c>
      <c r="O374" s="949">
        <v>35.0</v>
      </c>
      <c r="P374" s="949">
        <v>35.0</v>
      </c>
      <c r="Q374" s="949">
        <v>30.0</v>
      </c>
      <c r="R374" s="949">
        <v>96.0</v>
      </c>
      <c r="S374" s="949">
        <v>159.0</v>
      </c>
      <c r="T374" s="949">
        <v>174.0</v>
      </c>
      <c r="U374" s="949"/>
      <c r="V374" s="949"/>
      <c r="W374" s="949"/>
      <c r="X374" s="949"/>
      <c r="Y374" s="949"/>
      <c r="Z374" s="949"/>
      <c r="AA374" s="949"/>
      <c r="AB374" s="949"/>
      <c r="AC374" s="949"/>
      <c r="AD374" s="949"/>
      <c r="AE374" s="949"/>
      <c r="AF374" s="949"/>
      <c r="AG374" s="949"/>
      <c r="AH374" s="949"/>
      <c r="AI374" s="949"/>
      <c r="AJ374" s="949"/>
      <c r="AK374" s="949"/>
      <c r="AL374" s="949"/>
      <c r="AM374" s="953" t="s">
        <v>1931</v>
      </c>
      <c r="AN374" s="954"/>
      <c r="AO374" s="955"/>
      <c r="AP374" s="931"/>
      <c r="AQ374" s="956"/>
      <c r="AR374" s="957"/>
      <c r="AS374" s="931"/>
    </row>
    <row r="375" ht="15.75" customHeight="1">
      <c r="A375" s="963"/>
      <c r="B375" s="941" t="s">
        <v>1932</v>
      </c>
      <c r="C375" s="942" t="s">
        <v>1933</v>
      </c>
      <c r="D375" s="942" t="s">
        <v>1933</v>
      </c>
      <c r="E375" s="966" t="s">
        <v>1933</v>
      </c>
      <c r="F375" s="935"/>
      <c r="G375" s="944"/>
      <c r="H375" s="944"/>
      <c r="I375" s="959" t="s">
        <v>595</v>
      </c>
      <c r="J375" s="968" t="s">
        <v>703</v>
      </c>
      <c r="K375" s="954" t="s">
        <v>158</v>
      </c>
      <c r="L375" s="949">
        <v>80.0</v>
      </c>
      <c r="M375" s="949">
        <v>80.0</v>
      </c>
      <c r="N375" s="949">
        <v>80.0</v>
      </c>
      <c r="O375" s="949">
        <v>55.0</v>
      </c>
      <c r="P375" s="949">
        <v>55.0</v>
      </c>
      <c r="Q375" s="949">
        <v>90.0</v>
      </c>
      <c r="R375" s="949">
        <v>216.0</v>
      </c>
      <c r="S375" s="949">
        <v>279.0</v>
      </c>
      <c r="T375" s="949">
        <v>306.0</v>
      </c>
      <c r="U375" s="949"/>
      <c r="V375" s="949"/>
      <c r="W375" s="949"/>
      <c r="X375" s="949"/>
      <c r="Y375" s="949"/>
      <c r="Z375" s="949"/>
      <c r="AA375" s="949"/>
      <c r="AB375" s="949"/>
      <c r="AC375" s="949"/>
      <c r="AD375" s="949"/>
      <c r="AE375" s="949"/>
      <c r="AF375" s="949"/>
      <c r="AG375" s="949"/>
      <c r="AH375" s="949"/>
      <c r="AI375" s="949"/>
      <c r="AJ375" s="949"/>
      <c r="AK375" s="949"/>
      <c r="AL375" s="949"/>
      <c r="AM375" s="953" t="s">
        <v>1067</v>
      </c>
      <c r="AN375" s="973"/>
      <c r="AO375" s="955"/>
      <c r="AP375" s="931"/>
      <c r="AQ375" s="956"/>
      <c r="AR375" s="957"/>
      <c r="AS375" s="931"/>
    </row>
    <row r="376" ht="15.75" customHeight="1">
      <c r="A376" s="931"/>
      <c r="B376" s="941" t="s">
        <v>1934</v>
      </c>
      <c r="C376" s="942" t="s">
        <v>195</v>
      </c>
      <c r="D376" s="942" t="s">
        <v>195</v>
      </c>
      <c r="E376" s="966" t="s">
        <v>195</v>
      </c>
      <c r="F376" s="935"/>
      <c r="G376" s="944"/>
      <c r="H376" s="944"/>
      <c r="I376" s="959" t="s">
        <v>109</v>
      </c>
      <c r="J376" s="991" t="s">
        <v>703</v>
      </c>
      <c r="K376" s="954" t="s">
        <v>158</v>
      </c>
      <c r="L376" s="974">
        <v>150.0</v>
      </c>
      <c r="M376" s="974">
        <v>160.0</v>
      </c>
      <c r="N376" s="974">
        <v>100.0</v>
      </c>
      <c r="O376" s="974">
        <v>95.0</v>
      </c>
      <c r="P376" s="974">
        <v>65.0</v>
      </c>
      <c r="Q376" s="974">
        <v>100.0</v>
      </c>
      <c r="R376" s="949">
        <v>236.0</v>
      </c>
      <c r="S376" s="949">
        <v>299.0</v>
      </c>
      <c r="T376" s="949">
        <v>328.0</v>
      </c>
      <c r="U376" s="949"/>
      <c r="V376" s="949"/>
      <c r="W376" s="949"/>
      <c r="X376" s="949"/>
      <c r="Y376" s="949"/>
      <c r="Z376" s="949"/>
      <c r="AA376" s="949"/>
      <c r="AB376" s="949"/>
      <c r="AC376" s="949"/>
      <c r="AD376" s="949"/>
      <c r="AE376" s="949"/>
      <c r="AF376" s="949"/>
      <c r="AG376" s="949"/>
      <c r="AH376" s="949"/>
      <c r="AI376" s="949"/>
      <c r="AJ376" s="949"/>
      <c r="AK376" s="949"/>
      <c r="AL376" s="949"/>
      <c r="AM376" s="964" t="s">
        <v>1931</v>
      </c>
      <c r="AN376" s="954"/>
      <c r="AO376" s="955"/>
      <c r="AP376" s="931"/>
      <c r="AQ376" s="956"/>
      <c r="AR376" s="957"/>
      <c r="AS376" s="931"/>
    </row>
    <row r="377" ht="15.75" customHeight="1">
      <c r="A377" s="963"/>
      <c r="B377" s="941" t="s">
        <v>1935</v>
      </c>
      <c r="C377" s="971" t="s">
        <v>1936</v>
      </c>
      <c r="D377" s="971" t="s">
        <v>1936</v>
      </c>
      <c r="E377" s="966" t="s">
        <v>1936</v>
      </c>
      <c r="F377" s="935"/>
      <c r="G377" s="944"/>
      <c r="H377" s="944"/>
      <c r="I377" s="959" t="s">
        <v>1937</v>
      </c>
      <c r="J377" s="967" t="s">
        <v>715</v>
      </c>
      <c r="K377" s="976" t="s">
        <v>711</v>
      </c>
      <c r="L377" s="949">
        <v>31.0</v>
      </c>
      <c r="M377" s="949">
        <v>45.0</v>
      </c>
      <c r="N377" s="949">
        <v>90.0</v>
      </c>
      <c r="O377" s="949">
        <v>30.0</v>
      </c>
      <c r="P377" s="949">
        <v>30.0</v>
      </c>
      <c r="Q377" s="949">
        <v>40.0</v>
      </c>
      <c r="R377" s="949">
        <v>116.0</v>
      </c>
      <c r="S377" s="949">
        <v>179.0</v>
      </c>
      <c r="T377" s="949">
        <v>196.0</v>
      </c>
      <c r="U377" s="949"/>
      <c r="V377" s="949"/>
      <c r="W377" s="949"/>
      <c r="X377" s="949"/>
      <c r="Y377" s="949"/>
      <c r="Z377" s="949"/>
      <c r="AA377" s="949"/>
      <c r="AB377" s="949"/>
      <c r="AC377" s="949"/>
      <c r="AD377" s="949"/>
      <c r="AE377" s="949"/>
      <c r="AF377" s="949"/>
      <c r="AG377" s="949"/>
      <c r="AH377" s="949"/>
      <c r="AI377" s="949"/>
      <c r="AJ377" s="949"/>
      <c r="AK377" s="949"/>
      <c r="AL377" s="949"/>
      <c r="AM377" s="964" t="s">
        <v>795</v>
      </c>
      <c r="AN377" s="973"/>
      <c r="AO377" s="965" t="s">
        <v>787</v>
      </c>
      <c r="AP377" s="931"/>
      <c r="AQ377" s="956"/>
      <c r="AR377" s="957"/>
      <c r="AS377" s="931"/>
    </row>
    <row r="378" ht="15.75" customHeight="1">
      <c r="A378" s="963"/>
      <c r="B378" s="941" t="s">
        <v>1938</v>
      </c>
      <c r="C378" s="942" t="s">
        <v>1939</v>
      </c>
      <c r="D378" s="942" t="s">
        <v>1939</v>
      </c>
      <c r="E378" s="966" t="s">
        <v>1939</v>
      </c>
      <c r="F378" s="935"/>
      <c r="G378" s="944"/>
      <c r="H378" s="944"/>
      <c r="I378" s="959" t="s">
        <v>1940</v>
      </c>
      <c r="J378" s="967" t="s">
        <v>715</v>
      </c>
      <c r="K378" s="960" t="s">
        <v>707</v>
      </c>
      <c r="L378" s="949">
        <v>61.0</v>
      </c>
      <c r="M378" s="949">
        <v>90.0</v>
      </c>
      <c r="N378" s="949">
        <v>45.0</v>
      </c>
      <c r="O378" s="949">
        <v>50.0</v>
      </c>
      <c r="P378" s="949">
        <v>50.0</v>
      </c>
      <c r="Q378" s="949">
        <v>160.0</v>
      </c>
      <c r="R378" s="949">
        <v>356.0</v>
      </c>
      <c r="S378" s="949">
        <v>419.0</v>
      </c>
      <c r="T378" s="949">
        <v>460.0</v>
      </c>
      <c r="U378" s="949"/>
      <c r="V378" s="949"/>
      <c r="W378" s="949"/>
      <c r="X378" s="949"/>
      <c r="Y378" s="949"/>
      <c r="Z378" s="949"/>
      <c r="AA378" s="949"/>
      <c r="AB378" s="949"/>
      <c r="AC378" s="949"/>
      <c r="AD378" s="949"/>
      <c r="AE378" s="949"/>
      <c r="AF378" s="949"/>
      <c r="AG378" s="949"/>
      <c r="AH378" s="949"/>
      <c r="AI378" s="949"/>
      <c r="AJ378" s="949"/>
      <c r="AK378" s="949"/>
      <c r="AL378" s="949"/>
      <c r="AM378" s="964" t="s">
        <v>1626</v>
      </c>
      <c r="AN378" s="973"/>
      <c r="AO378" s="965" t="s">
        <v>995</v>
      </c>
      <c r="AP378" s="931"/>
      <c r="AQ378" s="956"/>
      <c r="AR378" s="957"/>
      <c r="AS378" s="931"/>
    </row>
    <row r="379" ht="15.75" customHeight="1">
      <c r="A379" s="963"/>
      <c r="B379" s="941" t="s">
        <v>1941</v>
      </c>
      <c r="C379" s="942" t="s">
        <v>1942</v>
      </c>
      <c r="D379" s="942" t="s">
        <v>1942</v>
      </c>
      <c r="E379" s="966" t="s">
        <v>1942</v>
      </c>
      <c r="F379" s="935"/>
      <c r="G379" s="944"/>
      <c r="H379" s="944"/>
      <c r="I379" s="959" t="s">
        <v>1943</v>
      </c>
      <c r="J379" s="967" t="s">
        <v>715</v>
      </c>
      <c r="K379" s="994" t="s">
        <v>717</v>
      </c>
      <c r="L379" s="949">
        <v>1.0</v>
      </c>
      <c r="M379" s="949">
        <v>90.0</v>
      </c>
      <c r="N379" s="949">
        <v>45.0</v>
      </c>
      <c r="O379" s="949">
        <v>30.0</v>
      </c>
      <c r="P379" s="949">
        <v>30.0</v>
      </c>
      <c r="Q379" s="949">
        <v>40.0</v>
      </c>
      <c r="R379" s="949">
        <v>116.0</v>
      </c>
      <c r="S379" s="949">
        <v>179.0</v>
      </c>
      <c r="T379" s="949">
        <v>196.0</v>
      </c>
      <c r="U379" s="949"/>
      <c r="V379" s="949"/>
      <c r="W379" s="949"/>
      <c r="X379" s="949"/>
      <c r="Y379" s="949"/>
      <c r="Z379" s="949"/>
      <c r="AA379" s="949"/>
      <c r="AB379" s="949"/>
      <c r="AC379" s="949"/>
      <c r="AD379" s="949"/>
      <c r="AE379" s="949"/>
      <c r="AF379" s="949"/>
      <c r="AG379" s="949"/>
      <c r="AH379" s="949"/>
      <c r="AI379" s="949"/>
      <c r="AJ379" s="949"/>
      <c r="AK379" s="949"/>
      <c r="AL379" s="949"/>
      <c r="AM379" s="964" t="s">
        <v>1944</v>
      </c>
      <c r="AN379" s="973"/>
      <c r="AO379" s="965"/>
      <c r="AP379" s="931"/>
      <c r="AQ379" s="956"/>
      <c r="AR379" s="957"/>
      <c r="AS379" s="931"/>
    </row>
    <row r="380" ht="15.75" customHeight="1">
      <c r="A380" s="931"/>
      <c r="B380" s="941" t="s">
        <v>1945</v>
      </c>
      <c r="C380" s="971" t="s">
        <v>1946</v>
      </c>
      <c r="D380" s="971" t="s">
        <v>1946</v>
      </c>
      <c r="E380" s="966" t="s">
        <v>1946</v>
      </c>
      <c r="F380" s="935"/>
      <c r="G380" s="944"/>
      <c r="H380" s="944"/>
      <c r="I380" s="959" t="s">
        <v>1947</v>
      </c>
      <c r="J380" s="991" t="s">
        <v>703</v>
      </c>
      <c r="K380" s="973" t="s">
        <v>158</v>
      </c>
      <c r="L380" s="974">
        <v>64.0</v>
      </c>
      <c r="M380" s="974">
        <v>51.0</v>
      </c>
      <c r="N380" s="974">
        <v>23.0</v>
      </c>
      <c r="O380" s="974">
        <v>51.0</v>
      </c>
      <c r="P380" s="974">
        <v>23.0</v>
      </c>
      <c r="Q380" s="974">
        <v>28.0</v>
      </c>
      <c r="R380" s="949">
        <v>92.0</v>
      </c>
      <c r="S380" s="949">
        <v>155.0</v>
      </c>
      <c r="T380" s="949">
        <v>170.0</v>
      </c>
      <c r="U380" s="949"/>
      <c r="V380" s="949"/>
      <c r="W380" s="949"/>
      <c r="X380" s="949"/>
      <c r="Y380" s="949"/>
      <c r="Z380" s="949"/>
      <c r="AA380" s="949"/>
      <c r="AB380" s="949"/>
      <c r="AC380" s="949"/>
      <c r="AD380" s="949"/>
      <c r="AE380" s="949"/>
      <c r="AF380" s="949"/>
      <c r="AG380" s="949"/>
      <c r="AH380" s="949"/>
      <c r="AI380" s="949"/>
      <c r="AJ380" s="949"/>
      <c r="AK380" s="949"/>
      <c r="AL380" s="949"/>
      <c r="AM380" s="964" t="s">
        <v>1272</v>
      </c>
      <c r="AN380" s="954"/>
      <c r="AO380" s="955" t="s">
        <v>1046</v>
      </c>
      <c r="AP380" s="931"/>
      <c r="AQ380" s="956"/>
      <c r="AR380" s="957"/>
      <c r="AS380" s="931"/>
    </row>
    <row r="381" ht="15.75" customHeight="1">
      <c r="A381" s="931"/>
      <c r="B381" s="941" t="s">
        <v>1948</v>
      </c>
      <c r="C381" s="971" t="s">
        <v>1949</v>
      </c>
      <c r="D381" s="971" t="s">
        <v>1949</v>
      </c>
      <c r="E381" s="966" t="s">
        <v>1949</v>
      </c>
      <c r="F381" s="935"/>
      <c r="G381" s="944"/>
      <c r="H381" s="944"/>
      <c r="I381" s="959" t="s">
        <v>1950</v>
      </c>
      <c r="J381" s="991" t="s">
        <v>703</v>
      </c>
      <c r="K381" s="973" t="s">
        <v>158</v>
      </c>
      <c r="L381" s="949">
        <v>84.0</v>
      </c>
      <c r="M381" s="974">
        <v>71.0</v>
      </c>
      <c r="N381" s="949">
        <v>43.0</v>
      </c>
      <c r="O381" s="974">
        <v>71.0</v>
      </c>
      <c r="P381" s="949">
        <v>43.0</v>
      </c>
      <c r="Q381" s="949">
        <v>48.0</v>
      </c>
      <c r="R381" s="949">
        <v>132.0</v>
      </c>
      <c r="S381" s="949">
        <v>195.0</v>
      </c>
      <c r="T381" s="949">
        <v>214.0</v>
      </c>
      <c r="U381" s="949"/>
      <c r="V381" s="949"/>
      <c r="W381" s="949"/>
      <c r="X381" s="949"/>
      <c r="Y381" s="949"/>
      <c r="Z381" s="949"/>
      <c r="AA381" s="949"/>
      <c r="AB381" s="949"/>
      <c r="AC381" s="949"/>
      <c r="AD381" s="949"/>
      <c r="AE381" s="949"/>
      <c r="AF381" s="949"/>
      <c r="AG381" s="949"/>
      <c r="AH381" s="949"/>
      <c r="AI381" s="949"/>
      <c r="AJ381" s="949"/>
      <c r="AK381" s="949"/>
      <c r="AL381" s="949"/>
      <c r="AM381" s="964" t="s">
        <v>1272</v>
      </c>
      <c r="AN381" s="954"/>
      <c r="AO381" s="955" t="s">
        <v>1205</v>
      </c>
      <c r="AP381" s="931"/>
      <c r="AQ381" s="956"/>
      <c r="AR381" s="1006"/>
      <c r="AS381" s="931"/>
    </row>
    <row r="382" ht="15.75" customHeight="1">
      <c r="A382" s="931"/>
      <c r="B382" s="941" t="s">
        <v>1951</v>
      </c>
      <c r="C382" s="971" t="s">
        <v>1952</v>
      </c>
      <c r="D382" s="971" t="s">
        <v>1952</v>
      </c>
      <c r="E382" s="966" t="s">
        <v>1952</v>
      </c>
      <c r="F382" s="935"/>
      <c r="G382" s="944"/>
      <c r="H382" s="944"/>
      <c r="I382" s="959" t="s">
        <v>1953</v>
      </c>
      <c r="J382" s="991" t="s">
        <v>703</v>
      </c>
      <c r="K382" s="973" t="s">
        <v>158</v>
      </c>
      <c r="L382" s="949">
        <v>104.0</v>
      </c>
      <c r="M382" s="949">
        <v>91.0</v>
      </c>
      <c r="N382" s="949">
        <v>63.0</v>
      </c>
      <c r="O382" s="949">
        <v>91.0</v>
      </c>
      <c r="P382" s="949">
        <v>73.0</v>
      </c>
      <c r="Q382" s="949">
        <v>68.0</v>
      </c>
      <c r="R382" s="949">
        <v>172.0</v>
      </c>
      <c r="S382" s="949">
        <v>235.0</v>
      </c>
      <c r="T382" s="949">
        <v>258.0</v>
      </c>
      <c r="U382" s="949"/>
      <c r="V382" s="949"/>
      <c r="W382" s="949"/>
      <c r="X382" s="949"/>
      <c r="Y382" s="949"/>
      <c r="Z382" s="949"/>
      <c r="AA382" s="949"/>
      <c r="AB382" s="949"/>
      <c r="AC382" s="949"/>
      <c r="AD382" s="949"/>
      <c r="AE382" s="949"/>
      <c r="AF382" s="949"/>
      <c r="AG382" s="949"/>
      <c r="AH382" s="949"/>
      <c r="AI382" s="949"/>
      <c r="AJ382" s="949"/>
      <c r="AK382" s="949"/>
      <c r="AL382" s="949"/>
      <c r="AM382" s="964" t="s">
        <v>1272</v>
      </c>
      <c r="AN382" s="954"/>
      <c r="AO382" s="955" t="s">
        <v>1205</v>
      </c>
      <c r="AP382" s="931"/>
      <c r="AQ382" s="956"/>
      <c r="AR382" s="957"/>
      <c r="AS382" s="931"/>
    </row>
    <row r="383" ht="15.75" customHeight="1">
      <c r="A383" s="963"/>
      <c r="B383" s="941" t="s">
        <v>1954</v>
      </c>
      <c r="C383" s="942" t="s">
        <v>1955</v>
      </c>
      <c r="D383" s="942" t="s">
        <v>1955</v>
      </c>
      <c r="E383" s="966" t="s">
        <v>1955</v>
      </c>
      <c r="F383" s="935"/>
      <c r="G383" s="944"/>
      <c r="H383" s="944"/>
      <c r="I383" s="959" t="s">
        <v>531</v>
      </c>
      <c r="J383" s="988" t="s">
        <v>705</v>
      </c>
      <c r="K383" s="954" t="s">
        <v>158</v>
      </c>
      <c r="L383" s="949">
        <v>72.0</v>
      </c>
      <c r="M383" s="949">
        <v>60.0</v>
      </c>
      <c r="N383" s="949">
        <v>30.0</v>
      </c>
      <c r="O383" s="949">
        <v>20.0</v>
      </c>
      <c r="P383" s="949">
        <v>30.0</v>
      </c>
      <c r="Q383" s="949">
        <v>25.0</v>
      </c>
      <c r="R383" s="949">
        <v>86.0</v>
      </c>
      <c r="S383" s="949">
        <v>149.0</v>
      </c>
      <c r="T383" s="949">
        <v>163.0</v>
      </c>
      <c r="U383" s="949"/>
      <c r="V383" s="949"/>
      <c r="W383" s="949"/>
      <c r="X383" s="949"/>
      <c r="Y383" s="949"/>
      <c r="Z383" s="949"/>
      <c r="AA383" s="949"/>
      <c r="AB383" s="949"/>
      <c r="AC383" s="949"/>
      <c r="AD383" s="949"/>
      <c r="AE383" s="949"/>
      <c r="AF383" s="949"/>
      <c r="AG383" s="949"/>
      <c r="AH383" s="949"/>
      <c r="AI383" s="949"/>
      <c r="AJ383" s="949"/>
      <c r="AK383" s="949"/>
      <c r="AL383" s="949"/>
      <c r="AM383" s="964" t="s">
        <v>746</v>
      </c>
      <c r="AN383" s="954" t="s">
        <v>831</v>
      </c>
      <c r="AO383" s="955" t="s">
        <v>949</v>
      </c>
      <c r="AP383" s="931"/>
      <c r="AQ383" s="956"/>
      <c r="AR383" s="957"/>
      <c r="AS383" s="931"/>
    </row>
    <row r="384" ht="15.75" customHeight="1">
      <c r="A384" s="963"/>
      <c r="B384" s="941" t="s">
        <v>1956</v>
      </c>
      <c r="C384" s="942" t="s">
        <v>244</v>
      </c>
      <c r="D384" s="942" t="s">
        <v>244</v>
      </c>
      <c r="E384" s="966" t="s">
        <v>244</v>
      </c>
      <c r="F384" s="935"/>
      <c r="G384" s="944"/>
      <c r="H384" s="944"/>
      <c r="I384" s="959" t="s">
        <v>93</v>
      </c>
      <c r="J384" s="988" t="s">
        <v>705</v>
      </c>
      <c r="K384" s="954" t="s">
        <v>158</v>
      </c>
      <c r="L384" s="949">
        <v>144.0</v>
      </c>
      <c r="M384" s="949">
        <v>120.0</v>
      </c>
      <c r="N384" s="949">
        <v>60.0</v>
      </c>
      <c r="O384" s="949">
        <v>40.0</v>
      </c>
      <c r="P384" s="949">
        <v>60.0</v>
      </c>
      <c r="Q384" s="949">
        <v>50.0</v>
      </c>
      <c r="R384" s="949">
        <v>136.0</v>
      </c>
      <c r="S384" s="949">
        <v>199.0</v>
      </c>
      <c r="T384" s="949">
        <v>218.0</v>
      </c>
      <c r="U384" s="949"/>
      <c r="V384" s="949"/>
      <c r="W384" s="949"/>
      <c r="X384" s="949"/>
      <c r="Y384" s="949"/>
      <c r="Z384" s="949"/>
      <c r="AA384" s="949"/>
      <c r="AB384" s="949"/>
      <c r="AC384" s="949"/>
      <c r="AD384" s="949"/>
      <c r="AE384" s="949"/>
      <c r="AF384" s="949"/>
      <c r="AG384" s="949"/>
      <c r="AH384" s="949"/>
      <c r="AI384" s="949"/>
      <c r="AJ384" s="949"/>
      <c r="AK384" s="949"/>
      <c r="AL384" s="949"/>
      <c r="AM384" s="953" t="s">
        <v>746</v>
      </c>
      <c r="AN384" s="973" t="s">
        <v>831</v>
      </c>
      <c r="AO384" s="965" t="s">
        <v>949</v>
      </c>
      <c r="AP384" s="931"/>
      <c r="AQ384" s="956"/>
      <c r="AR384" s="957"/>
      <c r="AS384" s="931"/>
    </row>
    <row r="385" ht="15.75" customHeight="1">
      <c r="A385" s="963"/>
      <c r="B385" s="941" t="s">
        <v>1957</v>
      </c>
      <c r="C385" s="942" t="s">
        <v>270</v>
      </c>
      <c r="D385" s="942" t="s">
        <v>270</v>
      </c>
      <c r="E385" s="966" t="s">
        <v>270</v>
      </c>
      <c r="F385" s="935"/>
      <c r="G385" s="944"/>
      <c r="H385" s="944"/>
      <c r="I385" s="959" t="s">
        <v>125</v>
      </c>
      <c r="J385" s="968" t="s">
        <v>703</v>
      </c>
      <c r="K385" s="980" t="s">
        <v>720</v>
      </c>
      <c r="L385" s="949">
        <v>50.0</v>
      </c>
      <c r="M385" s="949">
        <v>20.0</v>
      </c>
      <c r="N385" s="949">
        <v>40.0</v>
      </c>
      <c r="O385" s="949">
        <v>20.0</v>
      </c>
      <c r="P385" s="949">
        <v>40.0</v>
      </c>
      <c r="Q385" s="949">
        <v>20.0</v>
      </c>
      <c r="R385" s="949">
        <v>76.0</v>
      </c>
      <c r="S385" s="949">
        <v>139.0</v>
      </c>
      <c r="T385" s="949">
        <v>152.0</v>
      </c>
      <c r="U385" s="949"/>
      <c r="V385" s="949"/>
      <c r="W385" s="949"/>
      <c r="X385" s="949"/>
      <c r="Y385" s="949"/>
      <c r="Z385" s="949"/>
      <c r="AA385" s="949"/>
      <c r="AB385" s="949"/>
      <c r="AC385" s="949"/>
      <c r="AD385" s="949"/>
      <c r="AE385" s="949"/>
      <c r="AF385" s="949"/>
      <c r="AG385" s="949"/>
      <c r="AH385" s="949"/>
      <c r="AI385" s="949"/>
      <c r="AJ385" s="949"/>
      <c r="AK385" s="949"/>
      <c r="AL385" s="949"/>
      <c r="AM385" s="964" t="s">
        <v>746</v>
      </c>
      <c r="AN385" s="954" t="s">
        <v>1602</v>
      </c>
      <c r="AO385" s="955" t="s">
        <v>1603</v>
      </c>
      <c r="AP385" s="931"/>
      <c r="AQ385" s="956"/>
      <c r="AR385" s="957"/>
      <c r="AS385" s="931"/>
    </row>
    <row r="386" ht="15.75" customHeight="1">
      <c r="A386" s="931"/>
      <c r="B386" s="941" t="s">
        <v>1958</v>
      </c>
      <c r="C386" s="942" t="s">
        <v>1959</v>
      </c>
      <c r="D386" s="942" t="s">
        <v>1959</v>
      </c>
      <c r="E386" s="966" t="s">
        <v>1959</v>
      </c>
      <c r="F386" s="935"/>
      <c r="G386" s="944"/>
      <c r="H386" s="944"/>
      <c r="I386" s="959" t="s">
        <v>1960</v>
      </c>
      <c r="J386" s="996" t="s">
        <v>713</v>
      </c>
      <c r="K386" s="954" t="s">
        <v>158</v>
      </c>
      <c r="L386" s="974">
        <v>30.0</v>
      </c>
      <c r="M386" s="974">
        <v>45.0</v>
      </c>
      <c r="N386" s="974">
        <v>135.0</v>
      </c>
      <c r="O386" s="974">
        <v>45.0</v>
      </c>
      <c r="P386" s="974">
        <v>90.0</v>
      </c>
      <c r="Q386" s="974">
        <v>30.0</v>
      </c>
      <c r="R386" s="949">
        <v>96.0</v>
      </c>
      <c r="S386" s="949">
        <v>159.0</v>
      </c>
      <c r="T386" s="949">
        <v>174.0</v>
      </c>
      <c r="U386" s="949"/>
      <c r="V386" s="949"/>
      <c r="W386" s="949"/>
      <c r="X386" s="949"/>
      <c r="Y386" s="949"/>
      <c r="Z386" s="949"/>
      <c r="AA386" s="949"/>
      <c r="AB386" s="949"/>
      <c r="AC386" s="949"/>
      <c r="AD386" s="949"/>
      <c r="AE386" s="949"/>
      <c r="AF386" s="949"/>
      <c r="AG386" s="949"/>
      <c r="AH386" s="949"/>
      <c r="AI386" s="949"/>
      <c r="AJ386" s="949"/>
      <c r="AK386" s="949"/>
      <c r="AL386" s="949"/>
      <c r="AM386" s="964" t="s">
        <v>1135</v>
      </c>
      <c r="AN386" s="954" t="s">
        <v>1140</v>
      </c>
      <c r="AO386" s="955" t="s">
        <v>1026</v>
      </c>
      <c r="AP386" s="931"/>
      <c r="AQ386" s="956"/>
      <c r="AR386" s="957"/>
      <c r="AS386" s="931"/>
    </row>
    <row r="387" ht="15.75" customHeight="1">
      <c r="A387" s="963"/>
      <c r="B387" s="941" t="s">
        <v>1961</v>
      </c>
      <c r="C387" s="942" t="s">
        <v>1962</v>
      </c>
      <c r="D387" s="942" t="s">
        <v>1962</v>
      </c>
      <c r="E387" s="966" t="s">
        <v>1962</v>
      </c>
      <c r="F387" s="935"/>
      <c r="G387" s="944"/>
      <c r="H387" s="944"/>
      <c r="I387" s="959" t="s">
        <v>1963</v>
      </c>
      <c r="J387" s="968" t="s">
        <v>703</v>
      </c>
      <c r="K387" s="954" t="s">
        <v>158</v>
      </c>
      <c r="L387" s="949">
        <v>50.0</v>
      </c>
      <c r="M387" s="949">
        <v>45.0</v>
      </c>
      <c r="N387" s="949">
        <v>45.0</v>
      </c>
      <c r="O387" s="949">
        <v>35.0</v>
      </c>
      <c r="P387" s="949">
        <v>35.0</v>
      </c>
      <c r="Q387" s="949">
        <v>50.0</v>
      </c>
      <c r="R387" s="949">
        <v>136.0</v>
      </c>
      <c r="S387" s="949">
        <v>199.0</v>
      </c>
      <c r="T387" s="949">
        <v>218.0</v>
      </c>
      <c r="U387" s="949"/>
      <c r="V387" s="949"/>
      <c r="W387" s="949"/>
      <c r="X387" s="949"/>
      <c r="Y387" s="949"/>
      <c r="Z387" s="949"/>
      <c r="AA387" s="949"/>
      <c r="AB387" s="949"/>
      <c r="AC387" s="949"/>
      <c r="AD387" s="949"/>
      <c r="AE387" s="949"/>
      <c r="AF387" s="949"/>
      <c r="AG387" s="949"/>
      <c r="AH387" s="949"/>
      <c r="AI387" s="949"/>
      <c r="AJ387" s="949"/>
      <c r="AK387" s="949"/>
      <c r="AL387" s="949"/>
      <c r="AM387" s="953" t="s">
        <v>962</v>
      </c>
      <c r="AN387" s="954" t="s">
        <v>1964</v>
      </c>
      <c r="AO387" s="955" t="s">
        <v>1022</v>
      </c>
      <c r="AP387" s="931"/>
      <c r="AQ387" s="956"/>
      <c r="AR387" s="957"/>
      <c r="AS387" s="931"/>
    </row>
    <row r="388" ht="15.75" customHeight="1">
      <c r="A388" s="931"/>
      <c r="B388" s="941" t="s">
        <v>1965</v>
      </c>
      <c r="C388" s="942" t="s">
        <v>1966</v>
      </c>
      <c r="D388" s="942" t="s">
        <v>1966</v>
      </c>
      <c r="E388" s="943" t="s">
        <v>1966</v>
      </c>
      <c r="F388" s="935"/>
      <c r="G388" s="944"/>
      <c r="H388" s="944"/>
      <c r="I388" s="946" t="s">
        <v>1967</v>
      </c>
      <c r="J388" s="968" t="s">
        <v>703</v>
      </c>
      <c r="K388" s="954" t="s">
        <v>158</v>
      </c>
      <c r="L388" s="949">
        <v>70.0</v>
      </c>
      <c r="M388" s="949">
        <v>65.0</v>
      </c>
      <c r="N388" s="949">
        <v>65.0</v>
      </c>
      <c r="O388" s="949">
        <v>55.0</v>
      </c>
      <c r="P388" s="949">
        <v>55.0</v>
      </c>
      <c r="Q388" s="949">
        <v>90.0</v>
      </c>
      <c r="R388" s="949">
        <v>216.0</v>
      </c>
      <c r="S388" s="949">
        <v>279.0</v>
      </c>
      <c r="T388" s="949">
        <v>306.0</v>
      </c>
      <c r="U388" s="949"/>
      <c r="V388" s="949"/>
      <c r="W388" s="949"/>
      <c r="X388" s="949"/>
      <c r="Y388" s="949"/>
      <c r="Z388" s="949"/>
      <c r="AA388" s="949"/>
      <c r="AB388" s="949"/>
      <c r="AC388" s="949"/>
      <c r="AD388" s="949"/>
      <c r="AE388" s="949"/>
      <c r="AF388" s="949"/>
      <c r="AG388" s="949"/>
      <c r="AH388" s="949"/>
      <c r="AI388" s="949"/>
      <c r="AJ388" s="949"/>
      <c r="AK388" s="949"/>
      <c r="AL388" s="949"/>
      <c r="AM388" s="953" t="s">
        <v>962</v>
      </c>
      <c r="AN388" s="954" t="s">
        <v>1964</v>
      </c>
      <c r="AO388" s="955" t="s">
        <v>1022</v>
      </c>
      <c r="AP388" s="931"/>
      <c r="AQ388" s="956"/>
      <c r="AR388" s="957"/>
      <c r="AS388" s="931"/>
    </row>
    <row r="389" ht="15.75" customHeight="1">
      <c r="A389" s="931"/>
      <c r="B389" s="941" t="s">
        <v>1968</v>
      </c>
      <c r="C389" s="942" t="s">
        <v>1969</v>
      </c>
      <c r="D389" s="942" t="s">
        <v>1969</v>
      </c>
      <c r="E389" s="943" t="s">
        <v>1969</v>
      </c>
      <c r="F389" s="935"/>
      <c r="G389" s="944"/>
      <c r="H389" s="944"/>
      <c r="I389" s="946" t="s">
        <v>393</v>
      </c>
      <c r="J389" s="969" t="s">
        <v>718</v>
      </c>
      <c r="K389" s="994" t="s">
        <v>717</v>
      </c>
      <c r="L389" s="949">
        <v>50.0</v>
      </c>
      <c r="M389" s="949">
        <v>75.0</v>
      </c>
      <c r="N389" s="949">
        <v>75.0</v>
      </c>
      <c r="O389" s="949">
        <v>65.0</v>
      </c>
      <c r="P389" s="949">
        <v>65.0</v>
      </c>
      <c r="Q389" s="949">
        <v>50.0</v>
      </c>
      <c r="R389" s="949">
        <v>136.0</v>
      </c>
      <c r="S389" s="949">
        <v>199.0</v>
      </c>
      <c r="T389" s="949">
        <v>218.0</v>
      </c>
      <c r="U389" s="949"/>
      <c r="V389" s="949"/>
      <c r="W389" s="949"/>
      <c r="X389" s="949"/>
      <c r="Y389" s="949"/>
      <c r="Z389" s="949"/>
      <c r="AA389" s="949"/>
      <c r="AB389" s="949"/>
      <c r="AC389" s="949"/>
      <c r="AD389" s="949"/>
      <c r="AE389" s="949"/>
      <c r="AF389" s="949"/>
      <c r="AG389" s="949"/>
      <c r="AH389" s="949"/>
      <c r="AI389" s="949"/>
      <c r="AJ389" s="949"/>
      <c r="AK389" s="949"/>
      <c r="AL389" s="949"/>
      <c r="AM389" s="953" t="s">
        <v>815</v>
      </c>
      <c r="AN389" s="954" t="s">
        <v>1970</v>
      </c>
      <c r="AO389" s="955" t="s">
        <v>1641</v>
      </c>
      <c r="AP389" s="931"/>
      <c r="AQ389" s="956"/>
      <c r="AR389" s="957"/>
      <c r="AS389" s="931"/>
    </row>
    <row r="390" ht="15.75" customHeight="1">
      <c r="A390" s="931"/>
      <c r="B390" s="941" t="s">
        <v>1971</v>
      </c>
      <c r="C390" s="942" t="s">
        <v>1972</v>
      </c>
      <c r="D390" s="942" t="s">
        <v>1972</v>
      </c>
      <c r="E390" s="943" t="s">
        <v>1972</v>
      </c>
      <c r="F390" s="935"/>
      <c r="G390" s="944"/>
      <c r="H390" s="944"/>
      <c r="I390" s="946" t="s">
        <v>1973</v>
      </c>
      <c r="J390" s="969" t="s">
        <v>718</v>
      </c>
      <c r="K390" s="994" t="s">
        <v>717</v>
      </c>
      <c r="L390" s="949">
        <v>50.0</v>
      </c>
      <c r="M390" s="949">
        <v>85.0</v>
      </c>
      <c r="N390" s="949">
        <v>125.0</v>
      </c>
      <c r="O390" s="949">
        <v>85.0</v>
      </c>
      <c r="P390" s="949">
        <v>115.0</v>
      </c>
      <c r="Q390" s="949">
        <v>20.0</v>
      </c>
      <c r="R390" s="949">
        <v>76.0</v>
      </c>
      <c r="S390" s="949">
        <v>139.0</v>
      </c>
      <c r="T390" s="949">
        <v>152.0</v>
      </c>
      <c r="U390" s="949"/>
      <c r="V390" s="949"/>
      <c r="W390" s="949"/>
      <c r="X390" s="949"/>
      <c r="Y390" s="949"/>
      <c r="Z390" s="949"/>
      <c r="AA390" s="949"/>
      <c r="AB390" s="949"/>
      <c r="AC390" s="949"/>
      <c r="AD390" s="949"/>
      <c r="AE390" s="949"/>
      <c r="AF390" s="949"/>
      <c r="AG390" s="949"/>
      <c r="AH390" s="949"/>
      <c r="AI390" s="949"/>
      <c r="AJ390" s="949"/>
      <c r="AK390" s="949"/>
      <c r="AL390" s="949"/>
      <c r="AM390" s="953" t="s">
        <v>1583</v>
      </c>
      <c r="AN390" s="954"/>
      <c r="AO390" s="955"/>
      <c r="AP390" s="931"/>
      <c r="AQ390" s="956"/>
      <c r="AR390" s="957"/>
      <c r="AS390" s="931"/>
    </row>
    <row r="391" ht="15.75" customHeight="1">
      <c r="A391" s="931"/>
      <c r="B391" s="941" t="s">
        <v>1974</v>
      </c>
      <c r="C391" s="942" t="s">
        <v>1975</v>
      </c>
      <c r="D391" s="942" t="s">
        <v>1975</v>
      </c>
      <c r="E391" s="943" t="s">
        <v>1975</v>
      </c>
      <c r="F391" s="935"/>
      <c r="G391" s="944"/>
      <c r="H391" s="944"/>
      <c r="I391" s="946" t="s">
        <v>1976</v>
      </c>
      <c r="J391" s="978" t="s">
        <v>719</v>
      </c>
      <c r="K391" s="980" t="s">
        <v>720</v>
      </c>
      <c r="L391" s="949">
        <v>50.0</v>
      </c>
      <c r="M391" s="949">
        <v>85.0</v>
      </c>
      <c r="N391" s="949">
        <v>85.0</v>
      </c>
      <c r="O391" s="949">
        <v>55.0</v>
      </c>
      <c r="P391" s="949">
        <v>55.0</v>
      </c>
      <c r="Q391" s="949">
        <v>50.0</v>
      </c>
      <c r="R391" s="949">
        <v>136.0</v>
      </c>
      <c r="S391" s="949">
        <v>199.0</v>
      </c>
      <c r="T391" s="949">
        <v>218.0</v>
      </c>
      <c r="U391" s="949"/>
      <c r="V391" s="949"/>
      <c r="W391" s="949"/>
      <c r="X391" s="949"/>
      <c r="Y391" s="949"/>
      <c r="Z391" s="949"/>
      <c r="AA391" s="949"/>
      <c r="AB391" s="949"/>
      <c r="AC391" s="949"/>
      <c r="AD391" s="949"/>
      <c r="AE391" s="949"/>
      <c r="AF391" s="949"/>
      <c r="AG391" s="949"/>
      <c r="AH391" s="949"/>
      <c r="AI391" s="949"/>
      <c r="AJ391" s="949"/>
      <c r="AK391" s="949"/>
      <c r="AL391" s="949"/>
      <c r="AM391" s="953" t="s">
        <v>1266</v>
      </c>
      <c r="AN391" s="954" t="s">
        <v>854</v>
      </c>
      <c r="AO391" s="955" t="s">
        <v>949</v>
      </c>
      <c r="AP391" s="931"/>
      <c r="AQ391" s="956"/>
      <c r="AR391" s="957"/>
      <c r="AS391" s="931"/>
    </row>
    <row r="392" ht="15.75" customHeight="1">
      <c r="A392" s="931"/>
      <c r="B392" s="941" t="s">
        <v>1977</v>
      </c>
      <c r="C392" s="942" t="s">
        <v>1978</v>
      </c>
      <c r="D392" s="942" t="s">
        <v>1978</v>
      </c>
      <c r="E392" s="943" t="s">
        <v>1978</v>
      </c>
      <c r="F392" s="935"/>
      <c r="G392" s="944"/>
      <c r="H392" s="944"/>
      <c r="I392" s="946" t="s">
        <v>1979</v>
      </c>
      <c r="J392" s="978" t="s">
        <v>719</v>
      </c>
      <c r="K392" s="980" t="s">
        <v>720</v>
      </c>
      <c r="L392" s="949">
        <v>50.0</v>
      </c>
      <c r="M392" s="949">
        <v>105.0</v>
      </c>
      <c r="N392" s="949">
        <v>125.0</v>
      </c>
      <c r="O392" s="949">
        <v>55.0</v>
      </c>
      <c r="P392" s="949">
        <v>95.0</v>
      </c>
      <c r="Q392" s="949">
        <v>50.0</v>
      </c>
      <c r="R392" s="949">
        <v>136.0</v>
      </c>
      <c r="S392" s="949">
        <v>199.0</v>
      </c>
      <c r="T392" s="949">
        <v>218.0</v>
      </c>
      <c r="U392" s="949"/>
      <c r="V392" s="949"/>
      <c r="W392" s="949"/>
      <c r="X392" s="949"/>
      <c r="Y392" s="949"/>
      <c r="Z392" s="949"/>
      <c r="AA392" s="949"/>
      <c r="AB392" s="949"/>
      <c r="AC392" s="949"/>
      <c r="AD392" s="949"/>
      <c r="AE392" s="949"/>
      <c r="AF392" s="949"/>
      <c r="AG392" s="949"/>
      <c r="AH392" s="949"/>
      <c r="AI392" s="949"/>
      <c r="AJ392" s="949"/>
      <c r="AK392" s="949"/>
      <c r="AL392" s="949"/>
      <c r="AM392" s="953" t="s">
        <v>1602</v>
      </c>
      <c r="AN392" s="954"/>
      <c r="AO392" s="955"/>
      <c r="AP392" s="931"/>
      <c r="AQ392" s="956"/>
      <c r="AR392" s="957"/>
      <c r="AS392" s="931"/>
    </row>
    <row r="393" ht="15.75" customHeight="1">
      <c r="A393" s="963"/>
      <c r="B393" s="941" t="s">
        <v>1980</v>
      </c>
      <c r="C393" s="971" t="s">
        <v>1981</v>
      </c>
      <c r="D393" s="971" t="s">
        <v>1981</v>
      </c>
      <c r="E393" s="966" t="s">
        <v>1981</v>
      </c>
      <c r="F393" s="935"/>
      <c r="G393" s="944"/>
      <c r="H393" s="944"/>
      <c r="I393" s="959" t="s">
        <v>1982</v>
      </c>
      <c r="J393" s="1007" t="s">
        <v>719</v>
      </c>
      <c r="K393" s="996" t="s">
        <v>713</v>
      </c>
      <c r="L393" s="974">
        <v>50.0</v>
      </c>
      <c r="M393" s="974">
        <v>70.0</v>
      </c>
      <c r="N393" s="974">
        <v>100.0</v>
      </c>
      <c r="O393" s="974">
        <v>40.0</v>
      </c>
      <c r="P393" s="974">
        <v>40.0</v>
      </c>
      <c r="Q393" s="974">
        <v>30.0</v>
      </c>
      <c r="R393" s="949">
        <v>96.0</v>
      </c>
      <c r="S393" s="949">
        <v>159.0</v>
      </c>
      <c r="T393" s="949">
        <v>174.0</v>
      </c>
      <c r="U393" s="949"/>
      <c r="V393" s="949"/>
      <c r="W393" s="949"/>
      <c r="X393" s="949"/>
      <c r="Y393" s="949"/>
      <c r="Z393" s="949"/>
      <c r="AA393" s="949"/>
      <c r="AB393" s="949"/>
      <c r="AC393" s="949"/>
      <c r="AD393" s="949"/>
      <c r="AE393" s="949"/>
      <c r="AF393" s="949"/>
      <c r="AG393" s="949"/>
      <c r="AH393" s="949"/>
      <c r="AI393" s="949"/>
      <c r="AJ393" s="949"/>
      <c r="AK393" s="949"/>
      <c r="AL393" s="949"/>
      <c r="AM393" s="964" t="s">
        <v>1135</v>
      </c>
      <c r="AN393" s="973" t="s">
        <v>1077</v>
      </c>
      <c r="AO393" s="965" t="s">
        <v>1983</v>
      </c>
      <c r="AP393" s="931"/>
      <c r="AQ393" s="956"/>
      <c r="AR393" s="957"/>
      <c r="AS393" s="931"/>
    </row>
    <row r="394" ht="15.75" customHeight="1">
      <c r="A394" s="931"/>
      <c r="B394" s="941" t="s">
        <v>1984</v>
      </c>
      <c r="C394" s="942" t="s">
        <v>1985</v>
      </c>
      <c r="D394" s="942" t="s">
        <v>1985</v>
      </c>
      <c r="E394" s="943" t="s">
        <v>1985</v>
      </c>
      <c r="F394" s="935"/>
      <c r="G394" s="944"/>
      <c r="H394" s="944"/>
      <c r="I394" s="946" t="s">
        <v>1986</v>
      </c>
      <c r="J394" s="978" t="s">
        <v>719</v>
      </c>
      <c r="K394" s="989" t="s">
        <v>713</v>
      </c>
      <c r="L394" s="949">
        <v>60.0</v>
      </c>
      <c r="M394" s="949">
        <v>90.0</v>
      </c>
      <c r="N394" s="949">
        <v>140.0</v>
      </c>
      <c r="O394" s="949">
        <v>50.0</v>
      </c>
      <c r="P394" s="949">
        <v>50.0</v>
      </c>
      <c r="Q394" s="949">
        <v>40.0</v>
      </c>
      <c r="R394" s="949">
        <v>116.0</v>
      </c>
      <c r="S394" s="949">
        <v>179.0</v>
      </c>
      <c r="T394" s="949">
        <v>196.0</v>
      </c>
      <c r="U394" s="949"/>
      <c r="V394" s="949"/>
      <c r="W394" s="949"/>
      <c r="X394" s="949"/>
      <c r="Y394" s="949"/>
      <c r="Z394" s="949"/>
      <c r="AA394" s="949"/>
      <c r="AB394" s="949"/>
      <c r="AC394" s="949"/>
      <c r="AD394" s="949"/>
      <c r="AE394" s="949"/>
      <c r="AF394" s="949"/>
      <c r="AG394" s="949"/>
      <c r="AH394" s="949"/>
      <c r="AI394" s="949"/>
      <c r="AJ394" s="949"/>
      <c r="AK394" s="949"/>
      <c r="AL394" s="949"/>
      <c r="AM394" s="953" t="s">
        <v>1135</v>
      </c>
      <c r="AN394" s="954" t="s">
        <v>1077</v>
      </c>
      <c r="AO394" s="955" t="s">
        <v>1983</v>
      </c>
      <c r="AP394" s="931"/>
      <c r="AQ394" s="956"/>
      <c r="AR394" s="957"/>
      <c r="AS394" s="931"/>
    </row>
    <row r="395" ht="15.75" customHeight="1">
      <c r="A395" s="931"/>
      <c r="B395" s="941" t="s">
        <v>1987</v>
      </c>
      <c r="C395" s="942" t="s">
        <v>1988</v>
      </c>
      <c r="D395" s="942" t="s">
        <v>1988</v>
      </c>
      <c r="E395" s="943" t="s">
        <v>1988</v>
      </c>
      <c r="F395" s="935"/>
      <c r="G395" s="944"/>
      <c r="H395" s="944"/>
      <c r="I395" s="946" t="s">
        <v>1989</v>
      </c>
      <c r="J395" s="978" t="s">
        <v>719</v>
      </c>
      <c r="K395" s="989" t="s">
        <v>713</v>
      </c>
      <c r="L395" s="949">
        <v>70.0</v>
      </c>
      <c r="M395" s="949">
        <v>110.0</v>
      </c>
      <c r="N395" s="949">
        <v>180.0</v>
      </c>
      <c r="O395" s="949">
        <v>60.0</v>
      </c>
      <c r="P395" s="949">
        <v>60.0</v>
      </c>
      <c r="Q395" s="949">
        <v>50.0</v>
      </c>
      <c r="R395" s="949">
        <v>136.0</v>
      </c>
      <c r="S395" s="949">
        <v>199.0</v>
      </c>
      <c r="T395" s="949">
        <v>218.0</v>
      </c>
      <c r="U395" s="949"/>
      <c r="V395" s="949"/>
      <c r="W395" s="949"/>
      <c r="X395" s="949"/>
      <c r="Y395" s="949"/>
      <c r="Z395" s="949"/>
      <c r="AA395" s="949"/>
      <c r="AB395" s="949"/>
      <c r="AC395" s="949"/>
      <c r="AD395" s="949"/>
      <c r="AE395" s="949"/>
      <c r="AF395" s="949"/>
      <c r="AG395" s="949"/>
      <c r="AH395" s="949"/>
      <c r="AI395" s="949"/>
      <c r="AJ395" s="949"/>
      <c r="AK395" s="949"/>
      <c r="AL395" s="949"/>
      <c r="AM395" s="953" t="s">
        <v>1135</v>
      </c>
      <c r="AN395" s="954" t="s">
        <v>1077</v>
      </c>
      <c r="AO395" s="955" t="s">
        <v>1983</v>
      </c>
      <c r="AP395" s="931"/>
      <c r="AQ395" s="956"/>
      <c r="AR395" s="957"/>
      <c r="AS395" s="931"/>
    </row>
    <row r="396" ht="15.75" customHeight="1">
      <c r="A396" s="931"/>
      <c r="B396" s="941" t="s">
        <v>1990</v>
      </c>
      <c r="C396" s="942" t="s">
        <v>1991</v>
      </c>
      <c r="D396" s="942" t="s">
        <v>1991</v>
      </c>
      <c r="E396" s="943" t="s">
        <v>1991</v>
      </c>
      <c r="F396" s="935"/>
      <c r="G396" s="944"/>
      <c r="H396" s="944"/>
      <c r="I396" s="959" t="s">
        <v>1992</v>
      </c>
      <c r="J396" s="978" t="s">
        <v>719</v>
      </c>
      <c r="K396" s="954" t="s">
        <v>158</v>
      </c>
      <c r="L396" s="949">
        <v>70.0</v>
      </c>
      <c r="M396" s="949">
        <v>140.0</v>
      </c>
      <c r="N396" s="949">
        <v>230.0</v>
      </c>
      <c r="O396" s="949">
        <v>60.0</v>
      </c>
      <c r="P396" s="949">
        <v>80.0</v>
      </c>
      <c r="Q396" s="949">
        <v>50.0</v>
      </c>
      <c r="R396" s="949">
        <v>136.0</v>
      </c>
      <c r="S396" s="949">
        <v>199.0</v>
      </c>
      <c r="T396" s="949">
        <v>218.0</v>
      </c>
      <c r="U396" s="949"/>
      <c r="V396" s="949"/>
      <c r="W396" s="949"/>
      <c r="X396" s="949"/>
      <c r="Y396" s="949"/>
      <c r="Z396" s="949"/>
      <c r="AA396" s="949"/>
      <c r="AB396" s="949"/>
      <c r="AC396" s="949"/>
      <c r="AD396" s="949"/>
      <c r="AE396" s="949"/>
      <c r="AF396" s="949"/>
      <c r="AG396" s="949"/>
      <c r="AH396" s="949"/>
      <c r="AI396" s="949"/>
      <c r="AJ396" s="949"/>
      <c r="AK396" s="949"/>
      <c r="AL396" s="949"/>
      <c r="AM396" s="964" t="s">
        <v>1370</v>
      </c>
      <c r="AN396" s="954"/>
      <c r="AO396" s="955"/>
      <c r="AP396" s="931"/>
      <c r="AQ396" s="956"/>
      <c r="AR396" s="957"/>
      <c r="AS396" s="931"/>
    </row>
    <row r="397" ht="15.75" customHeight="1">
      <c r="A397" s="931"/>
      <c r="B397" s="941" t="s">
        <v>1993</v>
      </c>
      <c r="C397" s="942" t="s">
        <v>1994</v>
      </c>
      <c r="D397" s="942" t="s">
        <v>1994</v>
      </c>
      <c r="E397" s="943" t="s">
        <v>1994</v>
      </c>
      <c r="F397" s="935"/>
      <c r="G397" s="944"/>
      <c r="H397" s="944"/>
      <c r="I397" s="959" t="s">
        <v>532</v>
      </c>
      <c r="J397" s="988" t="s">
        <v>705</v>
      </c>
      <c r="K397" s="975" t="s">
        <v>712</v>
      </c>
      <c r="L397" s="949">
        <v>30.0</v>
      </c>
      <c r="M397" s="949">
        <v>40.0</v>
      </c>
      <c r="N397" s="949">
        <v>55.0</v>
      </c>
      <c r="O397" s="949">
        <v>40.0</v>
      </c>
      <c r="P397" s="949">
        <v>55.0</v>
      </c>
      <c r="Q397" s="949">
        <v>60.0</v>
      </c>
      <c r="R397" s="949">
        <v>156.0</v>
      </c>
      <c r="S397" s="949">
        <v>219.0</v>
      </c>
      <c r="T397" s="949">
        <v>240.0</v>
      </c>
      <c r="U397" s="949"/>
      <c r="V397" s="949"/>
      <c r="W397" s="949"/>
      <c r="X397" s="949"/>
      <c r="Y397" s="949"/>
      <c r="Z397" s="949"/>
      <c r="AA397" s="949"/>
      <c r="AB397" s="949"/>
      <c r="AC397" s="949"/>
      <c r="AD397" s="949"/>
      <c r="AE397" s="949"/>
      <c r="AF397" s="949"/>
      <c r="AG397" s="949"/>
      <c r="AH397" s="949"/>
      <c r="AI397" s="949"/>
      <c r="AJ397" s="949"/>
      <c r="AK397" s="949"/>
      <c r="AL397" s="949"/>
      <c r="AM397" s="964" t="s">
        <v>1995</v>
      </c>
      <c r="AN397" s="954"/>
      <c r="AO397" s="955" t="s">
        <v>1657</v>
      </c>
      <c r="AP397" s="931"/>
      <c r="AQ397" s="956"/>
      <c r="AR397" s="957"/>
      <c r="AS397" s="931"/>
    </row>
    <row r="398" ht="15.75" customHeight="1">
      <c r="A398" s="931"/>
      <c r="B398" s="941" t="s">
        <v>1996</v>
      </c>
      <c r="C398" s="942" t="s">
        <v>1997</v>
      </c>
      <c r="D398" s="942" t="s">
        <v>1997</v>
      </c>
      <c r="E398" s="943" t="s">
        <v>1997</v>
      </c>
      <c r="F398" s="935"/>
      <c r="G398" s="944"/>
      <c r="H398" s="944"/>
      <c r="I398" s="959" t="s">
        <v>440</v>
      </c>
      <c r="J398" s="988" t="s">
        <v>705</v>
      </c>
      <c r="K398" s="975" t="s">
        <v>712</v>
      </c>
      <c r="L398" s="949">
        <v>60.0</v>
      </c>
      <c r="M398" s="949">
        <v>60.0</v>
      </c>
      <c r="N398" s="949">
        <v>75.0</v>
      </c>
      <c r="O398" s="949">
        <v>60.0</v>
      </c>
      <c r="P398" s="949">
        <v>75.0</v>
      </c>
      <c r="Q398" s="949">
        <v>80.0</v>
      </c>
      <c r="R398" s="949">
        <v>196.0</v>
      </c>
      <c r="S398" s="949">
        <v>259.0</v>
      </c>
      <c r="T398" s="949">
        <v>284.0</v>
      </c>
      <c r="U398" s="949"/>
      <c r="V398" s="949"/>
      <c r="W398" s="949"/>
      <c r="X398" s="949"/>
      <c r="Y398" s="949"/>
      <c r="Z398" s="949"/>
      <c r="AA398" s="949"/>
      <c r="AB398" s="949"/>
      <c r="AC398" s="949"/>
      <c r="AD398" s="949"/>
      <c r="AE398" s="949"/>
      <c r="AF398" s="949"/>
      <c r="AG398" s="949"/>
      <c r="AH398" s="949"/>
      <c r="AI398" s="949"/>
      <c r="AJ398" s="949"/>
      <c r="AK398" s="949"/>
      <c r="AL398" s="949"/>
      <c r="AM398" s="964" t="s">
        <v>1995</v>
      </c>
      <c r="AN398" s="954"/>
      <c r="AO398" s="955" t="s">
        <v>1657</v>
      </c>
      <c r="AP398" s="931"/>
      <c r="AQ398" s="956"/>
      <c r="AR398" s="957"/>
      <c r="AS398" s="931"/>
    </row>
    <row r="399" ht="15.75" customHeight="1">
      <c r="A399" s="931"/>
      <c r="B399" s="941" t="s">
        <v>1998</v>
      </c>
      <c r="C399" s="942" t="s">
        <v>1999</v>
      </c>
      <c r="D399" s="942" t="s">
        <v>1999</v>
      </c>
      <c r="E399" s="943" t="s">
        <v>1999</v>
      </c>
      <c r="F399" s="935"/>
      <c r="G399" s="944"/>
      <c r="H399" s="944"/>
      <c r="I399" s="959" t="s">
        <v>2000</v>
      </c>
      <c r="J399" s="988" t="s">
        <v>705</v>
      </c>
      <c r="K399" s="975" t="s">
        <v>712</v>
      </c>
      <c r="L399" s="949">
        <v>60.0</v>
      </c>
      <c r="M399" s="949">
        <v>100.0</v>
      </c>
      <c r="N399" s="949">
        <v>85.0</v>
      </c>
      <c r="O399" s="949">
        <v>80.0</v>
      </c>
      <c r="P399" s="949">
        <v>85.0</v>
      </c>
      <c r="Q399" s="949">
        <v>100.0</v>
      </c>
      <c r="R399" s="949">
        <v>236.0</v>
      </c>
      <c r="S399" s="949">
        <v>299.0</v>
      </c>
      <c r="T399" s="949">
        <v>328.0</v>
      </c>
      <c r="U399" s="949"/>
      <c r="V399" s="949"/>
      <c r="W399" s="949"/>
      <c r="X399" s="949"/>
      <c r="Y399" s="949"/>
      <c r="Z399" s="949"/>
      <c r="AA399" s="949"/>
      <c r="AB399" s="949"/>
      <c r="AC399" s="949"/>
      <c r="AD399" s="949"/>
      <c r="AE399" s="949"/>
      <c r="AF399" s="949"/>
      <c r="AG399" s="949"/>
      <c r="AH399" s="949"/>
      <c r="AI399" s="949"/>
      <c r="AJ399" s="949"/>
      <c r="AK399" s="949"/>
      <c r="AL399" s="949"/>
      <c r="AM399" s="964" t="s">
        <v>1995</v>
      </c>
      <c r="AN399" s="954"/>
      <c r="AO399" s="955"/>
      <c r="AP399" s="931"/>
      <c r="AQ399" s="956"/>
      <c r="AR399" s="957"/>
      <c r="AS399" s="931"/>
    </row>
    <row r="400" ht="15.75" customHeight="1">
      <c r="A400" s="931"/>
      <c r="B400" s="941" t="s">
        <v>2001</v>
      </c>
      <c r="C400" s="942" t="s">
        <v>2002</v>
      </c>
      <c r="D400" s="942" t="s">
        <v>2002</v>
      </c>
      <c r="E400" s="943" t="s">
        <v>2002</v>
      </c>
      <c r="F400" s="935"/>
      <c r="G400" s="944"/>
      <c r="H400" s="944"/>
      <c r="I400" s="959" t="s">
        <v>2003</v>
      </c>
      <c r="J400" s="970" t="s">
        <v>710</v>
      </c>
      <c r="K400" s="954" t="s">
        <v>158</v>
      </c>
      <c r="L400" s="949">
        <v>40.0</v>
      </c>
      <c r="M400" s="949">
        <v>45.0</v>
      </c>
      <c r="N400" s="949">
        <v>40.0</v>
      </c>
      <c r="O400" s="949">
        <v>65.0</v>
      </c>
      <c r="P400" s="949">
        <v>40.0</v>
      </c>
      <c r="Q400" s="949">
        <v>65.0</v>
      </c>
      <c r="R400" s="949">
        <v>166.0</v>
      </c>
      <c r="S400" s="949">
        <v>229.0</v>
      </c>
      <c r="T400" s="949">
        <v>251.0</v>
      </c>
      <c r="U400" s="949"/>
      <c r="V400" s="949"/>
      <c r="W400" s="949"/>
      <c r="X400" s="949"/>
      <c r="Y400" s="949"/>
      <c r="Z400" s="949"/>
      <c r="AA400" s="949"/>
      <c r="AB400" s="949"/>
      <c r="AC400" s="949"/>
      <c r="AD400" s="949"/>
      <c r="AE400" s="949"/>
      <c r="AF400" s="949"/>
      <c r="AG400" s="949"/>
      <c r="AH400" s="949"/>
      <c r="AI400" s="949"/>
      <c r="AJ400" s="949"/>
      <c r="AK400" s="949"/>
      <c r="AL400" s="949"/>
      <c r="AM400" s="964" t="s">
        <v>861</v>
      </c>
      <c r="AN400" s="954" t="s">
        <v>862</v>
      </c>
      <c r="AO400" s="955" t="s">
        <v>2004</v>
      </c>
      <c r="AP400" s="931"/>
      <c r="AQ400" s="956"/>
      <c r="AR400" s="957"/>
      <c r="AS400" s="931"/>
    </row>
    <row r="401" ht="15.75" customHeight="1">
      <c r="A401" s="931"/>
      <c r="B401" s="941" t="s">
        <v>2005</v>
      </c>
      <c r="C401" s="942" t="s">
        <v>2006</v>
      </c>
      <c r="D401" s="942" t="s">
        <v>2006</v>
      </c>
      <c r="E401" s="943" t="s">
        <v>2006</v>
      </c>
      <c r="F401" s="935"/>
      <c r="G401" s="944"/>
      <c r="H401" s="944"/>
      <c r="I401" s="946" t="s">
        <v>2007</v>
      </c>
      <c r="J401" s="970" t="s">
        <v>710</v>
      </c>
      <c r="K401" s="954" t="s">
        <v>158</v>
      </c>
      <c r="L401" s="949">
        <v>70.0</v>
      </c>
      <c r="M401" s="949">
        <v>75.0</v>
      </c>
      <c r="N401" s="949">
        <v>60.0</v>
      </c>
      <c r="O401" s="949">
        <v>105.0</v>
      </c>
      <c r="P401" s="949">
        <v>60.0</v>
      </c>
      <c r="Q401" s="949">
        <v>105.0</v>
      </c>
      <c r="R401" s="949">
        <v>246.0</v>
      </c>
      <c r="S401" s="949">
        <v>309.0</v>
      </c>
      <c r="T401" s="949">
        <v>339.0</v>
      </c>
      <c r="U401" s="949"/>
      <c r="V401" s="949"/>
      <c r="W401" s="949"/>
      <c r="X401" s="949"/>
      <c r="Y401" s="949"/>
      <c r="Z401" s="949"/>
      <c r="AA401" s="949"/>
      <c r="AB401" s="949"/>
      <c r="AC401" s="949"/>
      <c r="AD401" s="949"/>
      <c r="AE401" s="949"/>
      <c r="AF401" s="949"/>
      <c r="AG401" s="949"/>
      <c r="AH401" s="949"/>
      <c r="AI401" s="949"/>
      <c r="AJ401" s="949"/>
      <c r="AK401" s="949"/>
      <c r="AL401" s="949"/>
      <c r="AM401" s="953" t="s">
        <v>861</v>
      </c>
      <c r="AN401" s="954" t="s">
        <v>862</v>
      </c>
      <c r="AO401" s="955" t="s">
        <v>2004</v>
      </c>
      <c r="AP401" s="931"/>
      <c r="AQ401" s="956"/>
      <c r="AR401" s="957"/>
      <c r="AS401" s="931"/>
    </row>
    <row r="402" ht="15.75" customHeight="1">
      <c r="A402" s="931"/>
      <c r="B402" s="941" t="s">
        <v>2008</v>
      </c>
      <c r="C402" s="942" t="s">
        <v>2009</v>
      </c>
      <c r="D402" s="942" t="s">
        <v>2009</v>
      </c>
      <c r="E402" s="943" t="s">
        <v>2009</v>
      </c>
      <c r="F402" s="935"/>
      <c r="G402" s="944"/>
      <c r="H402" s="944"/>
      <c r="I402" s="946" t="s">
        <v>2010</v>
      </c>
      <c r="J402" s="970" t="s">
        <v>710</v>
      </c>
      <c r="K402" s="954" t="s">
        <v>158</v>
      </c>
      <c r="L402" s="949">
        <v>70.0</v>
      </c>
      <c r="M402" s="949">
        <v>75.0</v>
      </c>
      <c r="N402" s="949">
        <v>80.0</v>
      </c>
      <c r="O402" s="949">
        <v>135.0</v>
      </c>
      <c r="P402" s="949">
        <v>80.0</v>
      </c>
      <c r="Q402" s="949">
        <v>135.0</v>
      </c>
      <c r="R402" s="949">
        <v>306.0</v>
      </c>
      <c r="S402" s="949">
        <v>369.0</v>
      </c>
      <c r="T402" s="949">
        <v>405.0</v>
      </c>
      <c r="U402" s="949"/>
      <c r="V402" s="949"/>
      <c r="W402" s="949"/>
      <c r="X402" s="949"/>
      <c r="Y402" s="949"/>
      <c r="Z402" s="949"/>
      <c r="AA402" s="949"/>
      <c r="AB402" s="949"/>
      <c r="AC402" s="949"/>
      <c r="AD402" s="949"/>
      <c r="AE402" s="949"/>
      <c r="AF402" s="949"/>
      <c r="AG402" s="949"/>
      <c r="AH402" s="949"/>
      <c r="AI402" s="949"/>
      <c r="AJ402" s="949"/>
      <c r="AK402" s="949"/>
      <c r="AL402" s="949"/>
      <c r="AM402" s="953" t="s">
        <v>854</v>
      </c>
      <c r="AN402" s="954"/>
      <c r="AO402" s="955"/>
      <c r="AP402" s="931"/>
      <c r="AQ402" s="956"/>
      <c r="AR402" s="957"/>
      <c r="AS402" s="931"/>
    </row>
    <row r="403" ht="15.75" customHeight="1">
      <c r="A403" s="963"/>
      <c r="B403" s="941" t="s">
        <v>2011</v>
      </c>
      <c r="C403" s="971" t="s">
        <v>2012</v>
      </c>
      <c r="D403" s="971" t="s">
        <v>2012</v>
      </c>
      <c r="E403" s="966" t="s">
        <v>2012</v>
      </c>
      <c r="F403" s="935"/>
      <c r="G403" s="944"/>
      <c r="H403" s="944"/>
      <c r="I403" s="959" t="s">
        <v>2013</v>
      </c>
      <c r="J403" s="972" t="s">
        <v>710</v>
      </c>
      <c r="K403" s="973" t="s">
        <v>158</v>
      </c>
      <c r="L403" s="974">
        <v>60.0</v>
      </c>
      <c r="M403" s="974">
        <v>50.0</v>
      </c>
      <c r="N403" s="974">
        <v>40.0</v>
      </c>
      <c r="O403" s="974">
        <v>85.0</v>
      </c>
      <c r="P403" s="974">
        <v>75.0</v>
      </c>
      <c r="Q403" s="974">
        <v>95.0</v>
      </c>
      <c r="R403" s="949">
        <v>226.0</v>
      </c>
      <c r="S403" s="949">
        <v>289.0</v>
      </c>
      <c r="T403" s="949">
        <v>317.0</v>
      </c>
      <c r="U403" s="949"/>
      <c r="V403" s="949"/>
      <c r="W403" s="949"/>
      <c r="X403" s="949"/>
      <c r="Y403" s="949"/>
      <c r="Z403" s="949"/>
      <c r="AA403" s="949"/>
      <c r="AB403" s="949"/>
      <c r="AC403" s="949"/>
      <c r="AD403" s="949"/>
      <c r="AE403" s="949"/>
      <c r="AF403" s="949"/>
      <c r="AG403" s="949"/>
      <c r="AH403" s="949"/>
      <c r="AI403" s="949"/>
      <c r="AJ403" s="949"/>
      <c r="AK403" s="949"/>
      <c r="AL403" s="949"/>
      <c r="AM403" s="964" t="s">
        <v>1589</v>
      </c>
      <c r="AN403" s="954"/>
      <c r="AO403" s="965" t="s">
        <v>862</v>
      </c>
      <c r="AP403" s="931"/>
      <c r="AQ403" s="956"/>
      <c r="AR403" s="957"/>
      <c r="AS403" s="931"/>
    </row>
    <row r="404" ht="15.75" customHeight="1">
      <c r="A404" s="931"/>
      <c r="B404" s="941" t="s">
        <v>2014</v>
      </c>
      <c r="C404" s="942" t="s">
        <v>2015</v>
      </c>
      <c r="D404" s="942" t="s">
        <v>2015</v>
      </c>
      <c r="E404" s="943" t="s">
        <v>2015</v>
      </c>
      <c r="F404" s="935"/>
      <c r="G404" s="944"/>
      <c r="H404" s="944"/>
      <c r="I404" s="946" t="s">
        <v>2016</v>
      </c>
      <c r="J404" s="970" t="s">
        <v>710</v>
      </c>
      <c r="K404" s="954" t="s">
        <v>158</v>
      </c>
      <c r="L404" s="949">
        <v>60.0</v>
      </c>
      <c r="M404" s="949">
        <v>40.0</v>
      </c>
      <c r="N404" s="949">
        <v>50.0</v>
      </c>
      <c r="O404" s="949">
        <v>75.0</v>
      </c>
      <c r="P404" s="949">
        <v>85.0</v>
      </c>
      <c r="Q404" s="949">
        <v>95.0</v>
      </c>
      <c r="R404" s="949">
        <v>226.0</v>
      </c>
      <c r="S404" s="949">
        <v>289.0</v>
      </c>
      <c r="T404" s="949">
        <v>317.0</v>
      </c>
      <c r="U404" s="949"/>
      <c r="V404" s="949"/>
      <c r="W404" s="949"/>
      <c r="X404" s="949"/>
      <c r="Y404" s="949"/>
      <c r="Z404" s="949"/>
      <c r="AA404" s="949"/>
      <c r="AB404" s="949"/>
      <c r="AC404" s="949"/>
      <c r="AD404" s="949"/>
      <c r="AE404" s="949"/>
      <c r="AF404" s="949"/>
      <c r="AG404" s="949"/>
      <c r="AH404" s="949"/>
      <c r="AI404" s="949"/>
      <c r="AJ404" s="949"/>
      <c r="AK404" s="949"/>
      <c r="AL404" s="949"/>
      <c r="AM404" s="953" t="s">
        <v>2004</v>
      </c>
      <c r="AN404" s="954"/>
      <c r="AO404" s="955" t="s">
        <v>1428</v>
      </c>
      <c r="AP404" s="931"/>
      <c r="AQ404" s="956"/>
      <c r="AR404" s="957"/>
      <c r="AS404" s="931"/>
    </row>
    <row r="405" ht="15.75" customHeight="1">
      <c r="A405" s="931"/>
      <c r="B405" s="941" t="s">
        <v>2017</v>
      </c>
      <c r="C405" s="942" t="s">
        <v>2018</v>
      </c>
      <c r="D405" s="942" t="s">
        <v>2018</v>
      </c>
      <c r="E405" s="943" t="s">
        <v>2018</v>
      </c>
      <c r="F405" s="935"/>
      <c r="G405" s="944"/>
      <c r="H405" s="944"/>
      <c r="I405" s="946" t="s">
        <v>2019</v>
      </c>
      <c r="J405" s="967" t="s">
        <v>715</v>
      </c>
      <c r="K405" s="954" t="s">
        <v>158</v>
      </c>
      <c r="L405" s="949">
        <v>65.0</v>
      </c>
      <c r="M405" s="949">
        <v>73.0</v>
      </c>
      <c r="N405" s="949">
        <v>75.0</v>
      </c>
      <c r="O405" s="949">
        <v>47.0</v>
      </c>
      <c r="P405" s="949">
        <v>85.0</v>
      </c>
      <c r="Q405" s="949">
        <v>85.0</v>
      </c>
      <c r="R405" s="949">
        <v>206.0</v>
      </c>
      <c r="S405" s="949">
        <v>269.0</v>
      </c>
      <c r="T405" s="949">
        <v>295.0</v>
      </c>
      <c r="U405" s="949"/>
      <c r="V405" s="949"/>
      <c r="W405" s="949"/>
      <c r="X405" s="949"/>
      <c r="Y405" s="949"/>
      <c r="Z405" s="949"/>
      <c r="AA405" s="949"/>
      <c r="AB405" s="949"/>
      <c r="AC405" s="949"/>
      <c r="AD405" s="949"/>
      <c r="AE405" s="949"/>
      <c r="AF405" s="949"/>
      <c r="AG405" s="949"/>
      <c r="AH405" s="949"/>
      <c r="AI405" s="949"/>
      <c r="AJ405" s="949"/>
      <c r="AK405" s="949"/>
      <c r="AL405" s="949"/>
      <c r="AM405" s="953" t="s">
        <v>1362</v>
      </c>
      <c r="AN405" s="954" t="s">
        <v>806</v>
      </c>
      <c r="AO405" s="955" t="s">
        <v>1641</v>
      </c>
      <c r="AP405" s="931"/>
      <c r="AQ405" s="956"/>
      <c r="AR405" s="957"/>
      <c r="AS405" s="931"/>
    </row>
    <row r="406" ht="15.75" customHeight="1">
      <c r="A406" s="963"/>
      <c r="B406" s="941" t="s">
        <v>2020</v>
      </c>
      <c r="C406" s="942" t="s">
        <v>2021</v>
      </c>
      <c r="D406" s="942" t="s">
        <v>2021</v>
      </c>
      <c r="E406" s="966" t="s">
        <v>2021</v>
      </c>
      <c r="F406" s="935"/>
      <c r="G406" s="944"/>
      <c r="H406" s="944"/>
      <c r="I406" s="959" t="s">
        <v>2022</v>
      </c>
      <c r="J406" s="967" t="s">
        <v>715</v>
      </c>
      <c r="K406" s="954" t="s">
        <v>158</v>
      </c>
      <c r="L406" s="949">
        <v>65.0</v>
      </c>
      <c r="M406" s="949">
        <v>47.0</v>
      </c>
      <c r="N406" s="949">
        <v>75.0</v>
      </c>
      <c r="O406" s="949">
        <v>73.0</v>
      </c>
      <c r="P406" s="949">
        <v>85.0</v>
      </c>
      <c r="Q406" s="949">
        <v>85.0</v>
      </c>
      <c r="R406" s="949">
        <v>206.0</v>
      </c>
      <c r="S406" s="949">
        <v>269.0</v>
      </c>
      <c r="T406" s="949">
        <v>295.0</v>
      </c>
      <c r="U406" s="949"/>
      <c r="V406" s="949"/>
      <c r="W406" s="949"/>
      <c r="X406" s="949"/>
      <c r="Y406" s="949"/>
      <c r="Z406" s="949"/>
      <c r="AA406" s="949"/>
      <c r="AB406" s="949"/>
      <c r="AC406" s="949"/>
      <c r="AD406" s="949"/>
      <c r="AE406" s="949"/>
      <c r="AF406" s="949"/>
      <c r="AG406" s="949"/>
      <c r="AH406" s="949"/>
      <c r="AI406" s="949"/>
      <c r="AJ406" s="949"/>
      <c r="AK406" s="949"/>
      <c r="AL406" s="949"/>
      <c r="AM406" s="964" t="s">
        <v>1175</v>
      </c>
      <c r="AN406" s="973" t="s">
        <v>796</v>
      </c>
      <c r="AO406" s="965" t="s">
        <v>1641</v>
      </c>
      <c r="AP406" s="931"/>
      <c r="AQ406" s="956"/>
      <c r="AR406" s="957"/>
      <c r="AS406" s="931"/>
    </row>
    <row r="407" ht="15.75" customHeight="1">
      <c r="A407" s="963"/>
      <c r="B407" s="941" t="s">
        <v>2023</v>
      </c>
      <c r="C407" s="971" t="s">
        <v>2024</v>
      </c>
      <c r="D407" s="971" t="s">
        <v>2024</v>
      </c>
      <c r="E407" s="966" t="s">
        <v>2024</v>
      </c>
      <c r="F407" s="935"/>
      <c r="G407" s="944"/>
      <c r="H407" s="944"/>
      <c r="I407" s="959" t="s">
        <v>2025</v>
      </c>
      <c r="J407" s="1002" t="s">
        <v>708</v>
      </c>
      <c r="K407" s="983" t="s">
        <v>709</v>
      </c>
      <c r="L407" s="974">
        <v>50.0</v>
      </c>
      <c r="M407" s="974">
        <v>60.0</v>
      </c>
      <c r="N407" s="974">
        <v>45.0</v>
      </c>
      <c r="O407" s="974">
        <v>100.0</v>
      </c>
      <c r="P407" s="974">
        <v>80.0</v>
      </c>
      <c r="Q407" s="974">
        <v>65.0</v>
      </c>
      <c r="R407" s="949">
        <v>166.0</v>
      </c>
      <c r="S407" s="949">
        <v>229.0</v>
      </c>
      <c r="T407" s="949">
        <v>251.0</v>
      </c>
      <c r="U407" s="949"/>
      <c r="V407" s="949"/>
      <c r="W407" s="949"/>
      <c r="X407" s="949"/>
      <c r="Y407" s="949"/>
      <c r="Z407" s="949"/>
      <c r="AA407" s="949"/>
      <c r="AB407" s="949"/>
      <c r="AC407" s="949"/>
      <c r="AD407" s="949"/>
      <c r="AE407" s="949"/>
      <c r="AF407" s="949"/>
      <c r="AG407" s="949"/>
      <c r="AH407" s="949"/>
      <c r="AI407" s="949"/>
      <c r="AJ407" s="949"/>
      <c r="AK407" s="949"/>
      <c r="AL407" s="949"/>
      <c r="AM407" s="964" t="s">
        <v>1333</v>
      </c>
      <c r="AN407" s="954" t="s">
        <v>942</v>
      </c>
      <c r="AO407" s="965" t="s">
        <v>1339</v>
      </c>
      <c r="AP407" s="931"/>
      <c r="AQ407" s="956"/>
      <c r="AR407" s="957"/>
      <c r="AS407" s="931"/>
    </row>
    <row r="408" ht="15.75" customHeight="1">
      <c r="A408" s="931"/>
      <c r="B408" s="941" t="s">
        <v>2026</v>
      </c>
      <c r="C408" s="942" t="s">
        <v>271</v>
      </c>
      <c r="D408" s="942" t="s">
        <v>271</v>
      </c>
      <c r="E408" s="943" t="s">
        <v>271</v>
      </c>
      <c r="F408" s="935"/>
      <c r="G408" s="944"/>
      <c r="H408" s="944"/>
      <c r="I408" s="946" t="s">
        <v>131</v>
      </c>
      <c r="J408" s="948" t="s">
        <v>709</v>
      </c>
      <c r="K408" s="954" t="s">
        <v>158</v>
      </c>
      <c r="L408" s="949">
        <v>70.0</v>
      </c>
      <c r="M408" s="949">
        <v>43.0</v>
      </c>
      <c r="N408" s="949">
        <v>53.0</v>
      </c>
      <c r="O408" s="949">
        <v>43.0</v>
      </c>
      <c r="P408" s="949">
        <v>53.0</v>
      </c>
      <c r="Q408" s="949">
        <v>40.0</v>
      </c>
      <c r="R408" s="949">
        <v>116.0</v>
      </c>
      <c r="S408" s="949">
        <v>179.0</v>
      </c>
      <c r="T408" s="949">
        <v>196.0</v>
      </c>
      <c r="U408" s="949"/>
      <c r="V408" s="949"/>
      <c r="W408" s="949"/>
      <c r="X408" s="949"/>
      <c r="Y408" s="949"/>
      <c r="Z408" s="949"/>
      <c r="AA408" s="949"/>
      <c r="AB408" s="949"/>
      <c r="AC408" s="949"/>
      <c r="AD408" s="949"/>
      <c r="AE408" s="949"/>
      <c r="AF408" s="949"/>
      <c r="AG408" s="949"/>
      <c r="AH408" s="949"/>
      <c r="AI408" s="949"/>
      <c r="AJ408" s="949"/>
      <c r="AK408" s="949"/>
      <c r="AL408" s="949"/>
      <c r="AM408" s="953" t="s">
        <v>1128</v>
      </c>
      <c r="AN408" s="954" t="s">
        <v>1223</v>
      </c>
      <c r="AO408" s="955" t="s">
        <v>837</v>
      </c>
      <c r="AP408" s="931"/>
      <c r="AQ408" s="956"/>
      <c r="AR408" s="957"/>
      <c r="AS408" s="931"/>
    </row>
    <row r="409" ht="15.75" customHeight="1">
      <c r="A409" s="931"/>
      <c r="B409" s="941" t="s">
        <v>2027</v>
      </c>
      <c r="C409" s="942" t="s">
        <v>2028</v>
      </c>
      <c r="D409" s="942" t="s">
        <v>2028</v>
      </c>
      <c r="E409" s="943" t="s">
        <v>2028</v>
      </c>
      <c r="F409" s="935"/>
      <c r="G409" s="944"/>
      <c r="H409" s="944"/>
      <c r="I409" s="959" t="s">
        <v>503</v>
      </c>
      <c r="J409" s="948" t="s">
        <v>709</v>
      </c>
      <c r="K409" s="954" t="s">
        <v>158</v>
      </c>
      <c r="L409" s="949">
        <v>100.0</v>
      </c>
      <c r="M409" s="949">
        <v>73.0</v>
      </c>
      <c r="N409" s="949">
        <v>83.0</v>
      </c>
      <c r="O409" s="949">
        <v>73.0</v>
      </c>
      <c r="P409" s="949">
        <v>83.0</v>
      </c>
      <c r="Q409" s="949">
        <v>55.0</v>
      </c>
      <c r="R409" s="949">
        <v>146.0</v>
      </c>
      <c r="S409" s="949">
        <v>209.0</v>
      </c>
      <c r="T409" s="949">
        <v>229.0</v>
      </c>
      <c r="U409" s="949"/>
      <c r="V409" s="949"/>
      <c r="W409" s="949"/>
      <c r="X409" s="949"/>
      <c r="Y409" s="949"/>
      <c r="Z409" s="949"/>
      <c r="AA409" s="949"/>
      <c r="AB409" s="949"/>
      <c r="AC409" s="949"/>
      <c r="AD409" s="949"/>
      <c r="AE409" s="949"/>
      <c r="AF409" s="949"/>
      <c r="AG409" s="949"/>
      <c r="AH409" s="949"/>
      <c r="AI409" s="949"/>
      <c r="AJ409" s="949"/>
      <c r="AK409" s="949"/>
      <c r="AL409" s="949"/>
      <c r="AM409" s="953" t="s">
        <v>1128</v>
      </c>
      <c r="AN409" s="954" t="s">
        <v>1223</v>
      </c>
      <c r="AO409" s="955" t="s">
        <v>837</v>
      </c>
      <c r="AP409" s="931"/>
      <c r="AQ409" s="956"/>
      <c r="AR409" s="957"/>
      <c r="AS409" s="931"/>
    </row>
    <row r="410" ht="15.75" customHeight="1">
      <c r="A410" s="931"/>
      <c r="B410" s="941" t="s">
        <v>2029</v>
      </c>
      <c r="C410" s="942" t="s">
        <v>2030</v>
      </c>
      <c r="D410" s="942" t="s">
        <v>2030</v>
      </c>
      <c r="E410" s="943" t="s">
        <v>2030</v>
      </c>
      <c r="F410" s="935"/>
      <c r="G410" s="944"/>
      <c r="H410" s="944"/>
      <c r="I410" s="959" t="s">
        <v>2031</v>
      </c>
      <c r="J410" s="962" t="s">
        <v>706</v>
      </c>
      <c r="K410" s="969" t="s">
        <v>718</v>
      </c>
      <c r="L410" s="949">
        <v>45.0</v>
      </c>
      <c r="M410" s="949">
        <v>90.0</v>
      </c>
      <c r="N410" s="949">
        <v>20.0</v>
      </c>
      <c r="O410" s="949">
        <v>65.0</v>
      </c>
      <c r="P410" s="949">
        <v>20.0</v>
      </c>
      <c r="Q410" s="949">
        <v>65.0</v>
      </c>
      <c r="R410" s="949">
        <v>166.0</v>
      </c>
      <c r="S410" s="949">
        <v>229.0</v>
      </c>
      <c r="T410" s="949">
        <v>251.0</v>
      </c>
      <c r="U410" s="949"/>
      <c r="V410" s="949"/>
      <c r="W410" s="949"/>
      <c r="X410" s="949"/>
      <c r="Y410" s="949"/>
      <c r="Z410" s="949"/>
      <c r="AA410" s="949"/>
      <c r="AB410" s="949"/>
      <c r="AC410" s="949"/>
      <c r="AD410" s="949"/>
      <c r="AE410" s="949"/>
      <c r="AF410" s="949"/>
      <c r="AG410" s="949"/>
      <c r="AH410" s="949"/>
      <c r="AI410" s="949"/>
      <c r="AJ410" s="949"/>
      <c r="AK410" s="949"/>
      <c r="AL410" s="949"/>
      <c r="AM410" s="964" t="s">
        <v>2032</v>
      </c>
      <c r="AN410" s="954"/>
      <c r="AO410" s="955" t="s">
        <v>1626</v>
      </c>
      <c r="AP410" s="931"/>
      <c r="AQ410" s="956"/>
      <c r="AR410" s="957"/>
      <c r="AS410" s="931"/>
    </row>
    <row r="411" ht="15.75" customHeight="1">
      <c r="A411" s="931"/>
      <c r="B411" s="941" t="s">
        <v>2033</v>
      </c>
      <c r="C411" s="942" t="s">
        <v>2034</v>
      </c>
      <c r="D411" s="942" t="s">
        <v>2034</v>
      </c>
      <c r="E411" s="943" t="s">
        <v>2034</v>
      </c>
      <c r="F411" s="935"/>
      <c r="G411" s="944"/>
      <c r="H411" s="944"/>
      <c r="I411" s="946" t="s">
        <v>2035</v>
      </c>
      <c r="J411" s="962" t="s">
        <v>706</v>
      </c>
      <c r="K411" s="969" t="s">
        <v>718</v>
      </c>
      <c r="L411" s="949">
        <v>70.0</v>
      </c>
      <c r="M411" s="949">
        <v>120.0</v>
      </c>
      <c r="N411" s="949">
        <v>40.0</v>
      </c>
      <c r="O411" s="949">
        <v>95.0</v>
      </c>
      <c r="P411" s="949">
        <v>40.0</v>
      </c>
      <c r="Q411" s="949">
        <v>95.0</v>
      </c>
      <c r="R411" s="949">
        <v>226.0</v>
      </c>
      <c r="S411" s="949">
        <v>289.0</v>
      </c>
      <c r="T411" s="949">
        <v>317.0</v>
      </c>
      <c r="U411" s="949"/>
      <c r="V411" s="949"/>
      <c r="W411" s="949"/>
      <c r="X411" s="949"/>
      <c r="Y411" s="949"/>
      <c r="Z411" s="949"/>
      <c r="AA411" s="949"/>
      <c r="AB411" s="949"/>
      <c r="AC411" s="949"/>
      <c r="AD411" s="949"/>
      <c r="AE411" s="949"/>
      <c r="AF411" s="949"/>
      <c r="AG411" s="949"/>
      <c r="AH411" s="949"/>
      <c r="AI411" s="949"/>
      <c r="AJ411" s="949"/>
      <c r="AK411" s="949"/>
      <c r="AL411" s="949"/>
      <c r="AM411" s="953" t="s">
        <v>2032</v>
      </c>
      <c r="AN411" s="954"/>
      <c r="AO411" s="955" t="s">
        <v>1626</v>
      </c>
      <c r="AP411" s="931"/>
      <c r="AQ411" s="956"/>
      <c r="AR411" s="957"/>
      <c r="AS411" s="931"/>
    </row>
    <row r="412" ht="15.75" customHeight="1">
      <c r="A412" s="931"/>
      <c r="B412" s="941" t="s">
        <v>2036</v>
      </c>
      <c r="C412" s="942" t="s">
        <v>2037</v>
      </c>
      <c r="D412" s="942" t="s">
        <v>2037</v>
      </c>
      <c r="E412" s="943" t="s">
        <v>2037</v>
      </c>
      <c r="F412" s="935"/>
      <c r="G412" s="944"/>
      <c r="H412" s="944"/>
      <c r="I412" s="946" t="s">
        <v>2038</v>
      </c>
      <c r="J412" s="962" t="s">
        <v>706</v>
      </c>
      <c r="K412" s="969" t="s">
        <v>718</v>
      </c>
      <c r="L412" s="949">
        <v>70.0</v>
      </c>
      <c r="M412" s="949">
        <v>140.0</v>
      </c>
      <c r="N412" s="949">
        <v>70.0</v>
      </c>
      <c r="O412" s="949">
        <v>110.0</v>
      </c>
      <c r="P412" s="949">
        <v>65.0</v>
      </c>
      <c r="Q412" s="949">
        <v>105.0</v>
      </c>
      <c r="R412" s="949">
        <v>246.0</v>
      </c>
      <c r="S412" s="949">
        <v>309.0</v>
      </c>
      <c r="T412" s="949">
        <v>339.0</v>
      </c>
      <c r="U412" s="949"/>
      <c r="V412" s="949"/>
      <c r="W412" s="949"/>
      <c r="X412" s="949"/>
      <c r="Y412" s="949"/>
      <c r="Z412" s="949"/>
      <c r="AA412" s="949"/>
      <c r="AB412" s="949"/>
      <c r="AC412" s="949"/>
      <c r="AD412" s="949"/>
      <c r="AE412" s="949"/>
      <c r="AF412" s="949"/>
      <c r="AG412" s="949"/>
      <c r="AH412" s="949"/>
      <c r="AI412" s="949"/>
      <c r="AJ412" s="949"/>
      <c r="AK412" s="949"/>
      <c r="AL412" s="949"/>
      <c r="AM412" s="953" t="s">
        <v>2039</v>
      </c>
      <c r="AN412" s="954"/>
      <c r="AO412" s="955"/>
      <c r="AP412" s="931"/>
      <c r="AQ412" s="956"/>
      <c r="AR412" s="957"/>
      <c r="AS412" s="931"/>
    </row>
    <row r="413" ht="15.75" customHeight="1">
      <c r="A413" s="931"/>
      <c r="B413" s="941" t="s">
        <v>2040</v>
      </c>
      <c r="C413" s="942" t="s">
        <v>2041</v>
      </c>
      <c r="D413" s="942" t="s">
        <v>2041</v>
      </c>
      <c r="E413" s="943" t="s">
        <v>2041</v>
      </c>
      <c r="F413" s="935"/>
      <c r="G413" s="944"/>
      <c r="H413" s="944"/>
      <c r="I413" s="946" t="s">
        <v>2042</v>
      </c>
      <c r="J413" s="962" t="s">
        <v>706</v>
      </c>
      <c r="K413" s="954" t="s">
        <v>158</v>
      </c>
      <c r="L413" s="949">
        <v>130.0</v>
      </c>
      <c r="M413" s="949">
        <v>70.0</v>
      </c>
      <c r="N413" s="949">
        <v>35.0</v>
      </c>
      <c r="O413" s="949">
        <v>70.0</v>
      </c>
      <c r="P413" s="949">
        <v>35.0</v>
      </c>
      <c r="Q413" s="949">
        <v>60.0</v>
      </c>
      <c r="R413" s="949">
        <v>156.0</v>
      </c>
      <c r="S413" s="949">
        <v>219.0</v>
      </c>
      <c r="T413" s="949">
        <v>240.0</v>
      </c>
      <c r="U413" s="949"/>
      <c r="V413" s="949"/>
      <c r="W413" s="949"/>
      <c r="X413" s="949"/>
      <c r="Y413" s="949"/>
      <c r="Z413" s="949"/>
      <c r="AA413" s="949"/>
      <c r="AB413" s="949"/>
      <c r="AC413" s="949"/>
      <c r="AD413" s="949"/>
      <c r="AE413" s="949"/>
      <c r="AF413" s="949"/>
      <c r="AG413" s="949"/>
      <c r="AH413" s="949"/>
      <c r="AI413" s="949"/>
      <c r="AJ413" s="949"/>
      <c r="AK413" s="949"/>
      <c r="AL413" s="949"/>
      <c r="AM413" s="953" t="s">
        <v>1355</v>
      </c>
      <c r="AN413" s="954" t="s">
        <v>1175</v>
      </c>
      <c r="AO413" s="955" t="s">
        <v>1451</v>
      </c>
      <c r="AP413" s="931"/>
      <c r="AQ413" s="956"/>
      <c r="AR413" s="957"/>
      <c r="AS413" s="931"/>
    </row>
    <row r="414" ht="15.75" customHeight="1">
      <c r="A414" s="963"/>
      <c r="B414" s="941" t="s">
        <v>2043</v>
      </c>
      <c r="C414" s="971" t="s">
        <v>2044</v>
      </c>
      <c r="D414" s="971" t="s">
        <v>2044</v>
      </c>
      <c r="E414" s="966" t="s">
        <v>2044</v>
      </c>
      <c r="F414" s="935"/>
      <c r="G414" s="944"/>
      <c r="H414" s="944"/>
      <c r="I414" s="959" t="s">
        <v>2045</v>
      </c>
      <c r="J414" s="986" t="s">
        <v>706</v>
      </c>
      <c r="K414" s="973" t="s">
        <v>158</v>
      </c>
      <c r="L414" s="974">
        <v>170.0</v>
      </c>
      <c r="M414" s="974">
        <v>90.0</v>
      </c>
      <c r="N414" s="974">
        <v>45.0</v>
      </c>
      <c r="O414" s="974">
        <v>90.0</v>
      </c>
      <c r="P414" s="974">
        <v>45.0</v>
      </c>
      <c r="Q414" s="974">
        <v>60.0</v>
      </c>
      <c r="R414" s="949">
        <v>156.0</v>
      </c>
      <c r="S414" s="949">
        <v>219.0</v>
      </c>
      <c r="T414" s="949">
        <v>240.0</v>
      </c>
      <c r="U414" s="949"/>
      <c r="V414" s="949"/>
      <c r="W414" s="949"/>
      <c r="X414" s="949"/>
      <c r="Y414" s="949"/>
      <c r="Z414" s="949"/>
      <c r="AA414" s="949"/>
      <c r="AB414" s="949"/>
      <c r="AC414" s="949"/>
      <c r="AD414" s="949"/>
      <c r="AE414" s="949"/>
      <c r="AF414" s="949"/>
      <c r="AG414" s="949"/>
      <c r="AH414" s="949"/>
      <c r="AI414" s="949"/>
      <c r="AJ414" s="949"/>
      <c r="AK414" s="949"/>
      <c r="AL414" s="949"/>
      <c r="AM414" s="964" t="s">
        <v>1355</v>
      </c>
      <c r="AN414" s="954" t="s">
        <v>1175</v>
      </c>
      <c r="AO414" s="955" t="s">
        <v>1451</v>
      </c>
      <c r="AP414" s="931"/>
      <c r="AQ414" s="956"/>
      <c r="AR414" s="957"/>
      <c r="AS414" s="931"/>
    </row>
    <row r="415" ht="15.75" customHeight="1">
      <c r="A415" s="931"/>
      <c r="B415" s="941" t="s">
        <v>2046</v>
      </c>
      <c r="C415" s="942" t="s">
        <v>2047</v>
      </c>
      <c r="D415" s="942" t="s">
        <v>2047</v>
      </c>
      <c r="E415" s="943" t="s">
        <v>2047</v>
      </c>
      <c r="F415" s="935"/>
      <c r="G415" s="944"/>
      <c r="H415" s="944"/>
      <c r="I415" s="946" t="s">
        <v>596</v>
      </c>
      <c r="J415" s="958" t="s">
        <v>704</v>
      </c>
      <c r="K415" s="976" t="s">
        <v>711</v>
      </c>
      <c r="L415" s="949">
        <v>60.0</v>
      </c>
      <c r="M415" s="949">
        <v>60.0</v>
      </c>
      <c r="N415" s="949">
        <v>40.0</v>
      </c>
      <c r="O415" s="949">
        <v>65.0</v>
      </c>
      <c r="P415" s="949">
        <v>45.0</v>
      </c>
      <c r="Q415" s="949">
        <v>35.0</v>
      </c>
      <c r="R415" s="949">
        <v>106.0</v>
      </c>
      <c r="S415" s="949">
        <v>169.0</v>
      </c>
      <c r="T415" s="949">
        <v>185.0</v>
      </c>
      <c r="U415" s="949"/>
      <c r="V415" s="949"/>
      <c r="W415" s="949"/>
      <c r="X415" s="949"/>
      <c r="Y415" s="949"/>
      <c r="Z415" s="949"/>
      <c r="AA415" s="949"/>
      <c r="AB415" s="949"/>
      <c r="AC415" s="949"/>
      <c r="AD415" s="949"/>
      <c r="AE415" s="949"/>
      <c r="AF415" s="949"/>
      <c r="AG415" s="949"/>
      <c r="AH415" s="949"/>
      <c r="AI415" s="949"/>
      <c r="AJ415" s="949"/>
      <c r="AK415" s="949"/>
      <c r="AL415" s="949"/>
      <c r="AM415" s="953" t="s">
        <v>1175</v>
      </c>
      <c r="AN415" s="954" t="s">
        <v>2048</v>
      </c>
      <c r="AO415" s="955" t="s">
        <v>1176</v>
      </c>
      <c r="AP415" s="931"/>
      <c r="AQ415" s="956"/>
      <c r="AR415" s="957"/>
      <c r="AS415" s="931"/>
    </row>
    <row r="416" ht="15.75" customHeight="1">
      <c r="A416" s="963"/>
      <c r="B416" s="941" t="s">
        <v>2049</v>
      </c>
      <c r="C416" s="971" t="s">
        <v>220</v>
      </c>
      <c r="D416" s="971" t="s">
        <v>220</v>
      </c>
      <c r="E416" s="966" t="s">
        <v>220</v>
      </c>
      <c r="F416" s="935"/>
      <c r="G416" s="944"/>
      <c r="H416" s="944"/>
      <c r="I416" s="959" t="s">
        <v>128</v>
      </c>
      <c r="J416" s="981" t="s">
        <v>704</v>
      </c>
      <c r="K416" s="997" t="s">
        <v>711</v>
      </c>
      <c r="L416" s="974">
        <v>70.0</v>
      </c>
      <c r="M416" s="974">
        <v>100.0</v>
      </c>
      <c r="N416" s="974">
        <v>70.0</v>
      </c>
      <c r="O416" s="974">
        <v>105.0</v>
      </c>
      <c r="P416" s="974">
        <v>75.0</v>
      </c>
      <c r="Q416" s="974">
        <v>40.0</v>
      </c>
      <c r="R416" s="949">
        <v>116.0</v>
      </c>
      <c r="S416" s="949">
        <v>179.0</v>
      </c>
      <c r="T416" s="949">
        <v>196.0</v>
      </c>
      <c r="U416" s="949"/>
      <c r="V416" s="949"/>
      <c r="W416" s="949"/>
      <c r="X416" s="949"/>
      <c r="Y416" s="949"/>
      <c r="Z416" s="949"/>
      <c r="AA416" s="949"/>
      <c r="AB416" s="949"/>
      <c r="AC416" s="949"/>
      <c r="AD416" s="949"/>
      <c r="AE416" s="949"/>
      <c r="AF416" s="949"/>
      <c r="AG416" s="949"/>
      <c r="AH416" s="949"/>
      <c r="AI416" s="949"/>
      <c r="AJ416" s="949"/>
      <c r="AK416" s="949"/>
      <c r="AL416" s="949"/>
      <c r="AM416" s="964" t="s">
        <v>1713</v>
      </c>
      <c r="AN416" s="973" t="s">
        <v>2050</v>
      </c>
      <c r="AO416" s="965" t="s">
        <v>1068</v>
      </c>
      <c r="AP416" s="931"/>
      <c r="AQ416" s="956"/>
      <c r="AR416" s="957"/>
      <c r="AS416" s="931"/>
    </row>
    <row r="417" ht="15.75" customHeight="1">
      <c r="A417" s="963"/>
      <c r="B417" s="941" t="s">
        <v>2051</v>
      </c>
      <c r="C417" s="971" t="s">
        <v>2052</v>
      </c>
      <c r="D417" s="971" t="s">
        <v>2052</v>
      </c>
      <c r="E417" s="966" t="s">
        <v>2052</v>
      </c>
      <c r="F417" s="935"/>
      <c r="G417" s="944"/>
      <c r="H417" s="944"/>
      <c r="I417" s="959" t="s">
        <v>2053</v>
      </c>
      <c r="J417" s="981" t="s">
        <v>704</v>
      </c>
      <c r="K417" s="997" t="s">
        <v>711</v>
      </c>
      <c r="L417" s="974">
        <v>70.0</v>
      </c>
      <c r="M417" s="974">
        <v>120.0</v>
      </c>
      <c r="N417" s="974">
        <v>100.0</v>
      </c>
      <c r="O417" s="974">
        <v>145.0</v>
      </c>
      <c r="P417" s="974">
        <v>105.0</v>
      </c>
      <c r="Q417" s="974">
        <v>20.0</v>
      </c>
      <c r="R417" s="949">
        <v>76.0</v>
      </c>
      <c r="S417" s="949">
        <v>139.0</v>
      </c>
      <c r="T417" s="949">
        <v>152.0</v>
      </c>
      <c r="U417" s="949"/>
      <c r="V417" s="949"/>
      <c r="W417" s="949"/>
      <c r="X417" s="949"/>
      <c r="Y417" s="949"/>
      <c r="Z417" s="949"/>
      <c r="AA417" s="949"/>
      <c r="AB417" s="949"/>
      <c r="AC417" s="949"/>
      <c r="AD417" s="949"/>
      <c r="AE417" s="949"/>
      <c r="AF417" s="949"/>
      <c r="AG417" s="949"/>
      <c r="AH417" s="949"/>
      <c r="AI417" s="949"/>
      <c r="AJ417" s="949"/>
      <c r="AK417" s="949"/>
      <c r="AL417" s="949"/>
      <c r="AM417" s="964" t="s">
        <v>949</v>
      </c>
      <c r="AN417" s="973"/>
      <c r="AO417" s="965"/>
      <c r="AP417" s="931"/>
      <c r="AQ417" s="956"/>
      <c r="AR417" s="957"/>
      <c r="AS417" s="931"/>
    </row>
    <row r="418" ht="15.75" customHeight="1">
      <c r="A418" s="931"/>
      <c r="B418" s="941" t="s">
        <v>2054</v>
      </c>
      <c r="C418" s="942" t="s">
        <v>249</v>
      </c>
      <c r="D418" s="942" t="s">
        <v>249</v>
      </c>
      <c r="E418" s="943" t="s">
        <v>249</v>
      </c>
      <c r="F418" s="935"/>
      <c r="G418" s="944"/>
      <c r="H418" s="944"/>
      <c r="I418" s="946" t="s">
        <v>112</v>
      </c>
      <c r="J418" s="958" t="s">
        <v>704</v>
      </c>
      <c r="K418" s="954" t="s">
        <v>158</v>
      </c>
      <c r="L418" s="949">
        <v>70.0</v>
      </c>
      <c r="M418" s="949">
        <v>85.0</v>
      </c>
      <c r="N418" s="949">
        <v>140.0</v>
      </c>
      <c r="O418" s="949">
        <v>85.0</v>
      </c>
      <c r="P418" s="949">
        <v>70.0</v>
      </c>
      <c r="Q418" s="949">
        <v>20.0</v>
      </c>
      <c r="R418" s="949">
        <v>76.0</v>
      </c>
      <c r="S418" s="949">
        <v>139.0</v>
      </c>
      <c r="T418" s="949">
        <v>152.0</v>
      </c>
      <c r="U418" s="949"/>
      <c r="V418" s="949"/>
      <c r="W418" s="949"/>
      <c r="X418" s="949"/>
      <c r="Y418" s="949"/>
      <c r="Z418" s="949"/>
      <c r="AA418" s="949"/>
      <c r="AB418" s="949"/>
      <c r="AC418" s="949"/>
      <c r="AD418" s="949"/>
      <c r="AE418" s="949"/>
      <c r="AF418" s="949"/>
      <c r="AG418" s="949"/>
      <c r="AH418" s="949"/>
      <c r="AI418" s="949"/>
      <c r="AJ418" s="949"/>
      <c r="AK418" s="949"/>
      <c r="AL418" s="949"/>
      <c r="AM418" s="953" t="s">
        <v>2055</v>
      </c>
      <c r="AN418" s="954" t="s">
        <v>767</v>
      </c>
      <c r="AO418" s="955" t="s">
        <v>1192</v>
      </c>
      <c r="AP418" s="931"/>
      <c r="AQ418" s="956"/>
      <c r="AR418" s="957"/>
      <c r="AS418" s="931"/>
    </row>
    <row r="419" ht="15.75" customHeight="1">
      <c r="A419" s="931"/>
      <c r="B419" s="941" t="s">
        <v>2056</v>
      </c>
      <c r="C419" s="942" t="s">
        <v>2057</v>
      </c>
      <c r="D419" s="942" t="s">
        <v>2057</v>
      </c>
      <c r="E419" s="943" t="s">
        <v>2057</v>
      </c>
      <c r="F419" s="935"/>
      <c r="G419" s="944"/>
      <c r="H419" s="944"/>
      <c r="I419" s="946" t="s">
        <v>597</v>
      </c>
      <c r="J419" s="975" t="s">
        <v>712</v>
      </c>
      <c r="K419" s="954" t="s">
        <v>158</v>
      </c>
      <c r="L419" s="949">
        <v>60.0</v>
      </c>
      <c r="M419" s="949">
        <v>25.0</v>
      </c>
      <c r="N419" s="949">
        <v>35.0</v>
      </c>
      <c r="O419" s="949">
        <v>70.0</v>
      </c>
      <c r="P419" s="949">
        <v>80.0</v>
      </c>
      <c r="Q419" s="949">
        <v>60.0</v>
      </c>
      <c r="R419" s="949">
        <v>156.0</v>
      </c>
      <c r="S419" s="949">
        <v>219.0</v>
      </c>
      <c r="T419" s="949">
        <v>240.0</v>
      </c>
      <c r="U419" s="949"/>
      <c r="V419" s="949"/>
      <c r="W419" s="949"/>
      <c r="X419" s="949"/>
      <c r="Y419" s="949"/>
      <c r="Z419" s="949"/>
      <c r="AA419" s="949"/>
      <c r="AB419" s="949"/>
      <c r="AC419" s="949"/>
      <c r="AD419" s="949"/>
      <c r="AE419" s="949"/>
      <c r="AF419" s="949"/>
      <c r="AG419" s="949"/>
      <c r="AH419" s="949"/>
      <c r="AI419" s="949"/>
      <c r="AJ419" s="949"/>
      <c r="AK419" s="949"/>
      <c r="AL419" s="949"/>
      <c r="AM419" s="953" t="s">
        <v>746</v>
      </c>
      <c r="AN419" s="954" t="s">
        <v>1176</v>
      </c>
      <c r="AO419" s="955" t="s">
        <v>837</v>
      </c>
      <c r="AP419" s="931"/>
      <c r="AQ419" s="956"/>
      <c r="AR419" s="957"/>
      <c r="AS419" s="931"/>
    </row>
    <row r="420" ht="15.75" customHeight="1">
      <c r="A420" s="931"/>
      <c r="B420" s="941" t="s">
        <v>2058</v>
      </c>
      <c r="C420" s="942" t="s">
        <v>2059</v>
      </c>
      <c r="D420" s="942" t="s">
        <v>2059</v>
      </c>
      <c r="E420" s="943" t="s">
        <v>2059</v>
      </c>
      <c r="F420" s="935"/>
      <c r="G420" s="944"/>
      <c r="H420" s="944"/>
      <c r="I420" s="946" t="s">
        <v>533</v>
      </c>
      <c r="J420" s="975" t="s">
        <v>712</v>
      </c>
      <c r="K420" s="954" t="s">
        <v>158</v>
      </c>
      <c r="L420" s="949">
        <v>80.0</v>
      </c>
      <c r="M420" s="949">
        <v>45.0</v>
      </c>
      <c r="N420" s="949">
        <v>65.0</v>
      </c>
      <c r="O420" s="949">
        <v>90.0</v>
      </c>
      <c r="P420" s="949">
        <v>110.0</v>
      </c>
      <c r="Q420" s="949">
        <v>80.0</v>
      </c>
      <c r="R420" s="949">
        <v>196.0</v>
      </c>
      <c r="S420" s="949">
        <v>259.0</v>
      </c>
      <c r="T420" s="949">
        <v>284.0</v>
      </c>
      <c r="U420" s="949"/>
      <c r="V420" s="949"/>
      <c r="W420" s="949"/>
      <c r="X420" s="949"/>
      <c r="Y420" s="949"/>
      <c r="Z420" s="949"/>
      <c r="AA420" s="949"/>
      <c r="AB420" s="949"/>
      <c r="AC420" s="949"/>
      <c r="AD420" s="949"/>
      <c r="AE420" s="949"/>
      <c r="AF420" s="949"/>
      <c r="AG420" s="949"/>
      <c r="AH420" s="949"/>
      <c r="AI420" s="949"/>
      <c r="AJ420" s="949"/>
      <c r="AK420" s="949"/>
      <c r="AL420" s="949"/>
      <c r="AM420" s="953" t="s">
        <v>746</v>
      </c>
      <c r="AN420" s="954" t="s">
        <v>1176</v>
      </c>
      <c r="AO420" s="955" t="s">
        <v>837</v>
      </c>
      <c r="AP420" s="931"/>
      <c r="AQ420" s="956"/>
      <c r="AR420" s="957"/>
      <c r="AS420" s="931"/>
    </row>
    <row r="421" ht="15.75" customHeight="1">
      <c r="A421" s="931"/>
      <c r="B421" s="941" t="s">
        <v>2060</v>
      </c>
      <c r="C421" s="942" t="s">
        <v>2061</v>
      </c>
      <c r="D421" s="942" t="s">
        <v>2061</v>
      </c>
      <c r="E421" s="943" t="s">
        <v>2061</v>
      </c>
      <c r="F421" s="935"/>
      <c r="G421" s="944"/>
      <c r="H421" s="944"/>
      <c r="I421" s="946" t="s">
        <v>2062</v>
      </c>
      <c r="J421" s="968" t="s">
        <v>703</v>
      </c>
      <c r="K421" s="954" t="s">
        <v>158</v>
      </c>
      <c r="L421" s="949">
        <v>60.0</v>
      </c>
      <c r="M421" s="949">
        <v>60.0</v>
      </c>
      <c r="N421" s="949">
        <v>60.0</v>
      </c>
      <c r="O421" s="949">
        <v>60.0</v>
      </c>
      <c r="P421" s="949">
        <v>60.0</v>
      </c>
      <c r="Q421" s="949">
        <v>60.0</v>
      </c>
      <c r="R421" s="949">
        <v>156.0</v>
      </c>
      <c r="S421" s="949">
        <v>219.0</v>
      </c>
      <c r="T421" s="949">
        <v>240.0</v>
      </c>
      <c r="U421" s="949"/>
      <c r="V421" s="949"/>
      <c r="W421" s="949"/>
      <c r="X421" s="949"/>
      <c r="Y421" s="949"/>
      <c r="Z421" s="949"/>
      <c r="AA421" s="949"/>
      <c r="AB421" s="949"/>
      <c r="AC421" s="949"/>
      <c r="AD421" s="949"/>
      <c r="AE421" s="949"/>
      <c r="AF421" s="949"/>
      <c r="AG421" s="949"/>
      <c r="AH421" s="949"/>
      <c r="AI421" s="949"/>
      <c r="AJ421" s="949"/>
      <c r="AK421" s="949"/>
      <c r="AL421" s="949"/>
      <c r="AM421" s="953" t="s">
        <v>1176</v>
      </c>
      <c r="AN421" s="954" t="s">
        <v>816</v>
      </c>
      <c r="AO421" s="955" t="s">
        <v>1693</v>
      </c>
      <c r="AP421" s="931"/>
      <c r="AQ421" s="956"/>
      <c r="AR421" s="957"/>
      <c r="AS421" s="931"/>
    </row>
    <row r="422" ht="15.75" customHeight="1">
      <c r="A422" s="931"/>
      <c r="B422" s="941" t="s">
        <v>2063</v>
      </c>
      <c r="C422" s="942" t="s">
        <v>2064</v>
      </c>
      <c r="D422" s="942" t="s">
        <v>2064</v>
      </c>
      <c r="E422" s="943" t="s">
        <v>2064</v>
      </c>
      <c r="F422" s="935"/>
      <c r="G422" s="944"/>
      <c r="H422" s="944"/>
      <c r="I422" s="946" t="s">
        <v>2065</v>
      </c>
      <c r="J422" s="976" t="s">
        <v>711</v>
      </c>
      <c r="K422" s="954" t="s">
        <v>158</v>
      </c>
      <c r="L422" s="949">
        <v>45.0</v>
      </c>
      <c r="M422" s="949">
        <v>100.0</v>
      </c>
      <c r="N422" s="949">
        <v>45.0</v>
      </c>
      <c r="O422" s="949">
        <v>45.0</v>
      </c>
      <c r="P422" s="949">
        <v>45.0</v>
      </c>
      <c r="Q422" s="949">
        <v>10.0</v>
      </c>
      <c r="R422" s="949">
        <v>56.0</v>
      </c>
      <c r="S422" s="949">
        <v>119.0</v>
      </c>
      <c r="T422" s="949">
        <v>130.0</v>
      </c>
      <c r="U422" s="949"/>
      <c r="V422" s="949"/>
      <c r="W422" s="949"/>
      <c r="X422" s="949"/>
      <c r="Y422" s="949"/>
      <c r="Z422" s="949"/>
      <c r="AA422" s="949"/>
      <c r="AB422" s="949"/>
      <c r="AC422" s="949"/>
      <c r="AD422" s="949"/>
      <c r="AE422" s="949"/>
      <c r="AF422" s="949"/>
      <c r="AG422" s="949"/>
      <c r="AH422" s="949"/>
      <c r="AI422" s="949"/>
      <c r="AJ422" s="949"/>
      <c r="AK422" s="949"/>
      <c r="AL422" s="949"/>
      <c r="AM422" s="953" t="s">
        <v>1266</v>
      </c>
      <c r="AN422" s="954" t="s">
        <v>1025</v>
      </c>
      <c r="AO422" s="955" t="s">
        <v>949</v>
      </c>
      <c r="AP422" s="931"/>
      <c r="AQ422" s="956"/>
      <c r="AR422" s="957"/>
      <c r="AS422" s="931"/>
    </row>
    <row r="423" ht="15.75" customHeight="1">
      <c r="A423" s="931"/>
      <c r="B423" s="941" t="s">
        <v>2066</v>
      </c>
      <c r="C423" s="942" t="s">
        <v>2067</v>
      </c>
      <c r="D423" s="942" t="s">
        <v>2067</v>
      </c>
      <c r="E423" s="943" t="s">
        <v>2067</v>
      </c>
      <c r="F423" s="935"/>
      <c r="G423" s="944"/>
      <c r="H423" s="944"/>
      <c r="I423" s="946" t="s">
        <v>2068</v>
      </c>
      <c r="J423" s="976" t="s">
        <v>711</v>
      </c>
      <c r="K423" s="961" t="s">
        <v>716</v>
      </c>
      <c r="L423" s="949">
        <v>50.0</v>
      </c>
      <c r="M423" s="949">
        <v>70.0</v>
      </c>
      <c r="N423" s="949">
        <v>50.0</v>
      </c>
      <c r="O423" s="949">
        <v>50.0</v>
      </c>
      <c r="P423" s="949">
        <v>50.0</v>
      </c>
      <c r="Q423" s="949">
        <v>70.0</v>
      </c>
      <c r="R423" s="949">
        <v>176.0</v>
      </c>
      <c r="S423" s="949">
        <v>239.0</v>
      </c>
      <c r="T423" s="949">
        <v>262.0</v>
      </c>
      <c r="U423" s="949"/>
      <c r="V423" s="949"/>
      <c r="W423" s="949"/>
      <c r="X423" s="949"/>
      <c r="Y423" s="949"/>
      <c r="Z423" s="949"/>
      <c r="AA423" s="949"/>
      <c r="AB423" s="949"/>
      <c r="AC423" s="949"/>
      <c r="AD423" s="949"/>
      <c r="AE423" s="949"/>
      <c r="AF423" s="949"/>
      <c r="AG423" s="949"/>
      <c r="AH423" s="949"/>
      <c r="AI423" s="949"/>
      <c r="AJ423" s="949"/>
      <c r="AK423" s="949"/>
      <c r="AL423" s="949"/>
      <c r="AM423" s="953" t="s">
        <v>1244</v>
      </c>
      <c r="AN423" s="954"/>
      <c r="AO423" s="955"/>
      <c r="AP423" s="931"/>
      <c r="AQ423" s="956"/>
      <c r="AR423" s="957"/>
      <c r="AS423" s="931"/>
    </row>
    <row r="424" ht="15.75" customHeight="1">
      <c r="A424" s="931"/>
      <c r="B424" s="941" t="s">
        <v>2069</v>
      </c>
      <c r="C424" s="942" t="s">
        <v>2070</v>
      </c>
      <c r="D424" s="942" t="s">
        <v>2070</v>
      </c>
      <c r="E424" s="943" t="s">
        <v>2070</v>
      </c>
      <c r="F424" s="935"/>
      <c r="G424" s="944"/>
      <c r="H424" s="944"/>
      <c r="I424" s="946" t="s">
        <v>2071</v>
      </c>
      <c r="J424" s="976" t="s">
        <v>711</v>
      </c>
      <c r="K424" s="961" t="s">
        <v>716</v>
      </c>
      <c r="L424" s="949">
        <v>80.0</v>
      </c>
      <c r="M424" s="949">
        <v>100.0</v>
      </c>
      <c r="N424" s="949">
        <v>80.0</v>
      </c>
      <c r="O424" s="949">
        <v>80.0</v>
      </c>
      <c r="P424" s="949">
        <v>80.0</v>
      </c>
      <c r="Q424" s="949">
        <v>100.0</v>
      </c>
      <c r="R424" s="949">
        <v>236.0</v>
      </c>
      <c r="S424" s="949">
        <v>299.0</v>
      </c>
      <c r="T424" s="949">
        <v>328.0</v>
      </c>
      <c r="U424" s="949"/>
      <c r="V424" s="949"/>
      <c r="W424" s="949"/>
      <c r="X424" s="949"/>
      <c r="Y424" s="949"/>
      <c r="Z424" s="949"/>
      <c r="AA424" s="949"/>
      <c r="AB424" s="949"/>
      <c r="AC424" s="949"/>
      <c r="AD424" s="949"/>
      <c r="AE424" s="949"/>
      <c r="AF424" s="949"/>
      <c r="AG424" s="949"/>
      <c r="AH424" s="949"/>
      <c r="AI424" s="949"/>
      <c r="AJ424" s="949"/>
      <c r="AK424" s="949"/>
      <c r="AL424" s="949"/>
      <c r="AM424" s="953" t="s">
        <v>1244</v>
      </c>
      <c r="AN424" s="954"/>
      <c r="AO424" s="955"/>
      <c r="AP424" s="931"/>
      <c r="AQ424" s="956"/>
      <c r="AR424" s="957"/>
      <c r="AS424" s="931"/>
    </row>
    <row r="425" ht="15.75" customHeight="1">
      <c r="A425" s="931"/>
      <c r="B425" s="941" t="s">
        <v>2072</v>
      </c>
      <c r="C425" s="942" t="s">
        <v>2073</v>
      </c>
      <c r="D425" s="942" t="s">
        <v>2073</v>
      </c>
      <c r="E425" s="943" t="s">
        <v>2073</v>
      </c>
      <c r="F425" s="935"/>
      <c r="G425" s="944"/>
      <c r="H425" s="944"/>
      <c r="I425" s="946" t="s">
        <v>598</v>
      </c>
      <c r="J425" s="947" t="s">
        <v>708</v>
      </c>
      <c r="K425" s="954" t="s">
        <v>158</v>
      </c>
      <c r="L425" s="949">
        <v>50.0</v>
      </c>
      <c r="M425" s="949">
        <v>85.0</v>
      </c>
      <c r="N425" s="949">
        <v>40.0</v>
      </c>
      <c r="O425" s="949">
        <v>85.0</v>
      </c>
      <c r="P425" s="949">
        <v>40.0</v>
      </c>
      <c r="Q425" s="949">
        <v>35.0</v>
      </c>
      <c r="R425" s="949">
        <v>106.0</v>
      </c>
      <c r="S425" s="949">
        <v>169.0</v>
      </c>
      <c r="T425" s="949">
        <v>185.0</v>
      </c>
      <c r="U425" s="949"/>
      <c r="V425" s="949"/>
      <c r="W425" s="949"/>
      <c r="X425" s="949"/>
      <c r="Y425" s="949"/>
      <c r="Z425" s="949"/>
      <c r="AA425" s="949"/>
      <c r="AB425" s="949"/>
      <c r="AC425" s="949"/>
      <c r="AD425" s="949"/>
      <c r="AE425" s="949"/>
      <c r="AF425" s="949"/>
      <c r="AG425" s="949"/>
      <c r="AH425" s="949"/>
      <c r="AI425" s="949"/>
      <c r="AJ425" s="949"/>
      <c r="AK425" s="949"/>
      <c r="AL425" s="949"/>
      <c r="AM425" s="953" t="s">
        <v>923</v>
      </c>
      <c r="AN425" s="954"/>
      <c r="AO425" s="955" t="s">
        <v>1084</v>
      </c>
      <c r="AP425" s="931"/>
      <c r="AQ425" s="956"/>
      <c r="AR425" s="957"/>
      <c r="AS425" s="931"/>
    </row>
    <row r="426" ht="15.75" customHeight="1">
      <c r="A426" s="931"/>
      <c r="B426" s="941" t="s">
        <v>2074</v>
      </c>
      <c r="C426" s="942" t="s">
        <v>2075</v>
      </c>
      <c r="D426" s="942" t="s">
        <v>2075</v>
      </c>
      <c r="E426" s="943" t="s">
        <v>2075</v>
      </c>
      <c r="F426" s="935"/>
      <c r="G426" s="944"/>
      <c r="H426" s="944"/>
      <c r="I426" s="946" t="s">
        <v>504</v>
      </c>
      <c r="J426" s="947" t="s">
        <v>708</v>
      </c>
      <c r="K426" s="969" t="s">
        <v>718</v>
      </c>
      <c r="L426" s="949">
        <v>70.0</v>
      </c>
      <c r="M426" s="949">
        <v>115.0</v>
      </c>
      <c r="N426" s="949">
        <v>60.0</v>
      </c>
      <c r="O426" s="949">
        <v>115.0</v>
      </c>
      <c r="P426" s="949">
        <v>60.0</v>
      </c>
      <c r="Q426" s="949">
        <v>55.0</v>
      </c>
      <c r="R426" s="949">
        <v>146.0</v>
      </c>
      <c r="S426" s="949">
        <v>209.0</v>
      </c>
      <c r="T426" s="949">
        <v>229.0</v>
      </c>
      <c r="U426" s="949"/>
      <c r="V426" s="949"/>
      <c r="W426" s="949"/>
      <c r="X426" s="949"/>
      <c r="Y426" s="949"/>
      <c r="Z426" s="949"/>
      <c r="AA426" s="949"/>
      <c r="AB426" s="949"/>
      <c r="AC426" s="949"/>
      <c r="AD426" s="949"/>
      <c r="AE426" s="949"/>
      <c r="AF426" s="949"/>
      <c r="AG426" s="949"/>
      <c r="AH426" s="949"/>
      <c r="AI426" s="949"/>
      <c r="AJ426" s="949"/>
      <c r="AK426" s="949"/>
      <c r="AL426" s="949"/>
      <c r="AM426" s="953" t="s">
        <v>923</v>
      </c>
      <c r="AN426" s="954"/>
      <c r="AO426" s="955" t="s">
        <v>1084</v>
      </c>
      <c r="AP426" s="931"/>
      <c r="AQ426" s="956"/>
      <c r="AR426" s="957"/>
      <c r="AS426" s="931"/>
    </row>
    <row r="427" ht="15.75" customHeight="1">
      <c r="A427" s="931"/>
      <c r="B427" s="941" t="s">
        <v>2076</v>
      </c>
      <c r="C427" s="942" t="s">
        <v>2077</v>
      </c>
      <c r="D427" s="942" t="s">
        <v>2077</v>
      </c>
      <c r="E427" s="943" t="s">
        <v>2077</v>
      </c>
      <c r="F427" s="935"/>
      <c r="G427" s="944"/>
      <c r="H427" s="944"/>
      <c r="I427" s="946" t="s">
        <v>599</v>
      </c>
      <c r="J427" s="968" t="s">
        <v>703</v>
      </c>
      <c r="K427" s="960" t="s">
        <v>707</v>
      </c>
      <c r="L427" s="949">
        <v>45.0</v>
      </c>
      <c r="M427" s="949">
        <v>40.0</v>
      </c>
      <c r="N427" s="949">
        <v>60.0</v>
      </c>
      <c r="O427" s="949">
        <v>40.0</v>
      </c>
      <c r="P427" s="949">
        <v>75.0</v>
      </c>
      <c r="Q427" s="949">
        <v>50.0</v>
      </c>
      <c r="R427" s="949">
        <v>136.0</v>
      </c>
      <c r="S427" s="949">
        <v>199.0</v>
      </c>
      <c r="T427" s="949">
        <v>218.0</v>
      </c>
      <c r="U427" s="949"/>
      <c r="V427" s="949"/>
      <c r="W427" s="949"/>
      <c r="X427" s="949"/>
      <c r="Y427" s="949"/>
      <c r="Z427" s="949"/>
      <c r="AA427" s="949"/>
      <c r="AB427" s="949"/>
      <c r="AC427" s="949"/>
      <c r="AD427" s="949"/>
      <c r="AE427" s="949"/>
      <c r="AF427" s="949"/>
      <c r="AG427" s="949"/>
      <c r="AH427" s="949"/>
      <c r="AI427" s="949"/>
      <c r="AJ427" s="949"/>
      <c r="AK427" s="949"/>
      <c r="AL427" s="949"/>
      <c r="AM427" s="953" t="s">
        <v>1333</v>
      </c>
      <c r="AN427" s="954"/>
      <c r="AO427" s="955" t="s">
        <v>1061</v>
      </c>
      <c r="AP427" s="931"/>
      <c r="AQ427" s="956"/>
      <c r="AR427" s="957"/>
      <c r="AS427" s="931"/>
    </row>
    <row r="428" ht="15.75" customHeight="1">
      <c r="A428" s="931"/>
      <c r="B428" s="941" t="s">
        <v>2078</v>
      </c>
      <c r="C428" s="942" t="s">
        <v>2079</v>
      </c>
      <c r="D428" s="942" t="s">
        <v>2079</v>
      </c>
      <c r="E428" s="943" t="s">
        <v>2079</v>
      </c>
      <c r="F428" s="935"/>
      <c r="G428" s="944"/>
      <c r="H428" s="944"/>
      <c r="I428" s="946" t="s">
        <v>534</v>
      </c>
      <c r="J428" s="961" t="s">
        <v>716</v>
      </c>
      <c r="K428" s="960" t="s">
        <v>707</v>
      </c>
      <c r="L428" s="949">
        <v>75.0</v>
      </c>
      <c r="M428" s="949">
        <v>70.0</v>
      </c>
      <c r="N428" s="949">
        <v>90.0</v>
      </c>
      <c r="O428" s="949">
        <v>70.0</v>
      </c>
      <c r="P428" s="949">
        <v>105.0</v>
      </c>
      <c r="Q428" s="949">
        <v>80.0</v>
      </c>
      <c r="R428" s="949">
        <v>196.0</v>
      </c>
      <c r="S428" s="949">
        <v>259.0</v>
      </c>
      <c r="T428" s="949">
        <v>284.0</v>
      </c>
      <c r="U428" s="949"/>
      <c r="V428" s="949"/>
      <c r="W428" s="949"/>
      <c r="X428" s="949"/>
      <c r="Y428" s="949"/>
      <c r="Z428" s="949"/>
      <c r="AA428" s="949"/>
      <c r="AB428" s="949"/>
      <c r="AC428" s="949"/>
      <c r="AD428" s="949"/>
      <c r="AE428" s="949"/>
      <c r="AF428" s="949"/>
      <c r="AG428" s="949"/>
      <c r="AH428" s="949"/>
      <c r="AI428" s="949"/>
      <c r="AJ428" s="949"/>
      <c r="AK428" s="949"/>
      <c r="AL428" s="949"/>
      <c r="AM428" s="953" t="s">
        <v>1333</v>
      </c>
      <c r="AN428" s="954"/>
      <c r="AO428" s="955" t="s">
        <v>1061</v>
      </c>
      <c r="AP428" s="931"/>
      <c r="AQ428" s="956"/>
      <c r="AR428" s="957"/>
      <c r="AS428" s="931"/>
    </row>
    <row r="429" ht="15.75" customHeight="1">
      <c r="A429" s="931"/>
      <c r="B429" s="941" t="s">
        <v>2080</v>
      </c>
      <c r="C429" s="942" t="s">
        <v>2081</v>
      </c>
      <c r="D429" s="942" t="s">
        <v>2081</v>
      </c>
      <c r="E429" s="943" t="s">
        <v>2081</v>
      </c>
      <c r="F429" s="935"/>
      <c r="G429" s="944"/>
      <c r="H429" s="944"/>
      <c r="I429" s="946" t="s">
        <v>2082</v>
      </c>
      <c r="J429" s="961" t="s">
        <v>716</v>
      </c>
      <c r="K429" s="980" t="s">
        <v>720</v>
      </c>
      <c r="L429" s="949">
        <v>75.0</v>
      </c>
      <c r="M429" s="949">
        <v>110.0</v>
      </c>
      <c r="N429" s="949">
        <v>110.0</v>
      </c>
      <c r="O429" s="949">
        <v>110.0</v>
      </c>
      <c r="P429" s="949">
        <v>105.0</v>
      </c>
      <c r="Q429" s="949">
        <v>80.0</v>
      </c>
      <c r="R429" s="949">
        <v>196.0</v>
      </c>
      <c r="S429" s="949">
        <v>259.0</v>
      </c>
      <c r="T429" s="949">
        <v>284.0</v>
      </c>
      <c r="U429" s="949"/>
      <c r="V429" s="949"/>
      <c r="W429" s="949"/>
      <c r="X429" s="949"/>
      <c r="Y429" s="949"/>
      <c r="Z429" s="949"/>
      <c r="AA429" s="949"/>
      <c r="AB429" s="949"/>
      <c r="AC429" s="949"/>
      <c r="AD429" s="949"/>
      <c r="AE429" s="949"/>
      <c r="AF429" s="949"/>
      <c r="AG429" s="949"/>
      <c r="AH429" s="949"/>
      <c r="AI429" s="949"/>
      <c r="AJ429" s="949"/>
      <c r="AK429" s="949"/>
      <c r="AL429" s="949"/>
      <c r="AM429" s="953" t="s">
        <v>1919</v>
      </c>
      <c r="AN429" s="954"/>
      <c r="AO429" s="955"/>
      <c r="AP429" s="931"/>
      <c r="AQ429" s="956"/>
      <c r="AR429" s="957"/>
      <c r="AS429" s="931"/>
    </row>
    <row r="430" ht="15.75" customHeight="1">
      <c r="A430" s="931"/>
      <c r="B430" s="941" t="s">
        <v>2083</v>
      </c>
      <c r="C430" s="942" t="s">
        <v>2084</v>
      </c>
      <c r="D430" s="942" t="s">
        <v>2084</v>
      </c>
      <c r="E430" s="943" t="s">
        <v>2084</v>
      </c>
      <c r="F430" s="935"/>
      <c r="G430" s="944"/>
      <c r="H430" s="944"/>
      <c r="I430" s="946" t="s">
        <v>486</v>
      </c>
      <c r="J430" s="968" t="s">
        <v>703</v>
      </c>
      <c r="K430" s="954" t="s">
        <v>158</v>
      </c>
      <c r="L430" s="949">
        <v>73.0</v>
      </c>
      <c r="M430" s="949">
        <v>115.0</v>
      </c>
      <c r="N430" s="949">
        <v>60.0</v>
      </c>
      <c r="O430" s="949">
        <v>60.0</v>
      </c>
      <c r="P430" s="949">
        <v>60.0</v>
      </c>
      <c r="Q430" s="949">
        <v>90.0</v>
      </c>
      <c r="R430" s="949">
        <v>216.0</v>
      </c>
      <c r="S430" s="949">
        <v>279.0</v>
      </c>
      <c r="T430" s="949">
        <v>306.0</v>
      </c>
      <c r="U430" s="949"/>
      <c r="V430" s="949"/>
      <c r="W430" s="949"/>
      <c r="X430" s="949"/>
      <c r="Y430" s="949"/>
      <c r="Z430" s="949"/>
      <c r="AA430" s="949"/>
      <c r="AB430" s="949"/>
      <c r="AC430" s="949"/>
      <c r="AD430" s="949"/>
      <c r="AE430" s="949"/>
      <c r="AF430" s="949"/>
      <c r="AG430" s="949"/>
      <c r="AH430" s="949"/>
      <c r="AI430" s="949"/>
      <c r="AJ430" s="949"/>
      <c r="AK430" s="949"/>
      <c r="AL430" s="949"/>
      <c r="AM430" s="953" t="s">
        <v>1458</v>
      </c>
      <c r="AN430" s="954"/>
      <c r="AO430" s="955" t="s">
        <v>2085</v>
      </c>
      <c r="AP430" s="931"/>
      <c r="AQ430" s="956"/>
      <c r="AR430" s="957"/>
      <c r="AS430" s="931"/>
    </row>
    <row r="431" ht="15.75" customHeight="1">
      <c r="A431" s="963"/>
      <c r="B431" s="941" t="s">
        <v>2086</v>
      </c>
      <c r="C431" s="942" t="s">
        <v>2087</v>
      </c>
      <c r="D431" s="942" t="s">
        <v>2087</v>
      </c>
      <c r="E431" s="943" t="s">
        <v>2087</v>
      </c>
      <c r="F431" s="935"/>
      <c r="G431" s="944"/>
      <c r="H431" s="944"/>
      <c r="I431" s="946" t="s">
        <v>505</v>
      </c>
      <c r="J431" s="948" t="s">
        <v>709</v>
      </c>
      <c r="K431" s="954" t="s">
        <v>158</v>
      </c>
      <c r="L431" s="949">
        <v>73.0</v>
      </c>
      <c r="M431" s="949">
        <v>100.0</v>
      </c>
      <c r="N431" s="949">
        <v>60.0</v>
      </c>
      <c r="O431" s="949">
        <v>100.0</v>
      </c>
      <c r="P431" s="949">
        <v>60.0</v>
      </c>
      <c r="Q431" s="949">
        <v>65.0</v>
      </c>
      <c r="R431" s="949">
        <v>166.0</v>
      </c>
      <c r="S431" s="949">
        <v>229.0</v>
      </c>
      <c r="T431" s="949">
        <v>251.0</v>
      </c>
      <c r="U431" s="949"/>
      <c r="V431" s="949"/>
      <c r="W431" s="949"/>
      <c r="X431" s="949"/>
      <c r="Y431" s="949"/>
      <c r="Z431" s="949"/>
      <c r="AA431" s="949"/>
      <c r="AB431" s="949"/>
      <c r="AC431" s="949"/>
      <c r="AD431" s="949"/>
      <c r="AE431" s="949"/>
      <c r="AF431" s="949"/>
      <c r="AG431" s="949"/>
      <c r="AH431" s="949"/>
      <c r="AI431" s="949"/>
      <c r="AJ431" s="949"/>
      <c r="AK431" s="949"/>
      <c r="AL431" s="949"/>
      <c r="AM431" s="964" t="s">
        <v>791</v>
      </c>
      <c r="AN431" s="973"/>
      <c r="AO431" s="965" t="s">
        <v>995</v>
      </c>
      <c r="AP431" s="931"/>
      <c r="AQ431" s="956"/>
      <c r="AR431" s="957"/>
      <c r="AS431" s="931"/>
    </row>
    <row r="432" ht="15.75" customHeight="1">
      <c r="A432" s="931"/>
      <c r="B432" s="941" t="s">
        <v>2088</v>
      </c>
      <c r="C432" s="942" t="s">
        <v>2089</v>
      </c>
      <c r="D432" s="942" t="s">
        <v>2089</v>
      </c>
      <c r="E432" s="943" t="s">
        <v>2089</v>
      </c>
      <c r="F432" s="935"/>
      <c r="G432" s="944"/>
      <c r="H432" s="944"/>
      <c r="I432" s="946" t="s">
        <v>2090</v>
      </c>
      <c r="J432" s="989" t="s">
        <v>713</v>
      </c>
      <c r="K432" s="975" t="s">
        <v>712</v>
      </c>
      <c r="L432" s="949">
        <v>90.0</v>
      </c>
      <c r="M432" s="949">
        <v>55.0</v>
      </c>
      <c r="N432" s="949">
        <v>65.0</v>
      </c>
      <c r="O432" s="949">
        <v>95.0</v>
      </c>
      <c r="P432" s="949">
        <v>85.0</v>
      </c>
      <c r="Q432" s="949">
        <v>70.0</v>
      </c>
      <c r="R432" s="949">
        <v>176.0</v>
      </c>
      <c r="S432" s="949">
        <v>239.0</v>
      </c>
      <c r="T432" s="949">
        <v>262.0</v>
      </c>
      <c r="U432" s="949"/>
      <c r="V432" s="949"/>
      <c r="W432" s="949"/>
      <c r="X432" s="949"/>
      <c r="Y432" s="949"/>
      <c r="Z432" s="949"/>
      <c r="AA432" s="949"/>
      <c r="AB432" s="949"/>
      <c r="AC432" s="949"/>
      <c r="AD432" s="949"/>
      <c r="AE432" s="949"/>
      <c r="AF432" s="949"/>
      <c r="AG432" s="949"/>
      <c r="AH432" s="949"/>
      <c r="AI432" s="949"/>
      <c r="AJ432" s="949"/>
      <c r="AK432" s="949"/>
      <c r="AL432" s="949"/>
      <c r="AM432" s="953" t="s">
        <v>1244</v>
      </c>
      <c r="AN432" s="954"/>
      <c r="AO432" s="955"/>
      <c r="AP432" s="931"/>
      <c r="AQ432" s="956"/>
      <c r="AR432" s="957"/>
      <c r="AS432" s="931"/>
    </row>
    <row r="433" ht="15.75" customHeight="1">
      <c r="A433" s="931"/>
      <c r="B433" s="941" t="s">
        <v>2091</v>
      </c>
      <c r="C433" s="942" t="s">
        <v>2092</v>
      </c>
      <c r="D433" s="942" t="s">
        <v>2092</v>
      </c>
      <c r="E433" s="943" t="s">
        <v>2092</v>
      </c>
      <c r="F433" s="935"/>
      <c r="G433" s="944"/>
      <c r="H433" s="944"/>
      <c r="I433" s="946" t="s">
        <v>2093</v>
      </c>
      <c r="J433" s="989" t="s">
        <v>713</v>
      </c>
      <c r="K433" s="975" t="s">
        <v>712</v>
      </c>
      <c r="L433" s="949">
        <v>90.0</v>
      </c>
      <c r="M433" s="949">
        <v>95.0</v>
      </c>
      <c r="N433" s="949">
        <v>85.0</v>
      </c>
      <c r="O433" s="949">
        <v>55.0</v>
      </c>
      <c r="P433" s="949">
        <v>65.0</v>
      </c>
      <c r="Q433" s="949">
        <v>70.0</v>
      </c>
      <c r="R433" s="949">
        <v>176.0</v>
      </c>
      <c r="S433" s="949">
        <v>239.0</v>
      </c>
      <c r="T433" s="949">
        <v>262.0</v>
      </c>
      <c r="U433" s="949"/>
      <c r="V433" s="949"/>
      <c r="W433" s="949"/>
      <c r="X433" s="949"/>
      <c r="Y433" s="949"/>
      <c r="Z433" s="949"/>
      <c r="AA433" s="949"/>
      <c r="AB433" s="949"/>
      <c r="AC433" s="949"/>
      <c r="AD433" s="949"/>
      <c r="AE433" s="949"/>
      <c r="AF433" s="949"/>
      <c r="AG433" s="949"/>
      <c r="AH433" s="949"/>
      <c r="AI433" s="949"/>
      <c r="AJ433" s="949"/>
      <c r="AK433" s="949"/>
      <c r="AL433" s="949"/>
      <c r="AM433" s="953" t="s">
        <v>1244</v>
      </c>
      <c r="AN433" s="954"/>
      <c r="AO433" s="955"/>
      <c r="AP433" s="931"/>
      <c r="AQ433" s="956"/>
      <c r="AR433" s="957"/>
      <c r="AS433" s="931"/>
    </row>
    <row r="434" ht="15.75" customHeight="1">
      <c r="A434" s="931"/>
      <c r="B434" s="941" t="s">
        <v>2094</v>
      </c>
      <c r="C434" s="942" t="s">
        <v>2095</v>
      </c>
      <c r="D434" s="942" t="s">
        <v>2095</v>
      </c>
      <c r="E434" s="943" t="s">
        <v>2095</v>
      </c>
      <c r="F434" s="935"/>
      <c r="G434" s="944"/>
      <c r="H434" s="944"/>
      <c r="I434" s="946" t="s">
        <v>600</v>
      </c>
      <c r="J434" s="962" t="s">
        <v>706</v>
      </c>
      <c r="K434" s="976" t="s">
        <v>711</v>
      </c>
      <c r="L434" s="949">
        <v>50.0</v>
      </c>
      <c r="M434" s="949">
        <v>48.0</v>
      </c>
      <c r="N434" s="949">
        <v>43.0</v>
      </c>
      <c r="O434" s="949">
        <v>46.0</v>
      </c>
      <c r="P434" s="949">
        <v>41.0</v>
      </c>
      <c r="Q434" s="949">
        <v>60.0</v>
      </c>
      <c r="R434" s="949">
        <v>156.0</v>
      </c>
      <c r="S434" s="949">
        <v>219.0</v>
      </c>
      <c r="T434" s="949">
        <v>240.0</v>
      </c>
      <c r="U434" s="949"/>
      <c r="V434" s="949"/>
      <c r="W434" s="949"/>
      <c r="X434" s="949"/>
      <c r="Y434" s="949"/>
      <c r="Z434" s="949"/>
      <c r="AA434" s="949"/>
      <c r="AB434" s="949"/>
      <c r="AC434" s="949"/>
      <c r="AD434" s="949"/>
      <c r="AE434" s="949"/>
      <c r="AF434" s="949"/>
      <c r="AG434" s="949"/>
      <c r="AH434" s="949"/>
      <c r="AI434" s="949"/>
      <c r="AJ434" s="949"/>
      <c r="AK434" s="949"/>
      <c r="AL434" s="949"/>
      <c r="AM434" s="953" t="s">
        <v>1175</v>
      </c>
      <c r="AN434" s="954" t="s">
        <v>1165</v>
      </c>
      <c r="AO434" s="955" t="s">
        <v>1216</v>
      </c>
      <c r="AP434" s="931"/>
      <c r="AQ434" s="956"/>
      <c r="AR434" s="957"/>
      <c r="AS434" s="931"/>
    </row>
    <row r="435" ht="15.75" customHeight="1">
      <c r="A435" s="931"/>
      <c r="B435" s="941" t="s">
        <v>2096</v>
      </c>
      <c r="C435" s="942" t="s">
        <v>2097</v>
      </c>
      <c r="D435" s="942" t="s">
        <v>2097</v>
      </c>
      <c r="E435" s="943" t="s">
        <v>2097</v>
      </c>
      <c r="F435" s="935"/>
      <c r="G435" s="944"/>
      <c r="H435" s="944"/>
      <c r="I435" s="959" t="s">
        <v>535</v>
      </c>
      <c r="J435" s="962" t="s">
        <v>706</v>
      </c>
      <c r="K435" s="976" t="s">
        <v>711</v>
      </c>
      <c r="L435" s="949">
        <v>110.0</v>
      </c>
      <c r="M435" s="949">
        <v>78.0</v>
      </c>
      <c r="N435" s="949">
        <v>73.0</v>
      </c>
      <c r="O435" s="949">
        <v>76.0</v>
      </c>
      <c r="P435" s="949">
        <v>71.0</v>
      </c>
      <c r="Q435" s="949">
        <v>60.0</v>
      </c>
      <c r="R435" s="949">
        <v>156.0</v>
      </c>
      <c r="S435" s="949">
        <v>219.0</v>
      </c>
      <c r="T435" s="949">
        <v>240.0</v>
      </c>
      <c r="U435" s="949"/>
      <c r="V435" s="949"/>
      <c r="W435" s="949"/>
      <c r="X435" s="949"/>
      <c r="Y435" s="949"/>
      <c r="Z435" s="949"/>
      <c r="AA435" s="949"/>
      <c r="AB435" s="949"/>
      <c r="AC435" s="949"/>
      <c r="AD435" s="949"/>
      <c r="AE435" s="949"/>
      <c r="AF435" s="949"/>
      <c r="AG435" s="949"/>
      <c r="AH435" s="949"/>
      <c r="AI435" s="949"/>
      <c r="AJ435" s="949"/>
      <c r="AK435" s="949"/>
      <c r="AL435" s="949"/>
      <c r="AM435" s="953" t="s">
        <v>1175</v>
      </c>
      <c r="AN435" s="954" t="s">
        <v>1165</v>
      </c>
      <c r="AO435" s="955" t="s">
        <v>1216</v>
      </c>
      <c r="AP435" s="931"/>
      <c r="AQ435" s="956"/>
      <c r="AR435" s="957"/>
      <c r="AS435" s="931"/>
    </row>
    <row r="436" ht="15.75" customHeight="1">
      <c r="A436" s="931"/>
      <c r="B436" s="941" t="s">
        <v>2098</v>
      </c>
      <c r="C436" s="942" t="s">
        <v>2099</v>
      </c>
      <c r="D436" s="942" t="s">
        <v>2099</v>
      </c>
      <c r="E436" s="943" t="s">
        <v>2099</v>
      </c>
      <c r="F436" s="935"/>
      <c r="G436" s="944"/>
      <c r="H436" s="944"/>
      <c r="I436" s="959" t="s">
        <v>2100</v>
      </c>
      <c r="J436" s="962" t="s">
        <v>706</v>
      </c>
      <c r="K436" s="954" t="s">
        <v>158</v>
      </c>
      <c r="L436" s="949">
        <v>43.0</v>
      </c>
      <c r="M436" s="949">
        <v>80.0</v>
      </c>
      <c r="N436" s="949">
        <v>65.0</v>
      </c>
      <c r="O436" s="949">
        <v>50.0</v>
      </c>
      <c r="P436" s="949">
        <v>35.0</v>
      </c>
      <c r="Q436" s="949">
        <v>35.0</v>
      </c>
      <c r="R436" s="949">
        <v>106.0</v>
      </c>
      <c r="S436" s="949">
        <v>169.0</v>
      </c>
      <c r="T436" s="949">
        <v>185.0</v>
      </c>
      <c r="U436" s="949"/>
      <c r="V436" s="949"/>
      <c r="W436" s="949"/>
      <c r="X436" s="949"/>
      <c r="Y436" s="949"/>
      <c r="Z436" s="949"/>
      <c r="AA436" s="949"/>
      <c r="AB436" s="949"/>
      <c r="AC436" s="949"/>
      <c r="AD436" s="949"/>
      <c r="AE436" s="949"/>
      <c r="AF436" s="949"/>
      <c r="AG436" s="949"/>
      <c r="AH436" s="949"/>
      <c r="AI436" s="949"/>
      <c r="AJ436" s="949"/>
      <c r="AK436" s="949"/>
      <c r="AL436" s="949"/>
      <c r="AM436" s="953" t="s">
        <v>1266</v>
      </c>
      <c r="AN436" s="954" t="s">
        <v>1192</v>
      </c>
      <c r="AO436" s="955" t="s">
        <v>811</v>
      </c>
      <c r="AP436" s="931"/>
      <c r="AQ436" s="956"/>
      <c r="AR436" s="957"/>
      <c r="AS436" s="931"/>
    </row>
    <row r="437" ht="15.75" customHeight="1">
      <c r="A437" s="931"/>
      <c r="B437" s="941" t="s">
        <v>2101</v>
      </c>
      <c r="C437" s="942" t="s">
        <v>2102</v>
      </c>
      <c r="D437" s="942" t="s">
        <v>2102</v>
      </c>
      <c r="E437" s="943" t="s">
        <v>2102</v>
      </c>
      <c r="F437" s="935"/>
      <c r="G437" s="944"/>
      <c r="H437" s="944"/>
      <c r="I437" s="959" t="s">
        <v>2103</v>
      </c>
      <c r="J437" s="962" t="s">
        <v>706</v>
      </c>
      <c r="K437" s="969" t="s">
        <v>718</v>
      </c>
      <c r="L437" s="949">
        <v>63.0</v>
      </c>
      <c r="M437" s="949">
        <v>120.0</v>
      </c>
      <c r="N437" s="949">
        <v>85.0</v>
      </c>
      <c r="O437" s="949">
        <v>90.0</v>
      </c>
      <c r="P437" s="949">
        <v>55.0</v>
      </c>
      <c r="Q437" s="949">
        <v>55.0</v>
      </c>
      <c r="R437" s="949">
        <v>146.0</v>
      </c>
      <c r="S437" s="949">
        <v>209.0</v>
      </c>
      <c r="T437" s="949">
        <v>229.0</v>
      </c>
      <c r="U437" s="949"/>
      <c r="V437" s="949"/>
      <c r="W437" s="949"/>
      <c r="X437" s="949"/>
      <c r="Y437" s="949"/>
      <c r="Z437" s="949"/>
      <c r="AA437" s="949"/>
      <c r="AB437" s="949"/>
      <c r="AC437" s="949"/>
      <c r="AD437" s="949"/>
      <c r="AE437" s="949"/>
      <c r="AF437" s="949"/>
      <c r="AG437" s="949"/>
      <c r="AH437" s="949"/>
      <c r="AI437" s="949"/>
      <c r="AJ437" s="949"/>
      <c r="AK437" s="949"/>
      <c r="AL437" s="949"/>
      <c r="AM437" s="953" t="s">
        <v>1266</v>
      </c>
      <c r="AN437" s="954" t="s">
        <v>1192</v>
      </c>
      <c r="AO437" s="955" t="s">
        <v>811</v>
      </c>
      <c r="AP437" s="931"/>
      <c r="AQ437" s="956"/>
      <c r="AR437" s="957"/>
      <c r="AS437" s="931"/>
    </row>
    <row r="438" ht="15.75" customHeight="1">
      <c r="A438" s="931"/>
      <c r="B438" s="941" t="s">
        <v>2104</v>
      </c>
      <c r="C438" s="942" t="s">
        <v>2105</v>
      </c>
      <c r="D438" s="942" t="s">
        <v>2105</v>
      </c>
      <c r="E438" s="943" t="s">
        <v>2105</v>
      </c>
      <c r="F438" s="935"/>
      <c r="G438" s="944"/>
      <c r="H438" s="944"/>
      <c r="I438" s="959" t="s">
        <v>2106</v>
      </c>
      <c r="J438" s="976" t="s">
        <v>711</v>
      </c>
      <c r="K438" s="975" t="s">
        <v>712</v>
      </c>
      <c r="L438" s="949">
        <v>40.0</v>
      </c>
      <c r="M438" s="949">
        <v>40.0</v>
      </c>
      <c r="N438" s="949">
        <v>55.0</v>
      </c>
      <c r="O438" s="949">
        <v>40.0</v>
      </c>
      <c r="P438" s="949">
        <v>70.0</v>
      </c>
      <c r="Q438" s="949">
        <v>55.0</v>
      </c>
      <c r="R438" s="949">
        <v>146.0</v>
      </c>
      <c r="S438" s="949">
        <v>209.0</v>
      </c>
      <c r="T438" s="949">
        <v>229.0</v>
      </c>
      <c r="U438" s="949"/>
      <c r="V438" s="949"/>
      <c r="W438" s="949"/>
      <c r="X438" s="949"/>
      <c r="Y438" s="949"/>
      <c r="Z438" s="949"/>
      <c r="AA438" s="949"/>
      <c r="AB438" s="949"/>
      <c r="AC438" s="949"/>
      <c r="AD438" s="949"/>
      <c r="AE438" s="949"/>
      <c r="AF438" s="949"/>
      <c r="AG438" s="949"/>
      <c r="AH438" s="949"/>
      <c r="AI438" s="949"/>
      <c r="AJ438" s="949"/>
      <c r="AK438" s="949"/>
      <c r="AL438" s="949"/>
      <c r="AM438" s="953" t="s">
        <v>1244</v>
      </c>
      <c r="AN438" s="954"/>
      <c r="AO438" s="955"/>
      <c r="AP438" s="931"/>
      <c r="AQ438" s="956"/>
      <c r="AR438" s="957"/>
      <c r="AS438" s="931"/>
    </row>
    <row r="439" ht="15.75" customHeight="1">
      <c r="A439" s="963"/>
      <c r="B439" s="941" t="s">
        <v>2107</v>
      </c>
      <c r="C439" s="971" t="s">
        <v>2108</v>
      </c>
      <c r="D439" s="971" t="s">
        <v>2108</v>
      </c>
      <c r="E439" s="966" t="s">
        <v>2108</v>
      </c>
      <c r="F439" s="935"/>
      <c r="G439" s="944"/>
      <c r="H439" s="944"/>
      <c r="I439" s="959" t="s">
        <v>2109</v>
      </c>
      <c r="J439" s="997" t="s">
        <v>711</v>
      </c>
      <c r="K439" s="990" t="s">
        <v>712</v>
      </c>
      <c r="L439" s="974">
        <v>60.0</v>
      </c>
      <c r="M439" s="974">
        <v>70.0</v>
      </c>
      <c r="N439" s="974">
        <v>105.0</v>
      </c>
      <c r="O439" s="974">
        <v>70.0</v>
      </c>
      <c r="P439" s="974">
        <v>120.0</v>
      </c>
      <c r="Q439" s="974">
        <v>75.0</v>
      </c>
      <c r="R439" s="949">
        <v>186.0</v>
      </c>
      <c r="S439" s="949">
        <v>249.0</v>
      </c>
      <c r="T439" s="949">
        <v>273.0</v>
      </c>
      <c r="U439" s="949"/>
      <c r="V439" s="949"/>
      <c r="W439" s="949"/>
      <c r="X439" s="949"/>
      <c r="Y439" s="949"/>
      <c r="Z439" s="949"/>
      <c r="AA439" s="949"/>
      <c r="AB439" s="949"/>
      <c r="AC439" s="949"/>
      <c r="AD439" s="949"/>
      <c r="AE439" s="949"/>
      <c r="AF439" s="949"/>
      <c r="AG439" s="949"/>
      <c r="AH439" s="949"/>
      <c r="AI439" s="949"/>
      <c r="AJ439" s="949"/>
      <c r="AK439" s="949"/>
      <c r="AL439" s="949"/>
      <c r="AM439" s="964" t="s">
        <v>1244</v>
      </c>
      <c r="AN439" s="973"/>
      <c r="AO439" s="965"/>
      <c r="AP439" s="931"/>
      <c r="AQ439" s="956"/>
      <c r="AR439" s="957"/>
      <c r="AS439" s="931"/>
    </row>
    <row r="440" ht="15.75" customHeight="1">
      <c r="A440" s="931"/>
      <c r="B440" s="941" t="s">
        <v>2110</v>
      </c>
      <c r="C440" s="942" t="s">
        <v>2111</v>
      </c>
      <c r="D440" s="942" t="s">
        <v>2111</v>
      </c>
      <c r="E440" s="943" t="s">
        <v>2111</v>
      </c>
      <c r="F440" s="935"/>
      <c r="G440" s="944"/>
      <c r="H440" s="944"/>
      <c r="I440" s="946" t="s">
        <v>2112</v>
      </c>
      <c r="J440" s="989" t="s">
        <v>713</v>
      </c>
      <c r="K440" s="947" t="s">
        <v>708</v>
      </c>
      <c r="L440" s="949">
        <v>66.0</v>
      </c>
      <c r="M440" s="949">
        <v>41.0</v>
      </c>
      <c r="N440" s="949">
        <v>77.0</v>
      </c>
      <c r="O440" s="949">
        <v>61.0</v>
      </c>
      <c r="P440" s="949">
        <v>87.0</v>
      </c>
      <c r="Q440" s="949">
        <v>23.0</v>
      </c>
      <c r="R440" s="949">
        <v>82.0</v>
      </c>
      <c r="S440" s="949">
        <v>145.0</v>
      </c>
      <c r="T440" s="949">
        <v>159.0</v>
      </c>
      <c r="U440" s="949"/>
      <c r="V440" s="949"/>
      <c r="W440" s="949"/>
      <c r="X440" s="949"/>
      <c r="Y440" s="949"/>
      <c r="Z440" s="949"/>
      <c r="AA440" s="949"/>
      <c r="AB440" s="949"/>
      <c r="AC440" s="949"/>
      <c r="AD440" s="949"/>
      <c r="AE440" s="949"/>
      <c r="AF440" s="949"/>
      <c r="AG440" s="949"/>
      <c r="AH440" s="949"/>
      <c r="AI440" s="949"/>
      <c r="AJ440" s="949"/>
      <c r="AK440" s="949"/>
      <c r="AL440" s="949"/>
      <c r="AM440" s="953" t="s">
        <v>1737</v>
      </c>
      <c r="AN440" s="954"/>
      <c r="AO440" s="955" t="s">
        <v>2113</v>
      </c>
      <c r="AP440" s="931"/>
      <c r="AQ440" s="956"/>
      <c r="AR440" s="957"/>
      <c r="AS440" s="931"/>
    </row>
    <row r="441" ht="15.75" customHeight="1">
      <c r="A441" s="963"/>
      <c r="B441" s="941" t="s">
        <v>2114</v>
      </c>
      <c r="C441" s="942" t="s">
        <v>2115</v>
      </c>
      <c r="D441" s="942" t="s">
        <v>2115</v>
      </c>
      <c r="E441" s="943" t="s">
        <v>2115</v>
      </c>
      <c r="F441" s="935"/>
      <c r="G441" s="944"/>
      <c r="H441" s="944"/>
      <c r="I441" s="946" t="s">
        <v>2116</v>
      </c>
      <c r="J441" s="989" t="s">
        <v>713</v>
      </c>
      <c r="K441" s="947" t="s">
        <v>708</v>
      </c>
      <c r="L441" s="949">
        <v>86.0</v>
      </c>
      <c r="M441" s="949">
        <v>81.0</v>
      </c>
      <c r="N441" s="949">
        <v>97.0</v>
      </c>
      <c r="O441" s="949">
        <v>81.0</v>
      </c>
      <c r="P441" s="949">
        <v>107.0</v>
      </c>
      <c r="Q441" s="949">
        <v>43.0</v>
      </c>
      <c r="R441" s="949">
        <v>122.0</v>
      </c>
      <c r="S441" s="949">
        <v>185.0</v>
      </c>
      <c r="T441" s="949">
        <v>203.0</v>
      </c>
      <c r="U441" s="949"/>
      <c r="V441" s="949"/>
      <c r="W441" s="949"/>
      <c r="X441" s="949"/>
      <c r="Y441" s="949"/>
      <c r="Z441" s="949"/>
      <c r="AA441" s="949"/>
      <c r="AB441" s="949"/>
      <c r="AC441" s="949"/>
      <c r="AD441" s="949"/>
      <c r="AE441" s="949"/>
      <c r="AF441" s="949"/>
      <c r="AG441" s="949"/>
      <c r="AH441" s="949"/>
      <c r="AI441" s="949"/>
      <c r="AJ441" s="949"/>
      <c r="AK441" s="949"/>
      <c r="AL441" s="949"/>
      <c r="AM441" s="964" t="s">
        <v>1737</v>
      </c>
      <c r="AN441" s="954"/>
      <c r="AO441" s="965" t="s">
        <v>2113</v>
      </c>
      <c r="AP441" s="931"/>
      <c r="AQ441" s="956"/>
      <c r="AR441" s="957"/>
      <c r="AS441" s="931"/>
    </row>
    <row r="442" ht="15.75" customHeight="1">
      <c r="A442" s="931"/>
      <c r="B442" s="941" t="s">
        <v>2117</v>
      </c>
      <c r="C442" s="942" t="s">
        <v>2118</v>
      </c>
      <c r="D442" s="942" t="s">
        <v>2118</v>
      </c>
      <c r="E442" s="943" t="s">
        <v>2118</v>
      </c>
      <c r="F442" s="935"/>
      <c r="G442" s="944"/>
      <c r="H442" s="944"/>
      <c r="I442" s="946" t="s">
        <v>2119</v>
      </c>
      <c r="J442" s="989" t="s">
        <v>713</v>
      </c>
      <c r="K442" s="967" t="s">
        <v>715</v>
      </c>
      <c r="L442" s="949">
        <v>45.0</v>
      </c>
      <c r="M442" s="949">
        <v>95.0</v>
      </c>
      <c r="N442" s="949">
        <v>50.0</v>
      </c>
      <c r="O442" s="949">
        <v>40.0</v>
      </c>
      <c r="P442" s="949">
        <v>50.0</v>
      </c>
      <c r="Q442" s="949">
        <v>75.0</v>
      </c>
      <c r="R442" s="949">
        <v>186.0</v>
      </c>
      <c r="S442" s="949">
        <v>249.0</v>
      </c>
      <c r="T442" s="949">
        <v>273.0</v>
      </c>
      <c r="U442" s="949"/>
      <c r="V442" s="949"/>
      <c r="W442" s="949"/>
      <c r="X442" s="949"/>
      <c r="Y442" s="949"/>
      <c r="Z442" s="949"/>
      <c r="AA442" s="949"/>
      <c r="AB442" s="949"/>
      <c r="AC442" s="949"/>
      <c r="AD442" s="949"/>
      <c r="AE442" s="949"/>
      <c r="AF442" s="949"/>
      <c r="AG442" s="949"/>
      <c r="AH442" s="949"/>
      <c r="AI442" s="949"/>
      <c r="AJ442" s="949"/>
      <c r="AK442" s="949"/>
      <c r="AL442" s="949"/>
      <c r="AM442" s="953" t="s">
        <v>1294</v>
      </c>
      <c r="AN442" s="954"/>
      <c r="AO442" s="955" t="s">
        <v>1062</v>
      </c>
      <c r="AP442" s="931"/>
      <c r="AQ442" s="956"/>
      <c r="AR442" s="957"/>
      <c r="AS442" s="931"/>
    </row>
    <row r="443" ht="15.75" customHeight="1">
      <c r="A443" s="963"/>
      <c r="B443" s="941" t="s">
        <v>2120</v>
      </c>
      <c r="C443" s="971" t="s">
        <v>2121</v>
      </c>
      <c r="D443" s="971" t="s">
        <v>2121</v>
      </c>
      <c r="E443" s="966" t="s">
        <v>2121</v>
      </c>
      <c r="F443" s="935"/>
      <c r="G443" s="944"/>
      <c r="H443" s="944"/>
      <c r="I443" s="959" t="s">
        <v>2122</v>
      </c>
      <c r="J443" s="996" t="s">
        <v>713</v>
      </c>
      <c r="K443" s="999" t="s">
        <v>715</v>
      </c>
      <c r="L443" s="974">
        <v>75.0</v>
      </c>
      <c r="M443" s="974">
        <v>125.0</v>
      </c>
      <c r="N443" s="974">
        <v>100.0</v>
      </c>
      <c r="O443" s="974">
        <v>70.0</v>
      </c>
      <c r="P443" s="974">
        <v>80.0</v>
      </c>
      <c r="Q443" s="974">
        <v>45.0</v>
      </c>
      <c r="R443" s="949">
        <v>126.0</v>
      </c>
      <c r="S443" s="949">
        <v>189.0</v>
      </c>
      <c r="T443" s="949">
        <v>207.0</v>
      </c>
      <c r="U443" s="949"/>
      <c r="V443" s="949"/>
      <c r="W443" s="949"/>
      <c r="X443" s="949"/>
      <c r="Y443" s="949"/>
      <c r="Z443" s="949"/>
      <c r="AA443" s="949"/>
      <c r="AB443" s="949"/>
      <c r="AC443" s="949"/>
      <c r="AD443" s="949"/>
      <c r="AE443" s="949"/>
      <c r="AF443" s="949"/>
      <c r="AG443" s="949"/>
      <c r="AH443" s="949"/>
      <c r="AI443" s="949"/>
      <c r="AJ443" s="949"/>
      <c r="AK443" s="949"/>
      <c r="AL443" s="949"/>
      <c r="AM443" s="964" t="s">
        <v>1294</v>
      </c>
      <c r="AN443" s="954"/>
      <c r="AO443" s="955" t="s">
        <v>1062</v>
      </c>
      <c r="AP443" s="931"/>
      <c r="AQ443" s="956"/>
      <c r="AR443" s="957"/>
      <c r="AS443" s="931"/>
    </row>
    <row r="444" ht="15.75" customHeight="1">
      <c r="A444" s="963"/>
      <c r="B444" s="941" t="s">
        <v>2123</v>
      </c>
      <c r="C444" s="971" t="s">
        <v>2124</v>
      </c>
      <c r="D444" s="971" t="s">
        <v>2124</v>
      </c>
      <c r="E444" s="966" t="s">
        <v>2124</v>
      </c>
      <c r="F444" s="935"/>
      <c r="G444" s="944"/>
      <c r="H444" s="944"/>
      <c r="I444" s="959" t="s">
        <v>2125</v>
      </c>
      <c r="J444" s="986" t="s">
        <v>706</v>
      </c>
      <c r="K444" s="973" t="s">
        <v>158</v>
      </c>
      <c r="L444" s="974">
        <v>20.0</v>
      </c>
      <c r="M444" s="974">
        <v>15.0</v>
      </c>
      <c r="N444" s="974">
        <v>20.0</v>
      </c>
      <c r="O444" s="974">
        <v>10.0</v>
      </c>
      <c r="P444" s="974">
        <v>55.0</v>
      </c>
      <c r="Q444" s="974">
        <v>80.0</v>
      </c>
      <c r="R444" s="949">
        <v>196.0</v>
      </c>
      <c r="S444" s="949">
        <v>259.0</v>
      </c>
      <c r="T444" s="949">
        <v>284.0</v>
      </c>
      <c r="U444" s="949"/>
      <c r="V444" s="949"/>
      <c r="W444" s="949"/>
      <c r="X444" s="949"/>
      <c r="Y444" s="949"/>
      <c r="Z444" s="949"/>
      <c r="AA444" s="949"/>
      <c r="AB444" s="949"/>
      <c r="AC444" s="949"/>
      <c r="AD444" s="949"/>
      <c r="AE444" s="949"/>
      <c r="AF444" s="949"/>
      <c r="AG444" s="949"/>
      <c r="AH444" s="949"/>
      <c r="AI444" s="949"/>
      <c r="AJ444" s="949"/>
      <c r="AK444" s="949"/>
      <c r="AL444" s="949"/>
      <c r="AM444" s="964" t="s">
        <v>1062</v>
      </c>
      <c r="AN444" s="954" t="s">
        <v>1175</v>
      </c>
      <c r="AO444" s="965" t="s">
        <v>811</v>
      </c>
      <c r="AP444" s="931"/>
      <c r="AQ444" s="956"/>
      <c r="AR444" s="957"/>
      <c r="AS444" s="931"/>
    </row>
    <row r="445" ht="15.75" customHeight="1">
      <c r="A445" s="963"/>
      <c r="B445" s="941" t="s">
        <v>2126</v>
      </c>
      <c r="C445" s="942" t="s">
        <v>2127</v>
      </c>
      <c r="D445" s="942" t="s">
        <v>2127</v>
      </c>
      <c r="E445" s="943" t="s">
        <v>2127</v>
      </c>
      <c r="F445" s="935"/>
      <c r="G445" s="944"/>
      <c r="H445" s="944"/>
      <c r="I445" s="946" t="s">
        <v>2128</v>
      </c>
      <c r="J445" s="962" t="s">
        <v>706</v>
      </c>
      <c r="K445" s="954" t="s">
        <v>158</v>
      </c>
      <c r="L445" s="949">
        <v>95.0</v>
      </c>
      <c r="M445" s="949">
        <v>60.0</v>
      </c>
      <c r="N445" s="949">
        <v>79.0</v>
      </c>
      <c r="O445" s="949">
        <v>100.0</v>
      </c>
      <c r="P445" s="949">
        <v>125.0</v>
      </c>
      <c r="Q445" s="949">
        <v>81.0</v>
      </c>
      <c r="R445" s="949">
        <v>198.0</v>
      </c>
      <c r="S445" s="949">
        <v>261.0</v>
      </c>
      <c r="T445" s="949">
        <v>287.0</v>
      </c>
      <c r="U445" s="949"/>
      <c r="V445" s="949"/>
      <c r="W445" s="949"/>
      <c r="X445" s="949"/>
      <c r="Y445" s="949"/>
      <c r="Z445" s="949"/>
      <c r="AA445" s="949"/>
      <c r="AB445" s="949"/>
      <c r="AC445" s="949"/>
      <c r="AD445" s="949"/>
      <c r="AE445" s="949"/>
      <c r="AF445" s="949"/>
      <c r="AG445" s="949"/>
      <c r="AH445" s="949"/>
      <c r="AI445" s="949"/>
      <c r="AJ445" s="949"/>
      <c r="AK445" s="949"/>
      <c r="AL445" s="949"/>
      <c r="AM445" s="964" t="s">
        <v>1483</v>
      </c>
      <c r="AN445" s="954" t="s">
        <v>987</v>
      </c>
      <c r="AO445" s="965" t="s">
        <v>962</v>
      </c>
      <c r="AP445" s="931"/>
      <c r="AQ445" s="956"/>
      <c r="AR445" s="957"/>
      <c r="AS445" s="931"/>
    </row>
    <row r="446" ht="15.75" customHeight="1">
      <c r="A446" s="931"/>
      <c r="B446" s="941" t="s">
        <v>2129</v>
      </c>
      <c r="C446" s="942" t="s">
        <v>2130</v>
      </c>
      <c r="D446" s="942" t="s">
        <v>2130</v>
      </c>
      <c r="E446" s="943" t="s">
        <v>2130</v>
      </c>
      <c r="F446" s="935"/>
      <c r="G446" s="944"/>
      <c r="H446" s="944"/>
      <c r="I446" s="959" t="s">
        <v>2131</v>
      </c>
      <c r="J446" s="968" t="s">
        <v>703</v>
      </c>
      <c r="K446" s="954" t="s">
        <v>158</v>
      </c>
      <c r="L446" s="949">
        <v>70.0</v>
      </c>
      <c r="M446" s="949">
        <v>70.0</v>
      </c>
      <c r="N446" s="949">
        <v>70.0</v>
      </c>
      <c r="O446" s="949">
        <v>70.0</v>
      </c>
      <c r="P446" s="949">
        <v>70.0</v>
      </c>
      <c r="Q446" s="949">
        <v>70.0</v>
      </c>
      <c r="R446" s="949">
        <v>176.0</v>
      </c>
      <c r="S446" s="949">
        <v>239.0</v>
      </c>
      <c r="T446" s="949">
        <v>262.0</v>
      </c>
      <c r="U446" s="949"/>
      <c r="V446" s="949"/>
      <c r="W446" s="949"/>
      <c r="X446" s="949"/>
      <c r="Y446" s="949"/>
      <c r="Z446" s="949"/>
      <c r="AA446" s="949"/>
      <c r="AB446" s="949"/>
      <c r="AC446" s="949"/>
      <c r="AD446" s="949"/>
      <c r="AE446" s="949"/>
      <c r="AF446" s="949"/>
      <c r="AG446" s="949"/>
      <c r="AH446" s="949"/>
      <c r="AI446" s="949"/>
      <c r="AJ446" s="949"/>
      <c r="AK446" s="949"/>
      <c r="AL446" s="949"/>
      <c r="AM446" s="953" t="s">
        <v>2132</v>
      </c>
      <c r="AN446" s="954"/>
      <c r="AO446" s="955"/>
      <c r="AP446" s="931"/>
      <c r="AQ446" s="956"/>
      <c r="AR446" s="957"/>
      <c r="AS446" s="931"/>
    </row>
    <row r="447" ht="15.75" customHeight="1">
      <c r="A447" s="931"/>
      <c r="B447" s="941" t="s">
        <v>2133</v>
      </c>
      <c r="C447" s="942" t="s">
        <v>2134</v>
      </c>
      <c r="D447" s="942" t="s">
        <v>2134</v>
      </c>
      <c r="E447" s="943" t="s">
        <v>2134</v>
      </c>
      <c r="F447" s="935"/>
      <c r="G447" s="944"/>
      <c r="H447" s="944"/>
      <c r="I447" s="959" t="s">
        <v>2135</v>
      </c>
      <c r="J447" s="958" t="s">
        <v>704</v>
      </c>
      <c r="K447" s="954" t="s">
        <v>158</v>
      </c>
      <c r="L447" s="949">
        <v>70.0</v>
      </c>
      <c r="M447" s="949">
        <v>70.0</v>
      </c>
      <c r="N447" s="949">
        <v>70.0</v>
      </c>
      <c r="O447" s="949">
        <v>70.0</v>
      </c>
      <c r="P447" s="949">
        <v>70.0</v>
      </c>
      <c r="Q447" s="949">
        <v>70.0</v>
      </c>
      <c r="R447" s="949">
        <v>176.0</v>
      </c>
      <c r="S447" s="949">
        <v>239.0</v>
      </c>
      <c r="T447" s="949">
        <v>262.0</v>
      </c>
      <c r="U447" s="949"/>
      <c r="V447" s="949"/>
      <c r="W447" s="949"/>
      <c r="X447" s="949"/>
      <c r="Y447" s="949"/>
      <c r="Z447" s="949"/>
      <c r="AA447" s="949"/>
      <c r="AB447" s="949"/>
      <c r="AC447" s="949"/>
      <c r="AD447" s="949"/>
      <c r="AE447" s="949"/>
      <c r="AF447" s="949"/>
      <c r="AG447" s="949"/>
      <c r="AH447" s="949"/>
      <c r="AI447" s="949"/>
      <c r="AJ447" s="949"/>
      <c r="AK447" s="949"/>
      <c r="AL447" s="949"/>
      <c r="AM447" s="953" t="s">
        <v>2132</v>
      </c>
      <c r="AN447" s="954"/>
      <c r="AO447" s="955"/>
      <c r="AP447" s="931"/>
      <c r="AQ447" s="956"/>
      <c r="AR447" s="957"/>
      <c r="AS447" s="931"/>
    </row>
    <row r="448" ht="15.75" customHeight="1">
      <c r="A448" s="931"/>
      <c r="B448" s="941" t="s">
        <v>2136</v>
      </c>
      <c r="C448" s="942" t="s">
        <v>2137</v>
      </c>
      <c r="D448" s="942" t="s">
        <v>2137</v>
      </c>
      <c r="E448" s="943" t="s">
        <v>2137</v>
      </c>
      <c r="F448" s="935"/>
      <c r="G448" s="944"/>
      <c r="H448" s="944"/>
      <c r="I448" s="946" t="s">
        <v>2138</v>
      </c>
      <c r="J448" s="962" t="s">
        <v>706</v>
      </c>
      <c r="K448" s="954" t="s">
        <v>158</v>
      </c>
      <c r="L448" s="949">
        <v>70.0</v>
      </c>
      <c r="M448" s="949">
        <v>70.0</v>
      </c>
      <c r="N448" s="949">
        <v>70.0</v>
      </c>
      <c r="O448" s="949">
        <v>70.0</v>
      </c>
      <c r="P448" s="949">
        <v>70.0</v>
      </c>
      <c r="Q448" s="949">
        <v>70.0</v>
      </c>
      <c r="R448" s="949">
        <v>176.0</v>
      </c>
      <c r="S448" s="949">
        <v>239.0</v>
      </c>
      <c r="T448" s="949">
        <v>262.0</v>
      </c>
      <c r="U448" s="949"/>
      <c r="V448" s="949"/>
      <c r="W448" s="949"/>
      <c r="X448" s="949"/>
      <c r="Y448" s="949"/>
      <c r="Z448" s="949"/>
      <c r="AA448" s="949"/>
      <c r="AB448" s="949"/>
      <c r="AC448" s="949"/>
      <c r="AD448" s="949"/>
      <c r="AE448" s="949"/>
      <c r="AF448" s="949"/>
      <c r="AG448" s="949"/>
      <c r="AH448" s="949"/>
      <c r="AI448" s="949"/>
      <c r="AJ448" s="949"/>
      <c r="AK448" s="949"/>
      <c r="AL448" s="949"/>
      <c r="AM448" s="953" t="s">
        <v>2132</v>
      </c>
      <c r="AN448" s="954"/>
      <c r="AO448" s="955"/>
      <c r="AP448" s="931"/>
      <c r="AQ448" s="956"/>
      <c r="AR448" s="957"/>
      <c r="AS448" s="931"/>
    </row>
    <row r="449" ht="15.75" customHeight="1">
      <c r="A449" s="963"/>
      <c r="B449" s="941" t="s">
        <v>2139</v>
      </c>
      <c r="C449" s="942" t="s">
        <v>2140</v>
      </c>
      <c r="D449" s="942" t="s">
        <v>2140</v>
      </c>
      <c r="E449" s="943" t="s">
        <v>2140</v>
      </c>
      <c r="F449" s="935"/>
      <c r="G449" s="944"/>
      <c r="H449" s="944"/>
      <c r="I449" s="946" t="s">
        <v>2141</v>
      </c>
      <c r="J449" s="977" t="s">
        <v>714</v>
      </c>
      <c r="K449" s="954" t="s">
        <v>158</v>
      </c>
      <c r="L449" s="949">
        <v>70.0</v>
      </c>
      <c r="M449" s="949">
        <v>70.0</v>
      </c>
      <c r="N449" s="949">
        <v>70.0</v>
      </c>
      <c r="O449" s="949">
        <v>70.0</v>
      </c>
      <c r="P449" s="949">
        <v>70.0</v>
      </c>
      <c r="Q449" s="949">
        <v>70.0</v>
      </c>
      <c r="R449" s="949">
        <v>176.0</v>
      </c>
      <c r="S449" s="949">
        <v>239.0</v>
      </c>
      <c r="T449" s="949">
        <v>262.0</v>
      </c>
      <c r="U449" s="949"/>
      <c r="V449" s="949"/>
      <c r="W449" s="949"/>
      <c r="X449" s="949"/>
      <c r="Y449" s="949"/>
      <c r="Z449" s="949"/>
      <c r="AA449" s="949"/>
      <c r="AB449" s="949"/>
      <c r="AC449" s="949"/>
      <c r="AD449" s="949"/>
      <c r="AE449" s="949"/>
      <c r="AF449" s="949"/>
      <c r="AG449" s="949"/>
      <c r="AH449" s="949"/>
      <c r="AI449" s="949"/>
      <c r="AJ449" s="949"/>
      <c r="AK449" s="949"/>
      <c r="AL449" s="949"/>
      <c r="AM449" s="964" t="s">
        <v>2132</v>
      </c>
      <c r="AN449" s="973"/>
      <c r="AO449" s="965"/>
      <c r="AP449" s="931"/>
      <c r="AQ449" s="956"/>
      <c r="AR449" s="957"/>
      <c r="AS449" s="931"/>
    </row>
    <row r="450" ht="15.75" customHeight="1">
      <c r="A450" s="963"/>
      <c r="B450" s="941" t="s">
        <v>2142</v>
      </c>
      <c r="C450" s="942" t="s">
        <v>2143</v>
      </c>
      <c r="D450" s="942" t="s">
        <v>2143</v>
      </c>
      <c r="E450" s="943" t="s">
        <v>2143</v>
      </c>
      <c r="F450" s="935"/>
      <c r="G450" s="944"/>
      <c r="H450" s="944"/>
      <c r="I450" s="946" t="s">
        <v>2144</v>
      </c>
      <c r="J450" s="968" t="s">
        <v>703</v>
      </c>
      <c r="K450" s="954" t="s">
        <v>158</v>
      </c>
      <c r="L450" s="949">
        <v>60.0</v>
      </c>
      <c r="M450" s="949">
        <v>90.0</v>
      </c>
      <c r="N450" s="949">
        <v>70.0</v>
      </c>
      <c r="O450" s="949">
        <v>60.0</v>
      </c>
      <c r="P450" s="949">
        <v>120.0</v>
      </c>
      <c r="Q450" s="949">
        <v>40.0</v>
      </c>
      <c r="R450" s="949">
        <v>116.0</v>
      </c>
      <c r="S450" s="949">
        <v>179.0</v>
      </c>
      <c r="T450" s="949">
        <v>196.0</v>
      </c>
      <c r="U450" s="949"/>
      <c r="V450" s="949"/>
      <c r="W450" s="949"/>
      <c r="X450" s="949"/>
      <c r="Y450" s="949"/>
      <c r="Z450" s="949"/>
      <c r="AA450" s="949"/>
      <c r="AB450" s="949"/>
      <c r="AC450" s="949"/>
      <c r="AD450" s="949"/>
      <c r="AE450" s="949"/>
      <c r="AF450" s="949"/>
      <c r="AG450" s="949"/>
      <c r="AH450" s="949"/>
      <c r="AI450" s="949"/>
      <c r="AJ450" s="949"/>
      <c r="AK450" s="949"/>
      <c r="AL450" s="949"/>
      <c r="AM450" s="964" t="s">
        <v>2145</v>
      </c>
      <c r="AN450" s="954"/>
      <c r="AO450" s="965" t="s">
        <v>2146</v>
      </c>
      <c r="AP450" s="931"/>
      <c r="AQ450" s="956"/>
      <c r="AR450" s="957"/>
      <c r="AS450" s="931"/>
    </row>
    <row r="451" ht="15.75" customHeight="1">
      <c r="A451" s="931"/>
      <c r="B451" s="941" t="s">
        <v>2147</v>
      </c>
      <c r="C451" s="942" t="s">
        <v>2148</v>
      </c>
      <c r="D451" s="942" t="s">
        <v>2148</v>
      </c>
      <c r="E451" s="943" t="s">
        <v>2148</v>
      </c>
      <c r="F451" s="935"/>
      <c r="G451" s="944"/>
      <c r="H451" s="944"/>
      <c r="I451" s="946" t="s">
        <v>601</v>
      </c>
      <c r="J451" s="994" t="s">
        <v>717</v>
      </c>
      <c r="K451" s="954" t="s">
        <v>158</v>
      </c>
      <c r="L451" s="949">
        <v>44.0</v>
      </c>
      <c r="M451" s="949">
        <v>75.0</v>
      </c>
      <c r="N451" s="949">
        <v>35.0</v>
      </c>
      <c r="O451" s="949">
        <v>63.0</v>
      </c>
      <c r="P451" s="949">
        <v>33.0</v>
      </c>
      <c r="Q451" s="949">
        <v>45.0</v>
      </c>
      <c r="R451" s="949">
        <v>126.0</v>
      </c>
      <c r="S451" s="949">
        <v>189.0</v>
      </c>
      <c r="T451" s="949">
        <v>207.0</v>
      </c>
      <c r="U451" s="949"/>
      <c r="V451" s="949"/>
      <c r="W451" s="949"/>
      <c r="X451" s="949"/>
      <c r="Y451" s="949"/>
      <c r="Z451" s="949"/>
      <c r="AA451" s="949"/>
      <c r="AB451" s="949"/>
      <c r="AC451" s="949"/>
      <c r="AD451" s="949"/>
      <c r="AE451" s="949"/>
      <c r="AF451" s="949"/>
      <c r="AG451" s="949"/>
      <c r="AH451" s="949"/>
      <c r="AI451" s="949"/>
      <c r="AJ451" s="949"/>
      <c r="AK451" s="949"/>
      <c r="AL451" s="949"/>
      <c r="AM451" s="953" t="s">
        <v>1259</v>
      </c>
      <c r="AN451" s="954" t="s">
        <v>990</v>
      </c>
      <c r="AO451" s="955" t="s">
        <v>1248</v>
      </c>
      <c r="AP451" s="931"/>
      <c r="AQ451" s="956"/>
      <c r="AR451" s="957"/>
      <c r="AS451" s="931"/>
    </row>
    <row r="452" ht="15.75" customHeight="1">
      <c r="A452" s="931"/>
      <c r="B452" s="941" t="s">
        <v>2149</v>
      </c>
      <c r="C452" s="942" t="s">
        <v>2150</v>
      </c>
      <c r="D452" s="942" t="s">
        <v>2150</v>
      </c>
      <c r="E452" s="943" t="s">
        <v>2150</v>
      </c>
      <c r="F452" s="935"/>
      <c r="G452" s="944"/>
      <c r="H452" s="944"/>
      <c r="I452" s="946" t="s">
        <v>536</v>
      </c>
      <c r="J452" s="994" t="s">
        <v>717</v>
      </c>
      <c r="K452" s="954" t="s">
        <v>158</v>
      </c>
      <c r="L452" s="949">
        <v>64.0</v>
      </c>
      <c r="M452" s="949">
        <v>115.0</v>
      </c>
      <c r="N452" s="949">
        <v>65.0</v>
      </c>
      <c r="O452" s="949">
        <v>83.0</v>
      </c>
      <c r="P452" s="949">
        <v>63.0</v>
      </c>
      <c r="Q452" s="949">
        <v>65.0</v>
      </c>
      <c r="R452" s="949">
        <v>166.0</v>
      </c>
      <c r="S452" s="949">
        <v>229.0</v>
      </c>
      <c r="T452" s="949">
        <v>251.0</v>
      </c>
      <c r="U452" s="949"/>
      <c r="V452" s="949"/>
      <c r="W452" s="949"/>
      <c r="X452" s="949"/>
      <c r="Y452" s="949"/>
      <c r="Z452" s="949"/>
      <c r="AA452" s="949"/>
      <c r="AB452" s="949"/>
      <c r="AC452" s="949"/>
      <c r="AD452" s="949"/>
      <c r="AE452" s="949"/>
      <c r="AF452" s="949"/>
      <c r="AG452" s="949"/>
      <c r="AH452" s="949"/>
      <c r="AI452" s="949"/>
      <c r="AJ452" s="949"/>
      <c r="AK452" s="949"/>
      <c r="AL452" s="949"/>
      <c r="AM452" s="953" t="s">
        <v>1259</v>
      </c>
      <c r="AN452" s="954" t="s">
        <v>990</v>
      </c>
      <c r="AO452" s="955" t="s">
        <v>1248</v>
      </c>
      <c r="AP452" s="931"/>
      <c r="AQ452" s="956"/>
      <c r="AR452" s="957"/>
      <c r="AS452" s="931"/>
    </row>
    <row r="453" ht="15.75" customHeight="1">
      <c r="A453" s="931"/>
      <c r="B453" s="941" t="s">
        <v>2151</v>
      </c>
      <c r="C453" s="942" t="s">
        <v>2152</v>
      </c>
      <c r="D453" s="942" t="s">
        <v>2152</v>
      </c>
      <c r="E453" s="943" t="s">
        <v>2152</v>
      </c>
      <c r="F453" s="935"/>
      <c r="G453" s="944"/>
      <c r="H453" s="944"/>
      <c r="I453" s="946" t="s">
        <v>2153</v>
      </c>
      <c r="J453" s="994" t="s">
        <v>717</v>
      </c>
      <c r="K453" s="954" t="s">
        <v>158</v>
      </c>
      <c r="L453" s="949">
        <v>64.0</v>
      </c>
      <c r="M453" s="949">
        <v>165.0</v>
      </c>
      <c r="N453" s="949">
        <v>75.0</v>
      </c>
      <c r="O453" s="949">
        <v>93.0</v>
      </c>
      <c r="P453" s="949">
        <v>83.0</v>
      </c>
      <c r="Q453" s="949">
        <v>75.0</v>
      </c>
      <c r="R453" s="949">
        <v>186.0</v>
      </c>
      <c r="S453" s="949">
        <v>249.0</v>
      </c>
      <c r="T453" s="949">
        <v>273.0</v>
      </c>
      <c r="U453" s="949"/>
      <c r="V453" s="949"/>
      <c r="W453" s="949"/>
      <c r="X453" s="949"/>
      <c r="Y453" s="949"/>
      <c r="Z453" s="949"/>
      <c r="AA453" s="949"/>
      <c r="AB453" s="949"/>
      <c r="AC453" s="949"/>
      <c r="AD453" s="949"/>
      <c r="AE453" s="949"/>
      <c r="AF453" s="949"/>
      <c r="AG453" s="949"/>
      <c r="AH453" s="949"/>
      <c r="AI453" s="949"/>
      <c r="AJ453" s="949"/>
      <c r="AK453" s="949"/>
      <c r="AL453" s="949"/>
      <c r="AM453" s="953" t="s">
        <v>1641</v>
      </c>
      <c r="AN453" s="954"/>
      <c r="AO453" s="955"/>
      <c r="AP453" s="931"/>
      <c r="AQ453" s="956"/>
      <c r="AR453" s="957"/>
      <c r="AS453" s="931"/>
    </row>
    <row r="454" ht="15.75" customHeight="1">
      <c r="A454" s="931"/>
      <c r="B454" s="941" t="s">
        <v>2154</v>
      </c>
      <c r="C454" s="942" t="s">
        <v>2155</v>
      </c>
      <c r="D454" s="942" t="s">
        <v>2155</v>
      </c>
      <c r="E454" s="943" t="s">
        <v>2155</v>
      </c>
      <c r="F454" s="935"/>
      <c r="G454" s="944"/>
      <c r="H454" s="944"/>
      <c r="I454" s="946" t="s">
        <v>2156</v>
      </c>
      <c r="J454" s="994" t="s">
        <v>717</v>
      </c>
      <c r="K454" s="954" t="s">
        <v>158</v>
      </c>
      <c r="L454" s="949">
        <v>20.0</v>
      </c>
      <c r="M454" s="949">
        <v>40.0</v>
      </c>
      <c r="N454" s="949">
        <v>90.0</v>
      </c>
      <c r="O454" s="949">
        <v>30.0</v>
      </c>
      <c r="P454" s="949">
        <v>90.0</v>
      </c>
      <c r="Q454" s="949">
        <v>25.0</v>
      </c>
      <c r="R454" s="949">
        <v>86.0</v>
      </c>
      <c r="S454" s="949">
        <v>149.0</v>
      </c>
      <c r="T454" s="949">
        <v>163.0</v>
      </c>
      <c r="U454" s="949"/>
      <c r="V454" s="949"/>
      <c r="W454" s="949"/>
      <c r="X454" s="949"/>
      <c r="Y454" s="949"/>
      <c r="Z454" s="949"/>
      <c r="AA454" s="949"/>
      <c r="AB454" s="949"/>
      <c r="AC454" s="949"/>
      <c r="AD454" s="949"/>
      <c r="AE454" s="949"/>
      <c r="AF454" s="949"/>
      <c r="AG454" s="949"/>
      <c r="AH454" s="949"/>
      <c r="AI454" s="949"/>
      <c r="AJ454" s="949"/>
      <c r="AK454" s="949"/>
      <c r="AL454" s="949"/>
      <c r="AM454" s="953" t="s">
        <v>1244</v>
      </c>
      <c r="AN454" s="954"/>
      <c r="AO454" s="955" t="s">
        <v>990</v>
      </c>
      <c r="AP454" s="931"/>
      <c r="AQ454" s="956"/>
      <c r="AR454" s="957"/>
      <c r="AS454" s="931"/>
    </row>
    <row r="455" ht="15.75" customHeight="1">
      <c r="A455" s="931"/>
      <c r="B455" s="941" t="s">
        <v>2157</v>
      </c>
      <c r="C455" s="942" t="s">
        <v>2158</v>
      </c>
      <c r="D455" s="942" t="s">
        <v>2158</v>
      </c>
      <c r="E455" s="943" t="s">
        <v>2158</v>
      </c>
      <c r="F455" s="935"/>
      <c r="G455" s="944"/>
      <c r="H455" s="944"/>
      <c r="I455" s="946" t="s">
        <v>2159</v>
      </c>
      <c r="J455" s="994" t="s">
        <v>717</v>
      </c>
      <c r="K455" s="954" t="s">
        <v>158</v>
      </c>
      <c r="L455" s="949">
        <v>40.0</v>
      </c>
      <c r="M455" s="949">
        <v>70.0</v>
      </c>
      <c r="N455" s="949">
        <v>130.0</v>
      </c>
      <c r="O455" s="949">
        <v>60.0</v>
      </c>
      <c r="P455" s="949">
        <v>130.0</v>
      </c>
      <c r="Q455" s="949">
        <v>25.0</v>
      </c>
      <c r="R455" s="949">
        <v>86.0</v>
      </c>
      <c r="S455" s="949">
        <v>149.0</v>
      </c>
      <c r="T455" s="949">
        <v>163.0</v>
      </c>
      <c r="U455" s="949"/>
      <c r="V455" s="949"/>
      <c r="W455" s="949"/>
      <c r="X455" s="949"/>
      <c r="Y455" s="949"/>
      <c r="Z455" s="949"/>
      <c r="AA455" s="949"/>
      <c r="AB455" s="949"/>
      <c r="AC455" s="949"/>
      <c r="AD455" s="949"/>
      <c r="AE455" s="949"/>
      <c r="AF455" s="949"/>
      <c r="AG455" s="949"/>
      <c r="AH455" s="949"/>
      <c r="AI455" s="949"/>
      <c r="AJ455" s="949"/>
      <c r="AK455" s="949"/>
      <c r="AL455" s="949"/>
      <c r="AM455" s="953" t="s">
        <v>1451</v>
      </c>
      <c r="AN455" s="954"/>
      <c r="AO455" s="955" t="s">
        <v>990</v>
      </c>
      <c r="AP455" s="931"/>
      <c r="AQ455" s="956"/>
      <c r="AR455" s="957"/>
      <c r="AS455" s="931"/>
    </row>
    <row r="456" ht="15.75" customHeight="1">
      <c r="A456" s="931"/>
      <c r="B456" s="941" t="s">
        <v>2160</v>
      </c>
      <c r="C456" s="942" t="s">
        <v>2161</v>
      </c>
      <c r="D456" s="942" t="s">
        <v>2161</v>
      </c>
      <c r="E456" s="943" t="s">
        <v>2161</v>
      </c>
      <c r="F456" s="935"/>
      <c r="G456" s="944"/>
      <c r="H456" s="944"/>
      <c r="I456" s="946" t="s">
        <v>537</v>
      </c>
      <c r="J456" s="947" t="s">
        <v>708</v>
      </c>
      <c r="K456" s="960" t="s">
        <v>707</v>
      </c>
      <c r="L456" s="949">
        <v>99.0</v>
      </c>
      <c r="M456" s="949">
        <v>68.0</v>
      </c>
      <c r="N456" s="949">
        <v>83.0</v>
      </c>
      <c r="O456" s="949">
        <v>72.0</v>
      </c>
      <c r="P456" s="949">
        <v>87.0</v>
      </c>
      <c r="Q456" s="949">
        <v>51.0</v>
      </c>
      <c r="R456" s="949">
        <v>138.0</v>
      </c>
      <c r="S456" s="949">
        <v>201.0</v>
      </c>
      <c r="T456" s="949">
        <v>221.0</v>
      </c>
      <c r="U456" s="949"/>
      <c r="V456" s="949"/>
      <c r="W456" s="949"/>
      <c r="X456" s="949"/>
      <c r="Y456" s="949"/>
      <c r="Z456" s="949"/>
      <c r="AA456" s="949"/>
      <c r="AB456" s="949"/>
      <c r="AC456" s="949"/>
      <c r="AD456" s="949"/>
      <c r="AE456" s="949"/>
      <c r="AF456" s="949"/>
      <c r="AG456" s="949"/>
      <c r="AH456" s="949"/>
      <c r="AI456" s="949"/>
      <c r="AJ456" s="949"/>
      <c r="AK456" s="949"/>
      <c r="AL456" s="949"/>
      <c r="AM456" s="953" t="s">
        <v>736</v>
      </c>
      <c r="AN456" s="954" t="s">
        <v>751</v>
      </c>
      <c r="AO456" s="955" t="s">
        <v>1283</v>
      </c>
      <c r="AP456" s="931"/>
      <c r="AQ456" s="956"/>
      <c r="AR456" s="957"/>
      <c r="AS456" s="931"/>
    </row>
    <row r="457" ht="15.75" customHeight="1">
      <c r="A457" s="931"/>
      <c r="B457" s="941" t="s">
        <v>2162</v>
      </c>
      <c r="C457" s="942" t="s">
        <v>2163</v>
      </c>
      <c r="D457" s="942" t="s">
        <v>2163</v>
      </c>
      <c r="E457" s="943" t="s">
        <v>2163</v>
      </c>
      <c r="F457" s="935"/>
      <c r="G457" s="944"/>
      <c r="H457" s="944"/>
      <c r="I457" s="946" t="s">
        <v>2164</v>
      </c>
      <c r="J457" s="975" t="s">
        <v>712</v>
      </c>
      <c r="K457" s="954" t="s">
        <v>158</v>
      </c>
      <c r="L457" s="949">
        <v>75.0</v>
      </c>
      <c r="M457" s="949">
        <v>50.0</v>
      </c>
      <c r="N457" s="949">
        <v>80.0</v>
      </c>
      <c r="O457" s="949">
        <v>95.0</v>
      </c>
      <c r="P457" s="949">
        <v>90.0</v>
      </c>
      <c r="Q457" s="949">
        <v>65.0</v>
      </c>
      <c r="R457" s="949">
        <v>166.0</v>
      </c>
      <c r="S457" s="949">
        <v>229.0</v>
      </c>
      <c r="T457" s="949">
        <v>251.0</v>
      </c>
      <c r="U457" s="949"/>
      <c r="V457" s="949"/>
      <c r="W457" s="949"/>
      <c r="X457" s="949"/>
      <c r="Y457" s="949"/>
      <c r="Z457" s="949"/>
      <c r="AA457" s="949"/>
      <c r="AB457" s="949"/>
      <c r="AC457" s="949"/>
      <c r="AD457" s="949"/>
      <c r="AE457" s="949"/>
      <c r="AF457" s="949"/>
      <c r="AG457" s="949"/>
      <c r="AH457" s="949"/>
      <c r="AI457" s="949"/>
      <c r="AJ457" s="949"/>
      <c r="AK457" s="949"/>
      <c r="AL457" s="949"/>
      <c r="AM457" s="953" t="s">
        <v>1244</v>
      </c>
      <c r="AN457" s="954"/>
      <c r="AO457" s="955"/>
      <c r="AP457" s="931"/>
      <c r="AQ457" s="956"/>
      <c r="AR457" s="957"/>
      <c r="AS457" s="931"/>
    </row>
    <row r="458" ht="15.75" customHeight="1">
      <c r="A458" s="931"/>
      <c r="B458" s="941" t="s">
        <v>2165</v>
      </c>
      <c r="C458" s="942" t="s">
        <v>2166</v>
      </c>
      <c r="D458" s="942" t="s">
        <v>2166</v>
      </c>
      <c r="E458" s="943" t="s">
        <v>2166</v>
      </c>
      <c r="F458" s="935"/>
      <c r="G458" s="944"/>
      <c r="H458" s="944"/>
      <c r="I458" s="959" t="s">
        <v>2167</v>
      </c>
      <c r="J458" s="969" t="s">
        <v>718</v>
      </c>
      <c r="K458" s="954" t="s">
        <v>158</v>
      </c>
      <c r="L458" s="949">
        <v>65.0</v>
      </c>
      <c r="M458" s="949">
        <v>130.0</v>
      </c>
      <c r="N458" s="949">
        <v>60.0</v>
      </c>
      <c r="O458" s="949">
        <v>75.0</v>
      </c>
      <c r="P458" s="949">
        <v>60.0</v>
      </c>
      <c r="Q458" s="949">
        <v>75.0</v>
      </c>
      <c r="R458" s="949">
        <v>186.0</v>
      </c>
      <c r="S458" s="949">
        <v>249.0</v>
      </c>
      <c r="T458" s="949">
        <v>273.0</v>
      </c>
      <c r="U458" s="949"/>
      <c r="V458" s="949"/>
      <c r="W458" s="949"/>
      <c r="X458" s="949"/>
      <c r="Y458" s="949"/>
      <c r="Z458" s="949"/>
      <c r="AA458" s="949"/>
      <c r="AB458" s="949"/>
      <c r="AC458" s="949"/>
      <c r="AD458" s="949"/>
      <c r="AE458" s="949"/>
      <c r="AF458" s="949"/>
      <c r="AG458" s="949"/>
      <c r="AH458" s="949"/>
      <c r="AI458" s="949"/>
      <c r="AJ458" s="949"/>
      <c r="AK458" s="949"/>
      <c r="AL458" s="949"/>
      <c r="AM458" s="953" t="s">
        <v>1451</v>
      </c>
      <c r="AN458" s="954" t="s">
        <v>1576</v>
      </c>
      <c r="AO458" s="955" t="s">
        <v>1074</v>
      </c>
      <c r="AP458" s="931"/>
      <c r="AQ458" s="956"/>
      <c r="AR458" s="957"/>
      <c r="AS458" s="931"/>
    </row>
    <row r="459" ht="15.75" customHeight="1">
      <c r="A459" s="931"/>
      <c r="B459" s="941" t="s">
        <v>2168</v>
      </c>
      <c r="C459" s="942" t="s">
        <v>2169</v>
      </c>
      <c r="D459" s="942" t="s">
        <v>2169</v>
      </c>
      <c r="E459" s="943" t="s">
        <v>2169</v>
      </c>
      <c r="F459" s="935"/>
      <c r="G459" s="944"/>
      <c r="H459" s="944"/>
      <c r="I459" s="946" t="s">
        <v>2170</v>
      </c>
      <c r="J459" s="969" t="s">
        <v>718</v>
      </c>
      <c r="K459" s="954" t="s">
        <v>158</v>
      </c>
      <c r="L459" s="949">
        <v>65.0</v>
      </c>
      <c r="M459" s="949">
        <v>150.0</v>
      </c>
      <c r="N459" s="949">
        <v>60.0</v>
      </c>
      <c r="O459" s="949">
        <v>115.0</v>
      </c>
      <c r="P459" s="949">
        <v>60.0</v>
      </c>
      <c r="Q459" s="949">
        <v>115.0</v>
      </c>
      <c r="R459" s="949">
        <v>266.0</v>
      </c>
      <c r="S459" s="949">
        <v>329.0</v>
      </c>
      <c r="T459" s="949">
        <v>361.0</v>
      </c>
      <c r="U459" s="949"/>
      <c r="V459" s="949"/>
      <c r="W459" s="949"/>
      <c r="X459" s="949"/>
      <c r="Y459" s="949"/>
      <c r="Z459" s="949"/>
      <c r="AA459" s="949"/>
      <c r="AB459" s="949"/>
      <c r="AC459" s="949"/>
      <c r="AD459" s="949"/>
      <c r="AE459" s="949"/>
      <c r="AF459" s="949"/>
      <c r="AG459" s="949"/>
      <c r="AH459" s="949"/>
      <c r="AI459" s="949"/>
      <c r="AJ459" s="949"/>
      <c r="AK459" s="949"/>
      <c r="AL459" s="949"/>
      <c r="AM459" s="953" t="s">
        <v>1583</v>
      </c>
      <c r="AN459" s="954"/>
      <c r="AO459" s="955"/>
      <c r="AP459" s="931"/>
      <c r="AQ459" s="956"/>
      <c r="AR459" s="957"/>
      <c r="AS459" s="931"/>
    </row>
    <row r="460" ht="15.75" customHeight="1">
      <c r="A460" s="931"/>
      <c r="B460" s="941" t="s">
        <v>2171</v>
      </c>
      <c r="C460" s="942" t="s">
        <v>2172</v>
      </c>
      <c r="D460" s="942" t="s">
        <v>2172</v>
      </c>
      <c r="E460" s="943" t="s">
        <v>2172</v>
      </c>
      <c r="F460" s="935"/>
      <c r="G460" s="944"/>
      <c r="H460" s="944"/>
      <c r="I460" s="946" t="s">
        <v>2173</v>
      </c>
      <c r="J460" s="975" t="s">
        <v>712</v>
      </c>
      <c r="K460" s="954" t="s">
        <v>158</v>
      </c>
      <c r="L460" s="949">
        <v>95.0</v>
      </c>
      <c r="M460" s="949">
        <v>23.0</v>
      </c>
      <c r="N460" s="949">
        <v>48.0</v>
      </c>
      <c r="O460" s="949">
        <v>23.0</v>
      </c>
      <c r="P460" s="949">
        <v>48.0</v>
      </c>
      <c r="Q460" s="949">
        <v>23.0</v>
      </c>
      <c r="R460" s="949">
        <v>82.0</v>
      </c>
      <c r="S460" s="949">
        <v>145.0</v>
      </c>
      <c r="T460" s="949">
        <v>159.0</v>
      </c>
      <c r="U460" s="949"/>
      <c r="V460" s="949"/>
      <c r="W460" s="949"/>
      <c r="X460" s="949"/>
      <c r="Y460" s="949"/>
      <c r="Z460" s="949"/>
      <c r="AA460" s="949"/>
      <c r="AB460" s="949"/>
      <c r="AC460" s="949"/>
      <c r="AD460" s="949"/>
      <c r="AE460" s="949"/>
      <c r="AF460" s="949"/>
      <c r="AG460" s="949"/>
      <c r="AH460" s="949"/>
      <c r="AI460" s="949"/>
      <c r="AJ460" s="949"/>
      <c r="AK460" s="949"/>
      <c r="AL460" s="949"/>
      <c r="AM460" s="953" t="s">
        <v>1252</v>
      </c>
      <c r="AN460" s="954"/>
      <c r="AO460" s="955" t="s">
        <v>1657</v>
      </c>
      <c r="AP460" s="931"/>
      <c r="AQ460" s="956"/>
      <c r="AR460" s="957"/>
      <c r="AS460" s="931"/>
    </row>
    <row r="461" ht="15.75" customHeight="1">
      <c r="A461" s="931"/>
      <c r="B461" s="941" t="s">
        <v>2174</v>
      </c>
      <c r="C461" s="942" t="s">
        <v>2175</v>
      </c>
      <c r="D461" s="942" t="s">
        <v>2175</v>
      </c>
      <c r="E461" s="943" t="s">
        <v>2175</v>
      </c>
      <c r="F461" s="935"/>
      <c r="G461" s="944"/>
      <c r="H461" s="944"/>
      <c r="I461" s="946" t="s">
        <v>602</v>
      </c>
      <c r="J461" s="977" t="s">
        <v>714</v>
      </c>
      <c r="K461" s="954" t="s">
        <v>158</v>
      </c>
      <c r="L461" s="949">
        <v>50.0</v>
      </c>
      <c r="M461" s="949">
        <v>50.0</v>
      </c>
      <c r="N461" s="949">
        <v>50.0</v>
      </c>
      <c r="O461" s="949">
        <v>50.0</v>
      </c>
      <c r="P461" s="949">
        <v>50.0</v>
      </c>
      <c r="Q461" s="949">
        <v>50.0</v>
      </c>
      <c r="R461" s="949">
        <v>136.0</v>
      </c>
      <c r="S461" s="949">
        <v>199.0</v>
      </c>
      <c r="T461" s="949">
        <v>218.0</v>
      </c>
      <c r="U461" s="949"/>
      <c r="V461" s="949"/>
      <c r="W461" s="949"/>
      <c r="X461" s="949"/>
      <c r="Y461" s="949"/>
      <c r="Z461" s="949"/>
      <c r="AA461" s="949"/>
      <c r="AB461" s="949"/>
      <c r="AC461" s="949"/>
      <c r="AD461" s="949"/>
      <c r="AE461" s="949"/>
      <c r="AF461" s="949"/>
      <c r="AG461" s="949"/>
      <c r="AH461" s="949"/>
      <c r="AI461" s="949"/>
      <c r="AJ461" s="949"/>
      <c r="AK461" s="949"/>
      <c r="AL461" s="949"/>
      <c r="AM461" s="953" t="s">
        <v>994</v>
      </c>
      <c r="AN461" s="954" t="s">
        <v>1217</v>
      </c>
      <c r="AO461" s="955" t="s">
        <v>1733</v>
      </c>
      <c r="AP461" s="931"/>
      <c r="AQ461" s="956"/>
      <c r="AR461" s="957"/>
      <c r="AS461" s="931"/>
    </row>
    <row r="462" ht="15.75" customHeight="1">
      <c r="A462" s="931"/>
      <c r="B462" s="941" t="s">
        <v>2176</v>
      </c>
      <c r="C462" s="942" t="s">
        <v>2177</v>
      </c>
      <c r="D462" s="942" t="s">
        <v>2177</v>
      </c>
      <c r="E462" s="943" t="s">
        <v>2177</v>
      </c>
      <c r="F462" s="935"/>
      <c r="G462" s="944"/>
      <c r="H462" s="944"/>
      <c r="I462" s="946" t="s">
        <v>487</v>
      </c>
      <c r="J462" s="977" t="s">
        <v>714</v>
      </c>
      <c r="K462" s="954" t="s">
        <v>158</v>
      </c>
      <c r="L462" s="949">
        <v>80.0</v>
      </c>
      <c r="M462" s="949">
        <v>80.0</v>
      </c>
      <c r="N462" s="949">
        <v>80.0</v>
      </c>
      <c r="O462" s="949">
        <v>80.0</v>
      </c>
      <c r="P462" s="949">
        <v>80.0</v>
      </c>
      <c r="Q462" s="949">
        <v>80.0</v>
      </c>
      <c r="R462" s="949">
        <v>196.0</v>
      </c>
      <c r="S462" s="949">
        <v>259.0</v>
      </c>
      <c r="T462" s="949">
        <v>284.0</v>
      </c>
      <c r="U462" s="949"/>
      <c r="V462" s="949"/>
      <c r="W462" s="949"/>
      <c r="X462" s="949"/>
      <c r="Y462" s="949"/>
      <c r="Z462" s="949"/>
      <c r="AA462" s="949"/>
      <c r="AB462" s="949"/>
      <c r="AC462" s="949"/>
      <c r="AD462" s="949"/>
      <c r="AE462" s="949"/>
      <c r="AF462" s="949"/>
      <c r="AG462" s="949"/>
      <c r="AH462" s="949"/>
      <c r="AI462" s="949"/>
      <c r="AJ462" s="949"/>
      <c r="AK462" s="949"/>
      <c r="AL462" s="949"/>
      <c r="AM462" s="953" t="s">
        <v>994</v>
      </c>
      <c r="AN462" s="954" t="s">
        <v>1217</v>
      </c>
      <c r="AO462" s="955" t="s">
        <v>1733</v>
      </c>
      <c r="AP462" s="931"/>
      <c r="AQ462" s="956"/>
      <c r="AR462" s="957"/>
      <c r="AS462" s="931"/>
    </row>
    <row r="463" ht="15.75" customHeight="1">
      <c r="A463" s="931"/>
      <c r="B463" s="941" t="s">
        <v>2178</v>
      </c>
      <c r="C463" s="942" t="s">
        <v>2179</v>
      </c>
      <c r="D463" s="942" t="s">
        <v>2179</v>
      </c>
      <c r="E463" s="943" t="s">
        <v>2179</v>
      </c>
      <c r="F463" s="935"/>
      <c r="G463" s="944"/>
      <c r="H463" s="944"/>
      <c r="I463" s="946" t="s">
        <v>2180</v>
      </c>
      <c r="J463" s="977" t="s">
        <v>714</v>
      </c>
      <c r="K463" s="954" t="s">
        <v>158</v>
      </c>
      <c r="L463" s="949">
        <v>80.0</v>
      </c>
      <c r="M463" s="949">
        <v>120.0</v>
      </c>
      <c r="N463" s="949">
        <v>80.0</v>
      </c>
      <c r="O463" s="949">
        <v>120.0</v>
      </c>
      <c r="P463" s="949">
        <v>80.0</v>
      </c>
      <c r="Q463" s="949">
        <v>100.0</v>
      </c>
      <c r="R463" s="949">
        <v>236.0</v>
      </c>
      <c r="S463" s="949">
        <v>299.0</v>
      </c>
      <c r="T463" s="949">
        <v>328.0</v>
      </c>
      <c r="U463" s="949"/>
      <c r="V463" s="949"/>
      <c r="W463" s="949"/>
      <c r="X463" s="949"/>
      <c r="Y463" s="949"/>
      <c r="Z463" s="949"/>
      <c r="AA463" s="949"/>
      <c r="AB463" s="949"/>
      <c r="AC463" s="949"/>
      <c r="AD463" s="949"/>
      <c r="AE463" s="949"/>
      <c r="AF463" s="949"/>
      <c r="AG463" s="949"/>
      <c r="AH463" s="949"/>
      <c r="AI463" s="949"/>
      <c r="AJ463" s="949"/>
      <c r="AK463" s="949"/>
      <c r="AL463" s="949"/>
      <c r="AM463" s="953" t="s">
        <v>2181</v>
      </c>
      <c r="AN463" s="954"/>
      <c r="AO463" s="955"/>
      <c r="AP463" s="931"/>
      <c r="AQ463" s="956"/>
      <c r="AR463" s="957"/>
      <c r="AS463" s="931"/>
    </row>
    <row r="464" ht="15.75" customHeight="1">
      <c r="A464" s="931"/>
      <c r="B464" s="941" t="s">
        <v>2182</v>
      </c>
      <c r="C464" s="942" t="s">
        <v>2183</v>
      </c>
      <c r="D464" s="942" t="s">
        <v>2183</v>
      </c>
      <c r="E464" s="943" t="s">
        <v>2183</v>
      </c>
      <c r="F464" s="935"/>
      <c r="G464" s="944"/>
      <c r="H464" s="944"/>
      <c r="I464" s="946" t="s">
        <v>2184</v>
      </c>
      <c r="J464" s="977" t="s">
        <v>714</v>
      </c>
      <c r="K464" s="962" t="s">
        <v>706</v>
      </c>
      <c r="L464" s="949">
        <v>70.0</v>
      </c>
      <c r="M464" s="949">
        <v>40.0</v>
      </c>
      <c r="N464" s="949">
        <v>50.0</v>
      </c>
      <c r="O464" s="949">
        <v>55.0</v>
      </c>
      <c r="P464" s="949">
        <v>50.0</v>
      </c>
      <c r="Q464" s="949">
        <v>25.0</v>
      </c>
      <c r="R464" s="949">
        <v>86.0</v>
      </c>
      <c r="S464" s="949">
        <v>149.0</v>
      </c>
      <c r="T464" s="949">
        <v>163.0</v>
      </c>
      <c r="U464" s="949"/>
      <c r="V464" s="949"/>
      <c r="W464" s="949"/>
      <c r="X464" s="949"/>
      <c r="Y464" s="949"/>
      <c r="Z464" s="949"/>
      <c r="AA464" s="949"/>
      <c r="AB464" s="949"/>
      <c r="AC464" s="949"/>
      <c r="AD464" s="949"/>
      <c r="AE464" s="949"/>
      <c r="AF464" s="949"/>
      <c r="AG464" s="949"/>
      <c r="AH464" s="949"/>
      <c r="AI464" s="949"/>
      <c r="AJ464" s="949"/>
      <c r="AK464" s="949"/>
      <c r="AL464" s="949"/>
      <c r="AM464" s="953" t="s">
        <v>746</v>
      </c>
      <c r="AN464" s="954" t="s">
        <v>1217</v>
      </c>
      <c r="AO464" s="955" t="s">
        <v>1175</v>
      </c>
      <c r="AP464" s="931"/>
      <c r="AQ464" s="956"/>
      <c r="AR464" s="957"/>
      <c r="AS464" s="931"/>
    </row>
    <row r="465" ht="15.75" customHeight="1">
      <c r="A465" s="963"/>
      <c r="B465" s="941" t="s">
        <v>2185</v>
      </c>
      <c r="C465" s="942" t="s">
        <v>2186</v>
      </c>
      <c r="D465" s="942" t="s">
        <v>2186</v>
      </c>
      <c r="E465" s="943" t="s">
        <v>2186</v>
      </c>
      <c r="F465" s="935"/>
      <c r="G465" s="944"/>
      <c r="H465" s="944"/>
      <c r="I465" s="946" t="s">
        <v>2187</v>
      </c>
      <c r="J465" s="977" t="s">
        <v>714</v>
      </c>
      <c r="K465" s="962" t="s">
        <v>706</v>
      </c>
      <c r="L465" s="949">
        <v>90.0</v>
      </c>
      <c r="M465" s="949">
        <v>60.0</v>
      </c>
      <c r="N465" s="949">
        <v>70.0</v>
      </c>
      <c r="O465" s="949">
        <v>75.0</v>
      </c>
      <c r="P465" s="949">
        <v>70.0</v>
      </c>
      <c r="Q465" s="949">
        <v>45.0</v>
      </c>
      <c r="R465" s="949">
        <v>126.0</v>
      </c>
      <c r="S465" s="949">
        <v>189.0</v>
      </c>
      <c r="T465" s="949">
        <v>207.0</v>
      </c>
      <c r="U465" s="949"/>
      <c r="V465" s="949"/>
      <c r="W465" s="949"/>
      <c r="X465" s="949"/>
      <c r="Y465" s="949"/>
      <c r="Z465" s="949"/>
      <c r="AA465" s="949"/>
      <c r="AB465" s="949"/>
      <c r="AC465" s="949"/>
      <c r="AD465" s="949"/>
      <c r="AE465" s="949"/>
      <c r="AF465" s="949"/>
      <c r="AG465" s="949"/>
      <c r="AH465" s="949"/>
      <c r="AI465" s="949"/>
      <c r="AJ465" s="949"/>
      <c r="AK465" s="949"/>
      <c r="AL465" s="949"/>
      <c r="AM465" s="964" t="s">
        <v>746</v>
      </c>
      <c r="AN465" s="973" t="s">
        <v>1217</v>
      </c>
      <c r="AO465" s="965" t="s">
        <v>1175</v>
      </c>
      <c r="AP465" s="931"/>
      <c r="AQ465" s="956"/>
      <c r="AR465" s="957"/>
      <c r="AS465" s="931"/>
    </row>
    <row r="466" ht="15.75" customHeight="1">
      <c r="A466" s="963"/>
      <c r="B466" s="941" t="s">
        <v>2188</v>
      </c>
      <c r="C466" s="942" t="s">
        <v>2189</v>
      </c>
      <c r="D466" s="942" t="s">
        <v>2189</v>
      </c>
      <c r="E466" s="943" t="s">
        <v>2189</v>
      </c>
      <c r="F466" s="935"/>
      <c r="G466" s="944"/>
      <c r="H466" s="944"/>
      <c r="I466" s="946" t="s">
        <v>2190</v>
      </c>
      <c r="J466" s="977" t="s">
        <v>714</v>
      </c>
      <c r="K466" s="962" t="s">
        <v>706</v>
      </c>
      <c r="L466" s="949">
        <v>110.0</v>
      </c>
      <c r="M466" s="949">
        <v>80.0</v>
      </c>
      <c r="N466" s="949">
        <v>90.0</v>
      </c>
      <c r="O466" s="949">
        <v>95.0</v>
      </c>
      <c r="P466" s="949">
        <v>90.0</v>
      </c>
      <c r="Q466" s="949">
        <v>65.0</v>
      </c>
      <c r="R466" s="949">
        <v>166.0</v>
      </c>
      <c r="S466" s="949">
        <v>229.0</v>
      </c>
      <c r="T466" s="949">
        <v>251.0</v>
      </c>
      <c r="U466" s="949"/>
      <c r="V466" s="949"/>
      <c r="W466" s="949"/>
      <c r="X466" s="949"/>
      <c r="Y466" s="949"/>
      <c r="Z466" s="949"/>
      <c r="AA466" s="949"/>
      <c r="AB466" s="949"/>
      <c r="AC466" s="949"/>
      <c r="AD466" s="949"/>
      <c r="AE466" s="949"/>
      <c r="AF466" s="949"/>
      <c r="AG466" s="949"/>
      <c r="AH466" s="949"/>
      <c r="AI466" s="949"/>
      <c r="AJ466" s="949"/>
      <c r="AK466" s="949"/>
      <c r="AL466" s="949"/>
      <c r="AM466" s="964" t="s">
        <v>746</v>
      </c>
      <c r="AN466" s="973" t="s">
        <v>1217</v>
      </c>
      <c r="AO466" s="965" t="s">
        <v>1175</v>
      </c>
      <c r="AP466" s="931"/>
      <c r="AQ466" s="956"/>
      <c r="AR466" s="957"/>
      <c r="AS466" s="931"/>
    </row>
    <row r="467" ht="15.75" customHeight="1">
      <c r="A467" s="963"/>
      <c r="B467" s="941" t="s">
        <v>2191</v>
      </c>
      <c r="C467" s="942" t="s">
        <v>2192</v>
      </c>
      <c r="D467" s="942" t="s">
        <v>2192</v>
      </c>
      <c r="E467" s="943" t="s">
        <v>2192</v>
      </c>
      <c r="F467" s="935"/>
      <c r="G467" s="944"/>
      <c r="H467" s="944"/>
      <c r="I467" s="946" t="s">
        <v>2193</v>
      </c>
      <c r="J467" s="962" t="s">
        <v>706</v>
      </c>
      <c r="K467" s="954" t="s">
        <v>158</v>
      </c>
      <c r="L467" s="949">
        <v>35.0</v>
      </c>
      <c r="M467" s="949">
        <v>64.0</v>
      </c>
      <c r="N467" s="949">
        <v>85.0</v>
      </c>
      <c r="O467" s="949">
        <v>74.0</v>
      </c>
      <c r="P467" s="949">
        <v>55.0</v>
      </c>
      <c r="Q467" s="949">
        <v>32.0</v>
      </c>
      <c r="R467" s="949">
        <v>100.0</v>
      </c>
      <c r="S467" s="949">
        <v>163.0</v>
      </c>
      <c r="T467" s="949">
        <v>179.0</v>
      </c>
      <c r="U467" s="949"/>
      <c r="V467" s="949"/>
      <c r="W467" s="949"/>
      <c r="X467" s="949"/>
      <c r="Y467" s="949"/>
      <c r="Z467" s="949"/>
      <c r="AA467" s="949"/>
      <c r="AB467" s="949"/>
      <c r="AC467" s="949"/>
      <c r="AD467" s="949"/>
      <c r="AE467" s="949"/>
      <c r="AF467" s="949"/>
      <c r="AG467" s="949"/>
      <c r="AH467" s="949"/>
      <c r="AI467" s="949"/>
      <c r="AJ467" s="949"/>
      <c r="AK467" s="949"/>
      <c r="AL467" s="949"/>
      <c r="AM467" s="964" t="s">
        <v>1192</v>
      </c>
      <c r="AN467" s="973"/>
      <c r="AO467" s="965" t="s">
        <v>1046</v>
      </c>
      <c r="AP467" s="931"/>
      <c r="AQ467" s="956"/>
      <c r="AR467" s="957"/>
      <c r="AS467" s="931"/>
    </row>
    <row r="468" ht="15.75" customHeight="1">
      <c r="A468" s="931"/>
      <c r="B468" s="941" t="s">
        <v>2194</v>
      </c>
      <c r="C468" s="942" t="s">
        <v>2195</v>
      </c>
      <c r="D468" s="942" t="s">
        <v>2195</v>
      </c>
      <c r="E468" s="943" t="s">
        <v>2195</v>
      </c>
      <c r="F468" s="935"/>
      <c r="G468" s="944"/>
      <c r="H468" s="944"/>
      <c r="I468" s="946" t="s">
        <v>2196</v>
      </c>
      <c r="J468" s="962" t="s">
        <v>706</v>
      </c>
      <c r="K468" s="954" t="s">
        <v>158</v>
      </c>
      <c r="L468" s="949">
        <v>55.0</v>
      </c>
      <c r="M468" s="949">
        <v>104.0</v>
      </c>
      <c r="N468" s="949">
        <v>105.0</v>
      </c>
      <c r="O468" s="949">
        <v>94.0</v>
      </c>
      <c r="P468" s="949">
        <v>75.0</v>
      </c>
      <c r="Q468" s="949">
        <v>52.0</v>
      </c>
      <c r="R468" s="949">
        <v>140.0</v>
      </c>
      <c r="S468" s="949">
        <v>203.0</v>
      </c>
      <c r="T468" s="949">
        <v>223.0</v>
      </c>
      <c r="U468" s="949"/>
      <c r="V468" s="949"/>
      <c r="W468" s="949"/>
      <c r="X468" s="949"/>
      <c r="Y468" s="949"/>
      <c r="Z468" s="949"/>
      <c r="AA468" s="949"/>
      <c r="AB468" s="949"/>
      <c r="AC468" s="949"/>
      <c r="AD468" s="949"/>
      <c r="AE468" s="949"/>
      <c r="AF468" s="949"/>
      <c r="AG468" s="949"/>
      <c r="AH468" s="949"/>
      <c r="AI468" s="949"/>
      <c r="AJ468" s="949"/>
      <c r="AK468" s="949"/>
      <c r="AL468" s="949"/>
      <c r="AM468" s="953" t="s">
        <v>1062</v>
      </c>
      <c r="AN468" s="954"/>
      <c r="AO468" s="955" t="s">
        <v>1355</v>
      </c>
      <c r="AP468" s="931"/>
      <c r="AQ468" s="956"/>
      <c r="AR468" s="957"/>
      <c r="AS468" s="931"/>
    </row>
    <row r="469" ht="15.75" customHeight="1">
      <c r="A469" s="931"/>
      <c r="B469" s="941" t="s">
        <v>2197</v>
      </c>
      <c r="C469" s="942" t="s">
        <v>2198</v>
      </c>
      <c r="D469" s="942" t="s">
        <v>2198</v>
      </c>
      <c r="E469" s="943" t="s">
        <v>2198</v>
      </c>
      <c r="F469" s="935"/>
      <c r="G469" s="944"/>
      <c r="H469" s="944"/>
      <c r="I469" s="946" t="s">
        <v>2199</v>
      </c>
      <c r="J469" s="962" t="s">
        <v>706</v>
      </c>
      <c r="K469" s="954" t="s">
        <v>158</v>
      </c>
      <c r="L469" s="949">
        <v>55.0</v>
      </c>
      <c r="M469" s="949">
        <v>84.0</v>
      </c>
      <c r="N469" s="949">
        <v>105.0</v>
      </c>
      <c r="O469" s="949">
        <v>114.0</v>
      </c>
      <c r="P469" s="949">
        <v>75.0</v>
      </c>
      <c r="Q469" s="949">
        <v>52.0</v>
      </c>
      <c r="R469" s="949">
        <v>140.0</v>
      </c>
      <c r="S469" s="949">
        <v>203.0</v>
      </c>
      <c r="T469" s="949">
        <v>223.0</v>
      </c>
      <c r="U469" s="949"/>
      <c r="V469" s="949"/>
      <c r="W469" s="949"/>
      <c r="X469" s="949"/>
      <c r="Y469" s="949"/>
      <c r="Z469" s="949"/>
      <c r="AA469" s="949"/>
      <c r="AB469" s="949"/>
      <c r="AC469" s="949"/>
      <c r="AD469" s="949"/>
      <c r="AE469" s="949"/>
      <c r="AF469" s="949"/>
      <c r="AG469" s="949"/>
      <c r="AH469" s="949"/>
      <c r="AI469" s="949"/>
      <c r="AJ469" s="949"/>
      <c r="AK469" s="949"/>
      <c r="AL469" s="949"/>
      <c r="AM469" s="953" t="s">
        <v>1062</v>
      </c>
      <c r="AN469" s="954"/>
      <c r="AO469" s="955" t="s">
        <v>1216</v>
      </c>
      <c r="AP469" s="931"/>
      <c r="AQ469" s="956"/>
      <c r="AR469" s="957"/>
      <c r="AS469" s="931"/>
    </row>
    <row r="470" ht="15.75" customHeight="1">
      <c r="A470" s="931"/>
      <c r="B470" s="941" t="s">
        <v>2200</v>
      </c>
      <c r="C470" s="942" t="s">
        <v>2201</v>
      </c>
      <c r="D470" s="942" t="s">
        <v>2201</v>
      </c>
      <c r="E470" s="943" t="s">
        <v>2201</v>
      </c>
      <c r="F470" s="935"/>
      <c r="G470" s="944"/>
      <c r="H470" s="944"/>
      <c r="I470" s="946" t="s">
        <v>2202</v>
      </c>
      <c r="J470" s="962" t="s">
        <v>706</v>
      </c>
      <c r="K470" s="989" t="s">
        <v>713</v>
      </c>
      <c r="L470" s="949">
        <v>100.0</v>
      </c>
      <c r="M470" s="949">
        <v>90.0</v>
      </c>
      <c r="N470" s="949">
        <v>130.0</v>
      </c>
      <c r="O470" s="949">
        <v>45.0</v>
      </c>
      <c r="P470" s="949">
        <v>65.0</v>
      </c>
      <c r="Q470" s="949">
        <v>55.0</v>
      </c>
      <c r="R470" s="949">
        <v>146.0</v>
      </c>
      <c r="S470" s="949">
        <v>209.0</v>
      </c>
      <c r="T470" s="949">
        <v>229.0</v>
      </c>
      <c r="U470" s="949"/>
      <c r="V470" s="949"/>
      <c r="W470" s="949"/>
      <c r="X470" s="949"/>
      <c r="Y470" s="949"/>
      <c r="Z470" s="949"/>
      <c r="AA470" s="949"/>
      <c r="AB470" s="949"/>
      <c r="AC470" s="949"/>
      <c r="AD470" s="949"/>
      <c r="AE470" s="949"/>
      <c r="AF470" s="949"/>
      <c r="AG470" s="949"/>
      <c r="AH470" s="949"/>
      <c r="AI470" s="949"/>
      <c r="AJ470" s="949"/>
      <c r="AK470" s="949"/>
      <c r="AL470" s="949"/>
      <c r="AM470" s="953" t="s">
        <v>1062</v>
      </c>
      <c r="AN470" s="954" t="s">
        <v>1077</v>
      </c>
      <c r="AO470" s="955" t="s">
        <v>1135</v>
      </c>
      <c r="AP470" s="931"/>
      <c r="AQ470" s="956"/>
      <c r="AR470" s="957"/>
      <c r="AS470" s="931"/>
    </row>
    <row r="471" ht="15.75" customHeight="1">
      <c r="A471" s="931"/>
      <c r="B471" s="941" t="s">
        <v>2203</v>
      </c>
      <c r="C471" s="942" t="s">
        <v>2204</v>
      </c>
      <c r="D471" s="942" t="s">
        <v>2204</v>
      </c>
      <c r="E471" s="943" t="s">
        <v>2204</v>
      </c>
      <c r="F471" s="935"/>
      <c r="G471" s="944"/>
      <c r="H471" s="944"/>
      <c r="I471" s="959" t="s">
        <v>603</v>
      </c>
      <c r="J471" s="962" t="s">
        <v>706</v>
      </c>
      <c r="K471" s="954" t="s">
        <v>158</v>
      </c>
      <c r="L471" s="949">
        <v>43.0</v>
      </c>
      <c r="M471" s="949">
        <v>30.0</v>
      </c>
      <c r="N471" s="949">
        <v>55.0</v>
      </c>
      <c r="O471" s="949">
        <v>40.0</v>
      </c>
      <c r="P471" s="949">
        <v>65.0</v>
      </c>
      <c r="Q471" s="949">
        <v>97.0</v>
      </c>
      <c r="R471" s="949">
        <v>230.0</v>
      </c>
      <c r="S471" s="949">
        <v>293.0</v>
      </c>
      <c r="T471" s="949">
        <v>322.0</v>
      </c>
      <c r="U471" s="949"/>
      <c r="V471" s="949"/>
      <c r="W471" s="949"/>
      <c r="X471" s="949"/>
      <c r="Y471" s="949"/>
      <c r="Z471" s="949"/>
      <c r="AA471" s="949"/>
      <c r="AB471" s="949"/>
      <c r="AC471" s="949"/>
      <c r="AD471" s="949"/>
      <c r="AE471" s="949"/>
      <c r="AF471" s="949"/>
      <c r="AG471" s="949"/>
      <c r="AH471" s="949"/>
      <c r="AI471" s="949"/>
      <c r="AJ471" s="949"/>
      <c r="AK471" s="949"/>
      <c r="AL471" s="949"/>
      <c r="AM471" s="953" t="s">
        <v>1062</v>
      </c>
      <c r="AN471" s="954"/>
      <c r="AO471" s="955" t="s">
        <v>1216</v>
      </c>
      <c r="AP471" s="931"/>
      <c r="AQ471" s="956"/>
      <c r="AR471" s="957"/>
      <c r="AS471" s="931"/>
    </row>
    <row r="472" ht="15.75" customHeight="1">
      <c r="A472" s="931"/>
      <c r="B472" s="941" t="s">
        <v>2205</v>
      </c>
      <c r="C472" s="942" t="s">
        <v>2206</v>
      </c>
      <c r="D472" s="942" t="s">
        <v>2206</v>
      </c>
      <c r="E472" s="943" t="s">
        <v>2206</v>
      </c>
      <c r="F472" s="935"/>
      <c r="G472" s="944"/>
      <c r="H472" s="944"/>
      <c r="I472" s="946" t="s">
        <v>604</v>
      </c>
      <c r="J472" s="961" t="s">
        <v>716</v>
      </c>
      <c r="K472" s="954" t="s">
        <v>158</v>
      </c>
      <c r="L472" s="949">
        <v>45.0</v>
      </c>
      <c r="M472" s="949">
        <v>75.0</v>
      </c>
      <c r="N472" s="949">
        <v>60.0</v>
      </c>
      <c r="O472" s="949">
        <v>40.0</v>
      </c>
      <c r="P472" s="949">
        <v>30.0</v>
      </c>
      <c r="Q472" s="949">
        <v>50.0</v>
      </c>
      <c r="R472" s="949">
        <v>136.0</v>
      </c>
      <c r="S472" s="949">
        <v>199.0</v>
      </c>
      <c r="T472" s="949">
        <v>218.0</v>
      </c>
      <c r="U472" s="949"/>
      <c r="V472" s="949"/>
      <c r="W472" s="949"/>
      <c r="X472" s="949"/>
      <c r="Y472" s="949"/>
      <c r="Z472" s="949"/>
      <c r="AA472" s="949"/>
      <c r="AB472" s="949"/>
      <c r="AC472" s="949"/>
      <c r="AD472" s="949"/>
      <c r="AE472" s="949"/>
      <c r="AF472" s="949"/>
      <c r="AG472" s="949"/>
      <c r="AH472" s="949"/>
      <c r="AI472" s="949"/>
      <c r="AJ472" s="949"/>
      <c r="AK472" s="949"/>
      <c r="AL472" s="949"/>
      <c r="AM472" s="953" t="s">
        <v>1077</v>
      </c>
      <c r="AN472" s="954"/>
      <c r="AO472" s="955" t="s">
        <v>949</v>
      </c>
      <c r="AP472" s="931"/>
      <c r="AQ472" s="956"/>
      <c r="AR472" s="957"/>
      <c r="AS472" s="931"/>
    </row>
    <row r="473" ht="15.75" customHeight="1">
      <c r="A473" s="931"/>
      <c r="B473" s="941" t="s">
        <v>2207</v>
      </c>
      <c r="C473" s="942" t="s">
        <v>2208</v>
      </c>
      <c r="D473" s="942" t="s">
        <v>2208</v>
      </c>
      <c r="E473" s="943" t="s">
        <v>2208</v>
      </c>
      <c r="F473" s="935"/>
      <c r="G473" s="944"/>
      <c r="H473" s="944"/>
      <c r="I473" s="946" t="s">
        <v>605</v>
      </c>
      <c r="J473" s="961" t="s">
        <v>716</v>
      </c>
      <c r="K473" s="954" t="s">
        <v>158</v>
      </c>
      <c r="L473" s="949">
        <v>65.0</v>
      </c>
      <c r="M473" s="949">
        <v>95.0</v>
      </c>
      <c r="N473" s="949">
        <v>100.0</v>
      </c>
      <c r="O473" s="949">
        <v>60.0</v>
      </c>
      <c r="P473" s="949">
        <v>50.0</v>
      </c>
      <c r="Q473" s="949">
        <v>50.0</v>
      </c>
      <c r="R473" s="949">
        <v>136.0</v>
      </c>
      <c r="S473" s="949">
        <v>199.0</v>
      </c>
      <c r="T473" s="949">
        <v>218.0</v>
      </c>
      <c r="U473" s="949"/>
      <c r="V473" s="949"/>
      <c r="W473" s="949"/>
      <c r="X473" s="949"/>
      <c r="Y473" s="949"/>
      <c r="Z473" s="949"/>
      <c r="AA473" s="949"/>
      <c r="AB473" s="949"/>
      <c r="AC473" s="949"/>
      <c r="AD473" s="949"/>
      <c r="AE473" s="949"/>
      <c r="AF473" s="949"/>
      <c r="AG473" s="949"/>
      <c r="AH473" s="949"/>
      <c r="AI473" s="949"/>
      <c r="AJ473" s="949"/>
      <c r="AK473" s="949"/>
      <c r="AL473" s="949"/>
      <c r="AM473" s="953" t="s">
        <v>1077</v>
      </c>
      <c r="AN473" s="954"/>
      <c r="AO473" s="955" t="s">
        <v>1239</v>
      </c>
      <c r="AP473" s="931"/>
      <c r="AQ473" s="956"/>
      <c r="AR473" s="957"/>
      <c r="AS473" s="931"/>
    </row>
    <row r="474" ht="15.75" customHeight="1">
      <c r="A474" s="931"/>
      <c r="B474" s="941" t="s">
        <v>2209</v>
      </c>
      <c r="C474" s="942" t="s">
        <v>184</v>
      </c>
      <c r="D474" s="942" t="s">
        <v>184</v>
      </c>
      <c r="E474" s="943" t="s">
        <v>184</v>
      </c>
      <c r="F474" s="935"/>
      <c r="G474" s="944"/>
      <c r="H474" s="944"/>
      <c r="I474" s="946" t="s">
        <v>114</v>
      </c>
      <c r="J474" s="961" t="s">
        <v>716</v>
      </c>
      <c r="K474" s="960" t="s">
        <v>707</v>
      </c>
      <c r="L474" s="949">
        <v>95.0</v>
      </c>
      <c r="M474" s="949">
        <v>135.0</v>
      </c>
      <c r="N474" s="949">
        <v>80.0</v>
      </c>
      <c r="O474" s="949">
        <v>110.0</v>
      </c>
      <c r="P474" s="949">
        <v>80.0</v>
      </c>
      <c r="Q474" s="949">
        <v>100.0</v>
      </c>
      <c r="R474" s="949">
        <v>236.0</v>
      </c>
      <c r="S474" s="949">
        <v>299.0</v>
      </c>
      <c r="T474" s="949">
        <v>328.0</v>
      </c>
      <c r="U474" s="949"/>
      <c r="V474" s="949"/>
      <c r="W474" s="949"/>
      <c r="X474" s="949"/>
      <c r="Y474" s="949"/>
      <c r="Z474" s="949"/>
      <c r="AA474" s="949"/>
      <c r="AB474" s="949"/>
      <c r="AC474" s="949"/>
      <c r="AD474" s="949"/>
      <c r="AE474" s="949"/>
      <c r="AF474" s="949"/>
      <c r="AG474" s="949"/>
      <c r="AH474" s="949"/>
      <c r="AI474" s="949"/>
      <c r="AJ474" s="949"/>
      <c r="AK474" s="949"/>
      <c r="AL474" s="949"/>
      <c r="AM474" s="953" t="s">
        <v>854</v>
      </c>
      <c r="AN474" s="954"/>
      <c r="AO474" s="955" t="s">
        <v>1392</v>
      </c>
      <c r="AP474" s="931"/>
      <c r="AQ474" s="956"/>
      <c r="AR474" s="957"/>
      <c r="AS474" s="931"/>
    </row>
    <row r="475" ht="15.75" customHeight="1">
      <c r="A475" s="931"/>
      <c r="B475" s="941" t="s">
        <v>2210</v>
      </c>
      <c r="C475" s="942" t="s">
        <v>2211</v>
      </c>
      <c r="D475" s="942" t="s">
        <v>2211</v>
      </c>
      <c r="E475" s="943" t="s">
        <v>2211</v>
      </c>
      <c r="F475" s="935"/>
      <c r="G475" s="944"/>
      <c r="H475" s="944"/>
      <c r="I475" s="946" t="s">
        <v>2212</v>
      </c>
      <c r="J475" s="961" t="s">
        <v>716</v>
      </c>
      <c r="K475" s="960" t="s">
        <v>707</v>
      </c>
      <c r="L475" s="949">
        <v>95.0</v>
      </c>
      <c r="M475" s="949">
        <v>145.0</v>
      </c>
      <c r="N475" s="949">
        <v>130.0</v>
      </c>
      <c r="O475" s="949">
        <v>120.0</v>
      </c>
      <c r="P475" s="949">
        <v>90.0</v>
      </c>
      <c r="Q475" s="949">
        <v>120.0</v>
      </c>
      <c r="R475" s="949">
        <v>276.0</v>
      </c>
      <c r="S475" s="949">
        <v>339.0</v>
      </c>
      <c r="T475" s="949">
        <v>372.0</v>
      </c>
      <c r="U475" s="949"/>
      <c r="V475" s="949"/>
      <c r="W475" s="949"/>
      <c r="X475" s="949"/>
      <c r="Y475" s="949"/>
      <c r="Z475" s="949"/>
      <c r="AA475" s="949"/>
      <c r="AB475" s="949"/>
      <c r="AC475" s="949"/>
      <c r="AD475" s="949"/>
      <c r="AE475" s="949"/>
      <c r="AF475" s="949"/>
      <c r="AG475" s="949"/>
      <c r="AH475" s="949"/>
      <c r="AI475" s="949"/>
      <c r="AJ475" s="949"/>
      <c r="AK475" s="949"/>
      <c r="AL475" s="949"/>
      <c r="AM475" s="953" t="s">
        <v>1396</v>
      </c>
      <c r="AN475" s="954"/>
      <c r="AO475" s="955"/>
      <c r="AP475" s="931"/>
      <c r="AQ475" s="956"/>
      <c r="AR475" s="957"/>
      <c r="AS475" s="931"/>
    </row>
    <row r="476" ht="15.75" customHeight="1">
      <c r="A476" s="931"/>
      <c r="B476" s="941" t="s">
        <v>2213</v>
      </c>
      <c r="C476" s="942" t="s">
        <v>2214</v>
      </c>
      <c r="D476" s="942" t="s">
        <v>2214</v>
      </c>
      <c r="E476" s="943" t="s">
        <v>2214</v>
      </c>
      <c r="F476" s="935"/>
      <c r="G476" s="944"/>
      <c r="H476" s="944"/>
      <c r="I476" s="946" t="s">
        <v>2215</v>
      </c>
      <c r="J476" s="978" t="s">
        <v>719</v>
      </c>
      <c r="K476" s="975" t="s">
        <v>712</v>
      </c>
      <c r="L476" s="949">
        <v>40.0</v>
      </c>
      <c r="M476" s="949">
        <v>55.0</v>
      </c>
      <c r="N476" s="949">
        <v>80.0</v>
      </c>
      <c r="O476" s="949">
        <v>35.0</v>
      </c>
      <c r="P476" s="949">
        <v>60.0</v>
      </c>
      <c r="Q476" s="949">
        <v>30.0</v>
      </c>
      <c r="R476" s="949">
        <v>96.0</v>
      </c>
      <c r="S476" s="949">
        <v>159.0</v>
      </c>
      <c r="T476" s="949">
        <v>174.0</v>
      </c>
      <c r="U476" s="949"/>
      <c r="V476" s="949"/>
      <c r="W476" s="949"/>
      <c r="X476" s="949"/>
      <c r="Y476" s="949"/>
      <c r="Z476" s="949"/>
      <c r="AA476" s="949"/>
      <c r="AB476" s="949"/>
      <c r="AC476" s="949"/>
      <c r="AD476" s="949"/>
      <c r="AE476" s="949"/>
      <c r="AF476" s="949"/>
      <c r="AG476" s="949"/>
      <c r="AH476" s="949"/>
      <c r="AI476" s="949"/>
      <c r="AJ476" s="949"/>
      <c r="AK476" s="949"/>
      <c r="AL476" s="949"/>
      <c r="AM476" s="953" t="s">
        <v>1127</v>
      </c>
      <c r="AN476" s="954"/>
      <c r="AO476" s="955" t="s">
        <v>1686</v>
      </c>
      <c r="AP476" s="931"/>
      <c r="AQ476" s="956"/>
      <c r="AR476" s="957"/>
      <c r="AS476" s="931"/>
    </row>
    <row r="477" ht="15.75" customHeight="1">
      <c r="A477" s="931"/>
      <c r="B477" s="941" t="s">
        <v>2216</v>
      </c>
      <c r="C477" s="942" t="s">
        <v>2217</v>
      </c>
      <c r="D477" s="942" t="s">
        <v>2217</v>
      </c>
      <c r="E477" s="943" t="s">
        <v>2217</v>
      </c>
      <c r="F477" s="935"/>
      <c r="G477" s="944"/>
      <c r="H477" s="944"/>
      <c r="I477" s="946" t="s">
        <v>2218</v>
      </c>
      <c r="J477" s="978" t="s">
        <v>719</v>
      </c>
      <c r="K477" s="975" t="s">
        <v>712</v>
      </c>
      <c r="L477" s="949">
        <v>60.0</v>
      </c>
      <c r="M477" s="949">
        <v>75.0</v>
      </c>
      <c r="N477" s="949">
        <v>100.0</v>
      </c>
      <c r="O477" s="949">
        <v>55.0</v>
      </c>
      <c r="P477" s="949">
        <v>80.0</v>
      </c>
      <c r="Q477" s="949">
        <v>50.0</v>
      </c>
      <c r="R477" s="949">
        <v>136.0</v>
      </c>
      <c r="S477" s="949">
        <v>199.0</v>
      </c>
      <c r="T477" s="949">
        <v>218.0</v>
      </c>
      <c r="U477" s="949"/>
      <c r="V477" s="949"/>
      <c r="W477" s="949"/>
      <c r="X477" s="949"/>
      <c r="Y477" s="949"/>
      <c r="Z477" s="949"/>
      <c r="AA477" s="949"/>
      <c r="AB477" s="949"/>
      <c r="AC477" s="949"/>
      <c r="AD477" s="949"/>
      <c r="AE477" s="949"/>
      <c r="AF477" s="949"/>
      <c r="AG477" s="949"/>
      <c r="AH477" s="949"/>
      <c r="AI477" s="949"/>
      <c r="AJ477" s="949"/>
      <c r="AK477" s="949"/>
      <c r="AL477" s="949"/>
      <c r="AM477" s="953" t="s">
        <v>1127</v>
      </c>
      <c r="AN477" s="954"/>
      <c r="AO477" s="955" t="s">
        <v>1686</v>
      </c>
      <c r="AP477" s="931"/>
      <c r="AQ477" s="956"/>
      <c r="AR477" s="957"/>
      <c r="AS477" s="931"/>
    </row>
    <row r="478" ht="15.75" customHeight="1">
      <c r="A478" s="931"/>
      <c r="B478" s="941" t="s">
        <v>2219</v>
      </c>
      <c r="C478" s="942" t="s">
        <v>2220</v>
      </c>
      <c r="D478" s="942" t="s">
        <v>2220</v>
      </c>
      <c r="E478" s="943" t="s">
        <v>2220</v>
      </c>
      <c r="F478" s="935"/>
      <c r="G478" s="944"/>
      <c r="H478" s="944"/>
      <c r="I478" s="946" t="s">
        <v>2221</v>
      </c>
      <c r="J478" s="978" t="s">
        <v>719</v>
      </c>
      <c r="K478" s="975" t="s">
        <v>712</v>
      </c>
      <c r="L478" s="949">
        <v>80.0</v>
      </c>
      <c r="M478" s="949">
        <v>135.0</v>
      </c>
      <c r="N478" s="949">
        <v>130.0</v>
      </c>
      <c r="O478" s="949">
        <v>95.0</v>
      </c>
      <c r="P478" s="949">
        <v>90.0</v>
      </c>
      <c r="Q478" s="949">
        <v>70.0</v>
      </c>
      <c r="R478" s="949">
        <v>176.0</v>
      </c>
      <c r="S478" s="949">
        <v>239.0</v>
      </c>
      <c r="T478" s="949">
        <v>262.0</v>
      </c>
      <c r="U478" s="949"/>
      <c r="V478" s="949"/>
      <c r="W478" s="949"/>
      <c r="X478" s="949"/>
      <c r="Y478" s="949"/>
      <c r="Z478" s="949"/>
      <c r="AA478" s="949"/>
      <c r="AB478" s="949"/>
      <c r="AC478" s="949"/>
      <c r="AD478" s="949"/>
      <c r="AE478" s="949"/>
      <c r="AF478" s="949"/>
      <c r="AG478" s="949"/>
      <c r="AH478" s="949"/>
      <c r="AI478" s="949"/>
      <c r="AJ478" s="949"/>
      <c r="AK478" s="949"/>
      <c r="AL478" s="949"/>
      <c r="AM478" s="953" t="s">
        <v>1127</v>
      </c>
      <c r="AN478" s="954"/>
      <c r="AO478" s="955" t="s">
        <v>1686</v>
      </c>
      <c r="AP478" s="931"/>
      <c r="AQ478" s="956"/>
      <c r="AR478" s="957"/>
      <c r="AS478" s="931"/>
    </row>
    <row r="479" ht="15.75" customHeight="1">
      <c r="A479" s="931"/>
      <c r="B479" s="941" t="s">
        <v>2222</v>
      </c>
      <c r="C479" s="942" t="s">
        <v>2223</v>
      </c>
      <c r="D479" s="942" t="s">
        <v>2223</v>
      </c>
      <c r="E479" s="943" t="s">
        <v>2223</v>
      </c>
      <c r="F479" s="935"/>
      <c r="G479" s="944"/>
      <c r="H479" s="944"/>
      <c r="I479" s="959" t="s">
        <v>2224</v>
      </c>
      <c r="J479" s="1007" t="s">
        <v>719</v>
      </c>
      <c r="K479" s="990" t="s">
        <v>712</v>
      </c>
      <c r="L479" s="974">
        <v>80.0</v>
      </c>
      <c r="M479" s="974">
        <v>145.0</v>
      </c>
      <c r="N479" s="974">
        <v>150.0</v>
      </c>
      <c r="O479" s="974">
        <v>105.0</v>
      </c>
      <c r="P479" s="974">
        <v>110.0</v>
      </c>
      <c r="Q479" s="974">
        <v>110.0</v>
      </c>
      <c r="R479" s="949">
        <v>256.0</v>
      </c>
      <c r="S479" s="949">
        <v>319.0</v>
      </c>
      <c r="T479" s="949">
        <v>350.0</v>
      </c>
      <c r="U479" s="949"/>
      <c r="V479" s="949"/>
      <c r="W479" s="949"/>
      <c r="X479" s="949"/>
      <c r="Y479" s="949"/>
      <c r="Z479" s="949"/>
      <c r="AA479" s="949"/>
      <c r="AB479" s="949"/>
      <c r="AC479" s="949"/>
      <c r="AD479" s="949"/>
      <c r="AE479" s="949"/>
      <c r="AF479" s="949"/>
      <c r="AG479" s="949"/>
      <c r="AH479" s="949"/>
      <c r="AI479" s="949"/>
      <c r="AJ479" s="949"/>
      <c r="AK479" s="949"/>
      <c r="AL479" s="949"/>
      <c r="AM479" s="953" t="s">
        <v>762</v>
      </c>
      <c r="AN479" s="954"/>
      <c r="AO479" s="965"/>
      <c r="AP479" s="931"/>
      <c r="AQ479" s="956"/>
      <c r="AR479" s="957"/>
      <c r="AS479" s="931"/>
    </row>
    <row r="480" ht="15.75" customHeight="1">
      <c r="A480" s="931"/>
      <c r="B480" s="941" t="s">
        <v>2225</v>
      </c>
      <c r="C480" s="971" t="s">
        <v>2226</v>
      </c>
      <c r="D480" s="971" t="s">
        <v>2226</v>
      </c>
      <c r="E480" s="966" t="s">
        <v>2226</v>
      </c>
      <c r="F480" s="935"/>
      <c r="G480" s="944"/>
      <c r="H480" s="944"/>
      <c r="I480" s="959" t="s">
        <v>2227</v>
      </c>
      <c r="J480" s="989" t="s">
        <v>713</v>
      </c>
      <c r="K480" s="954" t="s">
        <v>158</v>
      </c>
      <c r="L480" s="949">
        <v>80.0</v>
      </c>
      <c r="M480" s="949">
        <v>100.0</v>
      </c>
      <c r="N480" s="949">
        <v>200.0</v>
      </c>
      <c r="O480" s="949">
        <v>50.0</v>
      </c>
      <c r="P480" s="949">
        <v>100.0</v>
      </c>
      <c r="Q480" s="949">
        <v>50.0</v>
      </c>
      <c r="R480" s="949">
        <v>136.0</v>
      </c>
      <c r="S480" s="949">
        <v>199.0</v>
      </c>
      <c r="T480" s="949">
        <v>218.0</v>
      </c>
      <c r="U480" s="949"/>
      <c r="V480" s="949"/>
      <c r="W480" s="949"/>
      <c r="X480" s="949"/>
      <c r="Y480" s="949"/>
      <c r="Z480" s="949"/>
      <c r="AA480" s="949"/>
      <c r="AB480" s="949"/>
      <c r="AC480" s="949"/>
      <c r="AD480" s="949"/>
      <c r="AE480" s="949"/>
      <c r="AF480" s="949"/>
      <c r="AG480" s="949"/>
      <c r="AH480" s="949"/>
      <c r="AI480" s="949"/>
      <c r="AJ480" s="949"/>
      <c r="AK480" s="949"/>
      <c r="AL480" s="949"/>
      <c r="AM480" s="953" t="s">
        <v>1127</v>
      </c>
      <c r="AN480" s="954"/>
      <c r="AO480" s="955" t="s">
        <v>1135</v>
      </c>
      <c r="AP480" s="931"/>
      <c r="AQ480" s="956"/>
      <c r="AR480" s="957"/>
      <c r="AS480" s="931"/>
    </row>
    <row r="481" ht="15.75" customHeight="1">
      <c r="A481" s="931"/>
      <c r="B481" s="941" t="s">
        <v>2228</v>
      </c>
      <c r="C481" s="942" t="s">
        <v>2229</v>
      </c>
      <c r="D481" s="942" t="s">
        <v>2229</v>
      </c>
      <c r="E481" s="943" t="s">
        <v>2229</v>
      </c>
      <c r="F481" s="935"/>
      <c r="G481" s="944"/>
      <c r="H481" s="944"/>
      <c r="I481" s="959" t="s">
        <v>2230</v>
      </c>
      <c r="J481" s="998" t="s">
        <v>714</v>
      </c>
      <c r="K481" s="954" t="s">
        <v>158</v>
      </c>
      <c r="L481" s="974">
        <v>80.0</v>
      </c>
      <c r="M481" s="974">
        <v>50.0</v>
      </c>
      <c r="N481" s="974">
        <v>100.0</v>
      </c>
      <c r="O481" s="974">
        <v>100.0</v>
      </c>
      <c r="P481" s="974">
        <v>200.0</v>
      </c>
      <c r="Q481" s="974">
        <v>50.0</v>
      </c>
      <c r="R481" s="949">
        <v>136.0</v>
      </c>
      <c r="S481" s="949">
        <v>199.0</v>
      </c>
      <c r="T481" s="949">
        <v>218.0</v>
      </c>
      <c r="U481" s="949"/>
      <c r="V481" s="949"/>
      <c r="W481" s="949"/>
      <c r="X481" s="949"/>
      <c r="Y481" s="949"/>
      <c r="Z481" s="949"/>
      <c r="AA481" s="949"/>
      <c r="AB481" s="949"/>
      <c r="AC481" s="949"/>
      <c r="AD481" s="949"/>
      <c r="AE481" s="949"/>
      <c r="AF481" s="949"/>
      <c r="AG481" s="949"/>
      <c r="AH481" s="949"/>
      <c r="AI481" s="949"/>
      <c r="AJ481" s="949"/>
      <c r="AK481" s="949"/>
      <c r="AL481" s="949"/>
      <c r="AM481" s="953" t="s">
        <v>1127</v>
      </c>
      <c r="AN481" s="954"/>
      <c r="AO481" s="965" t="s">
        <v>1217</v>
      </c>
      <c r="AP481" s="931"/>
      <c r="AQ481" s="956"/>
      <c r="AR481" s="957"/>
      <c r="AS481" s="931"/>
    </row>
    <row r="482" ht="15.75" customHeight="1">
      <c r="A482" s="931"/>
      <c r="B482" s="941" t="s">
        <v>2231</v>
      </c>
      <c r="C482" s="971" t="s">
        <v>2232</v>
      </c>
      <c r="D482" s="971" t="s">
        <v>2232</v>
      </c>
      <c r="E482" s="966" t="s">
        <v>2232</v>
      </c>
      <c r="F482" s="935"/>
      <c r="G482" s="944"/>
      <c r="H482" s="944"/>
      <c r="I482" s="959" t="s">
        <v>2233</v>
      </c>
      <c r="J482" s="978" t="s">
        <v>719</v>
      </c>
      <c r="K482" s="954" t="s">
        <v>158</v>
      </c>
      <c r="L482" s="949">
        <v>80.0</v>
      </c>
      <c r="M482" s="949">
        <v>75.0</v>
      </c>
      <c r="N482" s="949">
        <v>150.0</v>
      </c>
      <c r="O482" s="949">
        <v>75.0</v>
      </c>
      <c r="P482" s="949">
        <v>150.0</v>
      </c>
      <c r="Q482" s="949">
        <v>50.0</v>
      </c>
      <c r="R482" s="949">
        <v>136.0</v>
      </c>
      <c r="S482" s="949">
        <v>199.0</v>
      </c>
      <c r="T482" s="949">
        <v>218.0</v>
      </c>
      <c r="U482" s="949"/>
      <c r="V482" s="949"/>
      <c r="W482" s="949"/>
      <c r="X482" s="949"/>
      <c r="Y482" s="949"/>
      <c r="Z482" s="949"/>
      <c r="AA482" s="949"/>
      <c r="AB482" s="949"/>
      <c r="AC482" s="949"/>
      <c r="AD482" s="949"/>
      <c r="AE482" s="949"/>
      <c r="AF482" s="949"/>
      <c r="AG482" s="949"/>
      <c r="AH482" s="949"/>
      <c r="AI482" s="949"/>
      <c r="AJ482" s="949"/>
      <c r="AK482" s="949"/>
      <c r="AL482" s="949"/>
      <c r="AM482" s="953" t="s">
        <v>1127</v>
      </c>
      <c r="AN482" s="954"/>
      <c r="AO482" s="955" t="s">
        <v>1686</v>
      </c>
      <c r="AP482" s="931"/>
      <c r="AQ482" s="956"/>
      <c r="AR482" s="957"/>
      <c r="AS482" s="931"/>
    </row>
    <row r="483" ht="15.75" customHeight="1">
      <c r="A483" s="931"/>
      <c r="B483" s="941" t="s">
        <v>2234</v>
      </c>
      <c r="C483" s="942" t="s">
        <v>2235</v>
      </c>
      <c r="D483" s="942" t="s">
        <v>2235</v>
      </c>
      <c r="E483" s="943" t="s">
        <v>2235</v>
      </c>
      <c r="F483" s="935"/>
      <c r="G483" s="944"/>
      <c r="H483" s="944"/>
      <c r="I483" s="959" t="s">
        <v>2236</v>
      </c>
      <c r="J483" s="1005" t="s">
        <v>716</v>
      </c>
      <c r="K483" s="975" t="s">
        <v>712</v>
      </c>
      <c r="L483" s="974">
        <v>80.0</v>
      </c>
      <c r="M483" s="974">
        <v>80.0</v>
      </c>
      <c r="N483" s="974">
        <v>90.0</v>
      </c>
      <c r="O483" s="974">
        <v>110.0</v>
      </c>
      <c r="P483" s="974">
        <v>130.0</v>
      </c>
      <c r="Q483" s="974">
        <v>110.0</v>
      </c>
      <c r="R483" s="949">
        <v>256.0</v>
      </c>
      <c r="S483" s="949">
        <v>319.0</v>
      </c>
      <c r="T483" s="949">
        <v>350.0</v>
      </c>
      <c r="U483" s="949"/>
      <c r="V483" s="949"/>
      <c r="W483" s="949"/>
      <c r="X483" s="949"/>
      <c r="Y483" s="949"/>
      <c r="Z483" s="949"/>
      <c r="AA483" s="949"/>
      <c r="AB483" s="949"/>
      <c r="AC483" s="949"/>
      <c r="AD483" s="949"/>
      <c r="AE483" s="949"/>
      <c r="AF483" s="949"/>
      <c r="AG483" s="949"/>
      <c r="AH483" s="949"/>
      <c r="AI483" s="949"/>
      <c r="AJ483" s="949"/>
      <c r="AK483" s="949"/>
      <c r="AL483" s="949"/>
      <c r="AM483" s="953" t="s">
        <v>1244</v>
      </c>
      <c r="AN483" s="954"/>
      <c r="AO483" s="955"/>
      <c r="AP483" s="931"/>
      <c r="AQ483" s="956"/>
      <c r="AR483" s="957"/>
      <c r="AS483" s="931"/>
    </row>
    <row r="484" ht="15.75" customHeight="1">
      <c r="A484" s="931"/>
      <c r="B484" s="941" t="s">
        <v>2237</v>
      </c>
      <c r="C484" s="942" t="s">
        <v>2238</v>
      </c>
      <c r="D484" s="942" t="s">
        <v>2238</v>
      </c>
      <c r="E484" s="943" t="s">
        <v>2238</v>
      </c>
      <c r="F484" s="935"/>
      <c r="G484" s="944"/>
      <c r="H484" s="944"/>
      <c r="I484" s="959" t="s">
        <v>2239</v>
      </c>
      <c r="J484" s="1005" t="s">
        <v>716</v>
      </c>
      <c r="K484" s="975" t="s">
        <v>712</v>
      </c>
      <c r="L484" s="974">
        <v>80.0</v>
      </c>
      <c r="M484" s="974">
        <v>100.0</v>
      </c>
      <c r="N484" s="974">
        <v>120.0</v>
      </c>
      <c r="O484" s="974">
        <v>140.0</v>
      </c>
      <c r="P484" s="974">
        <v>150.0</v>
      </c>
      <c r="Q484" s="974">
        <v>110.0</v>
      </c>
      <c r="R484" s="949">
        <v>256.0</v>
      </c>
      <c r="S484" s="949">
        <v>319.0</v>
      </c>
      <c r="T484" s="949">
        <v>350.0</v>
      </c>
      <c r="U484" s="949"/>
      <c r="V484" s="949"/>
      <c r="W484" s="949"/>
      <c r="X484" s="949"/>
      <c r="Y484" s="949"/>
      <c r="Z484" s="949"/>
      <c r="AA484" s="949"/>
      <c r="AB484" s="949"/>
      <c r="AC484" s="949"/>
      <c r="AD484" s="949"/>
      <c r="AE484" s="949"/>
      <c r="AF484" s="949"/>
      <c r="AG484" s="949"/>
      <c r="AH484" s="949"/>
      <c r="AI484" s="949"/>
      <c r="AJ484" s="949"/>
      <c r="AK484" s="949"/>
      <c r="AL484" s="949"/>
      <c r="AM484" s="953" t="s">
        <v>1244</v>
      </c>
      <c r="AN484" s="973"/>
      <c r="AO484" s="955"/>
      <c r="AP484" s="931"/>
      <c r="AQ484" s="956"/>
      <c r="AR484" s="957"/>
      <c r="AS484" s="931"/>
    </row>
    <row r="485" ht="15.75" customHeight="1">
      <c r="A485" s="931"/>
      <c r="B485" s="941" t="s">
        <v>2240</v>
      </c>
      <c r="C485" s="942" t="s">
        <v>2241</v>
      </c>
      <c r="D485" s="942" t="s">
        <v>2241</v>
      </c>
      <c r="E485" s="943" t="s">
        <v>2241</v>
      </c>
      <c r="F485" s="935"/>
      <c r="G485" s="944"/>
      <c r="H485" s="944"/>
      <c r="I485" s="959" t="s">
        <v>2242</v>
      </c>
      <c r="J485" s="1005" t="s">
        <v>716</v>
      </c>
      <c r="K485" s="990" t="s">
        <v>712</v>
      </c>
      <c r="L485" s="974">
        <v>80.0</v>
      </c>
      <c r="M485" s="974">
        <v>90.0</v>
      </c>
      <c r="N485" s="974">
        <v>80.0</v>
      </c>
      <c r="O485" s="974">
        <v>130.0</v>
      </c>
      <c r="P485" s="974">
        <v>110.0</v>
      </c>
      <c r="Q485" s="974">
        <v>110.0</v>
      </c>
      <c r="R485" s="949">
        <v>256.0</v>
      </c>
      <c r="S485" s="949">
        <v>319.0</v>
      </c>
      <c r="T485" s="949">
        <v>350.0</v>
      </c>
      <c r="U485" s="949"/>
      <c r="V485" s="949"/>
      <c r="W485" s="949"/>
      <c r="X485" s="949"/>
      <c r="Y485" s="949"/>
      <c r="Z485" s="949"/>
      <c r="AA485" s="949"/>
      <c r="AB485" s="949"/>
      <c r="AC485" s="949"/>
      <c r="AD485" s="949"/>
      <c r="AE485" s="949"/>
      <c r="AF485" s="949"/>
      <c r="AG485" s="949"/>
      <c r="AH485" s="949"/>
      <c r="AI485" s="949"/>
      <c r="AJ485" s="949"/>
      <c r="AK485" s="949"/>
      <c r="AL485" s="949"/>
      <c r="AM485" s="964" t="s">
        <v>1244</v>
      </c>
      <c r="AN485" s="973"/>
      <c r="AO485" s="965"/>
      <c r="AP485" s="931"/>
      <c r="AQ485" s="956"/>
      <c r="AR485" s="957"/>
      <c r="AS485" s="931"/>
    </row>
    <row r="486" ht="15.75" customHeight="1">
      <c r="A486" s="931"/>
      <c r="B486" s="941" t="s">
        <v>2243</v>
      </c>
      <c r="C486" s="971" t="s">
        <v>2244</v>
      </c>
      <c r="D486" s="971" t="s">
        <v>2244</v>
      </c>
      <c r="E486" s="966" t="s">
        <v>2244</v>
      </c>
      <c r="F486" s="935"/>
      <c r="G486" s="944"/>
      <c r="H486" s="944"/>
      <c r="I486" s="959" t="s">
        <v>2245</v>
      </c>
      <c r="J486" s="961" t="s">
        <v>716</v>
      </c>
      <c r="K486" s="975" t="s">
        <v>712</v>
      </c>
      <c r="L486" s="949">
        <v>80.0</v>
      </c>
      <c r="M486" s="949">
        <v>130.0</v>
      </c>
      <c r="N486" s="949">
        <v>100.0</v>
      </c>
      <c r="O486" s="949">
        <v>160.0</v>
      </c>
      <c r="P486" s="949">
        <v>120.0</v>
      </c>
      <c r="Q486" s="949">
        <v>110.0</v>
      </c>
      <c r="R486" s="949">
        <v>256.0</v>
      </c>
      <c r="S486" s="949">
        <v>319.0</v>
      </c>
      <c r="T486" s="949">
        <v>350.0</v>
      </c>
      <c r="U486" s="949"/>
      <c r="V486" s="949"/>
      <c r="W486" s="949"/>
      <c r="X486" s="949"/>
      <c r="Y486" s="949"/>
      <c r="Z486" s="949"/>
      <c r="AA486" s="949"/>
      <c r="AB486" s="949"/>
      <c r="AC486" s="949"/>
      <c r="AD486" s="949"/>
      <c r="AE486" s="949"/>
      <c r="AF486" s="949"/>
      <c r="AG486" s="949"/>
      <c r="AH486" s="949"/>
      <c r="AI486" s="949"/>
      <c r="AJ486" s="949"/>
      <c r="AK486" s="949"/>
      <c r="AL486" s="949"/>
      <c r="AM486" s="953" t="s">
        <v>1244</v>
      </c>
      <c r="AN486" s="954"/>
      <c r="AO486" s="955"/>
      <c r="AP486" s="931"/>
      <c r="AQ486" s="956"/>
      <c r="AR486" s="957"/>
      <c r="AS486" s="931"/>
    </row>
    <row r="487" ht="15.75" customHeight="1">
      <c r="A487" s="931"/>
      <c r="B487" s="941" t="s">
        <v>2246</v>
      </c>
      <c r="C487" s="942" t="s">
        <v>225</v>
      </c>
      <c r="D487" s="942" t="s">
        <v>225</v>
      </c>
      <c r="E487" s="943" t="s">
        <v>225</v>
      </c>
      <c r="F487" s="935"/>
      <c r="G487" s="944"/>
      <c r="H487" s="944"/>
      <c r="I487" s="959" t="s">
        <v>226</v>
      </c>
      <c r="J487" s="962" t="s">
        <v>706</v>
      </c>
      <c r="K487" s="954" t="s">
        <v>158</v>
      </c>
      <c r="L487" s="949">
        <v>100.0</v>
      </c>
      <c r="M487" s="949">
        <v>100.0</v>
      </c>
      <c r="N487" s="949">
        <v>90.0</v>
      </c>
      <c r="O487" s="949">
        <v>150.0</v>
      </c>
      <c r="P487" s="949">
        <v>140.0</v>
      </c>
      <c r="Q487" s="949">
        <v>90.0</v>
      </c>
      <c r="R487" s="949">
        <v>216.0</v>
      </c>
      <c r="S487" s="949">
        <v>279.0</v>
      </c>
      <c r="T487" s="949">
        <v>306.0</v>
      </c>
      <c r="U487" s="949"/>
      <c r="V487" s="949"/>
      <c r="W487" s="949"/>
      <c r="X487" s="949"/>
      <c r="Y487" s="949"/>
      <c r="Z487" s="949"/>
      <c r="AA487" s="949"/>
      <c r="AB487" s="949"/>
      <c r="AC487" s="949"/>
      <c r="AD487" s="949"/>
      <c r="AE487" s="949"/>
      <c r="AF487" s="949"/>
      <c r="AG487" s="949"/>
      <c r="AH487" s="949"/>
      <c r="AI487" s="949"/>
      <c r="AJ487" s="949"/>
      <c r="AK487" s="949"/>
      <c r="AL487" s="949"/>
      <c r="AM487" s="953" t="s">
        <v>331</v>
      </c>
      <c r="AN487" s="954"/>
      <c r="AO487" s="955"/>
      <c r="AP487" s="931"/>
      <c r="AQ487" s="956"/>
      <c r="AR487" s="957"/>
      <c r="AS487" s="931"/>
    </row>
    <row r="488" ht="15.75" customHeight="1">
      <c r="A488" s="931"/>
      <c r="B488" s="941" t="s">
        <v>2247</v>
      </c>
      <c r="C488" s="942" t="s">
        <v>233</v>
      </c>
      <c r="D488" s="942" t="s">
        <v>233</v>
      </c>
      <c r="E488" s="943" t="s">
        <v>233</v>
      </c>
      <c r="F488" s="935"/>
      <c r="G488" s="944"/>
      <c r="H488" s="944"/>
      <c r="I488" s="959" t="s">
        <v>2248</v>
      </c>
      <c r="J488" s="986" t="s">
        <v>706</v>
      </c>
      <c r="K488" s="973" t="s">
        <v>158</v>
      </c>
      <c r="L488" s="974">
        <v>100.0</v>
      </c>
      <c r="M488" s="974">
        <v>150.0</v>
      </c>
      <c r="N488" s="974">
        <v>90.0</v>
      </c>
      <c r="O488" s="974">
        <v>180.0</v>
      </c>
      <c r="P488" s="974">
        <v>160.0</v>
      </c>
      <c r="Q488" s="974">
        <v>90.0</v>
      </c>
      <c r="R488" s="949">
        <v>216.0</v>
      </c>
      <c r="S488" s="949">
        <v>279.0</v>
      </c>
      <c r="T488" s="949">
        <v>306.0</v>
      </c>
      <c r="U488" s="949"/>
      <c r="V488" s="949"/>
      <c r="W488" s="949"/>
      <c r="X488" s="949"/>
      <c r="Y488" s="949"/>
      <c r="Z488" s="949"/>
      <c r="AA488" s="949"/>
      <c r="AB488" s="949"/>
      <c r="AC488" s="949"/>
      <c r="AD488" s="949"/>
      <c r="AE488" s="949"/>
      <c r="AF488" s="949"/>
      <c r="AG488" s="949"/>
      <c r="AH488" s="949"/>
      <c r="AI488" s="949"/>
      <c r="AJ488" s="949"/>
      <c r="AK488" s="949"/>
      <c r="AL488" s="949"/>
      <c r="AM488" s="964" t="s">
        <v>2249</v>
      </c>
      <c r="AN488" s="954"/>
      <c r="AO488" s="965"/>
      <c r="AP488" s="931"/>
      <c r="AQ488" s="956"/>
      <c r="AR488" s="957"/>
      <c r="AS488" s="931"/>
    </row>
    <row r="489" ht="15.75" customHeight="1">
      <c r="A489" s="931"/>
      <c r="B489" s="941" t="s">
        <v>2250</v>
      </c>
      <c r="C489" s="942" t="s">
        <v>212</v>
      </c>
      <c r="D489" s="942" t="s">
        <v>212</v>
      </c>
      <c r="E489" s="943" t="s">
        <v>212</v>
      </c>
      <c r="F489" s="935"/>
      <c r="G489" s="944"/>
      <c r="H489" s="944"/>
      <c r="I489" s="959" t="s">
        <v>213</v>
      </c>
      <c r="J489" s="997" t="s">
        <v>711</v>
      </c>
      <c r="K489" s="954" t="s">
        <v>158</v>
      </c>
      <c r="L489" s="974">
        <v>100.0</v>
      </c>
      <c r="M489" s="974">
        <v>150.0</v>
      </c>
      <c r="N489" s="974">
        <v>140.0</v>
      </c>
      <c r="O489" s="974">
        <v>100.0</v>
      </c>
      <c r="P489" s="974">
        <v>90.0</v>
      </c>
      <c r="Q489" s="974">
        <v>90.0</v>
      </c>
      <c r="R489" s="949">
        <v>216.0</v>
      </c>
      <c r="S489" s="949">
        <v>279.0</v>
      </c>
      <c r="T489" s="949">
        <v>306.0</v>
      </c>
      <c r="U489" s="949"/>
      <c r="V489" s="949"/>
      <c r="W489" s="949"/>
      <c r="X489" s="949"/>
      <c r="Y489" s="949"/>
      <c r="Z489" s="949"/>
      <c r="AA489" s="949"/>
      <c r="AB489" s="949"/>
      <c r="AC489" s="949"/>
      <c r="AD489" s="949"/>
      <c r="AE489" s="949"/>
      <c r="AF489" s="949"/>
      <c r="AG489" s="949"/>
      <c r="AH489" s="949"/>
      <c r="AI489" s="949"/>
      <c r="AJ489" s="949"/>
      <c r="AK489" s="949"/>
      <c r="AL489" s="949"/>
      <c r="AM489" s="953" t="s">
        <v>767</v>
      </c>
      <c r="AN489" s="973"/>
      <c r="AO489" s="955"/>
      <c r="AP489" s="931"/>
      <c r="AQ489" s="956"/>
      <c r="AR489" s="957"/>
      <c r="AS489" s="931"/>
    </row>
    <row r="490" ht="15.75" customHeight="1">
      <c r="A490" s="931"/>
      <c r="B490" s="941" t="s">
        <v>2251</v>
      </c>
      <c r="C490" s="942" t="s">
        <v>216</v>
      </c>
      <c r="D490" s="942" t="s">
        <v>216</v>
      </c>
      <c r="E490" s="943" t="s">
        <v>216</v>
      </c>
      <c r="F490" s="935"/>
      <c r="G490" s="944"/>
      <c r="H490" s="944"/>
      <c r="I490" s="959" t="s">
        <v>2252</v>
      </c>
      <c r="J490" s="976" t="s">
        <v>711</v>
      </c>
      <c r="K490" s="958" t="s">
        <v>704</v>
      </c>
      <c r="L490" s="949">
        <v>100.0</v>
      </c>
      <c r="M490" s="949">
        <v>180.0</v>
      </c>
      <c r="N490" s="949">
        <v>160.0</v>
      </c>
      <c r="O490" s="949">
        <v>150.0</v>
      </c>
      <c r="P490" s="949">
        <v>90.0</v>
      </c>
      <c r="Q490" s="949">
        <v>90.0</v>
      </c>
      <c r="R490" s="949">
        <v>216.0</v>
      </c>
      <c r="S490" s="949">
        <v>279.0</v>
      </c>
      <c r="T490" s="949">
        <v>306.0</v>
      </c>
      <c r="U490" s="949"/>
      <c r="V490" s="949"/>
      <c r="W490" s="949"/>
      <c r="X490" s="949"/>
      <c r="Y490" s="949"/>
      <c r="Z490" s="949"/>
      <c r="AA490" s="949"/>
      <c r="AB490" s="949"/>
      <c r="AC490" s="949"/>
      <c r="AD490" s="949"/>
      <c r="AE490" s="949"/>
      <c r="AF490" s="949"/>
      <c r="AG490" s="949"/>
      <c r="AH490" s="949"/>
      <c r="AI490" s="949"/>
      <c r="AJ490" s="949"/>
      <c r="AK490" s="949"/>
      <c r="AL490" s="949"/>
      <c r="AM490" s="953" t="s">
        <v>2253</v>
      </c>
      <c r="AN490" s="954"/>
      <c r="AO490" s="955"/>
      <c r="AP490" s="931"/>
      <c r="AQ490" s="956"/>
      <c r="AR490" s="957"/>
      <c r="AS490" s="931"/>
    </row>
    <row r="491" ht="15.75" customHeight="1">
      <c r="A491" s="931"/>
      <c r="B491" s="941" t="s">
        <v>2254</v>
      </c>
      <c r="C491" s="942" t="s">
        <v>282</v>
      </c>
      <c r="D491" s="942" t="s">
        <v>282</v>
      </c>
      <c r="E491" s="943" t="s">
        <v>282</v>
      </c>
      <c r="F491" s="935"/>
      <c r="G491" s="944"/>
      <c r="H491" s="944"/>
      <c r="I491" s="959" t="s">
        <v>283</v>
      </c>
      <c r="J491" s="961" t="s">
        <v>716</v>
      </c>
      <c r="K491" s="960" t="s">
        <v>707</v>
      </c>
      <c r="L491" s="974">
        <v>105.0</v>
      </c>
      <c r="M491" s="949">
        <v>150.0</v>
      </c>
      <c r="N491" s="949">
        <v>90.0</v>
      </c>
      <c r="O491" s="974">
        <v>150.0</v>
      </c>
      <c r="P491" s="949">
        <v>90.0</v>
      </c>
      <c r="Q491" s="974">
        <v>95.0</v>
      </c>
      <c r="R491" s="949">
        <v>226.0</v>
      </c>
      <c r="S491" s="949">
        <v>289.0</v>
      </c>
      <c r="T491" s="949">
        <v>317.0</v>
      </c>
      <c r="U491" s="949"/>
      <c r="V491" s="949"/>
      <c r="W491" s="949"/>
      <c r="X491" s="949"/>
      <c r="Y491" s="949"/>
      <c r="Z491" s="949"/>
      <c r="AA491" s="949"/>
      <c r="AB491" s="949"/>
      <c r="AC491" s="949"/>
      <c r="AD491" s="949"/>
      <c r="AE491" s="949"/>
      <c r="AF491" s="949"/>
      <c r="AG491" s="949"/>
      <c r="AH491" s="949"/>
      <c r="AI491" s="949"/>
      <c r="AJ491" s="949"/>
      <c r="AK491" s="949"/>
      <c r="AL491" s="949"/>
      <c r="AM491" s="953" t="s">
        <v>2255</v>
      </c>
      <c r="AN491" s="954"/>
      <c r="AO491" s="965"/>
      <c r="AP491" s="931"/>
      <c r="AQ491" s="956"/>
      <c r="AR491" s="957"/>
      <c r="AS491" s="931"/>
    </row>
    <row r="492" ht="15.75" customHeight="1">
      <c r="A492" s="931"/>
      <c r="B492" s="941" t="s">
        <v>2256</v>
      </c>
      <c r="C492" s="942" t="s">
        <v>2257</v>
      </c>
      <c r="D492" s="942" t="s">
        <v>2257</v>
      </c>
      <c r="E492" s="943" t="s">
        <v>2257</v>
      </c>
      <c r="F492" s="935"/>
      <c r="G492" s="944"/>
      <c r="H492" s="944"/>
      <c r="I492" s="959" t="s">
        <v>2258</v>
      </c>
      <c r="J492" s="1005" t="s">
        <v>716</v>
      </c>
      <c r="K492" s="984" t="s">
        <v>707</v>
      </c>
      <c r="L492" s="974">
        <v>105.0</v>
      </c>
      <c r="M492" s="974">
        <v>180.0</v>
      </c>
      <c r="N492" s="974">
        <v>100.0</v>
      </c>
      <c r="O492" s="974">
        <v>180.0</v>
      </c>
      <c r="P492" s="974">
        <v>100.0</v>
      </c>
      <c r="Q492" s="974">
        <v>115.0</v>
      </c>
      <c r="R492" s="949">
        <v>266.0</v>
      </c>
      <c r="S492" s="949">
        <v>329.0</v>
      </c>
      <c r="T492" s="949">
        <v>361.0</v>
      </c>
      <c r="U492" s="949"/>
      <c r="V492" s="949"/>
      <c r="W492" s="949"/>
      <c r="X492" s="949"/>
      <c r="Y492" s="949"/>
      <c r="Z492" s="949"/>
      <c r="AA492" s="949"/>
      <c r="AB492" s="949"/>
      <c r="AC492" s="949"/>
      <c r="AD492" s="949"/>
      <c r="AE492" s="949"/>
      <c r="AF492" s="949"/>
      <c r="AG492" s="949"/>
      <c r="AH492" s="949"/>
      <c r="AI492" s="949"/>
      <c r="AJ492" s="949"/>
      <c r="AK492" s="949"/>
      <c r="AL492" s="949"/>
      <c r="AM492" s="953" t="s">
        <v>2259</v>
      </c>
      <c r="AN492" s="954"/>
      <c r="AO492" s="955"/>
      <c r="AP492" s="931"/>
      <c r="AQ492" s="956"/>
      <c r="AR492" s="957"/>
      <c r="AS492" s="931"/>
    </row>
    <row r="493" ht="15.75" customHeight="1">
      <c r="A493" s="931"/>
      <c r="B493" s="941" t="s">
        <v>2260</v>
      </c>
      <c r="C493" s="942" t="s">
        <v>2261</v>
      </c>
      <c r="D493" s="942" t="s">
        <v>2261</v>
      </c>
      <c r="E493" s="943" t="s">
        <v>2261</v>
      </c>
      <c r="F493" s="935"/>
      <c r="G493" s="944"/>
      <c r="H493" s="944"/>
      <c r="I493" s="959" t="s">
        <v>2262</v>
      </c>
      <c r="J493" s="1007" t="s">
        <v>719</v>
      </c>
      <c r="K493" s="990" t="s">
        <v>712</v>
      </c>
      <c r="L493" s="949">
        <v>100.0</v>
      </c>
      <c r="M493" s="949">
        <v>100.0</v>
      </c>
      <c r="N493" s="949">
        <v>100.0</v>
      </c>
      <c r="O493" s="949">
        <v>100.0</v>
      </c>
      <c r="P493" s="949">
        <v>100.0</v>
      </c>
      <c r="Q493" s="949">
        <v>100.0</v>
      </c>
      <c r="R493" s="949">
        <v>236.0</v>
      </c>
      <c r="S493" s="949">
        <v>299.0</v>
      </c>
      <c r="T493" s="949">
        <v>328.0</v>
      </c>
      <c r="U493" s="949"/>
      <c r="V493" s="949"/>
      <c r="W493" s="949"/>
      <c r="X493" s="949"/>
      <c r="Y493" s="949"/>
      <c r="Z493" s="949"/>
      <c r="AA493" s="949"/>
      <c r="AB493" s="949"/>
      <c r="AC493" s="949"/>
      <c r="AD493" s="949"/>
      <c r="AE493" s="949"/>
      <c r="AF493" s="949"/>
      <c r="AG493" s="949"/>
      <c r="AH493" s="949"/>
      <c r="AI493" s="949"/>
      <c r="AJ493" s="949"/>
      <c r="AK493" s="949"/>
      <c r="AL493" s="949"/>
      <c r="AM493" s="953" t="s">
        <v>1334</v>
      </c>
      <c r="AN493" s="954"/>
      <c r="AO493" s="955"/>
      <c r="AP493" s="931"/>
      <c r="AQ493" s="956"/>
      <c r="AR493" s="957"/>
      <c r="AS493" s="931"/>
    </row>
    <row r="494" ht="15.75" customHeight="1">
      <c r="A494" s="931"/>
      <c r="B494" s="941" t="s">
        <v>2263</v>
      </c>
      <c r="C494" s="942" t="s">
        <v>2264</v>
      </c>
      <c r="D494" s="942" t="s">
        <v>2264</v>
      </c>
      <c r="E494" s="943" t="s">
        <v>2264</v>
      </c>
      <c r="F494" s="935"/>
      <c r="G494" s="944"/>
      <c r="H494" s="944"/>
      <c r="I494" s="959" t="s">
        <v>2265</v>
      </c>
      <c r="J494" s="990" t="s">
        <v>712</v>
      </c>
      <c r="K494" s="973" t="s">
        <v>158</v>
      </c>
      <c r="L494" s="974">
        <v>50.0</v>
      </c>
      <c r="M494" s="974">
        <v>150.0</v>
      </c>
      <c r="N494" s="974">
        <v>50.0</v>
      </c>
      <c r="O494" s="974">
        <v>150.0</v>
      </c>
      <c r="P494" s="974">
        <v>50.0</v>
      </c>
      <c r="Q494" s="974">
        <v>150.0</v>
      </c>
      <c r="R494" s="949">
        <v>336.0</v>
      </c>
      <c r="S494" s="949">
        <v>399.0</v>
      </c>
      <c r="T494" s="949">
        <v>438.0</v>
      </c>
      <c r="U494" s="949"/>
      <c r="V494" s="949"/>
      <c r="W494" s="949"/>
      <c r="X494" s="949"/>
      <c r="Y494" s="949"/>
      <c r="Z494" s="949"/>
      <c r="AA494" s="949"/>
      <c r="AB494" s="949"/>
      <c r="AC494" s="949"/>
      <c r="AD494" s="949"/>
      <c r="AE494" s="949"/>
      <c r="AF494" s="949"/>
      <c r="AG494" s="949"/>
      <c r="AH494" s="949"/>
      <c r="AI494" s="949"/>
      <c r="AJ494" s="949"/>
      <c r="AK494" s="949"/>
      <c r="AL494" s="949"/>
      <c r="AM494" s="953" t="s">
        <v>1451</v>
      </c>
      <c r="AN494" s="954"/>
      <c r="AO494" s="955"/>
      <c r="AP494" s="931"/>
      <c r="AQ494" s="956"/>
      <c r="AR494" s="957"/>
      <c r="AS494" s="931"/>
    </row>
    <row r="495" ht="15.75" customHeight="1">
      <c r="A495" s="931"/>
      <c r="B495" s="941" t="s">
        <v>2266</v>
      </c>
      <c r="C495" s="942" t="s">
        <v>2267</v>
      </c>
      <c r="D495" s="942" t="s">
        <v>2267</v>
      </c>
      <c r="E495" s="943" t="s">
        <v>2267</v>
      </c>
      <c r="F495" s="935"/>
      <c r="G495" s="944"/>
      <c r="H495" s="944"/>
      <c r="I495" s="946" t="s">
        <v>2268</v>
      </c>
      <c r="J495" s="975" t="s">
        <v>712</v>
      </c>
      <c r="K495" s="954" t="s">
        <v>158</v>
      </c>
      <c r="L495" s="949">
        <v>50.0</v>
      </c>
      <c r="M495" s="949">
        <v>180.0</v>
      </c>
      <c r="N495" s="949">
        <v>20.0</v>
      </c>
      <c r="O495" s="949">
        <v>180.0</v>
      </c>
      <c r="P495" s="949">
        <v>20.0</v>
      </c>
      <c r="Q495" s="949">
        <v>150.0</v>
      </c>
      <c r="R495" s="949">
        <v>336.0</v>
      </c>
      <c r="S495" s="949">
        <v>399.0</v>
      </c>
      <c r="T495" s="949">
        <v>438.0</v>
      </c>
      <c r="U495" s="949"/>
      <c r="V495" s="949"/>
      <c r="W495" s="949"/>
      <c r="X495" s="949"/>
      <c r="Y495" s="949"/>
      <c r="Z495" s="949"/>
      <c r="AA495" s="949"/>
      <c r="AB495" s="949"/>
      <c r="AC495" s="949"/>
      <c r="AD495" s="949"/>
      <c r="AE495" s="949"/>
      <c r="AF495" s="949"/>
      <c r="AG495" s="949"/>
      <c r="AH495" s="949"/>
      <c r="AI495" s="949"/>
      <c r="AJ495" s="949"/>
      <c r="AK495" s="949"/>
      <c r="AL495" s="949"/>
      <c r="AM495" s="953" t="s">
        <v>1451</v>
      </c>
      <c r="AN495" s="954"/>
      <c r="AO495" s="955"/>
      <c r="AP495" s="931"/>
      <c r="AQ495" s="956"/>
      <c r="AR495" s="957"/>
      <c r="AS495" s="931"/>
    </row>
    <row r="496" ht="15.75" customHeight="1">
      <c r="A496" s="931"/>
      <c r="B496" s="941" t="s">
        <v>2269</v>
      </c>
      <c r="C496" s="942" t="s">
        <v>2270</v>
      </c>
      <c r="D496" s="942" t="s">
        <v>2270</v>
      </c>
      <c r="E496" s="943" t="s">
        <v>2270</v>
      </c>
      <c r="F496" s="935"/>
      <c r="G496" s="944"/>
      <c r="H496" s="944"/>
      <c r="I496" s="946" t="s">
        <v>2271</v>
      </c>
      <c r="J496" s="975" t="s">
        <v>712</v>
      </c>
      <c r="K496" s="954" t="s">
        <v>158</v>
      </c>
      <c r="L496" s="949">
        <v>50.0</v>
      </c>
      <c r="M496" s="949">
        <v>70.0</v>
      </c>
      <c r="N496" s="949">
        <v>160.0</v>
      </c>
      <c r="O496" s="949">
        <v>70.0</v>
      </c>
      <c r="P496" s="949">
        <v>160.0</v>
      </c>
      <c r="Q496" s="949">
        <v>90.0</v>
      </c>
      <c r="R496" s="949">
        <v>216.0</v>
      </c>
      <c r="S496" s="949">
        <v>279.0</v>
      </c>
      <c r="T496" s="949">
        <v>306.0</v>
      </c>
      <c r="U496" s="949"/>
      <c r="V496" s="949"/>
      <c r="W496" s="949"/>
      <c r="X496" s="949"/>
      <c r="Y496" s="949"/>
      <c r="Z496" s="949"/>
      <c r="AA496" s="949"/>
      <c r="AB496" s="949"/>
      <c r="AC496" s="949"/>
      <c r="AD496" s="949"/>
      <c r="AE496" s="949"/>
      <c r="AF496" s="949"/>
      <c r="AG496" s="949"/>
      <c r="AH496" s="949"/>
      <c r="AI496" s="949"/>
      <c r="AJ496" s="949"/>
      <c r="AK496" s="949"/>
      <c r="AL496" s="949"/>
      <c r="AM496" s="953" t="s">
        <v>1451</v>
      </c>
      <c r="AN496" s="954"/>
      <c r="AO496" s="955"/>
      <c r="AP496" s="931"/>
      <c r="AQ496" s="956"/>
      <c r="AR496" s="957"/>
      <c r="AS496" s="931"/>
    </row>
    <row r="497" ht="15.75" customHeight="1">
      <c r="A497" s="931"/>
      <c r="B497" s="941" t="s">
        <v>2272</v>
      </c>
      <c r="C497" s="942" t="s">
        <v>2273</v>
      </c>
      <c r="D497" s="942" t="s">
        <v>2273</v>
      </c>
      <c r="E497" s="943" t="s">
        <v>2273</v>
      </c>
      <c r="F497" s="935"/>
      <c r="G497" s="944"/>
      <c r="H497" s="944"/>
      <c r="I497" s="946" t="s">
        <v>2274</v>
      </c>
      <c r="J497" s="975" t="s">
        <v>712</v>
      </c>
      <c r="K497" s="954" t="s">
        <v>158</v>
      </c>
      <c r="L497" s="949">
        <v>50.0</v>
      </c>
      <c r="M497" s="949">
        <v>95.0</v>
      </c>
      <c r="N497" s="949">
        <v>90.0</v>
      </c>
      <c r="O497" s="949">
        <v>95.0</v>
      </c>
      <c r="P497" s="949">
        <v>90.0</v>
      </c>
      <c r="Q497" s="949">
        <v>180.0</v>
      </c>
      <c r="R497" s="949">
        <v>396.0</v>
      </c>
      <c r="S497" s="949">
        <v>459.0</v>
      </c>
      <c r="T497" s="949">
        <v>504.0</v>
      </c>
      <c r="U497" s="949"/>
      <c r="V497" s="949"/>
      <c r="W497" s="949"/>
      <c r="X497" s="949"/>
      <c r="Y497" s="949"/>
      <c r="Z497" s="949"/>
      <c r="AA497" s="949"/>
      <c r="AB497" s="949"/>
      <c r="AC497" s="949"/>
      <c r="AD497" s="949"/>
      <c r="AE497" s="949"/>
      <c r="AF497" s="949"/>
      <c r="AG497" s="949"/>
      <c r="AH497" s="949"/>
      <c r="AI497" s="949"/>
      <c r="AJ497" s="949"/>
      <c r="AK497" s="949"/>
      <c r="AL497" s="949"/>
      <c r="AM497" s="953" t="s">
        <v>1451</v>
      </c>
      <c r="AN497" s="954"/>
      <c r="AO497" s="955"/>
      <c r="AP497" s="931"/>
      <c r="AQ497" s="956"/>
      <c r="AR497" s="957"/>
      <c r="AS497" s="931"/>
    </row>
    <row r="498" ht="15.75" customHeight="1">
      <c r="A498" s="931"/>
      <c r="B498" s="941" t="s">
        <v>2275</v>
      </c>
      <c r="C498" s="942" t="s">
        <v>2276</v>
      </c>
      <c r="D498" s="942" t="s">
        <v>2276</v>
      </c>
      <c r="E498" s="966" t="s">
        <v>2276</v>
      </c>
      <c r="F498" s="935"/>
      <c r="G498" s="944"/>
      <c r="H498" s="944"/>
      <c r="I498" s="946" t="s">
        <v>2277</v>
      </c>
      <c r="J498" s="947" t="s">
        <v>708</v>
      </c>
      <c r="K498" s="954" t="s">
        <v>158</v>
      </c>
      <c r="L498" s="949">
        <v>55.0</v>
      </c>
      <c r="M498" s="949">
        <v>68.0</v>
      </c>
      <c r="N498" s="949">
        <v>64.0</v>
      </c>
      <c r="O498" s="949">
        <v>45.0</v>
      </c>
      <c r="P498" s="949">
        <v>55.0</v>
      </c>
      <c r="Q498" s="949">
        <v>31.0</v>
      </c>
      <c r="R498" s="949">
        <v>98.0</v>
      </c>
      <c r="S498" s="949">
        <v>161.0</v>
      </c>
      <c r="T498" s="949">
        <v>177.0</v>
      </c>
      <c r="U498" s="949"/>
      <c r="V498" s="949"/>
      <c r="W498" s="949"/>
      <c r="X498" s="949"/>
      <c r="Y498" s="949"/>
      <c r="Z498" s="949"/>
      <c r="AA498" s="949"/>
      <c r="AB498" s="949"/>
      <c r="AC498" s="949"/>
      <c r="AD498" s="949"/>
      <c r="AE498" s="949"/>
      <c r="AF498" s="949"/>
      <c r="AG498" s="949"/>
      <c r="AH498" s="949"/>
      <c r="AI498" s="949"/>
      <c r="AJ498" s="949"/>
      <c r="AK498" s="949"/>
      <c r="AL498" s="949"/>
      <c r="AM498" s="953" t="s">
        <v>735</v>
      </c>
      <c r="AN498" s="954"/>
      <c r="AO498" s="955" t="s">
        <v>1192</v>
      </c>
      <c r="AP498" s="931"/>
      <c r="AQ498" s="956"/>
      <c r="AR498" s="957"/>
      <c r="AS498" s="931"/>
    </row>
    <row r="499" ht="15.75" customHeight="1">
      <c r="A499" s="931"/>
      <c r="B499" s="941" t="s">
        <v>2278</v>
      </c>
      <c r="C499" s="942" t="s">
        <v>2279</v>
      </c>
      <c r="D499" s="942" t="s">
        <v>2279</v>
      </c>
      <c r="E499" s="943" t="s">
        <v>2279</v>
      </c>
      <c r="F499" s="935"/>
      <c r="G499" s="944"/>
      <c r="H499" s="944"/>
      <c r="I499" s="946" t="s">
        <v>2280</v>
      </c>
      <c r="J499" s="947" t="s">
        <v>708</v>
      </c>
      <c r="K499" s="954" t="s">
        <v>158</v>
      </c>
      <c r="L499" s="949">
        <v>75.0</v>
      </c>
      <c r="M499" s="949">
        <v>89.0</v>
      </c>
      <c r="N499" s="949">
        <v>85.0</v>
      </c>
      <c r="O499" s="949">
        <v>55.0</v>
      </c>
      <c r="P499" s="949">
        <v>65.0</v>
      </c>
      <c r="Q499" s="949">
        <v>36.0</v>
      </c>
      <c r="R499" s="949">
        <v>108.0</v>
      </c>
      <c r="S499" s="949">
        <v>171.0</v>
      </c>
      <c r="T499" s="949">
        <v>188.0</v>
      </c>
      <c r="U499" s="949"/>
      <c r="V499" s="949"/>
      <c r="W499" s="949"/>
      <c r="X499" s="949"/>
      <c r="Y499" s="949"/>
      <c r="Z499" s="949"/>
      <c r="AA499" s="949"/>
      <c r="AB499" s="949"/>
      <c r="AC499" s="949"/>
      <c r="AD499" s="949"/>
      <c r="AE499" s="949"/>
      <c r="AF499" s="949"/>
      <c r="AG499" s="949"/>
      <c r="AH499" s="949"/>
      <c r="AI499" s="949"/>
      <c r="AJ499" s="949"/>
      <c r="AK499" s="949"/>
      <c r="AL499" s="949"/>
      <c r="AM499" s="953" t="s">
        <v>735</v>
      </c>
      <c r="AN499" s="954"/>
      <c r="AO499" s="955" t="s">
        <v>1192</v>
      </c>
      <c r="AP499" s="931"/>
      <c r="AQ499" s="956"/>
      <c r="AR499" s="957"/>
      <c r="AS499" s="931"/>
    </row>
    <row r="500" ht="15.75" customHeight="1">
      <c r="A500" s="931"/>
      <c r="B500" s="941" t="s">
        <v>2281</v>
      </c>
      <c r="C500" s="942" t="s">
        <v>2282</v>
      </c>
      <c r="D500" s="942" t="s">
        <v>2282</v>
      </c>
      <c r="E500" s="943" t="s">
        <v>2282</v>
      </c>
      <c r="F500" s="935"/>
      <c r="G500" s="944"/>
      <c r="H500" s="944"/>
      <c r="I500" s="946" t="s">
        <v>2283</v>
      </c>
      <c r="J500" s="947" t="s">
        <v>708</v>
      </c>
      <c r="K500" s="976" t="s">
        <v>711</v>
      </c>
      <c r="L500" s="949">
        <v>95.0</v>
      </c>
      <c r="M500" s="949">
        <v>109.0</v>
      </c>
      <c r="N500" s="949">
        <v>105.0</v>
      </c>
      <c r="O500" s="949">
        <v>75.0</v>
      </c>
      <c r="P500" s="949">
        <v>85.0</v>
      </c>
      <c r="Q500" s="949">
        <v>56.0</v>
      </c>
      <c r="R500" s="949">
        <v>148.0</v>
      </c>
      <c r="S500" s="949">
        <v>211.0</v>
      </c>
      <c r="T500" s="949">
        <v>232.0</v>
      </c>
      <c r="U500" s="949"/>
      <c r="V500" s="949"/>
      <c r="W500" s="949"/>
      <c r="X500" s="949"/>
      <c r="Y500" s="949"/>
      <c r="Z500" s="949"/>
      <c r="AA500" s="949"/>
      <c r="AB500" s="949"/>
      <c r="AC500" s="949"/>
      <c r="AD500" s="949"/>
      <c r="AE500" s="949"/>
      <c r="AF500" s="949"/>
      <c r="AG500" s="949"/>
      <c r="AH500" s="949"/>
      <c r="AI500" s="949"/>
      <c r="AJ500" s="949"/>
      <c r="AK500" s="949"/>
      <c r="AL500" s="949"/>
      <c r="AM500" s="953" t="s">
        <v>735</v>
      </c>
      <c r="AN500" s="954"/>
      <c r="AO500" s="955" t="s">
        <v>1192</v>
      </c>
      <c r="AP500" s="931"/>
      <c r="AQ500" s="956"/>
      <c r="AR500" s="957"/>
      <c r="AS500" s="931"/>
    </row>
    <row r="501" ht="15.75" customHeight="1">
      <c r="A501" s="931"/>
      <c r="B501" s="941" t="s">
        <v>2284</v>
      </c>
      <c r="C501" s="942" t="s">
        <v>2285</v>
      </c>
      <c r="D501" s="942" t="s">
        <v>2285</v>
      </c>
      <c r="E501" s="943" t="s">
        <v>2285</v>
      </c>
      <c r="F501" s="935"/>
      <c r="G501" s="944"/>
      <c r="H501" s="944"/>
      <c r="I501" s="959" t="s">
        <v>2286</v>
      </c>
      <c r="J501" s="958" t="s">
        <v>704</v>
      </c>
      <c r="K501" s="954" t="s">
        <v>158</v>
      </c>
      <c r="L501" s="949">
        <v>44.0</v>
      </c>
      <c r="M501" s="949">
        <v>58.0</v>
      </c>
      <c r="N501" s="949">
        <v>44.0</v>
      </c>
      <c r="O501" s="949">
        <v>58.0</v>
      </c>
      <c r="P501" s="949">
        <v>44.0</v>
      </c>
      <c r="Q501" s="949">
        <v>61.0</v>
      </c>
      <c r="R501" s="949">
        <v>158.0</v>
      </c>
      <c r="S501" s="949">
        <v>221.0</v>
      </c>
      <c r="T501" s="949">
        <v>243.0</v>
      </c>
      <c r="U501" s="949"/>
      <c r="V501" s="949"/>
      <c r="W501" s="949"/>
      <c r="X501" s="949"/>
      <c r="Y501" s="949"/>
      <c r="Z501" s="949"/>
      <c r="AA501" s="949"/>
      <c r="AB501" s="949"/>
      <c r="AC501" s="949"/>
      <c r="AD501" s="949"/>
      <c r="AE501" s="949"/>
      <c r="AF501" s="949"/>
      <c r="AG501" s="949"/>
      <c r="AH501" s="949"/>
      <c r="AI501" s="949"/>
      <c r="AJ501" s="949"/>
      <c r="AK501" s="949"/>
      <c r="AL501" s="949"/>
      <c r="AM501" s="953" t="s">
        <v>750</v>
      </c>
      <c r="AN501" s="954"/>
      <c r="AO501" s="955" t="s">
        <v>1310</v>
      </c>
      <c r="AP501" s="931"/>
      <c r="AQ501" s="956"/>
      <c r="AR501" s="957"/>
      <c r="AS501" s="931"/>
    </row>
    <row r="502" ht="15.75" customHeight="1">
      <c r="A502" s="931"/>
      <c r="B502" s="941" t="s">
        <v>2287</v>
      </c>
      <c r="C502" s="942" t="s">
        <v>2288</v>
      </c>
      <c r="D502" s="942" t="s">
        <v>2288</v>
      </c>
      <c r="E502" s="943" t="s">
        <v>2288</v>
      </c>
      <c r="F502" s="935"/>
      <c r="G502" s="944"/>
      <c r="H502" s="944"/>
      <c r="I502" s="946" t="s">
        <v>2289</v>
      </c>
      <c r="J502" s="958" t="s">
        <v>704</v>
      </c>
      <c r="K502" s="988" t="s">
        <v>705</v>
      </c>
      <c r="L502" s="949">
        <v>64.0</v>
      </c>
      <c r="M502" s="949">
        <v>78.0</v>
      </c>
      <c r="N502" s="949">
        <v>52.0</v>
      </c>
      <c r="O502" s="949">
        <v>78.0</v>
      </c>
      <c r="P502" s="949">
        <v>52.0</v>
      </c>
      <c r="Q502" s="949">
        <v>81.0</v>
      </c>
      <c r="R502" s="949">
        <v>198.0</v>
      </c>
      <c r="S502" s="949">
        <v>261.0</v>
      </c>
      <c r="T502" s="949">
        <v>287.0</v>
      </c>
      <c r="U502" s="949"/>
      <c r="V502" s="949"/>
      <c r="W502" s="949"/>
      <c r="X502" s="949"/>
      <c r="Y502" s="949"/>
      <c r="Z502" s="949"/>
      <c r="AA502" s="949"/>
      <c r="AB502" s="949"/>
      <c r="AC502" s="949"/>
      <c r="AD502" s="949"/>
      <c r="AE502" s="949"/>
      <c r="AF502" s="949"/>
      <c r="AG502" s="949"/>
      <c r="AH502" s="949"/>
      <c r="AI502" s="949"/>
      <c r="AJ502" s="949"/>
      <c r="AK502" s="949"/>
      <c r="AL502" s="949"/>
      <c r="AM502" s="953" t="s">
        <v>750</v>
      </c>
      <c r="AN502" s="954"/>
      <c r="AO502" s="955" t="s">
        <v>1310</v>
      </c>
      <c r="AP502" s="931"/>
      <c r="AQ502" s="956"/>
      <c r="AR502" s="957"/>
      <c r="AS502" s="931"/>
    </row>
    <row r="503" ht="15.75" customHeight="1">
      <c r="A503" s="931"/>
      <c r="B503" s="941" t="s">
        <v>2290</v>
      </c>
      <c r="C503" s="942" t="s">
        <v>2291</v>
      </c>
      <c r="D503" s="942" t="s">
        <v>2291</v>
      </c>
      <c r="E503" s="943" t="s">
        <v>2291</v>
      </c>
      <c r="F503" s="935"/>
      <c r="G503" s="944"/>
      <c r="H503" s="944"/>
      <c r="I503" s="946" t="s">
        <v>2292</v>
      </c>
      <c r="J503" s="958" t="s">
        <v>704</v>
      </c>
      <c r="K503" s="988" t="s">
        <v>705</v>
      </c>
      <c r="L503" s="949">
        <v>76.0</v>
      </c>
      <c r="M503" s="949">
        <v>104.0</v>
      </c>
      <c r="N503" s="949">
        <v>71.0</v>
      </c>
      <c r="O503" s="949">
        <v>104.0</v>
      </c>
      <c r="P503" s="949">
        <v>71.0</v>
      </c>
      <c r="Q503" s="949">
        <v>108.0</v>
      </c>
      <c r="R503" s="949">
        <v>252.0</v>
      </c>
      <c r="S503" s="949">
        <v>315.0</v>
      </c>
      <c r="T503" s="949">
        <v>346.0</v>
      </c>
      <c r="U503" s="949"/>
      <c r="V503" s="949"/>
      <c r="W503" s="949"/>
      <c r="X503" s="949"/>
      <c r="Y503" s="949"/>
      <c r="Z503" s="949"/>
      <c r="AA503" s="949"/>
      <c r="AB503" s="949"/>
      <c r="AC503" s="949"/>
      <c r="AD503" s="949"/>
      <c r="AE503" s="949"/>
      <c r="AF503" s="949"/>
      <c r="AG503" s="949"/>
      <c r="AH503" s="949"/>
      <c r="AI503" s="949"/>
      <c r="AJ503" s="949"/>
      <c r="AK503" s="949"/>
      <c r="AL503" s="949"/>
      <c r="AM503" s="953" t="s">
        <v>750</v>
      </c>
      <c r="AN503" s="954"/>
      <c r="AO503" s="955" t="s">
        <v>1310</v>
      </c>
      <c r="AP503" s="931"/>
      <c r="AQ503" s="956"/>
      <c r="AR503" s="957"/>
      <c r="AS503" s="931"/>
    </row>
    <row r="504" ht="15.75" customHeight="1">
      <c r="A504" s="931"/>
      <c r="B504" s="941" t="s">
        <v>2293</v>
      </c>
      <c r="C504" s="942" t="s">
        <v>2294</v>
      </c>
      <c r="D504" s="942" t="s">
        <v>2294</v>
      </c>
      <c r="E504" s="943" t="s">
        <v>2294</v>
      </c>
      <c r="F504" s="935"/>
      <c r="G504" s="944"/>
      <c r="H504" s="944"/>
      <c r="I504" s="946" t="s">
        <v>2295</v>
      </c>
      <c r="J504" s="962" t="s">
        <v>706</v>
      </c>
      <c r="K504" s="954" t="s">
        <v>158</v>
      </c>
      <c r="L504" s="949">
        <v>53.0</v>
      </c>
      <c r="M504" s="949">
        <v>51.0</v>
      </c>
      <c r="N504" s="949">
        <v>53.0</v>
      </c>
      <c r="O504" s="949">
        <v>61.0</v>
      </c>
      <c r="P504" s="949">
        <v>56.0</v>
      </c>
      <c r="Q504" s="949">
        <v>40.0</v>
      </c>
      <c r="R504" s="949">
        <v>116.0</v>
      </c>
      <c r="S504" s="949">
        <v>179.0</v>
      </c>
      <c r="T504" s="949">
        <v>196.0</v>
      </c>
      <c r="U504" s="949"/>
      <c r="V504" s="949"/>
      <c r="W504" s="949"/>
      <c r="X504" s="949"/>
      <c r="Y504" s="949"/>
      <c r="Z504" s="949"/>
      <c r="AA504" s="949"/>
      <c r="AB504" s="949"/>
      <c r="AC504" s="949"/>
      <c r="AD504" s="949"/>
      <c r="AE504" s="949"/>
      <c r="AF504" s="949"/>
      <c r="AG504" s="949"/>
      <c r="AH504" s="949"/>
      <c r="AI504" s="949"/>
      <c r="AJ504" s="949"/>
      <c r="AK504" s="949"/>
      <c r="AL504" s="949"/>
      <c r="AM504" s="953" t="s">
        <v>771</v>
      </c>
      <c r="AN504" s="954"/>
      <c r="AO504" s="955" t="s">
        <v>1069</v>
      </c>
      <c r="AP504" s="931"/>
      <c r="AQ504" s="956"/>
      <c r="AR504" s="957"/>
      <c r="AS504" s="931"/>
    </row>
    <row r="505" ht="15.75" customHeight="1">
      <c r="A505" s="931"/>
      <c r="B505" s="941" t="s">
        <v>2296</v>
      </c>
      <c r="C505" s="942" t="s">
        <v>2297</v>
      </c>
      <c r="D505" s="942" t="s">
        <v>2297</v>
      </c>
      <c r="E505" s="943" t="s">
        <v>2297</v>
      </c>
      <c r="F505" s="935"/>
      <c r="G505" s="944"/>
      <c r="H505" s="944"/>
      <c r="I505" s="946" t="s">
        <v>2298</v>
      </c>
      <c r="J505" s="962" t="s">
        <v>706</v>
      </c>
      <c r="K505" s="954" t="s">
        <v>158</v>
      </c>
      <c r="L505" s="949">
        <v>64.0</v>
      </c>
      <c r="M505" s="949">
        <v>66.0</v>
      </c>
      <c r="N505" s="949">
        <v>68.0</v>
      </c>
      <c r="O505" s="949">
        <v>81.0</v>
      </c>
      <c r="P505" s="949">
        <v>76.0</v>
      </c>
      <c r="Q505" s="949">
        <v>50.0</v>
      </c>
      <c r="R505" s="949">
        <v>136.0</v>
      </c>
      <c r="S505" s="949">
        <v>199.0</v>
      </c>
      <c r="T505" s="949">
        <v>218.0</v>
      </c>
      <c r="U505" s="949"/>
      <c r="V505" s="949"/>
      <c r="W505" s="949"/>
      <c r="X505" s="949"/>
      <c r="Y505" s="949"/>
      <c r="Z505" s="949"/>
      <c r="AA505" s="949"/>
      <c r="AB505" s="949"/>
      <c r="AC505" s="949"/>
      <c r="AD505" s="949"/>
      <c r="AE505" s="949"/>
      <c r="AF505" s="949"/>
      <c r="AG505" s="949"/>
      <c r="AH505" s="949"/>
      <c r="AI505" s="949"/>
      <c r="AJ505" s="949"/>
      <c r="AK505" s="949"/>
      <c r="AL505" s="949"/>
      <c r="AM505" s="953" t="s">
        <v>771</v>
      </c>
      <c r="AN505" s="954"/>
      <c r="AO505" s="955" t="s">
        <v>1069</v>
      </c>
      <c r="AP505" s="931"/>
      <c r="AQ505" s="956"/>
      <c r="AR505" s="957"/>
      <c r="AS505" s="931"/>
    </row>
    <row r="506" ht="15.75" customHeight="1">
      <c r="A506" s="931"/>
      <c r="B506" s="941" t="s">
        <v>2299</v>
      </c>
      <c r="C506" s="942" t="s">
        <v>2300</v>
      </c>
      <c r="D506" s="942" t="s">
        <v>2300</v>
      </c>
      <c r="E506" s="943" t="s">
        <v>2300</v>
      </c>
      <c r="F506" s="935"/>
      <c r="G506" s="944"/>
      <c r="H506" s="944"/>
      <c r="I506" s="946" t="s">
        <v>2301</v>
      </c>
      <c r="J506" s="962" t="s">
        <v>706</v>
      </c>
      <c r="K506" s="978" t="s">
        <v>719</v>
      </c>
      <c r="L506" s="949">
        <v>84.0</v>
      </c>
      <c r="M506" s="949">
        <v>86.0</v>
      </c>
      <c r="N506" s="949">
        <v>88.0</v>
      </c>
      <c r="O506" s="949">
        <v>111.0</v>
      </c>
      <c r="P506" s="949">
        <v>101.0</v>
      </c>
      <c r="Q506" s="949">
        <v>60.0</v>
      </c>
      <c r="R506" s="949">
        <v>156.0</v>
      </c>
      <c r="S506" s="949">
        <v>219.0</v>
      </c>
      <c r="T506" s="949">
        <v>240.0</v>
      </c>
      <c r="U506" s="949"/>
      <c r="V506" s="949"/>
      <c r="W506" s="949"/>
      <c r="X506" s="949"/>
      <c r="Y506" s="949"/>
      <c r="Z506" s="949"/>
      <c r="AA506" s="949"/>
      <c r="AB506" s="949"/>
      <c r="AC506" s="949"/>
      <c r="AD506" s="949"/>
      <c r="AE506" s="949"/>
      <c r="AF506" s="949"/>
      <c r="AG506" s="949"/>
      <c r="AH506" s="949"/>
      <c r="AI506" s="949"/>
      <c r="AJ506" s="949"/>
      <c r="AK506" s="949"/>
      <c r="AL506" s="949"/>
      <c r="AM506" s="953" t="s">
        <v>771</v>
      </c>
      <c r="AN506" s="954"/>
      <c r="AO506" s="955" t="s">
        <v>1069</v>
      </c>
      <c r="AP506" s="931"/>
      <c r="AQ506" s="956"/>
      <c r="AR506" s="957"/>
      <c r="AS506" s="931"/>
    </row>
    <row r="507" ht="15.75" customHeight="1">
      <c r="A507" s="931"/>
      <c r="B507" s="941" t="s">
        <v>2302</v>
      </c>
      <c r="C507" s="942" t="s">
        <v>2303</v>
      </c>
      <c r="D507" s="942" t="s">
        <v>2303</v>
      </c>
      <c r="E507" s="943" t="s">
        <v>2303</v>
      </c>
      <c r="F507" s="935"/>
      <c r="G507" s="944"/>
      <c r="H507" s="944"/>
      <c r="I507" s="946" t="s">
        <v>606</v>
      </c>
      <c r="J507" s="968" t="s">
        <v>703</v>
      </c>
      <c r="K507" s="960" t="s">
        <v>707</v>
      </c>
      <c r="L507" s="949">
        <v>40.0</v>
      </c>
      <c r="M507" s="949">
        <v>55.0</v>
      </c>
      <c r="N507" s="949">
        <v>30.0</v>
      </c>
      <c r="O507" s="949">
        <v>30.0</v>
      </c>
      <c r="P507" s="949">
        <v>30.0</v>
      </c>
      <c r="Q507" s="949">
        <v>60.0</v>
      </c>
      <c r="R507" s="949">
        <v>156.0</v>
      </c>
      <c r="S507" s="949">
        <v>219.0</v>
      </c>
      <c r="T507" s="949">
        <v>240.0</v>
      </c>
      <c r="U507" s="949"/>
      <c r="V507" s="949"/>
      <c r="W507" s="949"/>
      <c r="X507" s="949"/>
      <c r="Y507" s="949"/>
      <c r="Z507" s="949"/>
      <c r="AA507" s="949"/>
      <c r="AB507" s="949"/>
      <c r="AC507" s="949"/>
      <c r="AD507" s="949"/>
      <c r="AE507" s="949"/>
      <c r="AF507" s="949"/>
      <c r="AG507" s="949"/>
      <c r="AH507" s="949"/>
      <c r="AI507" s="949"/>
      <c r="AJ507" s="949"/>
      <c r="AK507" s="949"/>
      <c r="AL507" s="949"/>
      <c r="AM507" s="953" t="s">
        <v>815</v>
      </c>
      <c r="AN507" s="954"/>
      <c r="AO507" s="955" t="s">
        <v>1305</v>
      </c>
      <c r="AP507" s="931"/>
      <c r="AQ507" s="956"/>
      <c r="AR507" s="957"/>
      <c r="AS507" s="931"/>
    </row>
    <row r="508" ht="15.75" customHeight="1">
      <c r="A508" s="963"/>
      <c r="B508" s="941" t="s">
        <v>2304</v>
      </c>
      <c r="C508" s="971" t="s">
        <v>2305</v>
      </c>
      <c r="D508" s="971" t="s">
        <v>2305</v>
      </c>
      <c r="E508" s="966" t="s">
        <v>2305</v>
      </c>
      <c r="F508" s="935"/>
      <c r="G508" s="944"/>
      <c r="H508" s="944"/>
      <c r="I508" s="959" t="s">
        <v>607</v>
      </c>
      <c r="J508" s="991" t="s">
        <v>703</v>
      </c>
      <c r="K508" s="984" t="s">
        <v>707</v>
      </c>
      <c r="L508" s="974">
        <v>55.0</v>
      </c>
      <c r="M508" s="974">
        <v>75.0</v>
      </c>
      <c r="N508" s="974">
        <v>50.0</v>
      </c>
      <c r="O508" s="974">
        <v>40.0</v>
      </c>
      <c r="P508" s="974">
        <v>40.0</v>
      </c>
      <c r="Q508" s="974">
        <v>80.0</v>
      </c>
      <c r="R508" s="949">
        <v>196.0</v>
      </c>
      <c r="S508" s="949">
        <v>259.0</v>
      </c>
      <c r="T508" s="949">
        <v>284.0</v>
      </c>
      <c r="U508" s="949"/>
      <c r="V508" s="949"/>
      <c r="W508" s="949"/>
      <c r="X508" s="949"/>
      <c r="Y508" s="949"/>
      <c r="Z508" s="949"/>
      <c r="AA508" s="949"/>
      <c r="AB508" s="949"/>
      <c r="AC508" s="949"/>
      <c r="AD508" s="949"/>
      <c r="AE508" s="949"/>
      <c r="AF508" s="949"/>
      <c r="AG508" s="949"/>
      <c r="AH508" s="949"/>
      <c r="AI508" s="949"/>
      <c r="AJ508" s="949"/>
      <c r="AK508" s="949"/>
      <c r="AL508" s="949"/>
      <c r="AM508" s="964" t="s">
        <v>854</v>
      </c>
      <c r="AN508" s="954"/>
      <c r="AO508" s="965" t="s">
        <v>1305</v>
      </c>
      <c r="AP508" s="931"/>
      <c r="AQ508" s="956"/>
      <c r="AR508" s="957"/>
      <c r="AS508" s="931"/>
    </row>
    <row r="509" ht="15.75" customHeight="1">
      <c r="A509" s="931"/>
      <c r="B509" s="941" t="s">
        <v>2306</v>
      </c>
      <c r="C509" s="942" t="s">
        <v>237</v>
      </c>
      <c r="D509" s="942" t="s">
        <v>237</v>
      </c>
      <c r="E509" s="943" t="s">
        <v>237</v>
      </c>
      <c r="F509" s="935"/>
      <c r="G509" s="944"/>
      <c r="H509" s="944"/>
      <c r="I509" s="946" t="s">
        <v>129</v>
      </c>
      <c r="J509" s="968" t="s">
        <v>703</v>
      </c>
      <c r="K509" s="960" t="s">
        <v>707</v>
      </c>
      <c r="L509" s="949">
        <v>85.0</v>
      </c>
      <c r="M509" s="949">
        <v>120.0</v>
      </c>
      <c r="N509" s="949">
        <v>70.0</v>
      </c>
      <c r="O509" s="949">
        <v>50.0</v>
      </c>
      <c r="P509" s="949">
        <v>60.0</v>
      </c>
      <c r="Q509" s="949">
        <v>100.0</v>
      </c>
      <c r="R509" s="949">
        <v>236.0</v>
      </c>
      <c r="S509" s="949">
        <v>299.0</v>
      </c>
      <c r="T509" s="949">
        <v>328.0</v>
      </c>
      <c r="U509" s="949"/>
      <c r="V509" s="949"/>
      <c r="W509" s="949"/>
      <c r="X509" s="949"/>
      <c r="Y509" s="949"/>
      <c r="Z509" s="949"/>
      <c r="AA509" s="949"/>
      <c r="AB509" s="949"/>
      <c r="AC509" s="949"/>
      <c r="AD509" s="949"/>
      <c r="AE509" s="949"/>
      <c r="AF509" s="949"/>
      <c r="AG509" s="949"/>
      <c r="AH509" s="949"/>
      <c r="AI509" s="949"/>
      <c r="AJ509" s="949"/>
      <c r="AK509" s="949"/>
      <c r="AL509" s="949"/>
      <c r="AM509" s="953" t="s">
        <v>854</v>
      </c>
      <c r="AN509" s="954"/>
      <c r="AO509" s="955" t="s">
        <v>1305</v>
      </c>
      <c r="AP509" s="931"/>
      <c r="AQ509" s="956"/>
      <c r="AR509" s="957"/>
      <c r="AS509" s="931"/>
    </row>
    <row r="510" ht="15.75" customHeight="1">
      <c r="A510" s="931"/>
      <c r="B510" s="941" t="s">
        <v>2307</v>
      </c>
      <c r="C510" s="942" t="s">
        <v>2308</v>
      </c>
      <c r="D510" s="942" t="s">
        <v>2308</v>
      </c>
      <c r="E510" s="943" t="s">
        <v>2308</v>
      </c>
      <c r="F510" s="935"/>
      <c r="G510" s="944"/>
      <c r="H510" s="944"/>
      <c r="I510" s="946" t="s">
        <v>2309</v>
      </c>
      <c r="J510" s="968" t="s">
        <v>703</v>
      </c>
      <c r="K510" s="954" t="s">
        <v>158</v>
      </c>
      <c r="L510" s="949">
        <v>59.0</v>
      </c>
      <c r="M510" s="949">
        <v>45.0</v>
      </c>
      <c r="N510" s="949">
        <v>40.0</v>
      </c>
      <c r="O510" s="949">
        <v>35.0</v>
      </c>
      <c r="P510" s="949">
        <v>40.0</v>
      </c>
      <c r="Q510" s="949">
        <v>31.0</v>
      </c>
      <c r="R510" s="949">
        <v>98.0</v>
      </c>
      <c r="S510" s="949">
        <v>161.0</v>
      </c>
      <c r="T510" s="949">
        <v>177.0</v>
      </c>
      <c r="U510" s="949"/>
      <c r="V510" s="949"/>
      <c r="W510" s="949"/>
      <c r="X510" s="949"/>
      <c r="Y510" s="949"/>
      <c r="Z510" s="949"/>
      <c r="AA510" s="949"/>
      <c r="AB510" s="949"/>
      <c r="AC510" s="949"/>
      <c r="AD510" s="949"/>
      <c r="AE510" s="949"/>
      <c r="AF510" s="949"/>
      <c r="AG510" s="949"/>
      <c r="AH510" s="949"/>
      <c r="AI510" s="949"/>
      <c r="AJ510" s="949"/>
      <c r="AK510" s="949"/>
      <c r="AL510" s="949"/>
      <c r="AM510" s="953" t="s">
        <v>2048</v>
      </c>
      <c r="AN510" s="954" t="s">
        <v>968</v>
      </c>
      <c r="AO510" s="955" t="s">
        <v>1733</v>
      </c>
      <c r="AP510" s="931"/>
      <c r="AQ510" s="956"/>
      <c r="AR510" s="957"/>
      <c r="AS510" s="931"/>
    </row>
    <row r="511" ht="15.75" customHeight="1">
      <c r="A511" s="931"/>
      <c r="B511" s="941" t="s">
        <v>2310</v>
      </c>
      <c r="C511" s="942" t="s">
        <v>2311</v>
      </c>
      <c r="D511" s="942" t="s">
        <v>2311</v>
      </c>
      <c r="E511" s="943" t="s">
        <v>2311</v>
      </c>
      <c r="F511" s="935"/>
      <c r="G511" s="944"/>
      <c r="H511" s="944"/>
      <c r="I511" s="959" t="s">
        <v>2312</v>
      </c>
      <c r="J511" s="968" t="s">
        <v>703</v>
      </c>
      <c r="K511" s="962" t="s">
        <v>706</v>
      </c>
      <c r="L511" s="949">
        <v>79.0</v>
      </c>
      <c r="M511" s="949">
        <v>85.0</v>
      </c>
      <c r="N511" s="949">
        <v>60.0</v>
      </c>
      <c r="O511" s="949">
        <v>55.0</v>
      </c>
      <c r="P511" s="949">
        <v>60.0</v>
      </c>
      <c r="Q511" s="949">
        <v>71.0</v>
      </c>
      <c r="R511" s="949">
        <v>178.0</v>
      </c>
      <c r="S511" s="949">
        <v>241.0</v>
      </c>
      <c r="T511" s="949">
        <v>265.0</v>
      </c>
      <c r="U511" s="949"/>
      <c r="V511" s="949"/>
      <c r="W511" s="949"/>
      <c r="X511" s="949"/>
      <c r="Y511" s="949"/>
      <c r="Z511" s="949"/>
      <c r="AA511" s="949"/>
      <c r="AB511" s="949"/>
      <c r="AC511" s="949"/>
      <c r="AD511" s="949"/>
      <c r="AE511" s="949"/>
      <c r="AF511" s="949"/>
      <c r="AG511" s="949"/>
      <c r="AH511" s="949"/>
      <c r="AI511" s="949"/>
      <c r="AJ511" s="949"/>
      <c r="AK511" s="949"/>
      <c r="AL511" s="949"/>
      <c r="AM511" s="953" t="s">
        <v>2048</v>
      </c>
      <c r="AN511" s="954" t="s">
        <v>968</v>
      </c>
      <c r="AO511" s="955" t="s">
        <v>1733</v>
      </c>
      <c r="AP511" s="931"/>
      <c r="AQ511" s="956"/>
      <c r="AR511" s="957"/>
      <c r="AS511" s="931"/>
    </row>
    <row r="512" ht="15.75" customHeight="1">
      <c r="A512" s="931"/>
      <c r="B512" s="941" t="s">
        <v>2313</v>
      </c>
      <c r="C512" s="942" t="s">
        <v>2314</v>
      </c>
      <c r="D512" s="942" t="s">
        <v>2314</v>
      </c>
      <c r="E512" s="943" t="s">
        <v>2314</v>
      </c>
      <c r="F512" s="935"/>
      <c r="G512" s="944"/>
      <c r="H512" s="944"/>
      <c r="I512" s="946" t="s">
        <v>2315</v>
      </c>
      <c r="J512" s="967" t="s">
        <v>715</v>
      </c>
      <c r="K512" s="954" t="s">
        <v>158</v>
      </c>
      <c r="L512" s="949">
        <v>37.0</v>
      </c>
      <c r="M512" s="949">
        <v>25.0</v>
      </c>
      <c r="N512" s="949">
        <v>41.0</v>
      </c>
      <c r="O512" s="949">
        <v>25.0</v>
      </c>
      <c r="P512" s="949">
        <v>41.0</v>
      </c>
      <c r="Q512" s="949">
        <v>25.0</v>
      </c>
      <c r="R512" s="949">
        <v>86.0</v>
      </c>
      <c r="S512" s="949">
        <v>149.0</v>
      </c>
      <c r="T512" s="949">
        <v>163.0</v>
      </c>
      <c r="U512" s="949"/>
      <c r="V512" s="949"/>
      <c r="W512" s="949"/>
      <c r="X512" s="949"/>
      <c r="Y512" s="949"/>
      <c r="Z512" s="949"/>
      <c r="AA512" s="949"/>
      <c r="AB512" s="949"/>
      <c r="AC512" s="949"/>
      <c r="AD512" s="949"/>
      <c r="AE512" s="949"/>
      <c r="AF512" s="949"/>
      <c r="AG512" s="949"/>
      <c r="AH512" s="949"/>
      <c r="AI512" s="949"/>
      <c r="AJ512" s="949"/>
      <c r="AK512" s="949"/>
      <c r="AL512" s="949"/>
      <c r="AM512" s="953" t="s">
        <v>791</v>
      </c>
      <c r="AN512" s="954"/>
      <c r="AO512" s="955" t="s">
        <v>787</v>
      </c>
      <c r="AP512" s="931"/>
      <c r="AQ512" s="956"/>
      <c r="AR512" s="957"/>
      <c r="AS512" s="931"/>
    </row>
    <row r="513" ht="15.75" customHeight="1">
      <c r="A513" s="931"/>
      <c r="B513" s="941" t="s">
        <v>2316</v>
      </c>
      <c r="C513" s="942" t="s">
        <v>2317</v>
      </c>
      <c r="D513" s="942" t="s">
        <v>2317</v>
      </c>
      <c r="E513" s="943" t="s">
        <v>2317</v>
      </c>
      <c r="F513" s="935"/>
      <c r="G513" s="944"/>
      <c r="H513" s="944"/>
      <c r="I513" s="946" t="s">
        <v>608</v>
      </c>
      <c r="J513" s="967" t="s">
        <v>715</v>
      </c>
      <c r="K513" s="954" t="s">
        <v>158</v>
      </c>
      <c r="L513" s="949">
        <v>77.0</v>
      </c>
      <c r="M513" s="949">
        <v>85.0</v>
      </c>
      <c r="N513" s="949">
        <v>51.0</v>
      </c>
      <c r="O513" s="949">
        <v>55.0</v>
      </c>
      <c r="P513" s="949">
        <v>51.0</v>
      </c>
      <c r="Q513" s="949">
        <v>65.0</v>
      </c>
      <c r="R513" s="949">
        <v>166.0</v>
      </c>
      <c r="S513" s="949">
        <v>229.0</v>
      </c>
      <c r="T513" s="949">
        <v>251.0</v>
      </c>
      <c r="U513" s="949"/>
      <c r="V513" s="949"/>
      <c r="W513" s="949"/>
      <c r="X513" s="949"/>
      <c r="Y513" s="949"/>
      <c r="Z513" s="949"/>
      <c r="AA513" s="949"/>
      <c r="AB513" s="949"/>
      <c r="AC513" s="949"/>
      <c r="AD513" s="949"/>
      <c r="AE513" s="949"/>
      <c r="AF513" s="949"/>
      <c r="AG513" s="949"/>
      <c r="AH513" s="949"/>
      <c r="AI513" s="949"/>
      <c r="AJ513" s="949"/>
      <c r="AK513" s="949"/>
      <c r="AL513" s="949"/>
      <c r="AM513" s="953" t="s">
        <v>806</v>
      </c>
      <c r="AN513" s="954"/>
      <c r="AO513" s="955" t="s">
        <v>1041</v>
      </c>
      <c r="AP513" s="931"/>
      <c r="AQ513" s="956"/>
      <c r="AR513" s="957"/>
      <c r="AS513" s="931"/>
    </row>
    <row r="514" ht="15.75" customHeight="1">
      <c r="A514" s="963"/>
      <c r="B514" s="941" t="s">
        <v>2318</v>
      </c>
      <c r="C514" s="942" t="s">
        <v>2319</v>
      </c>
      <c r="D514" s="942" t="s">
        <v>2319</v>
      </c>
      <c r="E514" s="943" t="s">
        <v>2319</v>
      </c>
      <c r="F514" s="935"/>
      <c r="G514" s="944"/>
      <c r="H514" s="944"/>
      <c r="I514" s="946" t="s">
        <v>609</v>
      </c>
      <c r="J514" s="970" t="s">
        <v>710</v>
      </c>
      <c r="K514" s="954" t="s">
        <v>158</v>
      </c>
      <c r="L514" s="949">
        <v>45.0</v>
      </c>
      <c r="M514" s="949">
        <v>65.0</v>
      </c>
      <c r="N514" s="949">
        <v>34.0</v>
      </c>
      <c r="O514" s="949">
        <v>40.0</v>
      </c>
      <c r="P514" s="949">
        <v>34.0</v>
      </c>
      <c r="Q514" s="949">
        <v>45.0</v>
      </c>
      <c r="R514" s="949">
        <v>126.0</v>
      </c>
      <c r="S514" s="949">
        <v>189.0</v>
      </c>
      <c r="T514" s="949">
        <v>207.0</v>
      </c>
      <c r="U514" s="949"/>
      <c r="V514" s="949"/>
      <c r="W514" s="949"/>
      <c r="X514" s="949"/>
      <c r="Y514" s="949"/>
      <c r="Z514" s="949"/>
      <c r="AA514" s="949"/>
      <c r="AB514" s="949"/>
      <c r="AC514" s="949"/>
      <c r="AD514" s="949"/>
      <c r="AE514" s="949"/>
      <c r="AF514" s="949"/>
      <c r="AG514" s="949"/>
      <c r="AH514" s="949"/>
      <c r="AI514" s="949"/>
      <c r="AJ514" s="949"/>
      <c r="AK514" s="949"/>
      <c r="AL514" s="949"/>
      <c r="AM514" s="964" t="s">
        <v>943</v>
      </c>
      <c r="AN514" s="973" t="s">
        <v>854</v>
      </c>
      <c r="AO514" s="965" t="s">
        <v>831</v>
      </c>
      <c r="AP514" s="931"/>
      <c r="AQ514" s="956"/>
      <c r="AR514" s="957"/>
      <c r="AS514" s="931"/>
    </row>
    <row r="515" ht="15.75" customHeight="1">
      <c r="A515" s="931"/>
      <c r="B515" s="941" t="s">
        <v>2320</v>
      </c>
      <c r="C515" s="942" t="s">
        <v>2321</v>
      </c>
      <c r="D515" s="942" t="s">
        <v>2321</v>
      </c>
      <c r="E515" s="943" t="s">
        <v>2321</v>
      </c>
      <c r="F515" s="935"/>
      <c r="G515" s="944"/>
      <c r="H515" s="944"/>
      <c r="I515" s="946" t="s">
        <v>506</v>
      </c>
      <c r="J515" s="970" t="s">
        <v>710</v>
      </c>
      <c r="K515" s="954" t="s">
        <v>158</v>
      </c>
      <c r="L515" s="949">
        <v>60.0</v>
      </c>
      <c r="M515" s="949">
        <v>85.0</v>
      </c>
      <c r="N515" s="949">
        <v>49.0</v>
      </c>
      <c r="O515" s="949">
        <v>60.0</v>
      </c>
      <c r="P515" s="949">
        <v>49.0</v>
      </c>
      <c r="Q515" s="949">
        <v>60.0</v>
      </c>
      <c r="R515" s="949">
        <v>156.0</v>
      </c>
      <c r="S515" s="949">
        <v>219.0</v>
      </c>
      <c r="T515" s="949">
        <v>240.0</v>
      </c>
      <c r="U515" s="949"/>
      <c r="V515" s="949"/>
      <c r="W515" s="949"/>
      <c r="X515" s="949"/>
      <c r="Y515" s="949"/>
      <c r="Z515" s="949"/>
      <c r="AA515" s="949"/>
      <c r="AB515" s="949"/>
      <c r="AC515" s="949"/>
      <c r="AD515" s="949"/>
      <c r="AE515" s="949"/>
      <c r="AF515" s="949"/>
      <c r="AG515" s="949"/>
      <c r="AH515" s="949"/>
      <c r="AI515" s="949"/>
      <c r="AJ515" s="949"/>
      <c r="AK515" s="949"/>
      <c r="AL515" s="949"/>
      <c r="AM515" s="953" t="s">
        <v>943</v>
      </c>
      <c r="AN515" s="954" t="s">
        <v>854</v>
      </c>
      <c r="AO515" s="955" t="s">
        <v>831</v>
      </c>
      <c r="AP515" s="931"/>
      <c r="AQ515" s="956"/>
      <c r="AR515" s="957"/>
      <c r="AS515" s="931"/>
    </row>
    <row r="516" ht="15.75" customHeight="1">
      <c r="A516" s="963"/>
      <c r="B516" s="941" t="s">
        <v>2322</v>
      </c>
      <c r="C516" s="942" t="s">
        <v>2323</v>
      </c>
      <c r="D516" s="942" t="s">
        <v>2323</v>
      </c>
      <c r="E516" s="966" t="s">
        <v>2323</v>
      </c>
      <c r="F516" s="935"/>
      <c r="G516" s="944"/>
      <c r="H516" s="944"/>
      <c r="I516" s="946" t="s">
        <v>437</v>
      </c>
      <c r="J516" s="970" t="s">
        <v>710</v>
      </c>
      <c r="K516" s="954" t="s">
        <v>158</v>
      </c>
      <c r="L516" s="949">
        <v>80.0</v>
      </c>
      <c r="M516" s="949">
        <v>120.0</v>
      </c>
      <c r="N516" s="949">
        <v>79.0</v>
      </c>
      <c r="O516" s="949">
        <v>95.0</v>
      </c>
      <c r="P516" s="949">
        <v>79.0</v>
      </c>
      <c r="Q516" s="949">
        <v>70.0</v>
      </c>
      <c r="R516" s="949">
        <v>176.0</v>
      </c>
      <c r="S516" s="949">
        <v>239.0</v>
      </c>
      <c r="T516" s="949">
        <v>262.0</v>
      </c>
      <c r="U516" s="949"/>
      <c r="V516" s="949"/>
      <c r="W516" s="949"/>
      <c r="X516" s="949"/>
      <c r="Y516" s="949"/>
      <c r="Z516" s="949"/>
      <c r="AA516" s="949"/>
      <c r="AB516" s="949"/>
      <c r="AC516" s="949"/>
      <c r="AD516" s="949"/>
      <c r="AE516" s="949"/>
      <c r="AF516" s="949"/>
      <c r="AG516" s="949"/>
      <c r="AH516" s="949"/>
      <c r="AI516" s="949"/>
      <c r="AJ516" s="949"/>
      <c r="AK516" s="949"/>
      <c r="AL516" s="949"/>
      <c r="AM516" s="964" t="s">
        <v>943</v>
      </c>
      <c r="AN516" s="973" t="s">
        <v>854</v>
      </c>
      <c r="AO516" s="965" t="s">
        <v>831</v>
      </c>
      <c r="AP516" s="931"/>
      <c r="AQ516" s="956"/>
      <c r="AR516" s="957"/>
      <c r="AS516" s="931"/>
    </row>
    <row r="517" ht="15.75" customHeight="1">
      <c r="A517" s="963"/>
      <c r="B517" s="941" t="s">
        <v>2324</v>
      </c>
      <c r="C517" s="942" t="s">
        <v>2325</v>
      </c>
      <c r="D517" s="942" t="s">
        <v>2325</v>
      </c>
      <c r="E517" s="966" t="s">
        <v>2325</v>
      </c>
      <c r="F517" s="935"/>
      <c r="G517" s="944"/>
      <c r="H517" s="944"/>
      <c r="I517" s="946" t="s">
        <v>2326</v>
      </c>
      <c r="J517" s="947" t="s">
        <v>708</v>
      </c>
      <c r="K517" s="948" t="s">
        <v>709</v>
      </c>
      <c r="L517" s="949">
        <v>40.0</v>
      </c>
      <c r="M517" s="949">
        <v>30.0</v>
      </c>
      <c r="N517" s="949">
        <v>35.0</v>
      </c>
      <c r="O517" s="949">
        <v>50.0</v>
      </c>
      <c r="P517" s="949">
        <v>70.0</v>
      </c>
      <c r="Q517" s="949">
        <v>55.0</v>
      </c>
      <c r="R517" s="949">
        <v>146.0</v>
      </c>
      <c r="S517" s="949">
        <v>209.0</v>
      </c>
      <c r="T517" s="949">
        <v>229.0</v>
      </c>
      <c r="U517" s="949"/>
      <c r="V517" s="949"/>
      <c r="W517" s="949"/>
      <c r="X517" s="949"/>
      <c r="Y517" s="949"/>
      <c r="Z517" s="949"/>
      <c r="AA517" s="949"/>
      <c r="AB517" s="949"/>
      <c r="AC517" s="949"/>
      <c r="AD517" s="949"/>
      <c r="AE517" s="949"/>
      <c r="AF517" s="949"/>
      <c r="AG517" s="949"/>
      <c r="AH517" s="949"/>
      <c r="AI517" s="949"/>
      <c r="AJ517" s="949"/>
      <c r="AK517" s="949"/>
      <c r="AL517" s="949"/>
      <c r="AM517" s="964" t="s">
        <v>1333</v>
      </c>
      <c r="AN517" s="973" t="s">
        <v>942</v>
      </c>
      <c r="AO517" s="965" t="s">
        <v>1339</v>
      </c>
      <c r="AP517" s="931"/>
      <c r="AQ517" s="956"/>
      <c r="AR517" s="957"/>
      <c r="AS517" s="931"/>
    </row>
    <row r="518" ht="15.75" customHeight="1">
      <c r="A518" s="931"/>
      <c r="B518" s="941" t="s">
        <v>2327</v>
      </c>
      <c r="C518" s="942" t="s">
        <v>2328</v>
      </c>
      <c r="D518" s="942" t="s">
        <v>2328</v>
      </c>
      <c r="E518" s="943" t="s">
        <v>2328</v>
      </c>
      <c r="F518" s="935"/>
      <c r="G518" s="944"/>
      <c r="H518" s="944"/>
      <c r="I518" s="946" t="s">
        <v>2329</v>
      </c>
      <c r="J518" s="947" t="s">
        <v>708</v>
      </c>
      <c r="K518" s="948" t="s">
        <v>709</v>
      </c>
      <c r="L518" s="949">
        <v>60.0</v>
      </c>
      <c r="M518" s="949">
        <v>70.0</v>
      </c>
      <c r="N518" s="949">
        <v>65.0</v>
      </c>
      <c r="O518" s="949">
        <v>125.0</v>
      </c>
      <c r="P518" s="949">
        <v>105.0</v>
      </c>
      <c r="Q518" s="949">
        <v>90.0</v>
      </c>
      <c r="R518" s="949">
        <v>216.0</v>
      </c>
      <c r="S518" s="949">
        <v>279.0</v>
      </c>
      <c r="T518" s="949">
        <v>306.0</v>
      </c>
      <c r="U518" s="949"/>
      <c r="V518" s="949"/>
      <c r="W518" s="949"/>
      <c r="X518" s="949"/>
      <c r="Y518" s="949"/>
      <c r="Z518" s="949"/>
      <c r="AA518" s="949"/>
      <c r="AB518" s="949"/>
      <c r="AC518" s="949"/>
      <c r="AD518" s="949"/>
      <c r="AE518" s="949"/>
      <c r="AF518" s="949"/>
      <c r="AG518" s="949"/>
      <c r="AH518" s="949"/>
      <c r="AI518" s="949"/>
      <c r="AJ518" s="949"/>
      <c r="AK518" s="949"/>
      <c r="AL518" s="949"/>
      <c r="AM518" s="953" t="s">
        <v>1333</v>
      </c>
      <c r="AN518" s="954" t="s">
        <v>942</v>
      </c>
      <c r="AO518" s="955" t="s">
        <v>1041</v>
      </c>
      <c r="AP518" s="931"/>
      <c r="AQ518" s="956"/>
      <c r="AR518" s="957"/>
      <c r="AS518" s="931"/>
    </row>
    <row r="519" ht="15.75" customHeight="1">
      <c r="A519" s="931"/>
      <c r="B519" s="941" t="s">
        <v>2330</v>
      </c>
      <c r="C519" s="942" t="s">
        <v>2331</v>
      </c>
      <c r="D519" s="942" t="s">
        <v>2331</v>
      </c>
      <c r="E519" s="943" t="s">
        <v>2331</v>
      </c>
      <c r="F519" s="935"/>
      <c r="G519" s="944"/>
      <c r="H519" s="944"/>
      <c r="I519" s="946" t="s">
        <v>2332</v>
      </c>
      <c r="J519" s="989" t="s">
        <v>713</v>
      </c>
      <c r="K519" s="954" t="s">
        <v>158</v>
      </c>
      <c r="L519" s="949">
        <v>67.0</v>
      </c>
      <c r="M519" s="949">
        <v>125.0</v>
      </c>
      <c r="N519" s="949">
        <v>40.0</v>
      </c>
      <c r="O519" s="949">
        <v>30.0</v>
      </c>
      <c r="P519" s="949">
        <v>30.0</v>
      </c>
      <c r="Q519" s="949">
        <v>58.0</v>
      </c>
      <c r="R519" s="949">
        <v>152.0</v>
      </c>
      <c r="S519" s="949">
        <v>215.0</v>
      </c>
      <c r="T519" s="949">
        <v>236.0</v>
      </c>
      <c r="U519" s="949"/>
      <c r="V519" s="949"/>
      <c r="W519" s="949"/>
      <c r="X519" s="949"/>
      <c r="Y519" s="949"/>
      <c r="Z519" s="949"/>
      <c r="AA519" s="949"/>
      <c r="AB519" s="949"/>
      <c r="AC519" s="949"/>
      <c r="AD519" s="949"/>
      <c r="AE519" s="949"/>
      <c r="AF519" s="949"/>
      <c r="AG519" s="949"/>
      <c r="AH519" s="949"/>
      <c r="AI519" s="949"/>
      <c r="AJ519" s="949"/>
      <c r="AK519" s="949"/>
      <c r="AL519" s="949"/>
      <c r="AM519" s="953" t="s">
        <v>1391</v>
      </c>
      <c r="AN519" s="954"/>
      <c r="AO519" s="955" t="s">
        <v>949</v>
      </c>
      <c r="AP519" s="931"/>
      <c r="AQ519" s="956"/>
      <c r="AR519" s="957"/>
      <c r="AS519" s="931"/>
    </row>
    <row r="520" ht="15.75" customHeight="1">
      <c r="A520" s="963"/>
      <c r="B520" s="941" t="s">
        <v>2333</v>
      </c>
      <c r="C520" s="942" t="s">
        <v>2334</v>
      </c>
      <c r="D520" s="942" t="s">
        <v>2334</v>
      </c>
      <c r="E520" s="943" t="s">
        <v>2334</v>
      </c>
      <c r="F520" s="935"/>
      <c r="G520" s="944"/>
      <c r="H520" s="944"/>
      <c r="I520" s="946" t="s">
        <v>2335</v>
      </c>
      <c r="J520" s="989" t="s">
        <v>713</v>
      </c>
      <c r="K520" s="954" t="s">
        <v>158</v>
      </c>
      <c r="L520" s="949">
        <v>97.0</v>
      </c>
      <c r="M520" s="949">
        <v>165.0</v>
      </c>
      <c r="N520" s="949">
        <v>60.0</v>
      </c>
      <c r="O520" s="949">
        <v>65.0</v>
      </c>
      <c r="P520" s="949">
        <v>50.0</v>
      </c>
      <c r="Q520" s="949">
        <v>58.0</v>
      </c>
      <c r="R520" s="949">
        <v>152.0</v>
      </c>
      <c r="S520" s="949">
        <v>215.0</v>
      </c>
      <c r="T520" s="949">
        <v>236.0</v>
      </c>
      <c r="U520" s="949"/>
      <c r="V520" s="949"/>
      <c r="W520" s="949"/>
      <c r="X520" s="949"/>
      <c r="Y520" s="949"/>
      <c r="Z520" s="949"/>
      <c r="AA520" s="949"/>
      <c r="AB520" s="949"/>
      <c r="AC520" s="949"/>
      <c r="AD520" s="949"/>
      <c r="AE520" s="949"/>
      <c r="AF520" s="949"/>
      <c r="AG520" s="949"/>
      <c r="AH520" s="949"/>
      <c r="AI520" s="949"/>
      <c r="AJ520" s="949"/>
      <c r="AK520" s="949"/>
      <c r="AL520" s="949"/>
      <c r="AM520" s="964" t="s">
        <v>1391</v>
      </c>
      <c r="AN520" s="954"/>
      <c r="AO520" s="965" t="s">
        <v>949</v>
      </c>
      <c r="AP520" s="931"/>
      <c r="AQ520" s="956"/>
      <c r="AR520" s="957"/>
      <c r="AS520" s="931"/>
    </row>
    <row r="521" ht="15.75" customHeight="1">
      <c r="A521" s="963"/>
      <c r="B521" s="941" t="s">
        <v>2336</v>
      </c>
      <c r="C521" s="971" t="s">
        <v>2337</v>
      </c>
      <c r="D521" s="971" t="s">
        <v>2337</v>
      </c>
      <c r="E521" s="966" t="s">
        <v>2337</v>
      </c>
      <c r="F521" s="935"/>
      <c r="G521" s="944"/>
      <c r="H521" s="944"/>
      <c r="I521" s="959" t="s">
        <v>2338</v>
      </c>
      <c r="J521" s="996" t="s">
        <v>713</v>
      </c>
      <c r="K521" s="1007" t="s">
        <v>719</v>
      </c>
      <c r="L521" s="974">
        <v>30.0</v>
      </c>
      <c r="M521" s="974">
        <v>42.0</v>
      </c>
      <c r="N521" s="974">
        <v>118.0</v>
      </c>
      <c r="O521" s="974">
        <v>42.0</v>
      </c>
      <c r="P521" s="974">
        <v>88.0</v>
      </c>
      <c r="Q521" s="974">
        <v>30.0</v>
      </c>
      <c r="R521" s="949">
        <v>96.0</v>
      </c>
      <c r="S521" s="949">
        <v>159.0</v>
      </c>
      <c r="T521" s="949">
        <v>174.0</v>
      </c>
      <c r="U521" s="949"/>
      <c r="V521" s="949"/>
      <c r="W521" s="949"/>
      <c r="X521" s="949"/>
      <c r="Y521" s="949"/>
      <c r="Z521" s="949"/>
      <c r="AA521" s="949"/>
      <c r="AB521" s="949"/>
      <c r="AC521" s="949"/>
      <c r="AD521" s="949"/>
      <c r="AE521" s="949"/>
      <c r="AF521" s="949"/>
      <c r="AG521" s="949"/>
      <c r="AH521" s="949"/>
      <c r="AI521" s="949"/>
      <c r="AJ521" s="949"/>
      <c r="AK521" s="949"/>
      <c r="AL521" s="949"/>
      <c r="AM521" s="964" t="s">
        <v>1135</v>
      </c>
      <c r="AN521" s="954"/>
      <c r="AO521" s="955" t="s">
        <v>1272</v>
      </c>
      <c r="AP521" s="931"/>
      <c r="AQ521" s="956"/>
      <c r="AR521" s="957"/>
      <c r="AS521" s="931"/>
    </row>
    <row r="522" ht="15.75" customHeight="1">
      <c r="A522" s="963"/>
      <c r="B522" s="941" t="s">
        <v>2339</v>
      </c>
      <c r="C522" s="971" t="s">
        <v>2340</v>
      </c>
      <c r="D522" s="971" t="s">
        <v>2340</v>
      </c>
      <c r="E522" s="966" t="s">
        <v>2340</v>
      </c>
      <c r="F522" s="935"/>
      <c r="G522" s="944"/>
      <c r="H522" s="944"/>
      <c r="I522" s="959" t="s">
        <v>2341</v>
      </c>
      <c r="J522" s="996" t="s">
        <v>713</v>
      </c>
      <c r="K522" s="1007" t="s">
        <v>719</v>
      </c>
      <c r="L522" s="974">
        <v>60.0</v>
      </c>
      <c r="M522" s="974">
        <v>52.0</v>
      </c>
      <c r="N522" s="974">
        <v>168.0</v>
      </c>
      <c r="O522" s="974">
        <v>47.0</v>
      </c>
      <c r="P522" s="974">
        <v>138.0</v>
      </c>
      <c r="Q522" s="974">
        <v>30.0</v>
      </c>
      <c r="R522" s="949">
        <v>96.0</v>
      </c>
      <c r="S522" s="949">
        <v>159.0</v>
      </c>
      <c r="T522" s="949">
        <v>174.0</v>
      </c>
      <c r="U522" s="949"/>
      <c r="V522" s="949"/>
      <c r="W522" s="949"/>
      <c r="X522" s="949"/>
      <c r="Y522" s="949"/>
      <c r="Z522" s="949"/>
      <c r="AA522" s="949"/>
      <c r="AB522" s="949"/>
      <c r="AC522" s="949"/>
      <c r="AD522" s="949"/>
      <c r="AE522" s="949"/>
      <c r="AF522" s="949"/>
      <c r="AG522" s="949"/>
      <c r="AH522" s="949"/>
      <c r="AI522" s="949"/>
      <c r="AJ522" s="949"/>
      <c r="AK522" s="949"/>
      <c r="AL522" s="949"/>
      <c r="AM522" s="964" t="s">
        <v>1135</v>
      </c>
      <c r="AN522" s="954"/>
      <c r="AO522" s="955" t="s">
        <v>1272</v>
      </c>
      <c r="AP522" s="931"/>
      <c r="AQ522" s="956"/>
      <c r="AR522" s="957"/>
      <c r="AS522" s="931"/>
    </row>
    <row r="523" ht="15.75" customHeight="1">
      <c r="A523" s="963"/>
      <c r="B523" s="941" t="s">
        <v>2342</v>
      </c>
      <c r="C523" s="971" t="s">
        <v>2343</v>
      </c>
      <c r="D523" s="971" t="s">
        <v>2343</v>
      </c>
      <c r="E523" s="966" t="s">
        <v>2343</v>
      </c>
      <c r="F523" s="935"/>
      <c r="G523" s="944"/>
      <c r="H523" s="944"/>
      <c r="I523" s="959" t="s">
        <v>2344</v>
      </c>
      <c r="J523" s="999" t="s">
        <v>715</v>
      </c>
      <c r="K523" s="973" t="s">
        <v>158</v>
      </c>
      <c r="L523" s="974">
        <v>40.0</v>
      </c>
      <c r="M523" s="974">
        <v>29.0</v>
      </c>
      <c r="N523" s="974">
        <v>45.0</v>
      </c>
      <c r="O523" s="974">
        <v>29.0</v>
      </c>
      <c r="P523" s="974">
        <v>45.0</v>
      </c>
      <c r="Q523" s="974">
        <v>36.0</v>
      </c>
      <c r="R523" s="949">
        <v>108.0</v>
      </c>
      <c r="S523" s="949">
        <v>171.0</v>
      </c>
      <c r="T523" s="949">
        <v>188.0</v>
      </c>
      <c r="U523" s="949"/>
      <c r="V523" s="949"/>
      <c r="W523" s="949"/>
      <c r="X523" s="949"/>
      <c r="Y523" s="949"/>
      <c r="Z523" s="949"/>
      <c r="AA523" s="949"/>
      <c r="AB523" s="949"/>
      <c r="AC523" s="949"/>
      <c r="AD523" s="949"/>
      <c r="AE523" s="949"/>
      <c r="AF523" s="949"/>
      <c r="AG523" s="949"/>
      <c r="AH523" s="949"/>
      <c r="AI523" s="949"/>
      <c r="AJ523" s="949"/>
      <c r="AK523" s="949"/>
      <c r="AL523" s="949"/>
      <c r="AM523" s="964" t="s">
        <v>791</v>
      </c>
      <c r="AN523" s="954"/>
      <c r="AO523" s="955" t="s">
        <v>1239</v>
      </c>
      <c r="AP523" s="931"/>
      <c r="AQ523" s="956"/>
      <c r="AR523" s="957"/>
      <c r="AS523" s="931"/>
    </row>
    <row r="524" ht="15.75" customHeight="1">
      <c r="A524" s="963"/>
      <c r="B524" s="941" t="s">
        <v>2345</v>
      </c>
      <c r="C524" s="971" t="s">
        <v>2346</v>
      </c>
      <c r="D524" s="971" t="s">
        <v>2346</v>
      </c>
      <c r="E524" s="966" t="s">
        <v>2346</v>
      </c>
      <c r="F524" s="935"/>
      <c r="G524" s="944"/>
      <c r="H524" s="944"/>
      <c r="I524" s="959" t="s">
        <v>2347</v>
      </c>
      <c r="J524" s="999" t="s">
        <v>715</v>
      </c>
      <c r="K524" s="1002" t="s">
        <v>708</v>
      </c>
      <c r="L524" s="974">
        <v>60.0</v>
      </c>
      <c r="M524" s="974">
        <v>59.0</v>
      </c>
      <c r="N524" s="974">
        <v>85.0</v>
      </c>
      <c r="O524" s="974">
        <v>79.0</v>
      </c>
      <c r="P524" s="974">
        <v>105.0</v>
      </c>
      <c r="Q524" s="974">
        <v>36.0</v>
      </c>
      <c r="R524" s="949">
        <v>108.0</v>
      </c>
      <c r="S524" s="949">
        <v>171.0</v>
      </c>
      <c r="T524" s="949">
        <v>188.0</v>
      </c>
      <c r="U524" s="949"/>
      <c r="V524" s="949"/>
      <c r="W524" s="949"/>
      <c r="X524" s="949"/>
      <c r="Y524" s="949"/>
      <c r="Z524" s="949"/>
      <c r="AA524" s="949"/>
      <c r="AB524" s="949"/>
      <c r="AC524" s="949"/>
      <c r="AD524" s="949"/>
      <c r="AE524" s="949"/>
      <c r="AF524" s="949"/>
      <c r="AG524" s="949"/>
      <c r="AH524" s="949"/>
      <c r="AI524" s="949"/>
      <c r="AJ524" s="949"/>
      <c r="AK524" s="949"/>
      <c r="AL524" s="949"/>
      <c r="AM524" s="964" t="s">
        <v>791</v>
      </c>
      <c r="AN524" s="954"/>
      <c r="AO524" s="955" t="s">
        <v>1239</v>
      </c>
      <c r="AP524" s="931"/>
      <c r="AQ524" s="956"/>
      <c r="AR524" s="957"/>
      <c r="AS524" s="931"/>
    </row>
    <row r="525" ht="15.75" customHeight="1">
      <c r="A525" s="963"/>
      <c r="B525" s="941" t="s">
        <v>2348</v>
      </c>
      <c r="C525" s="971" t="s">
        <v>2349</v>
      </c>
      <c r="D525" s="971" t="s">
        <v>2349</v>
      </c>
      <c r="E525" s="966" t="s">
        <v>2349</v>
      </c>
      <c r="F525" s="935"/>
      <c r="G525" s="944"/>
      <c r="H525" s="944"/>
      <c r="I525" s="959" t="s">
        <v>2350</v>
      </c>
      <c r="J525" s="999" t="s">
        <v>715</v>
      </c>
      <c r="K525" s="997" t="s">
        <v>711</v>
      </c>
      <c r="L525" s="974">
        <v>60.0</v>
      </c>
      <c r="M525" s="974">
        <v>79.0</v>
      </c>
      <c r="N525" s="974">
        <v>105.0</v>
      </c>
      <c r="O525" s="974">
        <v>59.0</v>
      </c>
      <c r="P525" s="974">
        <v>85.0</v>
      </c>
      <c r="Q525" s="974">
        <v>36.0</v>
      </c>
      <c r="R525" s="949">
        <v>108.0</v>
      </c>
      <c r="S525" s="949">
        <v>171.0</v>
      </c>
      <c r="T525" s="949">
        <v>188.0</v>
      </c>
      <c r="U525" s="949"/>
      <c r="V525" s="949"/>
      <c r="W525" s="949"/>
      <c r="X525" s="949"/>
      <c r="Y525" s="949"/>
      <c r="Z525" s="949"/>
      <c r="AA525" s="949"/>
      <c r="AB525" s="949"/>
      <c r="AC525" s="949"/>
      <c r="AD525" s="949"/>
      <c r="AE525" s="949"/>
      <c r="AF525" s="949"/>
      <c r="AG525" s="949"/>
      <c r="AH525" s="949"/>
      <c r="AI525" s="949"/>
      <c r="AJ525" s="949"/>
      <c r="AK525" s="949"/>
      <c r="AL525" s="949"/>
      <c r="AM525" s="964" t="s">
        <v>791</v>
      </c>
      <c r="AN525" s="954"/>
      <c r="AO525" s="955" t="s">
        <v>1239</v>
      </c>
      <c r="AP525" s="931"/>
      <c r="AQ525" s="956"/>
      <c r="AR525" s="957"/>
      <c r="AS525" s="931"/>
    </row>
    <row r="526" ht="15.75" customHeight="1">
      <c r="A526" s="963"/>
      <c r="B526" s="941" t="s">
        <v>2351</v>
      </c>
      <c r="C526" s="971" t="s">
        <v>2352</v>
      </c>
      <c r="D526" s="971" t="s">
        <v>2352</v>
      </c>
      <c r="E526" s="966" t="s">
        <v>2352</v>
      </c>
      <c r="F526" s="935"/>
      <c r="G526" s="944"/>
      <c r="H526" s="944"/>
      <c r="I526" s="959" t="s">
        <v>2353</v>
      </c>
      <c r="J526" s="999" t="s">
        <v>715</v>
      </c>
      <c r="K526" s="1007" t="s">
        <v>719</v>
      </c>
      <c r="L526" s="974">
        <v>60.0</v>
      </c>
      <c r="M526" s="974">
        <v>69.0</v>
      </c>
      <c r="N526" s="974">
        <v>95.0</v>
      </c>
      <c r="O526" s="974">
        <v>69.0</v>
      </c>
      <c r="P526" s="974">
        <v>95.0</v>
      </c>
      <c r="Q526" s="974">
        <v>36.0</v>
      </c>
      <c r="R526" s="949">
        <v>108.0</v>
      </c>
      <c r="S526" s="949">
        <v>171.0</v>
      </c>
      <c r="T526" s="949">
        <v>188.0</v>
      </c>
      <c r="U526" s="949"/>
      <c r="V526" s="949"/>
      <c r="W526" s="949"/>
      <c r="X526" s="949"/>
      <c r="Y526" s="949"/>
      <c r="Z526" s="949"/>
      <c r="AA526" s="949"/>
      <c r="AB526" s="949"/>
      <c r="AC526" s="949"/>
      <c r="AD526" s="949"/>
      <c r="AE526" s="949"/>
      <c r="AF526" s="949"/>
      <c r="AG526" s="949"/>
      <c r="AH526" s="949"/>
      <c r="AI526" s="949"/>
      <c r="AJ526" s="949"/>
      <c r="AK526" s="949"/>
      <c r="AL526" s="949"/>
      <c r="AM526" s="964" t="s">
        <v>791</v>
      </c>
      <c r="AN526" s="954"/>
      <c r="AO526" s="955" t="s">
        <v>1239</v>
      </c>
      <c r="AP526" s="931"/>
      <c r="AQ526" s="956"/>
      <c r="AR526" s="957"/>
      <c r="AS526" s="931"/>
    </row>
    <row r="527" ht="15.75" customHeight="1">
      <c r="A527" s="963"/>
      <c r="B527" s="941" t="s">
        <v>2354</v>
      </c>
      <c r="C527" s="971" t="s">
        <v>2355</v>
      </c>
      <c r="D527" s="971" t="s">
        <v>2355</v>
      </c>
      <c r="E527" s="966" t="s">
        <v>2355</v>
      </c>
      <c r="F527" s="935"/>
      <c r="G527" s="944"/>
      <c r="H527" s="944"/>
      <c r="I527" s="959" t="s">
        <v>2356</v>
      </c>
      <c r="J527" s="999" t="s">
        <v>715</v>
      </c>
      <c r="K527" s="984" t="s">
        <v>707</v>
      </c>
      <c r="L527" s="974">
        <v>70.0</v>
      </c>
      <c r="M527" s="974">
        <v>94.0</v>
      </c>
      <c r="N527" s="974">
        <v>50.0</v>
      </c>
      <c r="O527" s="974">
        <v>94.0</v>
      </c>
      <c r="P527" s="974">
        <v>50.0</v>
      </c>
      <c r="Q527" s="974">
        <v>66.0</v>
      </c>
      <c r="R527" s="949">
        <v>168.0</v>
      </c>
      <c r="S527" s="949">
        <v>231.0</v>
      </c>
      <c r="T527" s="949">
        <v>254.0</v>
      </c>
      <c r="U527" s="949"/>
      <c r="V527" s="949"/>
      <c r="W527" s="949"/>
      <c r="X527" s="949"/>
      <c r="Y527" s="949"/>
      <c r="Z527" s="949"/>
      <c r="AA527" s="949"/>
      <c r="AB527" s="949"/>
      <c r="AC527" s="949"/>
      <c r="AD527" s="949"/>
      <c r="AE527" s="949"/>
      <c r="AF527" s="949"/>
      <c r="AG527" s="949"/>
      <c r="AH527" s="949"/>
      <c r="AI527" s="949"/>
      <c r="AJ527" s="949"/>
      <c r="AK527" s="949"/>
      <c r="AL527" s="949"/>
      <c r="AM527" s="964" t="s">
        <v>806</v>
      </c>
      <c r="AN527" s="954"/>
      <c r="AO527" s="955" t="s">
        <v>796</v>
      </c>
      <c r="AP527" s="931"/>
      <c r="AQ527" s="956"/>
      <c r="AR527" s="957"/>
      <c r="AS527" s="931"/>
    </row>
    <row r="528" ht="15.75" customHeight="1">
      <c r="A528" s="931"/>
      <c r="B528" s="941" t="s">
        <v>2357</v>
      </c>
      <c r="C528" s="942" t="s">
        <v>2358</v>
      </c>
      <c r="D528" s="942" t="s">
        <v>2358</v>
      </c>
      <c r="E528" s="943" t="s">
        <v>2358</v>
      </c>
      <c r="F528" s="935"/>
      <c r="G528" s="944"/>
      <c r="H528" s="944"/>
      <c r="I528" s="946" t="s">
        <v>610</v>
      </c>
      <c r="J528" s="967" t="s">
        <v>715</v>
      </c>
      <c r="K528" s="960" t="s">
        <v>707</v>
      </c>
      <c r="L528" s="949">
        <v>30.0</v>
      </c>
      <c r="M528" s="949">
        <v>30.0</v>
      </c>
      <c r="N528" s="949">
        <v>42.0</v>
      </c>
      <c r="O528" s="949">
        <v>30.0</v>
      </c>
      <c r="P528" s="949">
        <v>42.0</v>
      </c>
      <c r="Q528" s="949">
        <v>70.0</v>
      </c>
      <c r="R528" s="949">
        <v>176.0</v>
      </c>
      <c r="S528" s="949">
        <v>239.0</v>
      </c>
      <c r="T528" s="949">
        <v>262.0</v>
      </c>
      <c r="U528" s="949"/>
      <c r="V528" s="949"/>
      <c r="W528" s="949"/>
      <c r="X528" s="949"/>
      <c r="Y528" s="949"/>
      <c r="Z528" s="949"/>
      <c r="AA528" s="949"/>
      <c r="AB528" s="949"/>
      <c r="AC528" s="949"/>
      <c r="AD528" s="949"/>
      <c r="AE528" s="949"/>
      <c r="AF528" s="949"/>
      <c r="AG528" s="949"/>
      <c r="AH528" s="949"/>
      <c r="AI528" s="949"/>
      <c r="AJ528" s="949"/>
      <c r="AK528" s="949"/>
      <c r="AL528" s="949"/>
      <c r="AM528" s="953" t="s">
        <v>1707</v>
      </c>
      <c r="AN528" s="954"/>
      <c r="AO528" s="955" t="s">
        <v>832</v>
      </c>
      <c r="AP528" s="931"/>
      <c r="AQ528" s="956"/>
      <c r="AR528" s="957"/>
      <c r="AS528" s="931"/>
    </row>
    <row r="529" ht="15.75" customHeight="1">
      <c r="A529" s="931"/>
      <c r="B529" s="941" t="s">
        <v>2359</v>
      </c>
      <c r="C529" s="942" t="s">
        <v>2360</v>
      </c>
      <c r="D529" s="942" t="s">
        <v>2360</v>
      </c>
      <c r="E529" s="943" t="s">
        <v>2360</v>
      </c>
      <c r="F529" s="935"/>
      <c r="G529" s="944"/>
      <c r="H529" s="944"/>
      <c r="I529" s="946" t="s">
        <v>538</v>
      </c>
      <c r="J529" s="967" t="s">
        <v>715</v>
      </c>
      <c r="K529" s="960" t="s">
        <v>707</v>
      </c>
      <c r="L529" s="949">
        <v>70.0</v>
      </c>
      <c r="M529" s="949">
        <v>80.0</v>
      </c>
      <c r="N529" s="949">
        <v>102.0</v>
      </c>
      <c r="O529" s="949">
        <v>80.0</v>
      </c>
      <c r="P529" s="949">
        <v>102.0</v>
      </c>
      <c r="Q529" s="949">
        <v>40.0</v>
      </c>
      <c r="R529" s="949">
        <v>116.0</v>
      </c>
      <c r="S529" s="949">
        <v>179.0</v>
      </c>
      <c r="T529" s="949">
        <v>196.0</v>
      </c>
      <c r="U529" s="949"/>
      <c r="V529" s="949"/>
      <c r="W529" s="949"/>
      <c r="X529" s="949"/>
      <c r="Y529" s="949"/>
      <c r="Z529" s="949"/>
      <c r="AA529" s="949"/>
      <c r="AB529" s="949"/>
      <c r="AC529" s="949"/>
      <c r="AD529" s="949"/>
      <c r="AE529" s="949"/>
      <c r="AF529" s="949"/>
      <c r="AG529" s="949"/>
      <c r="AH529" s="949"/>
      <c r="AI529" s="949"/>
      <c r="AJ529" s="949"/>
      <c r="AK529" s="949"/>
      <c r="AL529" s="949"/>
      <c r="AM529" s="953" t="s">
        <v>1451</v>
      </c>
      <c r="AN529" s="954"/>
      <c r="AO529" s="955" t="s">
        <v>855</v>
      </c>
      <c r="AP529" s="931"/>
      <c r="AQ529" s="956"/>
      <c r="AR529" s="957"/>
      <c r="AS529" s="931"/>
    </row>
    <row r="530" ht="15.75" customHeight="1">
      <c r="A530" s="931"/>
      <c r="B530" s="941" t="s">
        <v>2361</v>
      </c>
      <c r="C530" s="942" t="s">
        <v>267</v>
      </c>
      <c r="D530" s="942" t="s">
        <v>267</v>
      </c>
      <c r="E530" s="943" t="s">
        <v>267</v>
      </c>
      <c r="F530" s="935"/>
      <c r="G530" s="944"/>
      <c r="H530" s="944"/>
      <c r="I530" s="946" t="s">
        <v>119</v>
      </c>
      <c r="J530" s="970" t="s">
        <v>710</v>
      </c>
      <c r="K530" s="954" t="s">
        <v>158</v>
      </c>
      <c r="L530" s="949">
        <v>60.0</v>
      </c>
      <c r="M530" s="949">
        <v>45.0</v>
      </c>
      <c r="N530" s="949">
        <v>70.0</v>
      </c>
      <c r="O530" s="949">
        <v>45.0</v>
      </c>
      <c r="P530" s="949">
        <v>90.0</v>
      </c>
      <c r="Q530" s="949">
        <v>95.0</v>
      </c>
      <c r="R530" s="949">
        <v>226.0</v>
      </c>
      <c r="S530" s="949">
        <v>289.0</v>
      </c>
      <c r="T530" s="949">
        <v>317.0</v>
      </c>
      <c r="U530" s="949"/>
      <c r="V530" s="949"/>
      <c r="W530" s="949"/>
      <c r="X530" s="949"/>
      <c r="Y530" s="949"/>
      <c r="Z530" s="949"/>
      <c r="AA530" s="949"/>
      <c r="AB530" s="949"/>
      <c r="AC530" s="949"/>
      <c r="AD530" s="949"/>
      <c r="AE530" s="949"/>
      <c r="AF530" s="949"/>
      <c r="AG530" s="949"/>
      <c r="AH530" s="949"/>
      <c r="AI530" s="949"/>
      <c r="AJ530" s="949"/>
      <c r="AK530" s="949"/>
      <c r="AL530" s="949"/>
      <c r="AM530" s="953" t="s">
        <v>787</v>
      </c>
      <c r="AN530" s="954" t="s">
        <v>1040</v>
      </c>
      <c r="AO530" s="955" t="s">
        <v>1428</v>
      </c>
      <c r="AP530" s="931"/>
      <c r="AQ530" s="956"/>
      <c r="AR530" s="957"/>
      <c r="AS530" s="931"/>
    </row>
    <row r="531" ht="15.75" customHeight="1">
      <c r="A531" s="931"/>
      <c r="B531" s="941" t="s">
        <v>2362</v>
      </c>
      <c r="C531" s="942" t="s">
        <v>2363</v>
      </c>
      <c r="D531" s="942" t="s">
        <v>2363</v>
      </c>
      <c r="E531" s="943" t="s">
        <v>2363</v>
      </c>
      <c r="F531" s="935"/>
      <c r="G531" s="944"/>
      <c r="H531" s="944"/>
      <c r="I531" s="946" t="s">
        <v>539</v>
      </c>
      <c r="J531" s="962" t="s">
        <v>706</v>
      </c>
      <c r="K531" s="954" t="s">
        <v>158</v>
      </c>
      <c r="L531" s="949">
        <v>55.0</v>
      </c>
      <c r="M531" s="949">
        <v>65.0</v>
      </c>
      <c r="N531" s="949">
        <v>35.0</v>
      </c>
      <c r="O531" s="949">
        <v>60.0</v>
      </c>
      <c r="P531" s="949">
        <v>30.0</v>
      </c>
      <c r="Q531" s="949">
        <v>85.0</v>
      </c>
      <c r="R531" s="949">
        <v>206.0</v>
      </c>
      <c r="S531" s="949">
        <v>269.0</v>
      </c>
      <c r="T531" s="949">
        <v>295.0</v>
      </c>
      <c r="U531" s="949"/>
      <c r="V531" s="949"/>
      <c r="W531" s="949"/>
      <c r="X531" s="949"/>
      <c r="Y531" s="949"/>
      <c r="Z531" s="949"/>
      <c r="AA531" s="949"/>
      <c r="AB531" s="949"/>
      <c r="AC531" s="949"/>
      <c r="AD531" s="949"/>
      <c r="AE531" s="949"/>
      <c r="AF531" s="949"/>
      <c r="AG531" s="949"/>
      <c r="AH531" s="949"/>
      <c r="AI531" s="949"/>
      <c r="AJ531" s="949"/>
      <c r="AK531" s="949"/>
      <c r="AL531" s="949"/>
      <c r="AM531" s="953" t="s">
        <v>1062</v>
      </c>
      <c r="AN531" s="954"/>
      <c r="AO531" s="955" t="s">
        <v>1355</v>
      </c>
      <c r="AP531" s="931"/>
      <c r="AQ531" s="956"/>
      <c r="AR531" s="957"/>
      <c r="AS531" s="931"/>
    </row>
    <row r="532" ht="15.75" customHeight="1">
      <c r="A532" s="931"/>
      <c r="B532" s="941" t="s">
        <v>2364</v>
      </c>
      <c r="C532" s="942" t="s">
        <v>2365</v>
      </c>
      <c r="D532" s="942" t="s">
        <v>2365</v>
      </c>
      <c r="E532" s="943" t="s">
        <v>2365</v>
      </c>
      <c r="F532" s="935"/>
      <c r="G532" s="944"/>
      <c r="H532" s="944"/>
      <c r="I532" s="946" t="s">
        <v>388</v>
      </c>
      <c r="J532" s="962" t="s">
        <v>706</v>
      </c>
      <c r="K532" s="954" t="s">
        <v>158</v>
      </c>
      <c r="L532" s="949">
        <v>85.0</v>
      </c>
      <c r="M532" s="949">
        <v>105.0</v>
      </c>
      <c r="N532" s="949">
        <v>55.0</v>
      </c>
      <c r="O532" s="949">
        <v>85.0</v>
      </c>
      <c r="P532" s="949">
        <v>50.0</v>
      </c>
      <c r="Q532" s="949">
        <v>115.0</v>
      </c>
      <c r="R532" s="949">
        <v>266.0</v>
      </c>
      <c r="S532" s="949">
        <v>329.0</v>
      </c>
      <c r="T532" s="949">
        <v>361.0</v>
      </c>
      <c r="U532" s="949"/>
      <c r="V532" s="949"/>
      <c r="W532" s="949"/>
      <c r="X532" s="949"/>
      <c r="Y532" s="949"/>
      <c r="Z532" s="949"/>
      <c r="AA532" s="949"/>
      <c r="AB532" s="949"/>
      <c r="AC532" s="949"/>
      <c r="AD532" s="949"/>
      <c r="AE532" s="949"/>
      <c r="AF532" s="949"/>
      <c r="AG532" s="949"/>
      <c r="AH532" s="949"/>
      <c r="AI532" s="949"/>
      <c r="AJ532" s="949"/>
      <c r="AK532" s="949"/>
      <c r="AL532" s="949"/>
      <c r="AM532" s="953" t="s">
        <v>1062</v>
      </c>
      <c r="AN532" s="954"/>
      <c r="AO532" s="955" t="s">
        <v>1355</v>
      </c>
      <c r="AP532" s="931"/>
      <c r="AQ532" s="956"/>
      <c r="AR532" s="957"/>
      <c r="AS532" s="931"/>
    </row>
    <row r="533" ht="15.75" customHeight="1">
      <c r="A533" s="931"/>
      <c r="B533" s="941" t="s">
        <v>2366</v>
      </c>
      <c r="C533" s="942" t="s">
        <v>2367</v>
      </c>
      <c r="D533" s="942" t="s">
        <v>2367</v>
      </c>
      <c r="E533" s="943" t="s">
        <v>2367</v>
      </c>
      <c r="F533" s="935"/>
      <c r="G533" s="944"/>
      <c r="H533" s="944"/>
      <c r="I533" s="946" t="s">
        <v>2368</v>
      </c>
      <c r="J533" s="947" t="s">
        <v>708</v>
      </c>
      <c r="K533" s="954" t="s">
        <v>158</v>
      </c>
      <c r="L533" s="949">
        <v>45.0</v>
      </c>
      <c r="M533" s="949">
        <v>35.0</v>
      </c>
      <c r="N533" s="949">
        <v>45.0</v>
      </c>
      <c r="O533" s="949">
        <v>62.0</v>
      </c>
      <c r="P533" s="949">
        <v>53.0</v>
      </c>
      <c r="Q533" s="949">
        <v>35.0</v>
      </c>
      <c r="R533" s="949">
        <v>106.0</v>
      </c>
      <c r="S533" s="949">
        <v>169.0</v>
      </c>
      <c r="T533" s="949">
        <v>185.0</v>
      </c>
      <c r="U533" s="949"/>
      <c r="V533" s="949"/>
      <c r="W533" s="949"/>
      <c r="X533" s="949"/>
      <c r="Y533" s="949"/>
      <c r="Z533" s="949"/>
      <c r="AA533" s="949"/>
      <c r="AB533" s="949"/>
      <c r="AC533" s="949"/>
      <c r="AD533" s="949"/>
      <c r="AE533" s="949"/>
      <c r="AF533" s="949"/>
      <c r="AG533" s="949"/>
      <c r="AH533" s="949"/>
      <c r="AI533" s="949"/>
      <c r="AJ533" s="949"/>
      <c r="AK533" s="949"/>
      <c r="AL533" s="949"/>
      <c r="AM533" s="953" t="s">
        <v>736</v>
      </c>
      <c r="AN533" s="954"/>
      <c r="AO533" s="955"/>
      <c r="AP533" s="931"/>
      <c r="AQ533" s="956"/>
      <c r="AR533" s="957"/>
      <c r="AS533" s="931"/>
    </row>
    <row r="534" ht="15.75" customHeight="1">
      <c r="A534" s="931"/>
      <c r="B534" s="941" t="s">
        <v>2369</v>
      </c>
      <c r="C534" s="942" t="s">
        <v>2370</v>
      </c>
      <c r="D534" s="942" t="s">
        <v>2370</v>
      </c>
      <c r="E534" s="943" t="s">
        <v>2370</v>
      </c>
      <c r="F534" s="935"/>
      <c r="G534" s="944"/>
      <c r="H534" s="944"/>
      <c r="I534" s="946" t="s">
        <v>2371</v>
      </c>
      <c r="J534" s="947" t="s">
        <v>708</v>
      </c>
      <c r="K534" s="954" t="s">
        <v>158</v>
      </c>
      <c r="L534" s="949">
        <v>70.0</v>
      </c>
      <c r="M534" s="949">
        <v>60.0</v>
      </c>
      <c r="N534" s="949">
        <v>70.0</v>
      </c>
      <c r="O534" s="949">
        <v>87.0</v>
      </c>
      <c r="P534" s="949">
        <v>78.0</v>
      </c>
      <c r="Q534" s="949">
        <v>85.0</v>
      </c>
      <c r="R534" s="949">
        <v>206.0</v>
      </c>
      <c r="S534" s="949">
        <v>269.0</v>
      </c>
      <c r="T534" s="949">
        <v>295.0</v>
      </c>
      <c r="U534" s="949"/>
      <c r="V534" s="949"/>
      <c r="W534" s="949"/>
      <c r="X534" s="949"/>
      <c r="Y534" s="949"/>
      <c r="Z534" s="949"/>
      <c r="AA534" s="949"/>
      <c r="AB534" s="949"/>
      <c r="AC534" s="949"/>
      <c r="AD534" s="949"/>
      <c r="AE534" s="949"/>
      <c r="AF534" s="949"/>
      <c r="AG534" s="949"/>
      <c r="AH534" s="949"/>
      <c r="AI534" s="949"/>
      <c r="AJ534" s="949"/>
      <c r="AK534" s="949"/>
      <c r="AL534" s="949"/>
      <c r="AM534" s="953" t="s">
        <v>2372</v>
      </c>
      <c r="AN534" s="954"/>
      <c r="AO534" s="955"/>
      <c r="AP534" s="931"/>
      <c r="AQ534" s="956"/>
      <c r="AR534" s="957"/>
      <c r="AS534" s="931"/>
    </row>
    <row r="535" ht="15.75" customHeight="1">
      <c r="A535" s="931"/>
      <c r="B535" s="941" t="s">
        <v>2373</v>
      </c>
      <c r="C535" s="942" t="s">
        <v>2374</v>
      </c>
      <c r="D535" s="942" t="s">
        <v>2374</v>
      </c>
      <c r="E535" s="943" t="s">
        <v>2374</v>
      </c>
      <c r="F535" s="935"/>
      <c r="G535" s="944"/>
      <c r="H535" s="944"/>
      <c r="I535" s="946" t="s">
        <v>2375</v>
      </c>
      <c r="J535" s="947" t="s">
        <v>708</v>
      </c>
      <c r="K535" s="954" t="s">
        <v>158</v>
      </c>
      <c r="L535" s="949">
        <v>70.0</v>
      </c>
      <c r="M535" s="949">
        <v>60.0</v>
      </c>
      <c r="N535" s="949">
        <v>70.0</v>
      </c>
      <c r="O535" s="949">
        <v>87.0</v>
      </c>
      <c r="P535" s="949">
        <v>78.0</v>
      </c>
      <c r="Q535" s="949">
        <v>85.0</v>
      </c>
      <c r="R535" s="949">
        <v>206.0</v>
      </c>
      <c r="S535" s="949">
        <v>269.0</v>
      </c>
      <c r="T535" s="949">
        <v>295.0</v>
      </c>
      <c r="U535" s="949"/>
      <c r="V535" s="949"/>
      <c r="W535" s="949"/>
      <c r="X535" s="949"/>
      <c r="Y535" s="949"/>
      <c r="Z535" s="949"/>
      <c r="AA535" s="949"/>
      <c r="AB535" s="949"/>
      <c r="AC535" s="949"/>
      <c r="AD535" s="949"/>
      <c r="AE535" s="949"/>
      <c r="AF535" s="949"/>
      <c r="AG535" s="949"/>
      <c r="AH535" s="949"/>
      <c r="AI535" s="949"/>
      <c r="AJ535" s="949"/>
      <c r="AK535" s="949"/>
      <c r="AL535" s="949"/>
      <c r="AM535" s="953" t="s">
        <v>2372</v>
      </c>
      <c r="AN535" s="954"/>
      <c r="AO535" s="955"/>
      <c r="AP535" s="931"/>
      <c r="AQ535" s="956"/>
      <c r="AR535" s="957"/>
      <c r="AS535" s="931"/>
    </row>
    <row r="536" ht="15.75" customHeight="1">
      <c r="A536" s="931"/>
      <c r="B536" s="941" t="s">
        <v>2376</v>
      </c>
      <c r="C536" s="942" t="s">
        <v>2377</v>
      </c>
      <c r="D536" s="942" t="s">
        <v>2377</v>
      </c>
      <c r="E536" s="943" t="s">
        <v>2377</v>
      </c>
      <c r="F536" s="935"/>
      <c r="G536" s="944"/>
      <c r="H536" s="944"/>
      <c r="I536" s="946" t="s">
        <v>611</v>
      </c>
      <c r="J536" s="962" t="s">
        <v>706</v>
      </c>
      <c r="K536" s="954" t="s">
        <v>158</v>
      </c>
      <c r="L536" s="949">
        <v>76.0</v>
      </c>
      <c r="M536" s="949">
        <v>48.0</v>
      </c>
      <c r="N536" s="949">
        <v>48.0</v>
      </c>
      <c r="O536" s="949">
        <v>57.0</v>
      </c>
      <c r="P536" s="949">
        <v>62.0</v>
      </c>
      <c r="Q536" s="949">
        <v>34.0</v>
      </c>
      <c r="R536" s="949">
        <v>104.0</v>
      </c>
      <c r="S536" s="949">
        <v>167.0</v>
      </c>
      <c r="T536" s="949">
        <v>183.0</v>
      </c>
      <c r="U536" s="949"/>
      <c r="V536" s="949"/>
      <c r="W536" s="949"/>
      <c r="X536" s="949"/>
      <c r="Y536" s="949"/>
      <c r="Z536" s="949"/>
      <c r="AA536" s="949"/>
      <c r="AB536" s="949"/>
      <c r="AC536" s="949"/>
      <c r="AD536" s="949"/>
      <c r="AE536" s="949"/>
      <c r="AF536" s="949"/>
      <c r="AG536" s="949"/>
      <c r="AH536" s="949"/>
      <c r="AI536" s="949"/>
      <c r="AJ536" s="949"/>
      <c r="AK536" s="949"/>
      <c r="AL536" s="949"/>
      <c r="AM536" s="953" t="s">
        <v>1223</v>
      </c>
      <c r="AN536" s="954" t="s">
        <v>2113</v>
      </c>
      <c r="AO536" s="955" t="s">
        <v>1026</v>
      </c>
      <c r="AP536" s="931"/>
      <c r="AQ536" s="956"/>
      <c r="AR536" s="957"/>
      <c r="AS536" s="931"/>
    </row>
    <row r="537" ht="15.75" customHeight="1">
      <c r="A537" s="931"/>
      <c r="B537" s="941" t="s">
        <v>2378</v>
      </c>
      <c r="C537" s="942" t="s">
        <v>193</v>
      </c>
      <c r="D537" s="942" t="s">
        <v>193</v>
      </c>
      <c r="E537" s="943" t="s">
        <v>193</v>
      </c>
      <c r="F537" s="935"/>
      <c r="G537" s="944"/>
      <c r="H537" s="944"/>
      <c r="I537" s="946" t="s">
        <v>96</v>
      </c>
      <c r="J537" s="962" t="s">
        <v>706</v>
      </c>
      <c r="K537" s="976" t="s">
        <v>711</v>
      </c>
      <c r="L537" s="949">
        <v>111.0</v>
      </c>
      <c r="M537" s="949">
        <v>83.0</v>
      </c>
      <c r="N537" s="949">
        <v>68.0</v>
      </c>
      <c r="O537" s="949">
        <v>92.0</v>
      </c>
      <c r="P537" s="949">
        <v>82.0</v>
      </c>
      <c r="Q537" s="949">
        <v>39.0</v>
      </c>
      <c r="R537" s="949">
        <v>114.0</v>
      </c>
      <c r="S537" s="949">
        <v>177.0</v>
      </c>
      <c r="T537" s="949">
        <v>194.0</v>
      </c>
      <c r="U537" s="949"/>
      <c r="V537" s="949"/>
      <c r="W537" s="949"/>
      <c r="X537" s="949"/>
      <c r="Y537" s="949"/>
      <c r="Z537" s="949"/>
      <c r="AA537" s="949"/>
      <c r="AB537" s="949"/>
      <c r="AC537" s="949"/>
      <c r="AD537" s="949"/>
      <c r="AE537" s="949"/>
      <c r="AF537" s="949"/>
      <c r="AG537" s="949"/>
      <c r="AH537" s="949"/>
      <c r="AI537" s="949"/>
      <c r="AJ537" s="949"/>
      <c r="AK537" s="949"/>
      <c r="AL537" s="949"/>
      <c r="AM537" s="953" t="s">
        <v>1223</v>
      </c>
      <c r="AN537" s="954" t="s">
        <v>2113</v>
      </c>
      <c r="AO537" s="955" t="s">
        <v>1026</v>
      </c>
      <c r="AP537" s="931"/>
      <c r="AQ537" s="956"/>
      <c r="AR537" s="957"/>
      <c r="AS537" s="931"/>
    </row>
    <row r="538" ht="15.75" customHeight="1">
      <c r="A538" s="931"/>
      <c r="B538" s="941" t="s">
        <v>2379</v>
      </c>
      <c r="C538" s="942" t="s">
        <v>2380</v>
      </c>
      <c r="D538" s="942" t="s">
        <v>2380</v>
      </c>
      <c r="E538" s="943" t="s">
        <v>2380</v>
      </c>
      <c r="F538" s="935"/>
      <c r="G538" s="944"/>
      <c r="H538" s="944"/>
      <c r="I538" s="946" t="s">
        <v>2381</v>
      </c>
      <c r="J538" s="968" t="s">
        <v>703</v>
      </c>
      <c r="K538" s="954" t="s">
        <v>158</v>
      </c>
      <c r="L538" s="949">
        <v>75.0</v>
      </c>
      <c r="M538" s="949">
        <v>100.0</v>
      </c>
      <c r="N538" s="949">
        <v>66.0</v>
      </c>
      <c r="O538" s="949">
        <v>60.0</v>
      </c>
      <c r="P538" s="949">
        <v>66.0</v>
      </c>
      <c r="Q538" s="949">
        <v>115.0</v>
      </c>
      <c r="R538" s="949">
        <v>266.0</v>
      </c>
      <c r="S538" s="949">
        <v>329.0</v>
      </c>
      <c r="T538" s="949">
        <v>361.0</v>
      </c>
      <c r="U538" s="949"/>
      <c r="V538" s="949"/>
      <c r="W538" s="949"/>
      <c r="X538" s="949"/>
      <c r="Y538" s="949"/>
      <c r="Z538" s="949"/>
      <c r="AA538" s="949"/>
      <c r="AB538" s="949"/>
      <c r="AC538" s="949"/>
      <c r="AD538" s="949"/>
      <c r="AE538" s="949"/>
      <c r="AF538" s="949"/>
      <c r="AG538" s="949"/>
      <c r="AH538" s="949"/>
      <c r="AI538" s="949"/>
      <c r="AJ538" s="949"/>
      <c r="AK538" s="949"/>
      <c r="AL538" s="949"/>
      <c r="AM538" s="953" t="s">
        <v>1041</v>
      </c>
      <c r="AN538" s="954" t="s">
        <v>1040</v>
      </c>
      <c r="AO538" s="955" t="s">
        <v>1238</v>
      </c>
      <c r="AP538" s="931"/>
      <c r="AQ538" s="956"/>
      <c r="AR538" s="957"/>
      <c r="AS538" s="931"/>
    </row>
    <row r="539" ht="15.75" customHeight="1">
      <c r="A539" s="931"/>
      <c r="B539" s="941" t="s">
        <v>2382</v>
      </c>
      <c r="C539" s="942" t="s">
        <v>2383</v>
      </c>
      <c r="D539" s="942" t="s">
        <v>2383</v>
      </c>
      <c r="E539" s="943" t="s">
        <v>2383</v>
      </c>
      <c r="F539" s="935"/>
      <c r="G539" s="944"/>
      <c r="H539" s="944"/>
      <c r="I539" s="946" t="s">
        <v>612</v>
      </c>
      <c r="J539" s="994" t="s">
        <v>717</v>
      </c>
      <c r="K539" s="960" t="s">
        <v>707</v>
      </c>
      <c r="L539" s="949">
        <v>90.0</v>
      </c>
      <c r="M539" s="949">
        <v>50.0</v>
      </c>
      <c r="N539" s="949">
        <v>34.0</v>
      </c>
      <c r="O539" s="949">
        <v>60.0</v>
      </c>
      <c r="P539" s="949">
        <v>44.0</v>
      </c>
      <c r="Q539" s="949">
        <v>70.0</v>
      </c>
      <c r="R539" s="949">
        <v>176.0</v>
      </c>
      <c r="S539" s="949">
        <v>239.0</v>
      </c>
      <c r="T539" s="949">
        <v>262.0</v>
      </c>
      <c r="U539" s="949"/>
      <c r="V539" s="949"/>
      <c r="W539" s="949"/>
      <c r="X539" s="949"/>
      <c r="Y539" s="949"/>
      <c r="Z539" s="949"/>
      <c r="AA539" s="949"/>
      <c r="AB539" s="949"/>
      <c r="AC539" s="949"/>
      <c r="AD539" s="949"/>
      <c r="AE539" s="949"/>
      <c r="AF539" s="949"/>
      <c r="AG539" s="949"/>
      <c r="AH539" s="949"/>
      <c r="AI539" s="949"/>
      <c r="AJ539" s="949"/>
      <c r="AK539" s="949"/>
      <c r="AL539" s="949"/>
      <c r="AM539" s="953" t="s">
        <v>1273</v>
      </c>
      <c r="AN539" s="954" t="s">
        <v>1306</v>
      </c>
      <c r="AO539" s="955" t="s">
        <v>2384</v>
      </c>
      <c r="AP539" s="931"/>
      <c r="AQ539" s="956"/>
      <c r="AR539" s="957"/>
      <c r="AS539" s="931"/>
    </row>
    <row r="540" ht="15.75" customHeight="1">
      <c r="A540" s="931"/>
      <c r="B540" s="941" t="s">
        <v>2385</v>
      </c>
      <c r="C540" s="942" t="s">
        <v>2386</v>
      </c>
      <c r="D540" s="942" t="s">
        <v>2386</v>
      </c>
      <c r="E540" s="943" t="s">
        <v>2386</v>
      </c>
      <c r="F540" s="935"/>
      <c r="G540" s="944"/>
      <c r="H540" s="944"/>
      <c r="I540" s="946" t="s">
        <v>399</v>
      </c>
      <c r="J540" s="994" t="s">
        <v>717</v>
      </c>
      <c r="K540" s="960" t="s">
        <v>707</v>
      </c>
      <c r="L540" s="949">
        <v>150.0</v>
      </c>
      <c r="M540" s="949">
        <v>80.0</v>
      </c>
      <c r="N540" s="949">
        <v>44.0</v>
      </c>
      <c r="O540" s="949">
        <v>90.0</v>
      </c>
      <c r="P540" s="949">
        <v>54.0</v>
      </c>
      <c r="Q540" s="949">
        <v>80.0</v>
      </c>
      <c r="R540" s="949">
        <v>196.0</v>
      </c>
      <c r="S540" s="949">
        <v>259.0</v>
      </c>
      <c r="T540" s="949">
        <v>284.0</v>
      </c>
      <c r="U540" s="949"/>
      <c r="V540" s="949"/>
      <c r="W540" s="949"/>
      <c r="X540" s="949"/>
      <c r="Y540" s="949"/>
      <c r="Z540" s="949"/>
      <c r="AA540" s="949"/>
      <c r="AB540" s="949"/>
      <c r="AC540" s="949"/>
      <c r="AD540" s="949"/>
      <c r="AE540" s="949"/>
      <c r="AF540" s="949"/>
      <c r="AG540" s="949"/>
      <c r="AH540" s="949"/>
      <c r="AI540" s="949"/>
      <c r="AJ540" s="949"/>
      <c r="AK540" s="949"/>
      <c r="AL540" s="949"/>
      <c r="AM540" s="953" t="s">
        <v>1273</v>
      </c>
      <c r="AN540" s="954" t="s">
        <v>1306</v>
      </c>
      <c r="AO540" s="955" t="s">
        <v>2384</v>
      </c>
      <c r="AP540" s="931"/>
      <c r="AQ540" s="956"/>
      <c r="AR540" s="957"/>
      <c r="AS540" s="931"/>
    </row>
    <row r="541" ht="15.75" customHeight="1">
      <c r="A541" s="931"/>
      <c r="B541" s="941" t="s">
        <v>2387</v>
      </c>
      <c r="C541" s="942" t="s">
        <v>2388</v>
      </c>
      <c r="D541" s="942" t="s">
        <v>2388</v>
      </c>
      <c r="E541" s="943" t="s">
        <v>2388</v>
      </c>
      <c r="F541" s="935"/>
      <c r="G541" s="944"/>
      <c r="H541" s="944"/>
      <c r="I541" s="946" t="s">
        <v>2389</v>
      </c>
      <c r="J541" s="968" t="s">
        <v>703</v>
      </c>
      <c r="K541" s="954" t="s">
        <v>158</v>
      </c>
      <c r="L541" s="949">
        <v>55.0</v>
      </c>
      <c r="M541" s="949">
        <v>66.0</v>
      </c>
      <c r="N541" s="949">
        <v>44.0</v>
      </c>
      <c r="O541" s="949">
        <v>44.0</v>
      </c>
      <c r="P541" s="949">
        <v>56.0</v>
      </c>
      <c r="Q541" s="949">
        <v>85.0</v>
      </c>
      <c r="R541" s="949">
        <v>206.0</v>
      </c>
      <c r="S541" s="949">
        <v>269.0</v>
      </c>
      <c r="T541" s="949">
        <v>295.0</v>
      </c>
      <c r="U541" s="949"/>
      <c r="V541" s="949"/>
      <c r="W541" s="949"/>
      <c r="X541" s="949"/>
      <c r="Y541" s="949"/>
      <c r="Z541" s="949"/>
      <c r="AA541" s="949"/>
      <c r="AB541" s="949"/>
      <c r="AC541" s="949"/>
      <c r="AD541" s="949"/>
      <c r="AE541" s="949"/>
      <c r="AF541" s="949"/>
      <c r="AG541" s="949"/>
      <c r="AH541" s="949"/>
      <c r="AI541" s="949"/>
      <c r="AJ541" s="949"/>
      <c r="AK541" s="949"/>
      <c r="AL541" s="949"/>
      <c r="AM541" s="953" t="s">
        <v>787</v>
      </c>
      <c r="AN541" s="954" t="s">
        <v>2390</v>
      </c>
      <c r="AO541" s="955" t="s">
        <v>1053</v>
      </c>
      <c r="AP541" s="931"/>
      <c r="AQ541" s="956"/>
      <c r="AR541" s="957"/>
      <c r="AS541" s="931"/>
    </row>
    <row r="542" ht="15.75" customHeight="1">
      <c r="A542" s="931"/>
      <c r="B542" s="941" t="s">
        <v>2391</v>
      </c>
      <c r="C542" s="942" t="s">
        <v>2392</v>
      </c>
      <c r="D542" s="942" t="s">
        <v>2392</v>
      </c>
      <c r="E542" s="943" t="s">
        <v>2392</v>
      </c>
      <c r="F542" s="935"/>
      <c r="G542" s="944"/>
      <c r="H542" s="944"/>
      <c r="I542" s="946" t="s">
        <v>2393</v>
      </c>
      <c r="J542" s="968" t="s">
        <v>703</v>
      </c>
      <c r="K542" s="954" t="s">
        <v>158</v>
      </c>
      <c r="L542" s="949">
        <v>65.0</v>
      </c>
      <c r="M542" s="949">
        <v>76.0</v>
      </c>
      <c r="N542" s="949">
        <v>84.0</v>
      </c>
      <c r="O542" s="949">
        <v>54.0</v>
      </c>
      <c r="P542" s="949">
        <v>96.0</v>
      </c>
      <c r="Q542" s="949">
        <v>105.0</v>
      </c>
      <c r="R542" s="949">
        <v>246.0</v>
      </c>
      <c r="S542" s="949">
        <v>309.0</v>
      </c>
      <c r="T542" s="949">
        <v>339.0</v>
      </c>
      <c r="U542" s="949"/>
      <c r="V542" s="949"/>
      <c r="W542" s="949"/>
      <c r="X542" s="949"/>
      <c r="Y542" s="949"/>
      <c r="Z542" s="949"/>
      <c r="AA542" s="949"/>
      <c r="AB542" s="949"/>
      <c r="AC542" s="949"/>
      <c r="AD542" s="949"/>
      <c r="AE542" s="949"/>
      <c r="AF542" s="949"/>
      <c r="AG542" s="949"/>
      <c r="AH542" s="949"/>
      <c r="AI542" s="949"/>
      <c r="AJ542" s="949"/>
      <c r="AK542" s="949"/>
      <c r="AL542" s="949"/>
      <c r="AM542" s="953" t="s">
        <v>962</v>
      </c>
      <c r="AN542" s="954" t="s">
        <v>2390</v>
      </c>
      <c r="AO542" s="955" t="s">
        <v>1053</v>
      </c>
      <c r="AP542" s="931"/>
      <c r="AQ542" s="956"/>
      <c r="AR542" s="957"/>
      <c r="AS542" s="931"/>
    </row>
    <row r="543" ht="15.75" customHeight="1">
      <c r="A543" s="931"/>
      <c r="B543" s="941" t="s">
        <v>2394</v>
      </c>
      <c r="C543" s="942" t="s">
        <v>2395</v>
      </c>
      <c r="D543" s="942" t="s">
        <v>2395</v>
      </c>
      <c r="E543" s="943" t="s">
        <v>2395</v>
      </c>
      <c r="F543" s="935"/>
      <c r="G543" s="944"/>
      <c r="H543" s="944"/>
      <c r="I543" s="946" t="s">
        <v>2396</v>
      </c>
      <c r="J543" s="968" t="s">
        <v>703</v>
      </c>
      <c r="K543" s="988" t="s">
        <v>705</v>
      </c>
      <c r="L543" s="949">
        <v>65.0</v>
      </c>
      <c r="M543" s="949">
        <v>136.0</v>
      </c>
      <c r="N543" s="949">
        <v>94.0</v>
      </c>
      <c r="O543" s="949">
        <v>54.0</v>
      </c>
      <c r="P543" s="949">
        <v>96.0</v>
      </c>
      <c r="Q543" s="949">
        <v>135.0</v>
      </c>
      <c r="R543" s="949">
        <v>306.0</v>
      </c>
      <c r="S543" s="949">
        <v>369.0</v>
      </c>
      <c r="T543" s="949">
        <v>405.0</v>
      </c>
      <c r="U543" s="949"/>
      <c r="V543" s="949"/>
      <c r="W543" s="949"/>
      <c r="X543" s="949"/>
      <c r="Y543" s="949"/>
      <c r="Z543" s="949"/>
      <c r="AA543" s="949"/>
      <c r="AB543" s="949"/>
      <c r="AC543" s="949"/>
      <c r="AD543" s="949"/>
      <c r="AE543" s="949"/>
      <c r="AF543" s="949"/>
      <c r="AG543" s="949"/>
      <c r="AH543" s="949"/>
      <c r="AI543" s="949"/>
      <c r="AJ543" s="949"/>
      <c r="AK543" s="949"/>
      <c r="AL543" s="949"/>
      <c r="AM543" s="953" t="s">
        <v>1205</v>
      </c>
      <c r="AN543" s="954"/>
      <c r="AO543" s="955"/>
      <c r="AP543" s="931"/>
      <c r="AQ543" s="956"/>
      <c r="AR543" s="957"/>
      <c r="AS543" s="931"/>
    </row>
    <row r="544" ht="15.75" customHeight="1">
      <c r="A544" s="931"/>
      <c r="B544" s="941" t="s">
        <v>2397</v>
      </c>
      <c r="C544" s="942" t="s">
        <v>2398</v>
      </c>
      <c r="D544" s="942" t="s">
        <v>2398</v>
      </c>
      <c r="E544" s="943" t="s">
        <v>2398</v>
      </c>
      <c r="F544" s="935"/>
      <c r="G544" s="944"/>
      <c r="H544" s="944"/>
      <c r="I544" s="946" t="s">
        <v>412</v>
      </c>
      <c r="J544" s="994" t="s">
        <v>717</v>
      </c>
      <c r="K544" s="954" t="s">
        <v>158</v>
      </c>
      <c r="L544" s="949">
        <v>60.0</v>
      </c>
      <c r="M544" s="949">
        <v>60.0</v>
      </c>
      <c r="N544" s="949">
        <v>60.0</v>
      </c>
      <c r="O544" s="949">
        <v>105.0</v>
      </c>
      <c r="P544" s="949">
        <v>105.0</v>
      </c>
      <c r="Q544" s="949">
        <v>105.0</v>
      </c>
      <c r="R544" s="949">
        <v>246.0</v>
      </c>
      <c r="S544" s="949">
        <v>309.0</v>
      </c>
      <c r="T544" s="949">
        <v>339.0</v>
      </c>
      <c r="U544" s="949"/>
      <c r="V544" s="949"/>
      <c r="W544" s="949"/>
      <c r="X544" s="949"/>
      <c r="Y544" s="949"/>
      <c r="Z544" s="949"/>
      <c r="AA544" s="949"/>
      <c r="AB544" s="949"/>
      <c r="AC544" s="949"/>
      <c r="AD544" s="949"/>
      <c r="AE544" s="949"/>
      <c r="AF544" s="949"/>
      <c r="AG544" s="949"/>
      <c r="AH544" s="949"/>
      <c r="AI544" s="949"/>
      <c r="AJ544" s="949"/>
      <c r="AK544" s="949"/>
      <c r="AL544" s="949"/>
      <c r="AM544" s="953" t="s">
        <v>1244</v>
      </c>
      <c r="AN544" s="954"/>
      <c r="AO544" s="955"/>
      <c r="AP544" s="931"/>
      <c r="AQ544" s="956"/>
      <c r="AR544" s="957"/>
      <c r="AS544" s="931"/>
    </row>
    <row r="545" ht="15.75" customHeight="1">
      <c r="A545" s="931"/>
      <c r="B545" s="941" t="s">
        <v>2399</v>
      </c>
      <c r="C545" s="942" t="s">
        <v>2400</v>
      </c>
      <c r="D545" s="942" t="s">
        <v>2400</v>
      </c>
      <c r="E545" s="943" t="s">
        <v>2400</v>
      </c>
      <c r="F545" s="935"/>
      <c r="G545" s="944"/>
      <c r="H545" s="944"/>
      <c r="I545" s="959" t="s">
        <v>442</v>
      </c>
      <c r="J545" s="969" t="s">
        <v>718</v>
      </c>
      <c r="K545" s="960" t="s">
        <v>707</v>
      </c>
      <c r="L545" s="949">
        <v>100.0</v>
      </c>
      <c r="M545" s="949">
        <v>125.0</v>
      </c>
      <c r="N545" s="949">
        <v>52.0</v>
      </c>
      <c r="O545" s="949">
        <v>105.0</v>
      </c>
      <c r="P545" s="949">
        <v>52.0</v>
      </c>
      <c r="Q545" s="949">
        <v>71.0</v>
      </c>
      <c r="R545" s="949">
        <v>178.0</v>
      </c>
      <c r="S545" s="949">
        <v>241.0</v>
      </c>
      <c r="T545" s="949">
        <v>265.0</v>
      </c>
      <c r="U545" s="949"/>
      <c r="V545" s="949"/>
      <c r="W545" s="949"/>
      <c r="X545" s="949"/>
      <c r="Y545" s="949"/>
      <c r="Z545" s="949"/>
      <c r="AA545" s="949"/>
      <c r="AB545" s="949"/>
      <c r="AC545" s="949"/>
      <c r="AD545" s="949"/>
      <c r="AE545" s="949"/>
      <c r="AF545" s="949"/>
      <c r="AG545" s="949"/>
      <c r="AH545" s="949"/>
      <c r="AI545" s="949"/>
      <c r="AJ545" s="949"/>
      <c r="AK545" s="949"/>
      <c r="AL545" s="949"/>
      <c r="AM545" s="964" t="s">
        <v>1259</v>
      </c>
      <c r="AN545" s="954" t="s">
        <v>1576</v>
      </c>
      <c r="AO545" s="955" t="s">
        <v>1392</v>
      </c>
      <c r="AP545" s="931"/>
      <c r="AQ545" s="956"/>
      <c r="AR545" s="957"/>
      <c r="AS545" s="931"/>
    </row>
    <row r="546" ht="15.75" customHeight="1">
      <c r="A546" s="931"/>
      <c r="B546" s="941" t="s">
        <v>2401</v>
      </c>
      <c r="C546" s="942" t="s">
        <v>2402</v>
      </c>
      <c r="D546" s="942" t="s">
        <v>2402</v>
      </c>
      <c r="E546" s="943" t="s">
        <v>2402</v>
      </c>
      <c r="F546" s="935"/>
      <c r="G546" s="944"/>
      <c r="H546" s="944"/>
      <c r="I546" s="959" t="s">
        <v>2403</v>
      </c>
      <c r="J546" s="968" t="s">
        <v>703</v>
      </c>
      <c r="K546" s="954" t="s">
        <v>158</v>
      </c>
      <c r="L546" s="949">
        <v>49.0</v>
      </c>
      <c r="M546" s="949">
        <v>55.0</v>
      </c>
      <c r="N546" s="949">
        <v>42.0</v>
      </c>
      <c r="O546" s="949">
        <v>42.0</v>
      </c>
      <c r="P546" s="949">
        <v>37.0</v>
      </c>
      <c r="Q546" s="949">
        <v>85.0</v>
      </c>
      <c r="R546" s="949">
        <v>206.0</v>
      </c>
      <c r="S546" s="949">
        <v>269.0</v>
      </c>
      <c r="T546" s="949">
        <v>295.0</v>
      </c>
      <c r="U546" s="949"/>
      <c r="V546" s="949"/>
      <c r="W546" s="949"/>
      <c r="X546" s="949"/>
      <c r="Y546" s="949"/>
      <c r="Z546" s="949"/>
      <c r="AA546" s="949"/>
      <c r="AB546" s="949"/>
      <c r="AC546" s="949"/>
      <c r="AD546" s="949"/>
      <c r="AE546" s="949"/>
      <c r="AF546" s="949"/>
      <c r="AG546" s="949"/>
      <c r="AH546" s="949"/>
      <c r="AI546" s="949"/>
      <c r="AJ546" s="949"/>
      <c r="AK546" s="949"/>
      <c r="AL546" s="949"/>
      <c r="AM546" s="964" t="s">
        <v>1053</v>
      </c>
      <c r="AN546" s="954" t="s">
        <v>1176</v>
      </c>
      <c r="AO546" s="955" t="s">
        <v>815</v>
      </c>
      <c r="AP546" s="931"/>
      <c r="AQ546" s="956"/>
      <c r="AR546" s="957"/>
      <c r="AS546" s="931"/>
    </row>
    <row r="547" ht="15.75" customHeight="1">
      <c r="A547" s="963"/>
      <c r="B547" s="941" t="s">
        <v>2404</v>
      </c>
      <c r="C547" s="971" t="s">
        <v>2405</v>
      </c>
      <c r="D547" s="971" t="s">
        <v>2405</v>
      </c>
      <c r="E547" s="966" t="s">
        <v>2405</v>
      </c>
      <c r="F547" s="935"/>
      <c r="G547" s="944"/>
      <c r="H547" s="944"/>
      <c r="I547" s="959" t="s">
        <v>2406</v>
      </c>
      <c r="J547" s="991" t="s">
        <v>703</v>
      </c>
      <c r="K547" s="973" t="s">
        <v>158</v>
      </c>
      <c r="L547" s="974">
        <v>71.0</v>
      </c>
      <c r="M547" s="974">
        <v>82.0</v>
      </c>
      <c r="N547" s="974">
        <v>64.0</v>
      </c>
      <c r="O547" s="974">
        <v>64.0</v>
      </c>
      <c r="P547" s="974">
        <v>59.0</v>
      </c>
      <c r="Q547" s="974">
        <v>112.0</v>
      </c>
      <c r="R547" s="949">
        <v>260.0</v>
      </c>
      <c r="S547" s="949">
        <v>323.0</v>
      </c>
      <c r="T547" s="949">
        <v>355.0</v>
      </c>
      <c r="U547" s="949"/>
      <c r="V547" s="949"/>
      <c r="W547" s="949"/>
      <c r="X547" s="949"/>
      <c r="Y547" s="949"/>
      <c r="Z547" s="949"/>
      <c r="AA547" s="949"/>
      <c r="AB547" s="949"/>
      <c r="AC547" s="949"/>
      <c r="AD547" s="949"/>
      <c r="AE547" s="949"/>
      <c r="AF547" s="949"/>
      <c r="AG547" s="949"/>
      <c r="AH547" s="949"/>
      <c r="AI547" s="949"/>
      <c r="AJ547" s="949"/>
      <c r="AK547" s="949"/>
      <c r="AL547" s="949"/>
      <c r="AM547" s="964" t="s">
        <v>746</v>
      </c>
      <c r="AN547" s="973" t="s">
        <v>1176</v>
      </c>
      <c r="AO547" s="965" t="s">
        <v>1069</v>
      </c>
      <c r="AP547" s="931"/>
      <c r="AQ547" s="956"/>
      <c r="AR547" s="957"/>
      <c r="AS547" s="931"/>
    </row>
    <row r="548" ht="15.75" customHeight="1">
      <c r="A548" s="963"/>
      <c r="B548" s="941" t="s">
        <v>2407</v>
      </c>
      <c r="C548" s="971" t="s">
        <v>2408</v>
      </c>
      <c r="D548" s="971" t="s">
        <v>2408</v>
      </c>
      <c r="E548" s="966" t="s">
        <v>2408</v>
      </c>
      <c r="F548" s="935"/>
      <c r="G548" s="944"/>
      <c r="H548" s="944"/>
      <c r="I548" s="959" t="s">
        <v>2409</v>
      </c>
      <c r="J548" s="990" t="s">
        <v>712</v>
      </c>
      <c r="K548" s="973" t="s">
        <v>158</v>
      </c>
      <c r="L548" s="974">
        <v>45.0</v>
      </c>
      <c r="M548" s="974">
        <v>30.0</v>
      </c>
      <c r="N548" s="974">
        <v>50.0</v>
      </c>
      <c r="O548" s="974">
        <v>65.0</v>
      </c>
      <c r="P548" s="974">
        <v>50.0</v>
      </c>
      <c r="Q548" s="974">
        <v>45.0</v>
      </c>
      <c r="R548" s="949">
        <v>126.0</v>
      </c>
      <c r="S548" s="949">
        <v>189.0</v>
      </c>
      <c r="T548" s="949">
        <v>207.0</v>
      </c>
      <c r="U548" s="949"/>
      <c r="V548" s="949"/>
      <c r="W548" s="949"/>
      <c r="X548" s="949"/>
      <c r="Y548" s="949"/>
      <c r="Z548" s="949"/>
      <c r="AA548" s="949"/>
      <c r="AB548" s="949"/>
      <c r="AC548" s="949"/>
      <c r="AD548" s="949"/>
      <c r="AE548" s="949"/>
      <c r="AF548" s="949"/>
      <c r="AG548" s="949"/>
      <c r="AH548" s="949"/>
      <c r="AI548" s="949"/>
      <c r="AJ548" s="949"/>
      <c r="AK548" s="949"/>
      <c r="AL548" s="949"/>
      <c r="AM548" s="964" t="s">
        <v>1244</v>
      </c>
      <c r="AN548" s="973"/>
      <c r="AO548" s="965"/>
      <c r="AP548" s="931"/>
      <c r="AQ548" s="956"/>
      <c r="AR548" s="957"/>
      <c r="AS548" s="931"/>
    </row>
    <row r="549" ht="15.75" customHeight="1">
      <c r="A549" s="931"/>
      <c r="B549" s="941" t="s">
        <v>2410</v>
      </c>
      <c r="C549" s="942" t="s">
        <v>2411</v>
      </c>
      <c r="D549" s="942" t="s">
        <v>2411</v>
      </c>
      <c r="E549" s="943" t="s">
        <v>2411</v>
      </c>
      <c r="F549" s="935"/>
      <c r="G549" s="944"/>
      <c r="H549" s="944"/>
      <c r="I549" s="946" t="s">
        <v>613</v>
      </c>
      <c r="J549" s="948" t="s">
        <v>709</v>
      </c>
      <c r="K549" s="969" t="s">
        <v>718</v>
      </c>
      <c r="L549" s="949">
        <v>63.0</v>
      </c>
      <c r="M549" s="949">
        <v>63.0</v>
      </c>
      <c r="N549" s="949">
        <v>47.0</v>
      </c>
      <c r="O549" s="949">
        <v>41.0</v>
      </c>
      <c r="P549" s="949">
        <v>41.0</v>
      </c>
      <c r="Q549" s="949">
        <v>74.0</v>
      </c>
      <c r="R549" s="949">
        <v>184.0</v>
      </c>
      <c r="S549" s="949">
        <v>247.0</v>
      </c>
      <c r="T549" s="949">
        <v>271.0</v>
      </c>
      <c r="U549" s="949"/>
      <c r="V549" s="949"/>
      <c r="W549" s="949"/>
      <c r="X549" s="949"/>
      <c r="Y549" s="949"/>
      <c r="Z549" s="949"/>
      <c r="AA549" s="949"/>
      <c r="AB549" s="949"/>
      <c r="AC549" s="949"/>
      <c r="AD549" s="949"/>
      <c r="AE549" s="949"/>
      <c r="AF549" s="949"/>
      <c r="AG549" s="949"/>
      <c r="AH549" s="949"/>
      <c r="AI549" s="949"/>
      <c r="AJ549" s="949"/>
      <c r="AK549" s="949"/>
      <c r="AL549" s="949"/>
      <c r="AM549" s="953" t="s">
        <v>1005</v>
      </c>
      <c r="AN549" s="954" t="s">
        <v>1273</v>
      </c>
      <c r="AO549" s="955" t="s">
        <v>815</v>
      </c>
      <c r="AP549" s="931"/>
      <c r="AQ549" s="956"/>
      <c r="AR549" s="957"/>
      <c r="AS549" s="931"/>
    </row>
    <row r="550" ht="15.75" customHeight="1">
      <c r="A550" s="931"/>
      <c r="B550" s="941" t="s">
        <v>2412</v>
      </c>
      <c r="C550" s="942" t="s">
        <v>2413</v>
      </c>
      <c r="D550" s="942" t="s">
        <v>2413</v>
      </c>
      <c r="E550" s="943" t="s">
        <v>2413</v>
      </c>
      <c r="F550" s="935"/>
      <c r="G550" s="944"/>
      <c r="H550" s="944"/>
      <c r="I550" s="946" t="s">
        <v>488</v>
      </c>
      <c r="J550" s="948" t="s">
        <v>709</v>
      </c>
      <c r="K550" s="969" t="s">
        <v>718</v>
      </c>
      <c r="L550" s="949">
        <v>103.0</v>
      </c>
      <c r="M550" s="949">
        <v>93.0</v>
      </c>
      <c r="N550" s="949">
        <v>67.0</v>
      </c>
      <c r="O550" s="949">
        <v>71.0</v>
      </c>
      <c r="P550" s="949">
        <v>61.0</v>
      </c>
      <c r="Q550" s="949">
        <v>84.0</v>
      </c>
      <c r="R550" s="949">
        <v>204.0</v>
      </c>
      <c r="S550" s="949">
        <v>267.0</v>
      </c>
      <c r="T550" s="949">
        <v>293.0</v>
      </c>
      <c r="U550" s="949"/>
      <c r="V550" s="949"/>
      <c r="W550" s="949"/>
      <c r="X550" s="949"/>
      <c r="Y550" s="949"/>
      <c r="Z550" s="949"/>
      <c r="AA550" s="949"/>
      <c r="AB550" s="949"/>
      <c r="AC550" s="949"/>
      <c r="AD550" s="949"/>
      <c r="AE550" s="949"/>
      <c r="AF550" s="949"/>
      <c r="AG550" s="949"/>
      <c r="AH550" s="949"/>
      <c r="AI550" s="949"/>
      <c r="AJ550" s="949"/>
      <c r="AK550" s="949"/>
      <c r="AL550" s="949"/>
      <c r="AM550" s="953" t="s">
        <v>1005</v>
      </c>
      <c r="AN550" s="954" t="s">
        <v>1273</v>
      </c>
      <c r="AO550" s="955" t="s">
        <v>815</v>
      </c>
      <c r="AP550" s="931"/>
      <c r="AQ550" s="956"/>
      <c r="AR550" s="957"/>
      <c r="AS550" s="931"/>
    </row>
    <row r="551" ht="15.75" customHeight="1">
      <c r="A551" s="931"/>
      <c r="B551" s="941" t="s">
        <v>2414</v>
      </c>
      <c r="C551" s="942" t="s">
        <v>2415</v>
      </c>
      <c r="D551" s="942" t="s">
        <v>2415</v>
      </c>
      <c r="E551" s="943" t="s">
        <v>2415</v>
      </c>
      <c r="F551" s="935"/>
      <c r="G551" s="944"/>
      <c r="H551" s="944"/>
      <c r="I551" s="946" t="s">
        <v>540</v>
      </c>
      <c r="J551" s="978" t="s">
        <v>719</v>
      </c>
      <c r="K551" s="975" t="s">
        <v>712</v>
      </c>
      <c r="L551" s="949">
        <v>57.0</v>
      </c>
      <c r="M551" s="949">
        <v>24.0</v>
      </c>
      <c r="N551" s="949">
        <v>86.0</v>
      </c>
      <c r="O551" s="949">
        <v>24.0</v>
      </c>
      <c r="P551" s="949">
        <v>86.0</v>
      </c>
      <c r="Q551" s="949">
        <v>23.0</v>
      </c>
      <c r="R551" s="949">
        <v>82.0</v>
      </c>
      <c r="S551" s="949">
        <v>145.0</v>
      </c>
      <c r="T551" s="949">
        <v>159.0</v>
      </c>
      <c r="U551" s="949"/>
      <c r="V551" s="949"/>
      <c r="W551" s="949"/>
      <c r="X551" s="949"/>
      <c r="Y551" s="949"/>
      <c r="Z551" s="949"/>
      <c r="AA551" s="949"/>
      <c r="AB551" s="949"/>
      <c r="AC551" s="949"/>
      <c r="AD551" s="949"/>
      <c r="AE551" s="949"/>
      <c r="AF551" s="949"/>
      <c r="AG551" s="949"/>
      <c r="AH551" s="949"/>
      <c r="AI551" s="949"/>
      <c r="AJ551" s="949"/>
      <c r="AK551" s="949"/>
      <c r="AL551" s="949"/>
      <c r="AM551" s="953" t="s">
        <v>1244</v>
      </c>
      <c r="AN551" s="954" t="s">
        <v>2416</v>
      </c>
      <c r="AO551" s="955" t="s">
        <v>1983</v>
      </c>
      <c r="AP551" s="931"/>
      <c r="AQ551" s="956"/>
      <c r="AR551" s="957"/>
      <c r="AS551" s="931"/>
    </row>
    <row r="552" ht="15.75" customHeight="1">
      <c r="A552" s="931"/>
      <c r="B552" s="941" t="s">
        <v>2417</v>
      </c>
      <c r="C552" s="942" t="s">
        <v>2418</v>
      </c>
      <c r="D552" s="942" t="s">
        <v>2418</v>
      </c>
      <c r="E552" s="943" t="s">
        <v>2418</v>
      </c>
      <c r="F552" s="935"/>
      <c r="G552" s="944"/>
      <c r="H552" s="944"/>
      <c r="I552" s="946" t="s">
        <v>302</v>
      </c>
      <c r="J552" s="978" t="s">
        <v>719</v>
      </c>
      <c r="K552" s="975" t="s">
        <v>712</v>
      </c>
      <c r="L552" s="949">
        <v>67.0</v>
      </c>
      <c r="M552" s="949">
        <v>89.0</v>
      </c>
      <c r="N552" s="949">
        <v>116.0</v>
      </c>
      <c r="O552" s="949">
        <v>79.0</v>
      </c>
      <c r="P552" s="949">
        <v>116.0</v>
      </c>
      <c r="Q552" s="949">
        <v>33.0</v>
      </c>
      <c r="R552" s="949">
        <v>102.0</v>
      </c>
      <c r="S552" s="949">
        <v>165.0</v>
      </c>
      <c r="T552" s="949">
        <v>181.0</v>
      </c>
      <c r="U552" s="949"/>
      <c r="V552" s="949"/>
      <c r="W552" s="949"/>
      <c r="X552" s="949"/>
      <c r="Y552" s="949"/>
      <c r="Z552" s="949"/>
      <c r="AA552" s="949"/>
      <c r="AB552" s="949"/>
      <c r="AC552" s="949"/>
      <c r="AD552" s="949"/>
      <c r="AE552" s="949"/>
      <c r="AF552" s="949"/>
      <c r="AG552" s="949"/>
      <c r="AH552" s="949"/>
      <c r="AI552" s="949"/>
      <c r="AJ552" s="949"/>
      <c r="AK552" s="949"/>
      <c r="AL552" s="949"/>
      <c r="AM552" s="953" t="s">
        <v>1244</v>
      </c>
      <c r="AN552" s="954" t="s">
        <v>2416</v>
      </c>
      <c r="AO552" s="955" t="s">
        <v>1983</v>
      </c>
      <c r="AP552" s="931"/>
      <c r="AQ552" s="956"/>
      <c r="AR552" s="957"/>
      <c r="AS552" s="931"/>
    </row>
    <row r="553" ht="15.75" customHeight="1">
      <c r="A553" s="963"/>
      <c r="B553" s="941" t="s">
        <v>2419</v>
      </c>
      <c r="C553" s="971" t="s">
        <v>2420</v>
      </c>
      <c r="D553" s="971" t="s">
        <v>2420</v>
      </c>
      <c r="E553" s="966" t="s">
        <v>2420</v>
      </c>
      <c r="F553" s="935"/>
      <c r="G553" s="944"/>
      <c r="H553" s="944"/>
      <c r="I553" s="959" t="s">
        <v>2421</v>
      </c>
      <c r="J553" s="996" t="s">
        <v>713</v>
      </c>
      <c r="K553" s="973" t="s">
        <v>158</v>
      </c>
      <c r="L553" s="974">
        <v>50.0</v>
      </c>
      <c r="M553" s="974">
        <v>80.0</v>
      </c>
      <c r="N553" s="974">
        <v>95.0</v>
      </c>
      <c r="O553" s="974">
        <v>10.0</v>
      </c>
      <c r="P553" s="974">
        <v>45.0</v>
      </c>
      <c r="Q553" s="974">
        <v>10.0</v>
      </c>
      <c r="R553" s="949">
        <v>56.0</v>
      </c>
      <c r="S553" s="949">
        <v>119.0</v>
      </c>
      <c r="T553" s="949">
        <v>130.0</v>
      </c>
      <c r="U553" s="949"/>
      <c r="V553" s="949"/>
      <c r="W553" s="949"/>
      <c r="X553" s="949"/>
      <c r="Y553" s="949"/>
      <c r="Z553" s="949"/>
      <c r="AA553" s="949"/>
      <c r="AB553" s="949"/>
      <c r="AC553" s="949"/>
      <c r="AD553" s="949"/>
      <c r="AE553" s="949"/>
      <c r="AF553" s="949"/>
      <c r="AG553" s="949"/>
      <c r="AH553" s="949"/>
      <c r="AI553" s="949"/>
      <c r="AJ553" s="949"/>
      <c r="AK553" s="949"/>
      <c r="AL553" s="949"/>
      <c r="AM553" s="964" t="s">
        <v>1135</v>
      </c>
      <c r="AN553" s="973" t="s">
        <v>1077</v>
      </c>
      <c r="AO553" s="965" t="s">
        <v>1046</v>
      </c>
      <c r="AP553" s="931"/>
      <c r="AQ553" s="956"/>
      <c r="AR553" s="957"/>
      <c r="AS553" s="931"/>
    </row>
    <row r="554" ht="15.75" customHeight="1">
      <c r="A554" s="963"/>
      <c r="B554" s="941" t="s">
        <v>2422</v>
      </c>
      <c r="C554" s="971" t="s">
        <v>2423</v>
      </c>
      <c r="D554" s="971" t="s">
        <v>2424</v>
      </c>
      <c r="E554" s="966" t="s">
        <v>2423</v>
      </c>
      <c r="F554" s="935"/>
      <c r="G554" s="944"/>
      <c r="H554" s="944"/>
      <c r="I554" s="959" t="s">
        <v>2425</v>
      </c>
      <c r="J554" s="990" t="s">
        <v>712</v>
      </c>
      <c r="K554" s="1008" t="s">
        <v>720</v>
      </c>
      <c r="L554" s="974">
        <v>20.0</v>
      </c>
      <c r="M554" s="974">
        <v>25.0</v>
      </c>
      <c r="N554" s="974">
        <v>45.0</v>
      </c>
      <c r="O554" s="974">
        <v>70.0</v>
      </c>
      <c r="P554" s="974">
        <v>90.0</v>
      </c>
      <c r="Q554" s="974">
        <v>60.0</v>
      </c>
      <c r="R554" s="949">
        <v>156.0</v>
      </c>
      <c r="S554" s="949">
        <v>219.0</v>
      </c>
      <c r="T554" s="949">
        <v>240.0</v>
      </c>
      <c r="U554" s="949"/>
      <c r="V554" s="949"/>
      <c r="W554" s="949"/>
      <c r="X554" s="949"/>
      <c r="Y554" s="949"/>
      <c r="Z554" s="949"/>
      <c r="AA554" s="949"/>
      <c r="AB554" s="949"/>
      <c r="AC554" s="949"/>
      <c r="AD554" s="949"/>
      <c r="AE554" s="949"/>
      <c r="AF554" s="949"/>
      <c r="AG554" s="949"/>
      <c r="AH554" s="949"/>
      <c r="AI554" s="949"/>
      <c r="AJ554" s="949"/>
      <c r="AK554" s="949"/>
      <c r="AL554" s="949"/>
      <c r="AM554" s="964" t="s">
        <v>1272</v>
      </c>
      <c r="AN554" s="973" t="s">
        <v>1370</v>
      </c>
      <c r="AO554" s="965" t="s">
        <v>1041</v>
      </c>
      <c r="AP554" s="931"/>
      <c r="AQ554" s="956"/>
      <c r="AR554" s="957"/>
      <c r="AS554" s="931"/>
    </row>
    <row r="555" ht="15.75" customHeight="1">
      <c r="A555" s="931"/>
      <c r="B555" s="941" t="s">
        <v>2426</v>
      </c>
      <c r="C555" s="942" t="s">
        <v>2427</v>
      </c>
      <c r="D555" s="942" t="s">
        <v>2427</v>
      </c>
      <c r="E555" s="943" t="s">
        <v>2427</v>
      </c>
      <c r="F555" s="935"/>
      <c r="G555" s="944"/>
      <c r="H555" s="944"/>
      <c r="I555" s="946" t="s">
        <v>614</v>
      </c>
      <c r="J555" s="968" t="s">
        <v>703</v>
      </c>
      <c r="K555" s="954" t="s">
        <v>158</v>
      </c>
      <c r="L555" s="949">
        <v>100.0</v>
      </c>
      <c r="M555" s="949">
        <v>5.0</v>
      </c>
      <c r="N555" s="949">
        <v>5.0</v>
      </c>
      <c r="O555" s="949">
        <v>15.0</v>
      </c>
      <c r="P555" s="949">
        <v>65.0</v>
      </c>
      <c r="Q555" s="949">
        <v>30.0</v>
      </c>
      <c r="R555" s="949">
        <v>96.0</v>
      </c>
      <c r="S555" s="949">
        <v>159.0</v>
      </c>
      <c r="T555" s="949">
        <v>174.0</v>
      </c>
      <c r="U555" s="949"/>
      <c r="V555" s="949"/>
      <c r="W555" s="949"/>
      <c r="X555" s="949"/>
      <c r="Y555" s="949"/>
      <c r="Z555" s="949"/>
      <c r="AA555" s="949"/>
      <c r="AB555" s="949"/>
      <c r="AC555" s="949"/>
      <c r="AD555" s="949"/>
      <c r="AE555" s="949"/>
      <c r="AF555" s="949"/>
      <c r="AG555" s="949"/>
      <c r="AH555" s="949"/>
      <c r="AI555" s="949"/>
      <c r="AJ555" s="949"/>
      <c r="AK555" s="949"/>
      <c r="AL555" s="949"/>
      <c r="AM555" s="953" t="s">
        <v>1333</v>
      </c>
      <c r="AN555" s="954" t="s">
        <v>1334</v>
      </c>
      <c r="AO555" s="955" t="s">
        <v>964</v>
      </c>
      <c r="AP555" s="931"/>
      <c r="AQ555" s="956"/>
      <c r="AR555" s="957"/>
      <c r="AS555" s="931"/>
    </row>
    <row r="556" ht="15.75" customHeight="1">
      <c r="A556" s="931"/>
      <c r="B556" s="941" t="s">
        <v>2428</v>
      </c>
      <c r="C556" s="942" t="s">
        <v>2429</v>
      </c>
      <c r="D556" s="942" t="s">
        <v>2429</v>
      </c>
      <c r="E556" s="943" t="s">
        <v>2429</v>
      </c>
      <c r="F556" s="935"/>
      <c r="G556" s="944"/>
      <c r="H556" s="944"/>
      <c r="I556" s="946" t="s">
        <v>2430</v>
      </c>
      <c r="J556" s="968" t="s">
        <v>703</v>
      </c>
      <c r="K556" s="960" t="s">
        <v>707</v>
      </c>
      <c r="L556" s="949">
        <v>76.0</v>
      </c>
      <c r="M556" s="949">
        <v>65.0</v>
      </c>
      <c r="N556" s="949">
        <v>45.0</v>
      </c>
      <c r="O556" s="949">
        <v>92.0</v>
      </c>
      <c r="P556" s="949">
        <v>42.0</v>
      </c>
      <c r="Q556" s="949">
        <v>91.0</v>
      </c>
      <c r="R556" s="949">
        <v>218.0</v>
      </c>
      <c r="S556" s="949">
        <v>281.0</v>
      </c>
      <c r="T556" s="949">
        <v>309.0</v>
      </c>
      <c r="U556" s="949"/>
      <c r="V556" s="949"/>
      <c r="W556" s="949"/>
      <c r="X556" s="949"/>
      <c r="Y556" s="949"/>
      <c r="Z556" s="949"/>
      <c r="AA556" s="949"/>
      <c r="AB556" s="949"/>
      <c r="AC556" s="949"/>
      <c r="AD556" s="949"/>
      <c r="AE556" s="949"/>
      <c r="AF556" s="949"/>
      <c r="AG556" s="949"/>
      <c r="AH556" s="949"/>
      <c r="AI556" s="949"/>
      <c r="AJ556" s="949"/>
      <c r="AK556" s="949"/>
      <c r="AL556" s="949"/>
      <c r="AM556" s="953" t="s">
        <v>815</v>
      </c>
      <c r="AN556" s="954" t="s">
        <v>816</v>
      </c>
      <c r="AO556" s="955" t="s">
        <v>817</v>
      </c>
      <c r="AP556" s="931"/>
      <c r="AQ556" s="956"/>
      <c r="AR556" s="957"/>
      <c r="AS556" s="931"/>
    </row>
    <row r="557" ht="15.75" customHeight="1">
      <c r="A557" s="931"/>
      <c r="B557" s="941" t="s">
        <v>2431</v>
      </c>
      <c r="C557" s="942" t="s">
        <v>2432</v>
      </c>
      <c r="D557" s="942" t="s">
        <v>2432</v>
      </c>
      <c r="E557" s="943" t="s">
        <v>2432</v>
      </c>
      <c r="F557" s="935"/>
      <c r="G557" s="944"/>
      <c r="H557" s="944"/>
      <c r="I557" s="946" t="s">
        <v>410</v>
      </c>
      <c r="J557" s="994" t="s">
        <v>717</v>
      </c>
      <c r="K557" s="969" t="s">
        <v>718</v>
      </c>
      <c r="L557" s="949">
        <v>50.0</v>
      </c>
      <c r="M557" s="949">
        <v>92.0</v>
      </c>
      <c r="N557" s="949">
        <v>108.0</v>
      </c>
      <c r="O557" s="949">
        <v>92.0</v>
      </c>
      <c r="P557" s="949">
        <v>108.0</v>
      </c>
      <c r="Q557" s="949">
        <v>35.0</v>
      </c>
      <c r="R557" s="949">
        <v>106.0</v>
      </c>
      <c r="S557" s="949">
        <v>169.0</v>
      </c>
      <c r="T557" s="949">
        <v>185.0</v>
      </c>
      <c r="U557" s="949"/>
      <c r="V557" s="949"/>
      <c r="W557" s="949"/>
      <c r="X557" s="949"/>
      <c r="Y557" s="949"/>
      <c r="Z557" s="949"/>
      <c r="AA557" s="949"/>
      <c r="AB557" s="949"/>
      <c r="AC557" s="949"/>
      <c r="AD557" s="949"/>
      <c r="AE557" s="949"/>
      <c r="AF557" s="949"/>
      <c r="AG557" s="949"/>
      <c r="AH557" s="949"/>
      <c r="AI557" s="949"/>
      <c r="AJ557" s="949"/>
      <c r="AK557" s="949"/>
      <c r="AL557" s="949"/>
      <c r="AM557" s="953" t="s">
        <v>1451</v>
      </c>
      <c r="AN557" s="954"/>
      <c r="AO557" s="955" t="s">
        <v>995</v>
      </c>
      <c r="AP557" s="931"/>
      <c r="AQ557" s="956"/>
      <c r="AR557" s="957"/>
      <c r="AS557" s="931"/>
    </row>
    <row r="558" ht="15.75" customHeight="1">
      <c r="A558" s="931"/>
      <c r="B558" s="941" t="s">
        <v>2433</v>
      </c>
      <c r="C558" s="942" t="s">
        <v>2434</v>
      </c>
      <c r="D558" s="942" t="s">
        <v>2434</v>
      </c>
      <c r="E558" s="943" t="s">
        <v>2434</v>
      </c>
      <c r="F558" s="935"/>
      <c r="G558" s="944"/>
      <c r="H558" s="944"/>
      <c r="I558" s="946" t="s">
        <v>615</v>
      </c>
      <c r="J558" s="961" t="s">
        <v>716</v>
      </c>
      <c r="K558" s="976" t="s">
        <v>711</v>
      </c>
      <c r="L558" s="949">
        <v>58.0</v>
      </c>
      <c r="M558" s="949">
        <v>70.0</v>
      </c>
      <c r="N558" s="949">
        <v>45.0</v>
      </c>
      <c r="O558" s="949">
        <v>40.0</v>
      </c>
      <c r="P558" s="949">
        <v>45.0</v>
      </c>
      <c r="Q558" s="949">
        <v>42.0</v>
      </c>
      <c r="R558" s="949">
        <v>120.0</v>
      </c>
      <c r="S558" s="949">
        <v>183.0</v>
      </c>
      <c r="T558" s="949">
        <v>201.0</v>
      </c>
      <c r="U558" s="949"/>
      <c r="V558" s="949"/>
      <c r="W558" s="949"/>
      <c r="X558" s="949"/>
      <c r="Y558" s="949"/>
      <c r="Z558" s="949"/>
      <c r="AA558" s="949"/>
      <c r="AB558" s="949"/>
      <c r="AC558" s="949"/>
      <c r="AD558" s="949"/>
      <c r="AE558" s="949"/>
      <c r="AF558" s="949"/>
      <c r="AG558" s="949"/>
      <c r="AH558" s="949"/>
      <c r="AI558" s="949"/>
      <c r="AJ558" s="949"/>
      <c r="AK558" s="949"/>
      <c r="AL558" s="949"/>
      <c r="AM558" s="953" t="s">
        <v>923</v>
      </c>
      <c r="AN558" s="973"/>
      <c r="AO558" s="965" t="s">
        <v>2032</v>
      </c>
      <c r="AP558" s="931"/>
      <c r="AQ558" s="956"/>
      <c r="AR558" s="957"/>
      <c r="AS558" s="931"/>
    </row>
    <row r="559" ht="15.75" customHeight="1">
      <c r="A559" s="931"/>
      <c r="B559" s="941" t="s">
        <v>2435</v>
      </c>
      <c r="C559" s="942" t="s">
        <v>2436</v>
      </c>
      <c r="D559" s="942" t="s">
        <v>2436</v>
      </c>
      <c r="E559" s="943" t="s">
        <v>2436</v>
      </c>
      <c r="F559" s="935"/>
      <c r="G559" s="944"/>
      <c r="H559" s="944"/>
      <c r="I559" s="946" t="s">
        <v>616</v>
      </c>
      <c r="J559" s="961" t="s">
        <v>716</v>
      </c>
      <c r="K559" s="976" t="s">
        <v>711</v>
      </c>
      <c r="L559" s="949">
        <v>68.0</v>
      </c>
      <c r="M559" s="949">
        <v>90.0</v>
      </c>
      <c r="N559" s="949">
        <v>65.0</v>
      </c>
      <c r="O559" s="949">
        <v>50.0</v>
      </c>
      <c r="P559" s="949">
        <v>55.0</v>
      </c>
      <c r="Q559" s="949">
        <v>82.0</v>
      </c>
      <c r="R559" s="949">
        <v>200.0</v>
      </c>
      <c r="S559" s="949">
        <v>263.0</v>
      </c>
      <c r="T559" s="949">
        <v>289.0</v>
      </c>
      <c r="U559" s="949"/>
      <c r="V559" s="949"/>
      <c r="W559" s="949"/>
      <c r="X559" s="949"/>
      <c r="Y559" s="949"/>
      <c r="Z559" s="949"/>
      <c r="AA559" s="949"/>
      <c r="AB559" s="949"/>
      <c r="AC559" s="949"/>
      <c r="AD559" s="949"/>
      <c r="AE559" s="949"/>
      <c r="AF559" s="949"/>
      <c r="AG559" s="949"/>
      <c r="AH559" s="949"/>
      <c r="AI559" s="949"/>
      <c r="AJ559" s="949"/>
      <c r="AK559" s="949"/>
      <c r="AL559" s="949"/>
      <c r="AM559" s="953" t="s">
        <v>923</v>
      </c>
      <c r="AN559" s="954"/>
      <c r="AO559" s="955" t="s">
        <v>2032</v>
      </c>
      <c r="AP559" s="931"/>
      <c r="AQ559" s="956"/>
      <c r="AR559" s="957"/>
      <c r="AS559" s="931"/>
    </row>
    <row r="560" ht="15.75" customHeight="1">
      <c r="A560" s="931"/>
      <c r="B560" s="941" t="s">
        <v>2437</v>
      </c>
      <c r="C560" s="942" t="s">
        <v>227</v>
      </c>
      <c r="D560" s="942" t="s">
        <v>227</v>
      </c>
      <c r="E560" s="966" t="s">
        <v>227</v>
      </c>
      <c r="F560" s="935"/>
      <c r="G560" s="944"/>
      <c r="H560" s="944"/>
      <c r="I560" s="946" t="s">
        <v>78</v>
      </c>
      <c r="J560" s="961" t="s">
        <v>716</v>
      </c>
      <c r="K560" s="976" t="s">
        <v>711</v>
      </c>
      <c r="L560" s="949">
        <v>108.0</v>
      </c>
      <c r="M560" s="949">
        <v>130.0</v>
      </c>
      <c r="N560" s="949">
        <v>95.0</v>
      </c>
      <c r="O560" s="949">
        <v>80.0</v>
      </c>
      <c r="P560" s="949">
        <v>85.0</v>
      </c>
      <c r="Q560" s="949">
        <v>102.0</v>
      </c>
      <c r="R560" s="949">
        <v>240.0</v>
      </c>
      <c r="S560" s="949">
        <v>303.0</v>
      </c>
      <c r="T560" s="949">
        <v>333.0</v>
      </c>
      <c r="U560" s="949"/>
      <c r="V560" s="949"/>
      <c r="W560" s="949"/>
      <c r="X560" s="949"/>
      <c r="Y560" s="949"/>
      <c r="Z560" s="949"/>
      <c r="AA560" s="949"/>
      <c r="AB560" s="949"/>
      <c r="AC560" s="949"/>
      <c r="AD560" s="949"/>
      <c r="AE560" s="949"/>
      <c r="AF560" s="949"/>
      <c r="AG560" s="949"/>
      <c r="AH560" s="949"/>
      <c r="AI560" s="949"/>
      <c r="AJ560" s="949"/>
      <c r="AK560" s="949"/>
      <c r="AL560" s="949"/>
      <c r="AM560" s="953" t="s">
        <v>923</v>
      </c>
      <c r="AN560" s="954"/>
      <c r="AO560" s="955" t="s">
        <v>2032</v>
      </c>
      <c r="AP560" s="931"/>
      <c r="AQ560" s="956"/>
      <c r="AR560" s="957"/>
      <c r="AS560" s="931"/>
    </row>
    <row r="561" ht="15.75" customHeight="1">
      <c r="A561" s="963"/>
      <c r="B561" s="941" t="s">
        <v>2438</v>
      </c>
      <c r="C561" s="971" t="s">
        <v>2439</v>
      </c>
      <c r="D561" s="971" t="s">
        <v>2439</v>
      </c>
      <c r="E561" s="966" t="s">
        <v>2439</v>
      </c>
      <c r="F561" s="935"/>
      <c r="G561" s="944"/>
      <c r="H561" s="944"/>
      <c r="I561" s="959" t="s">
        <v>2440</v>
      </c>
      <c r="J561" s="1005" t="s">
        <v>716</v>
      </c>
      <c r="K561" s="997" t="s">
        <v>711</v>
      </c>
      <c r="L561" s="974">
        <v>108.0</v>
      </c>
      <c r="M561" s="974">
        <v>170.0</v>
      </c>
      <c r="N561" s="974">
        <v>115.0</v>
      </c>
      <c r="O561" s="974">
        <v>120.0</v>
      </c>
      <c r="P561" s="974">
        <v>95.0</v>
      </c>
      <c r="Q561" s="974">
        <v>92.0</v>
      </c>
      <c r="R561" s="949">
        <v>220.0</v>
      </c>
      <c r="S561" s="949">
        <v>283.0</v>
      </c>
      <c r="T561" s="949">
        <v>311.0</v>
      </c>
      <c r="U561" s="949"/>
      <c r="V561" s="949"/>
      <c r="W561" s="949"/>
      <c r="X561" s="949"/>
      <c r="Y561" s="949"/>
      <c r="Z561" s="949"/>
      <c r="AA561" s="949"/>
      <c r="AB561" s="949"/>
      <c r="AC561" s="949"/>
      <c r="AD561" s="949"/>
      <c r="AE561" s="949"/>
      <c r="AF561" s="949"/>
      <c r="AG561" s="949"/>
      <c r="AH561" s="949"/>
      <c r="AI561" s="949"/>
      <c r="AJ561" s="949"/>
      <c r="AK561" s="949"/>
      <c r="AL561" s="949"/>
      <c r="AM561" s="964" t="s">
        <v>1026</v>
      </c>
      <c r="AN561" s="973"/>
      <c r="AO561" s="965"/>
      <c r="AP561" s="931"/>
      <c r="AQ561" s="956"/>
      <c r="AR561" s="957"/>
      <c r="AS561" s="931"/>
    </row>
    <row r="562" ht="15.75" customHeight="1">
      <c r="A562" s="931"/>
      <c r="B562" s="941" t="s">
        <v>2441</v>
      </c>
      <c r="C562" s="942" t="s">
        <v>2442</v>
      </c>
      <c r="D562" s="942" t="s">
        <v>2442</v>
      </c>
      <c r="E562" s="943" t="s">
        <v>2442</v>
      </c>
      <c r="F562" s="935"/>
      <c r="G562" s="944"/>
      <c r="H562" s="944"/>
      <c r="I562" s="946" t="s">
        <v>2443</v>
      </c>
      <c r="J562" s="968" t="s">
        <v>703</v>
      </c>
      <c r="K562" s="954" t="s">
        <v>158</v>
      </c>
      <c r="L562" s="949">
        <v>135.0</v>
      </c>
      <c r="M562" s="949">
        <v>85.0</v>
      </c>
      <c r="N562" s="949">
        <v>40.0</v>
      </c>
      <c r="O562" s="949">
        <v>40.0</v>
      </c>
      <c r="P562" s="949">
        <v>85.0</v>
      </c>
      <c r="Q562" s="949">
        <v>5.0</v>
      </c>
      <c r="R562" s="949">
        <v>46.0</v>
      </c>
      <c r="S562" s="949">
        <v>109.0</v>
      </c>
      <c r="T562" s="949">
        <v>119.0</v>
      </c>
      <c r="U562" s="949"/>
      <c r="V562" s="949"/>
      <c r="W562" s="949"/>
      <c r="X562" s="949"/>
      <c r="Y562" s="949"/>
      <c r="Z562" s="949"/>
      <c r="AA562" s="949"/>
      <c r="AB562" s="949"/>
      <c r="AC562" s="949"/>
      <c r="AD562" s="949"/>
      <c r="AE562" s="949"/>
      <c r="AF562" s="949"/>
      <c r="AG562" s="949"/>
      <c r="AH562" s="949"/>
      <c r="AI562" s="949"/>
      <c r="AJ562" s="949"/>
      <c r="AK562" s="949"/>
      <c r="AL562" s="949"/>
      <c r="AM562" s="953" t="s">
        <v>1040</v>
      </c>
      <c r="AN562" s="954" t="s">
        <v>746</v>
      </c>
      <c r="AO562" s="955" t="s">
        <v>837</v>
      </c>
      <c r="AP562" s="931"/>
      <c r="AQ562" s="956"/>
      <c r="AR562" s="957"/>
      <c r="AS562" s="931"/>
    </row>
    <row r="563" ht="15.75" customHeight="1">
      <c r="A563" s="931"/>
      <c r="B563" s="941" t="s">
        <v>2444</v>
      </c>
      <c r="C563" s="942" t="s">
        <v>2445</v>
      </c>
      <c r="D563" s="942" t="s">
        <v>2445</v>
      </c>
      <c r="E563" s="943" t="s">
        <v>2445</v>
      </c>
      <c r="F563" s="935"/>
      <c r="G563" s="944"/>
      <c r="H563" s="944"/>
      <c r="I563" s="946" t="s">
        <v>476</v>
      </c>
      <c r="J563" s="988" t="s">
        <v>705</v>
      </c>
      <c r="K563" s="954" t="s">
        <v>158</v>
      </c>
      <c r="L563" s="949">
        <v>40.0</v>
      </c>
      <c r="M563" s="949">
        <v>70.0</v>
      </c>
      <c r="N563" s="949">
        <v>40.0</v>
      </c>
      <c r="O563" s="949">
        <v>35.0</v>
      </c>
      <c r="P563" s="949">
        <v>40.0</v>
      </c>
      <c r="Q563" s="949">
        <v>60.0</v>
      </c>
      <c r="R563" s="949">
        <v>156.0</v>
      </c>
      <c r="S563" s="949">
        <v>219.0</v>
      </c>
      <c r="T563" s="949">
        <v>240.0</v>
      </c>
      <c r="U563" s="949"/>
      <c r="V563" s="949"/>
      <c r="W563" s="949"/>
      <c r="X563" s="949"/>
      <c r="Y563" s="949"/>
      <c r="Z563" s="949"/>
      <c r="AA563" s="949"/>
      <c r="AB563" s="949"/>
      <c r="AC563" s="949"/>
      <c r="AD563" s="949"/>
      <c r="AE563" s="949"/>
      <c r="AF563" s="949"/>
      <c r="AG563" s="949"/>
      <c r="AH563" s="949"/>
      <c r="AI563" s="949"/>
      <c r="AJ563" s="949"/>
      <c r="AK563" s="949"/>
      <c r="AL563" s="949"/>
      <c r="AM563" s="953" t="s">
        <v>1108</v>
      </c>
      <c r="AN563" s="954" t="s">
        <v>994</v>
      </c>
      <c r="AO563" s="955" t="s">
        <v>1641</v>
      </c>
      <c r="AP563" s="931"/>
      <c r="AQ563" s="956"/>
      <c r="AR563" s="957"/>
      <c r="AS563" s="931"/>
    </row>
    <row r="564" ht="15.75" customHeight="1">
      <c r="A564" s="931"/>
      <c r="B564" s="941" t="s">
        <v>2446</v>
      </c>
      <c r="C564" s="942" t="s">
        <v>2447</v>
      </c>
      <c r="D564" s="942" t="s">
        <v>2447</v>
      </c>
      <c r="E564" s="943" t="s">
        <v>2447</v>
      </c>
      <c r="F564" s="935"/>
      <c r="G564" s="944"/>
      <c r="H564" s="944"/>
      <c r="I564" s="959" t="s">
        <v>428</v>
      </c>
      <c r="J564" s="988" t="s">
        <v>705</v>
      </c>
      <c r="K564" s="978" t="s">
        <v>719</v>
      </c>
      <c r="L564" s="949">
        <v>70.0</v>
      </c>
      <c r="M564" s="949">
        <v>110.0</v>
      </c>
      <c r="N564" s="949">
        <v>70.0</v>
      </c>
      <c r="O564" s="949">
        <v>115.0</v>
      </c>
      <c r="P564" s="949">
        <v>70.0</v>
      </c>
      <c r="Q564" s="949">
        <v>90.0</v>
      </c>
      <c r="R564" s="949">
        <v>216.0</v>
      </c>
      <c r="S564" s="949">
        <v>279.0</v>
      </c>
      <c r="T564" s="949">
        <v>306.0</v>
      </c>
      <c r="U564" s="949"/>
      <c r="V564" s="949"/>
      <c r="W564" s="949"/>
      <c r="X564" s="949"/>
      <c r="Y564" s="949"/>
      <c r="Z564" s="949"/>
      <c r="AA564" s="949"/>
      <c r="AB564" s="949"/>
      <c r="AC564" s="949"/>
      <c r="AD564" s="949"/>
      <c r="AE564" s="949"/>
      <c r="AF564" s="949"/>
      <c r="AG564" s="949"/>
      <c r="AH564" s="949"/>
      <c r="AI564" s="949"/>
      <c r="AJ564" s="949"/>
      <c r="AK564" s="949"/>
      <c r="AL564" s="949"/>
      <c r="AM564" s="953" t="s">
        <v>1108</v>
      </c>
      <c r="AN564" s="954" t="s">
        <v>994</v>
      </c>
      <c r="AO564" s="955" t="s">
        <v>1074</v>
      </c>
      <c r="AP564" s="931"/>
      <c r="AQ564" s="956"/>
      <c r="AR564" s="957"/>
      <c r="AS564" s="931"/>
    </row>
    <row r="565" ht="15.75" customHeight="1">
      <c r="A565" s="931"/>
      <c r="B565" s="941" t="s">
        <v>2448</v>
      </c>
      <c r="C565" s="942" t="s">
        <v>2449</v>
      </c>
      <c r="D565" s="942" t="s">
        <v>2449</v>
      </c>
      <c r="E565" s="943" t="s">
        <v>2449</v>
      </c>
      <c r="F565" s="935"/>
      <c r="G565" s="944"/>
      <c r="H565" s="944"/>
      <c r="I565" s="946" t="s">
        <v>2450</v>
      </c>
      <c r="J565" s="988" t="s">
        <v>705</v>
      </c>
      <c r="K565" s="978" t="s">
        <v>719</v>
      </c>
      <c r="L565" s="949">
        <v>70.0</v>
      </c>
      <c r="M565" s="949">
        <v>145.0</v>
      </c>
      <c r="N565" s="949">
        <v>88.0</v>
      </c>
      <c r="O565" s="949">
        <v>140.0</v>
      </c>
      <c r="P565" s="949">
        <v>70.0</v>
      </c>
      <c r="Q565" s="949">
        <v>112.0</v>
      </c>
      <c r="R565" s="949">
        <v>260.0</v>
      </c>
      <c r="S565" s="949">
        <v>323.0</v>
      </c>
      <c r="T565" s="949">
        <v>355.0</v>
      </c>
      <c r="U565" s="949"/>
      <c r="V565" s="949"/>
      <c r="W565" s="949"/>
      <c r="X565" s="949"/>
      <c r="Y565" s="949"/>
      <c r="Z565" s="949"/>
      <c r="AA565" s="949"/>
      <c r="AB565" s="949"/>
      <c r="AC565" s="949"/>
      <c r="AD565" s="949"/>
      <c r="AE565" s="949"/>
      <c r="AF565" s="949"/>
      <c r="AG565" s="949"/>
      <c r="AH565" s="949"/>
      <c r="AI565" s="949"/>
      <c r="AJ565" s="949"/>
      <c r="AK565" s="949"/>
      <c r="AL565" s="949"/>
      <c r="AM565" s="953" t="s">
        <v>811</v>
      </c>
      <c r="AN565" s="954"/>
      <c r="AO565" s="955"/>
      <c r="AP565" s="931"/>
      <c r="AQ565" s="956"/>
      <c r="AR565" s="957"/>
      <c r="AS565" s="931"/>
    </row>
    <row r="566" ht="15.75" customHeight="1">
      <c r="A566" s="931"/>
      <c r="B566" s="941" t="s">
        <v>2451</v>
      </c>
      <c r="C566" s="942" t="s">
        <v>2452</v>
      </c>
      <c r="D566" s="942" t="s">
        <v>2452</v>
      </c>
      <c r="E566" s="943" t="s">
        <v>2452</v>
      </c>
      <c r="F566" s="935"/>
      <c r="G566" s="944"/>
      <c r="H566" s="944"/>
      <c r="I566" s="946" t="s">
        <v>541</v>
      </c>
      <c r="J566" s="976" t="s">
        <v>711</v>
      </c>
      <c r="K566" s="954" t="s">
        <v>158</v>
      </c>
      <c r="L566" s="949">
        <v>68.0</v>
      </c>
      <c r="M566" s="949">
        <v>72.0</v>
      </c>
      <c r="N566" s="949">
        <v>78.0</v>
      </c>
      <c r="O566" s="949">
        <v>38.0</v>
      </c>
      <c r="P566" s="949">
        <v>42.0</v>
      </c>
      <c r="Q566" s="949">
        <v>32.0</v>
      </c>
      <c r="R566" s="949">
        <v>100.0</v>
      </c>
      <c r="S566" s="949">
        <v>163.0</v>
      </c>
      <c r="T566" s="949">
        <v>179.0</v>
      </c>
      <c r="U566" s="949"/>
      <c r="V566" s="949"/>
      <c r="W566" s="949"/>
      <c r="X566" s="949"/>
      <c r="Y566" s="949"/>
      <c r="Z566" s="949"/>
      <c r="AA566" s="949"/>
      <c r="AB566" s="949"/>
      <c r="AC566" s="949"/>
      <c r="AD566" s="949"/>
      <c r="AE566" s="949"/>
      <c r="AF566" s="949"/>
      <c r="AG566" s="949"/>
      <c r="AH566" s="949"/>
      <c r="AI566" s="949"/>
      <c r="AJ566" s="949"/>
      <c r="AK566" s="949"/>
      <c r="AL566" s="949"/>
      <c r="AM566" s="953" t="s">
        <v>1802</v>
      </c>
      <c r="AN566" s="954"/>
      <c r="AO566" s="955" t="s">
        <v>1026</v>
      </c>
      <c r="AP566" s="931"/>
      <c r="AQ566" s="956"/>
      <c r="AR566" s="957"/>
      <c r="AS566" s="931"/>
    </row>
    <row r="567" ht="15.75" customHeight="1">
      <c r="A567" s="963"/>
      <c r="B567" s="941" t="s">
        <v>2453</v>
      </c>
      <c r="C567" s="971" t="s">
        <v>2454</v>
      </c>
      <c r="D567" s="971" t="s">
        <v>2454</v>
      </c>
      <c r="E567" s="943" t="s">
        <v>2454</v>
      </c>
      <c r="F567" s="935"/>
      <c r="G567" s="944"/>
      <c r="H567" s="944"/>
      <c r="I567" s="959" t="s">
        <v>416</v>
      </c>
      <c r="J567" s="997" t="s">
        <v>711</v>
      </c>
      <c r="K567" s="973" t="s">
        <v>158</v>
      </c>
      <c r="L567" s="974">
        <v>108.0</v>
      </c>
      <c r="M567" s="974">
        <v>112.0</v>
      </c>
      <c r="N567" s="974">
        <v>118.0</v>
      </c>
      <c r="O567" s="974">
        <v>68.0</v>
      </c>
      <c r="P567" s="974">
        <v>72.0</v>
      </c>
      <c r="Q567" s="974">
        <v>47.0</v>
      </c>
      <c r="R567" s="949">
        <v>130.0</v>
      </c>
      <c r="S567" s="949">
        <v>193.0</v>
      </c>
      <c r="T567" s="949">
        <v>212.0</v>
      </c>
      <c r="U567" s="949"/>
      <c r="V567" s="949"/>
      <c r="W567" s="949"/>
      <c r="X567" s="949"/>
      <c r="Y567" s="949"/>
      <c r="Z567" s="949"/>
      <c r="AA567" s="949"/>
      <c r="AB567" s="949"/>
      <c r="AC567" s="949"/>
      <c r="AD567" s="949"/>
      <c r="AE567" s="949"/>
      <c r="AF567" s="949"/>
      <c r="AG567" s="949"/>
      <c r="AH567" s="949"/>
      <c r="AI567" s="949"/>
      <c r="AJ567" s="949"/>
      <c r="AK567" s="949"/>
      <c r="AL567" s="949"/>
      <c r="AM567" s="964" t="s">
        <v>1802</v>
      </c>
      <c r="AN567" s="954"/>
      <c r="AO567" s="955" t="s">
        <v>1026</v>
      </c>
      <c r="AP567" s="931"/>
      <c r="AQ567" s="956"/>
      <c r="AR567" s="957"/>
      <c r="AS567" s="931"/>
    </row>
    <row r="568" ht="15.75" customHeight="1">
      <c r="A568" s="931"/>
      <c r="B568" s="941" t="s">
        <v>2455</v>
      </c>
      <c r="C568" s="942" t="s">
        <v>2456</v>
      </c>
      <c r="D568" s="942" t="s">
        <v>2456</v>
      </c>
      <c r="E568" s="943" t="s">
        <v>2456</v>
      </c>
      <c r="F568" s="935"/>
      <c r="G568" s="944"/>
      <c r="H568" s="944"/>
      <c r="I568" s="946" t="s">
        <v>2457</v>
      </c>
      <c r="J568" s="948" t="s">
        <v>709</v>
      </c>
      <c r="K568" s="967" t="s">
        <v>715</v>
      </c>
      <c r="L568" s="949">
        <v>40.0</v>
      </c>
      <c r="M568" s="949">
        <v>50.0</v>
      </c>
      <c r="N568" s="949">
        <v>90.0</v>
      </c>
      <c r="O568" s="949">
        <v>30.0</v>
      </c>
      <c r="P568" s="949">
        <v>55.0</v>
      </c>
      <c r="Q568" s="949">
        <v>65.0</v>
      </c>
      <c r="R568" s="949">
        <v>166.0</v>
      </c>
      <c r="S568" s="949">
        <v>229.0</v>
      </c>
      <c r="T568" s="949">
        <v>251.0</v>
      </c>
      <c r="U568" s="949"/>
      <c r="V568" s="949"/>
      <c r="W568" s="949"/>
      <c r="X568" s="949"/>
      <c r="Y568" s="949"/>
      <c r="Z568" s="949"/>
      <c r="AA568" s="949"/>
      <c r="AB568" s="949"/>
      <c r="AC568" s="949"/>
      <c r="AD568" s="949"/>
      <c r="AE568" s="949"/>
      <c r="AF568" s="949"/>
      <c r="AG568" s="949"/>
      <c r="AH568" s="949"/>
      <c r="AI568" s="949"/>
      <c r="AJ568" s="949"/>
      <c r="AK568" s="949"/>
      <c r="AL568" s="949"/>
      <c r="AM568" s="953" t="s">
        <v>1294</v>
      </c>
      <c r="AN568" s="954" t="s">
        <v>807</v>
      </c>
      <c r="AO568" s="955" t="s">
        <v>815</v>
      </c>
      <c r="AP568" s="931"/>
      <c r="AQ568" s="956"/>
      <c r="AR568" s="957"/>
      <c r="AS568" s="931"/>
    </row>
    <row r="569" ht="15.75" customHeight="1">
      <c r="A569" s="931"/>
      <c r="B569" s="941" t="s">
        <v>2458</v>
      </c>
      <c r="C569" s="942" t="s">
        <v>2459</v>
      </c>
      <c r="D569" s="942" t="s">
        <v>2459</v>
      </c>
      <c r="E569" s="943" t="s">
        <v>2459</v>
      </c>
      <c r="F569" s="935"/>
      <c r="G569" s="944"/>
      <c r="H569" s="944"/>
      <c r="I569" s="959" t="s">
        <v>2460</v>
      </c>
      <c r="J569" s="948" t="s">
        <v>709</v>
      </c>
      <c r="K569" s="969" t="s">
        <v>718</v>
      </c>
      <c r="L569" s="949">
        <v>70.0</v>
      </c>
      <c r="M569" s="949">
        <v>90.0</v>
      </c>
      <c r="N569" s="949">
        <v>110.0</v>
      </c>
      <c r="O569" s="949">
        <v>60.0</v>
      </c>
      <c r="P569" s="949">
        <v>75.0</v>
      </c>
      <c r="Q569" s="949">
        <v>95.0</v>
      </c>
      <c r="R569" s="949">
        <v>226.0</v>
      </c>
      <c r="S569" s="949">
        <v>289.0</v>
      </c>
      <c r="T569" s="949">
        <v>317.0</v>
      </c>
      <c r="U569" s="949"/>
      <c r="V569" s="949"/>
      <c r="W569" s="949"/>
      <c r="X569" s="949"/>
      <c r="Y569" s="949"/>
      <c r="Z569" s="949"/>
      <c r="AA569" s="949"/>
      <c r="AB569" s="949"/>
      <c r="AC569" s="949"/>
      <c r="AD569" s="949"/>
      <c r="AE569" s="949"/>
      <c r="AF569" s="949"/>
      <c r="AG569" s="949"/>
      <c r="AH569" s="949"/>
      <c r="AI569" s="949"/>
      <c r="AJ569" s="949"/>
      <c r="AK569" s="949"/>
      <c r="AL569" s="949"/>
      <c r="AM569" s="964" t="s">
        <v>1294</v>
      </c>
      <c r="AN569" s="954" t="s">
        <v>807</v>
      </c>
      <c r="AO569" s="955" t="s">
        <v>815</v>
      </c>
      <c r="AP569" s="931"/>
      <c r="AQ569" s="956"/>
      <c r="AR569" s="957"/>
      <c r="AS569" s="931"/>
    </row>
    <row r="570" ht="15.75" customHeight="1">
      <c r="A570" s="931"/>
      <c r="B570" s="941" t="s">
        <v>2461</v>
      </c>
      <c r="C570" s="942" t="s">
        <v>2462</v>
      </c>
      <c r="D570" s="942" t="s">
        <v>2462</v>
      </c>
      <c r="E570" s="943" t="s">
        <v>2462</v>
      </c>
      <c r="F570" s="935"/>
      <c r="G570" s="944"/>
      <c r="H570" s="944"/>
      <c r="I570" s="946" t="s">
        <v>542</v>
      </c>
      <c r="J570" s="948" t="s">
        <v>709</v>
      </c>
      <c r="K570" s="988" t="s">
        <v>705</v>
      </c>
      <c r="L570" s="949">
        <v>48.0</v>
      </c>
      <c r="M570" s="949">
        <v>61.0</v>
      </c>
      <c r="N570" s="949">
        <v>40.0</v>
      </c>
      <c r="O570" s="949">
        <v>61.0</v>
      </c>
      <c r="P570" s="949">
        <v>40.0</v>
      </c>
      <c r="Q570" s="949">
        <v>50.0</v>
      </c>
      <c r="R570" s="949">
        <v>136.0</v>
      </c>
      <c r="S570" s="949">
        <v>199.0</v>
      </c>
      <c r="T570" s="949">
        <v>218.0</v>
      </c>
      <c r="U570" s="949"/>
      <c r="V570" s="949"/>
      <c r="W570" s="949"/>
      <c r="X570" s="949"/>
      <c r="Y570" s="949"/>
      <c r="Z570" s="949"/>
      <c r="AA570" s="949"/>
      <c r="AB570" s="949"/>
      <c r="AC570" s="949"/>
      <c r="AD570" s="949"/>
      <c r="AE570" s="949"/>
      <c r="AF570" s="949"/>
      <c r="AG570" s="949"/>
      <c r="AH570" s="949"/>
      <c r="AI570" s="949"/>
      <c r="AJ570" s="949"/>
      <c r="AK570" s="949"/>
      <c r="AL570" s="949"/>
      <c r="AM570" s="953" t="s">
        <v>1165</v>
      </c>
      <c r="AN570" s="954" t="s">
        <v>1013</v>
      </c>
      <c r="AO570" s="955" t="s">
        <v>1224</v>
      </c>
      <c r="AP570" s="931"/>
      <c r="AQ570" s="956"/>
      <c r="AR570" s="957"/>
      <c r="AS570" s="931"/>
    </row>
    <row r="571" ht="15.75" customHeight="1">
      <c r="A571" s="931"/>
      <c r="B571" s="941" t="s">
        <v>2463</v>
      </c>
      <c r="C571" s="942" t="s">
        <v>2464</v>
      </c>
      <c r="D571" s="942" t="s">
        <v>2464</v>
      </c>
      <c r="E571" s="943" t="s">
        <v>2464</v>
      </c>
      <c r="F571" s="935"/>
      <c r="G571" s="944"/>
      <c r="H571" s="944"/>
      <c r="I571" s="946" t="s">
        <v>429</v>
      </c>
      <c r="J571" s="948" t="s">
        <v>709</v>
      </c>
      <c r="K571" s="988" t="s">
        <v>705</v>
      </c>
      <c r="L571" s="949">
        <v>83.0</v>
      </c>
      <c r="M571" s="949">
        <v>106.0</v>
      </c>
      <c r="N571" s="949">
        <v>65.0</v>
      </c>
      <c r="O571" s="949">
        <v>86.0</v>
      </c>
      <c r="P571" s="949">
        <v>65.0</v>
      </c>
      <c r="Q571" s="949">
        <v>85.0</v>
      </c>
      <c r="R571" s="949">
        <v>206.0</v>
      </c>
      <c r="S571" s="949">
        <v>269.0</v>
      </c>
      <c r="T571" s="949">
        <v>295.0</v>
      </c>
      <c r="U571" s="949"/>
      <c r="V571" s="949"/>
      <c r="W571" s="949"/>
      <c r="X571" s="949"/>
      <c r="Y571" s="949"/>
      <c r="Z571" s="949"/>
      <c r="AA571" s="949"/>
      <c r="AB571" s="949"/>
      <c r="AC571" s="949"/>
      <c r="AD571" s="949"/>
      <c r="AE571" s="949"/>
      <c r="AF571" s="949"/>
      <c r="AG571" s="949"/>
      <c r="AH571" s="949"/>
      <c r="AI571" s="949"/>
      <c r="AJ571" s="949"/>
      <c r="AK571" s="949"/>
      <c r="AL571" s="949"/>
      <c r="AM571" s="953" t="s">
        <v>1165</v>
      </c>
      <c r="AN571" s="954" t="s">
        <v>1013</v>
      </c>
      <c r="AO571" s="955" t="s">
        <v>1224</v>
      </c>
      <c r="AP571" s="931"/>
      <c r="AQ571" s="956"/>
      <c r="AR571" s="957"/>
      <c r="AS571" s="931"/>
    </row>
    <row r="572" ht="15.75" customHeight="1">
      <c r="A572" s="931"/>
      <c r="B572" s="941" t="s">
        <v>2465</v>
      </c>
      <c r="C572" s="942" t="s">
        <v>2466</v>
      </c>
      <c r="D572" s="942" t="s">
        <v>2466</v>
      </c>
      <c r="E572" s="943" t="s">
        <v>2466</v>
      </c>
      <c r="F572" s="935"/>
      <c r="G572" s="944"/>
      <c r="H572" s="944"/>
      <c r="I572" s="946" t="s">
        <v>2467</v>
      </c>
      <c r="J572" s="947" t="s">
        <v>708</v>
      </c>
      <c r="K572" s="954" t="s">
        <v>158</v>
      </c>
      <c r="L572" s="949">
        <v>74.0</v>
      </c>
      <c r="M572" s="949">
        <v>100.0</v>
      </c>
      <c r="N572" s="949">
        <v>72.0</v>
      </c>
      <c r="O572" s="949">
        <v>90.0</v>
      </c>
      <c r="P572" s="949">
        <v>72.0</v>
      </c>
      <c r="Q572" s="949">
        <v>46.0</v>
      </c>
      <c r="R572" s="949">
        <v>128.0</v>
      </c>
      <c r="S572" s="949">
        <v>191.0</v>
      </c>
      <c r="T572" s="949">
        <v>210.0</v>
      </c>
      <c r="U572" s="949"/>
      <c r="V572" s="949"/>
      <c r="W572" s="949"/>
      <c r="X572" s="949"/>
      <c r="Y572" s="949"/>
      <c r="Z572" s="949"/>
      <c r="AA572" s="949"/>
      <c r="AB572" s="949"/>
      <c r="AC572" s="949"/>
      <c r="AD572" s="949"/>
      <c r="AE572" s="949"/>
      <c r="AF572" s="949"/>
      <c r="AG572" s="949"/>
      <c r="AH572" s="949"/>
      <c r="AI572" s="949"/>
      <c r="AJ572" s="949"/>
      <c r="AK572" s="949"/>
      <c r="AL572" s="949"/>
      <c r="AM572" s="953" t="s">
        <v>1244</v>
      </c>
      <c r="AN572" s="954"/>
      <c r="AO572" s="955"/>
      <c r="AP572" s="931"/>
      <c r="AQ572" s="956"/>
      <c r="AR572" s="957"/>
      <c r="AS572" s="931"/>
    </row>
    <row r="573" ht="15.75" customHeight="1">
      <c r="A573" s="931"/>
      <c r="B573" s="941" t="s">
        <v>2468</v>
      </c>
      <c r="C573" s="942" t="s">
        <v>2469</v>
      </c>
      <c r="D573" s="942" t="s">
        <v>2469</v>
      </c>
      <c r="E573" s="943" t="s">
        <v>2469</v>
      </c>
      <c r="F573" s="935"/>
      <c r="G573" s="944"/>
      <c r="H573" s="944"/>
      <c r="I573" s="946" t="s">
        <v>617</v>
      </c>
      <c r="J573" s="962" t="s">
        <v>706</v>
      </c>
      <c r="K573" s="954" t="s">
        <v>158</v>
      </c>
      <c r="L573" s="949">
        <v>49.0</v>
      </c>
      <c r="M573" s="949">
        <v>49.0</v>
      </c>
      <c r="N573" s="949">
        <v>56.0</v>
      </c>
      <c r="O573" s="949">
        <v>49.0</v>
      </c>
      <c r="P573" s="949">
        <v>61.0</v>
      </c>
      <c r="Q573" s="949">
        <v>66.0</v>
      </c>
      <c r="R573" s="949">
        <v>168.0</v>
      </c>
      <c r="S573" s="949">
        <v>231.0</v>
      </c>
      <c r="T573" s="949">
        <v>254.0</v>
      </c>
      <c r="U573" s="949"/>
      <c r="V573" s="949"/>
      <c r="W573" s="949"/>
      <c r="X573" s="949"/>
      <c r="Y573" s="949"/>
      <c r="Z573" s="949"/>
      <c r="AA573" s="949"/>
      <c r="AB573" s="949"/>
      <c r="AC573" s="949"/>
      <c r="AD573" s="949"/>
      <c r="AE573" s="949"/>
      <c r="AF573" s="949"/>
      <c r="AG573" s="949"/>
      <c r="AH573" s="949"/>
      <c r="AI573" s="949"/>
      <c r="AJ573" s="949"/>
      <c r="AK573" s="949"/>
      <c r="AL573" s="949"/>
      <c r="AM573" s="953" t="s">
        <v>1062</v>
      </c>
      <c r="AN573" s="954" t="s">
        <v>2113</v>
      </c>
      <c r="AO573" s="955" t="s">
        <v>1355</v>
      </c>
      <c r="AP573" s="931"/>
      <c r="AQ573" s="956"/>
      <c r="AR573" s="957"/>
      <c r="AS573" s="931"/>
    </row>
    <row r="574" ht="15.75" customHeight="1">
      <c r="A574" s="931"/>
      <c r="B574" s="941" t="s">
        <v>2470</v>
      </c>
      <c r="C574" s="942" t="s">
        <v>2471</v>
      </c>
      <c r="D574" s="942" t="s">
        <v>2471</v>
      </c>
      <c r="E574" s="943" t="s">
        <v>2471</v>
      </c>
      <c r="F574" s="935"/>
      <c r="G574" s="944"/>
      <c r="H574" s="944"/>
      <c r="I574" s="959" t="s">
        <v>489</v>
      </c>
      <c r="J574" s="962" t="s">
        <v>706</v>
      </c>
      <c r="K574" s="954" t="s">
        <v>158</v>
      </c>
      <c r="L574" s="949">
        <v>69.0</v>
      </c>
      <c r="M574" s="949">
        <v>69.0</v>
      </c>
      <c r="N574" s="949">
        <v>76.0</v>
      </c>
      <c r="O574" s="949">
        <v>69.0</v>
      </c>
      <c r="P574" s="949">
        <v>86.0</v>
      </c>
      <c r="Q574" s="949">
        <v>91.0</v>
      </c>
      <c r="R574" s="949">
        <v>218.0</v>
      </c>
      <c r="S574" s="949">
        <v>281.0</v>
      </c>
      <c r="T574" s="949">
        <v>309.0</v>
      </c>
      <c r="U574" s="949"/>
      <c r="V574" s="949"/>
      <c r="W574" s="949"/>
      <c r="X574" s="949"/>
      <c r="Y574" s="949"/>
      <c r="Z574" s="949"/>
      <c r="AA574" s="949"/>
      <c r="AB574" s="949"/>
      <c r="AC574" s="949"/>
      <c r="AD574" s="949"/>
      <c r="AE574" s="949"/>
      <c r="AF574" s="949"/>
      <c r="AG574" s="949"/>
      <c r="AH574" s="949"/>
      <c r="AI574" s="949"/>
      <c r="AJ574" s="949"/>
      <c r="AK574" s="949"/>
      <c r="AL574" s="949"/>
      <c r="AM574" s="964" t="s">
        <v>1062</v>
      </c>
      <c r="AN574" s="954" t="s">
        <v>2113</v>
      </c>
      <c r="AO574" s="965" t="s">
        <v>1355</v>
      </c>
      <c r="AP574" s="931"/>
      <c r="AQ574" s="956"/>
      <c r="AR574" s="957"/>
      <c r="AS574" s="931"/>
    </row>
    <row r="575" ht="15.75" customHeight="1">
      <c r="A575" s="931"/>
      <c r="B575" s="941" t="s">
        <v>2472</v>
      </c>
      <c r="C575" s="942" t="s">
        <v>2473</v>
      </c>
      <c r="D575" s="942" t="s">
        <v>2473</v>
      </c>
      <c r="E575" s="943" t="s">
        <v>2473</v>
      </c>
      <c r="F575" s="935"/>
      <c r="G575" s="944"/>
      <c r="H575" s="944"/>
      <c r="I575" s="946" t="s">
        <v>2474</v>
      </c>
      <c r="J575" s="962" t="s">
        <v>706</v>
      </c>
      <c r="K575" s="960" t="s">
        <v>707</v>
      </c>
      <c r="L575" s="949">
        <v>45.0</v>
      </c>
      <c r="M575" s="949">
        <v>20.0</v>
      </c>
      <c r="N575" s="949">
        <v>50.0</v>
      </c>
      <c r="O575" s="949">
        <v>60.0</v>
      </c>
      <c r="P575" s="949">
        <v>120.0</v>
      </c>
      <c r="Q575" s="949">
        <v>50.0</v>
      </c>
      <c r="R575" s="949">
        <v>136.0</v>
      </c>
      <c r="S575" s="949">
        <v>199.0</v>
      </c>
      <c r="T575" s="949">
        <v>218.0</v>
      </c>
      <c r="U575" s="949"/>
      <c r="V575" s="949"/>
      <c r="W575" s="949"/>
      <c r="X575" s="949"/>
      <c r="Y575" s="949"/>
      <c r="Z575" s="949"/>
      <c r="AA575" s="949"/>
      <c r="AB575" s="949"/>
      <c r="AC575" s="949"/>
      <c r="AD575" s="949"/>
      <c r="AE575" s="949"/>
      <c r="AF575" s="949"/>
      <c r="AG575" s="949"/>
      <c r="AH575" s="949"/>
      <c r="AI575" s="949"/>
      <c r="AJ575" s="949"/>
      <c r="AK575" s="949"/>
      <c r="AL575" s="949"/>
      <c r="AM575" s="953" t="s">
        <v>1062</v>
      </c>
      <c r="AN575" s="954" t="s">
        <v>1084</v>
      </c>
      <c r="AO575" s="955" t="s">
        <v>1355</v>
      </c>
      <c r="AP575" s="931"/>
      <c r="AQ575" s="956"/>
      <c r="AR575" s="957"/>
      <c r="AS575" s="931"/>
    </row>
    <row r="576" ht="15.75" customHeight="1">
      <c r="A576" s="931"/>
      <c r="B576" s="941" t="s">
        <v>2475</v>
      </c>
      <c r="C576" s="942" t="s">
        <v>2476</v>
      </c>
      <c r="D576" s="942" t="s">
        <v>2476</v>
      </c>
      <c r="E576" s="943" t="s">
        <v>2476</v>
      </c>
      <c r="F576" s="935"/>
      <c r="G576" s="944"/>
      <c r="H576" s="944"/>
      <c r="I576" s="946" t="s">
        <v>618</v>
      </c>
      <c r="J576" s="947" t="s">
        <v>708</v>
      </c>
      <c r="K576" s="977" t="s">
        <v>714</v>
      </c>
      <c r="L576" s="949">
        <v>60.0</v>
      </c>
      <c r="M576" s="949">
        <v>62.0</v>
      </c>
      <c r="N576" s="949">
        <v>50.0</v>
      </c>
      <c r="O576" s="949">
        <v>62.0</v>
      </c>
      <c r="P576" s="949">
        <v>60.0</v>
      </c>
      <c r="Q576" s="949">
        <v>40.0</v>
      </c>
      <c r="R576" s="949">
        <v>116.0</v>
      </c>
      <c r="S576" s="949">
        <v>179.0</v>
      </c>
      <c r="T576" s="949">
        <v>196.0</v>
      </c>
      <c r="U576" s="949"/>
      <c r="V576" s="949"/>
      <c r="W576" s="949"/>
      <c r="X576" s="949"/>
      <c r="Y576" s="949"/>
      <c r="Z576" s="949"/>
      <c r="AA576" s="949"/>
      <c r="AB576" s="949"/>
      <c r="AC576" s="949"/>
      <c r="AD576" s="949"/>
      <c r="AE576" s="949"/>
      <c r="AF576" s="949"/>
      <c r="AG576" s="949"/>
      <c r="AH576" s="949"/>
      <c r="AI576" s="949"/>
      <c r="AJ576" s="949"/>
      <c r="AK576" s="949"/>
      <c r="AL576" s="949"/>
      <c r="AM576" s="953" t="s">
        <v>977</v>
      </c>
      <c r="AN576" s="954"/>
      <c r="AO576" s="955" t="s">
        <v>1272</v>
      </c>
      <c r="AP576" s="931"/>
      <c r="AQ576" s="956"/>
      <c r="AR576" s="957"/>
      <c r="AS576" s="931"/>
    </row>
    <row r="577" ht="15.75" customHeight="1">
      <c r="A577" s="931"/>
      <c r="B577" s="941" t="s">
        <v>2477</v>
      </c>
      <c r="C577" s="942" t="s">
        <v>185</v>
      </c>
      <c r="D577" s="942" t="s">
        <v>185</v>
      </c>
      <c r="E577" s="943" t="s">
        <v>185</v>
      </c>
      <c r="F577" s="935"/>
      <c r="G577" s="944"/>
      <c r="H577" s="944"/>
      <c r="I577" s="946" t="s">
        <v>120</v>
      </c>
      <c r="J577" s="947" t="s">
        <v>708</v>
      </c>
      <c r="K577" s="977" t="s">
        <v>714</v>
      </c>
      <c r="L577" s="949">
        <v>90.0</v>
      </c>
      <c r="M577" s="949">
        <v>92.0</v>
      </c>
      <c r="N577" s="949">
        <v>75.0</v>
      </c>
      <c r="O577" s="949">
        <v>92.0</v>
      </c>
      <c r="P577" s="949">
        <v>85.0</v>
      </c>
      <c r="Q577" s="949">
        <v>60.0</v>
      </c>
      <c r="R577" s="949">
        <v>156.0</v>
      </c>
      <c r="S577" s="949">
        <v>219.0</v>
      </c>
      <c r="T577" s="949">
        <v>240.0</v>
      </c>
      <c r="U577" s="949"/>
      <c r="V577" s="949"/>
      <c r="W577" s="949"/>
      <c r="X577" s="949"/>
      <c r="Y577" s="949"/>
      <c r="Z577" s="949"/>
      <c r="AA577" s="949"/>
      <c r="AB577" s="949"/>
      <c r="AC577" s="949"/>
      <c r="AD577" s="949"/>
      <c r="AE577" s="949"/>
      <c r="AF577" s="949"/>
      <c r="AG577" s="949"/>
      <c r="AH577" s="949"/>
      <c r="AI577" s="949"/>
      <c r="AJ577" s="949"/>
      <c r="AK577" s="949"/>
      <c r="AL577" s="949"/>
      <c r="AM577" s="953" t="s">
        <v>977</v>
      </c>
      <c r="AN577" s="954"/>
      <c r="AO577" s="955" t="s">
        <v>1272</v>
      </c>
      <c r="AP577" s="931"/>
      <c r="AQ577" s="956"/>
      <c r="AR577" s="957"/>
      <c r="AS577" s="931"/>
    </row>
    <row r="578" ht="15.75" customHeight="1">
      <c r="A578" s="931"/>
      <c r="B578" s="941" t="s">
        <v>2478</v>
      </c>
      <c r="C578" s="942" t="s">
        <v>2479</v>
      </c>
      <c r="D578" s="942" t="s">
        <v>2479</v>
      </c>
      <c r="E578" s="943" t="s">
        <v>2479</v>
      </c>
      <c r="F578" s="935"/>
      <c r="G578" s="944"/>
      <c r="H578" s="944"/>
      <c r="I578" s="946" t="s">
        <v>2480</v>
      </c>
      <c r="J578" s="947" t="s">
        <v>708</v>
      </c>
      <c r="K578" s="977" t="s">
        <v>714</v>
      </c>
      <c r="L578" s="949">
        <v>90.0</v>
      </c>
      <c r="M578" s="949">
        <v>132.0</v>
      </c>
      <c r="N578" s="949">
        <v>105.0</v>
      </c>
      <c r="O578" s="949">
        <v>132.0</v>
      </c>
      <c r="P578" s="949">
        <v>105.0</v>
      </c>
      <c r="Q578" s="949">
        <v>30.0</v>
      </c>
      <c r="R578" s="949">
        <v>96.0</v>
      </c>
      <c r="S578" s="949">
        <v>159.0</v>
      </c>
      <c r="T578" s="949">
        <v>174.0</v>
      </c>
      <c r="U578" s="949"/>
      <c r="V578" s="949"/>
      <c r="W578" s="949"/>
      <c r="X578" s="949"/>
      <c r="Y578" s="949"/>
      <c r="Z578" s="949"/>
      <c r="AA578" s="949"/>
      <c r="AB578" s="949"/>
      <c r="AC578" s="949"/>
      <c r="AD578" s="949"/>
      <c r="AE578" s="949"/>
      <c r="AF578" s="949"/>
      <c r="AG578" s="949"/>
      <c r="AH578" s="949"/>
      <c r="AI578" s="949"/>
      <c r="AJ578" s="949"/>
      <c r="AK578" s="949"/>
      <c r="AL578" s="949"/>
      <c r="AM578" s="953" t="s">
        <v>977</v>
      </c>
      <c r="AN578" s="954"/>
      <c r="AO578" s="955"/>
      <c r="AP578" s="931"/>
      <c r="AQ578" s="956"/>
      <c r="AR578" s="957"/>
      <c r="AS578" s="931"/>
    </row>
    <row r="579" ht="15.75" customHeight="1">
      <c r="A579" s="931"/>
      <c r="B579" s="941" t="s">
        <v>2481</v>
      </c>
      <c r="C579" s="942" t="s">
        <v>2482</v>
      </c>
      <c r="D579" s="942" t="s">
        <v>2482</v>
      </c>
      <c r="E579" s="943" t="s">
        <v>2482</v>
      </c>
      <c r="F579" s="935"/>
      <c r="G579" s="944"/>
      <c r="H579" s="944"/>
      <c r="I579" s="946" t="s">
        <v>396</v>
      </c>
      <c r="J579" s="969" t="s">
        <v>718</v>
      </c>
      <c r="K579" s="977" t="s">
        <v>714</v>
      </c>
      <c r="L579" s="949">
        <v>70.0</v>
      </c>
      <c r="M579" s="949">
        <v>120.0</v>
      </c>
      <c r="N579" s="949">
        <v>65.0</v>
      </c>
      <c r="O579" s="949">
        <v>45.0</v>
      </c>
      <c r="P579" s="949">
        <v>85.0</v>
      </c>
      <c r="Q579" s="949">
        <v>125.0</v>
      </c>
      <c r="R579" s="949">
        <v>286.0</v>
      </c>
      <c r="S579" s="949">
        <v>349.0</v>
      </c>
      <c r="T579" s="949">
        <v>383.0</v>
      </c>
      <c r="U579" s="949"/>
      <c r="V579" s="949"/>
      <c r="W579" s="949"/>
      <c r="X579" s="949"/>
      <c r="Y579" s="949"/>
      <c r="Z579" s="949"/>
      <c r="AA579" s="949"/>
      <c r="AB579" s="949"/>
      <c r="AC579" s="949"/>
      <c r="AD579" s="949"/>
      <c r="AE579" s="949"/>
      <c r="AF579" s="949"/>
      <c r="AG579" s="949"/>
      <c r="AH579" s="949"/>
      <c r="AI579" s="949"/>
      <c r="AJ579" s="949"/>
      <c r="AK579" s="949"/>
      <c r="AL579" s="949"/>
      <c r="AM579" s="953" t="s">
        <v>1451</v>
      </c>
      <c r="AN579" s="954"/>
      <c r="AO579" s="955" t="s">
        <v>1702</v>
      </c>
      <c r="AP579" s="931"/>
      <c r="AQ579" s="956"/>
      <c r="AR579" s="957"/>
      <c r="AS579" s="931"/>
    </row>
    <row r="580" ht="15.75" customHeight="1">
      <c r="A580" s="931"/>
      <c r="B580" s="941" t="s">
        <v>2483</v>
      </c>
      <c r="C580" s="942" t="s">
        <v>197</v>
      </c>
      <c r="D580" s="942" t="s">
        <v>197</v>
      </c>
      <c r="E580" s="943" t="s">
        <v>197</v>
      </c>
      <c r="F580" s="935"/>
      <c r="G580" s="944"/>
      <c r="H580" s="944"/>
      <c r="I580" s="946" t="s">
        <v>121</v>
      </c>
      <c r="J580" s="970" t="s">
        <v>710</v>
      </c>
      <c r="K580" s="978" t="s">
        <v>719</v>
      </c>
      <c r="L580" s="949">
        <v>70.0</v>
      </c>
      <c r="M580" s="949">
        <v>70.0</v>
      </c>
      <c r="N580" s="949">
        <v>115.0</v>
      </c>
      <c r="O580" s="949">
        <v>130.0</v>
      </c>
      <c r="P580" s="949">
        <v>90.0</v>
      </c>
      <c r="Q580" s="949">
        <v>60.0</v>
      </c>
      <c r="R580" s="949">
        <v>156.0</v>
      </c>
      <c r="S580" s="949">
        <v>219.0</v>
      </c>
      <c r="T580" s="949">
        <v>240.0</v>
      </c>
      <c r="U580" s="949"/>
      <c r="V580" s="949"/>
      <c r="W580" s="949"/>
      <c r="X580" s="949"/>
      <c r="Y580" s="949"/>
      <c r="Z580" s="949"/>
      <c r="AA580" s="949"/>
      <c r="AB580" s="949"/>
      <c r="AC580" s="949"/>
      <c r="AD580" s="949"/>
      <c r="AE580" s="949"/>
      <c r="AF580" s="949"/>
      <c r="AG580" s="949"/>
      <c r="AH580" s="949"/>
      <c r="AI580" s="949"/>
      <c r="AJ580" s="949"/>
      <c r="AK580" s="949"/>
      <c r="AL580" s="949"/>
      <c r="AM580" s="953" t="s">
        <v>1140</v>
      </c>
      <c r="AN580" s="954" t="s">
        <v>1135</v>
      </c>
      <c r="AO580" s="955" t="s">
        <v>1195</v>
      </c>
      <c r="AP580" s="931"/>
      <c r="AQ580" s="956"/>
      <c r="AR580" s="957"/>
      <c r="AS580" s="931"/>
    </row>
    <row r="581" ht="15.75" customHeight="1">
      <c r="A581" s="931"/>
      <c r="B581" s="941" t="s">
        <v>2484</v>
      </c>
      <c r="C581" s="942" t="s">
        <v>2485</v>
      </c>
      <c r="D581" s="942" t="s">
        <v>2485</v>
      </c>
      <c r="E581" s="943" t="s">
        <v>2485</v>
      </c>
      <c r="F581" s="935"/>
      <c r="G581" s="944"/>
      <c r="H581" s="944"/>
      <c r="I581" s="946" t="s">
        <v>2486</v>
      </c>
      <c r="J581" s="968" t="s">
        <v>703</v>
      </c>
      <c r="K581" s="954" t="s">
        <v>158</v>
      </c>
      <c r="L581" s="949">
        <v>110.0</v>
      </c>
      <c r="M581" s="949">
        <v>85.0</v>
      </c>
      <c r="N581" s="949">
        <v>95.0</v>
      </c>
      <c r="O581" s="949">
        <v>80.0</v>
      </c>
      <c r="P581" s="949">
        <v>95.0</v>
      </c>
      <c r="Q581" s="949">
        <v>50.0</v>
      </c>
      <c r="R581" s="949">
        <v>136.0</v>
      </c>
      <c r="S581" s="949">
        <v>199.0</v>
      </c>
      <c r="T581" s="949">
        <v>218.0</v>
      </c>
      <c r="U581" s="949"/>
      <c r="V581" s="949"/>
      <c r="W581" s="949"/>
      <c r="X581" s="949"/>
      <c r="Y581" s="949"/>
      <c r="Z581" s="949"/>
      <c r="AA581" s="949"/>
      <c r="AB581" s="949"/>
      <c r="AC581" s="949"/>
      <c r="AD581" s="949"/>
      <c r="AE581" s="949"/>
      <c r="AF581" s="949"/>
      <c r="AG581" s="949"/>
      <c r="AH581" s="949"/>
      <c r="AI581" s="949"/>
      <c r="AJ581" s="949"/>
      <c r="AK581" s="949"/>
      <c r="AL581" s="949"/>
      <c r="AM581" s="953" t="s">
        <v>1176</v>
      </c>
      <c r="AN581" s="954" t="s">
        <v>1175</v>
      </c>
      <c r="AO581" s="955" t="s">
        <v>1061</v>
      </c>
      <c r="AP581" s="931"/>
      <c r="AQ581" s="956"/>
      <c r="AR581" s="957"/>
      <c r="AS581" s="931"/>
    </row>
    <row r="582" ht="15.75" customHeight="1">
      <c r="A582" s="931"/>
      <c r="B582" s="941" t="s">
        <v>2487</v>
      </c>
      <c r="C582" s="942" t="s">
        <v>2488</v>
      </c>
      <c r="D582" s="942" t="s">
        <v>2488</v>
      </c>
      <c r="E582" s="943" t="s">
        <v>2488</v>
      </c>
      <c r="F582" s="935"/>
      <c r="G582" s="944"/>
      <c r="H582" s="944"/>
      <c r="I582" s="946" t="s">
        <v>2489</v>
      </c>
      <c r="J582" s="976" t="s">
        <v>711</v>
      </c>
      <c r="K582" s="989" t="s">
        <v>713</v>
      </c>
      <c r="L582" s="949">
        <v>115.0</v>
      </c>
      <c r="M582" s="949">
        <v>140.0</v>
      </c>
      <c r="N582" s="949">
        <v>130.0</v>
      </c>
      <c r="O582" s="949">
        <v>55.0</v>
      </c>
      <c r="P582" s="949">
        <v>55.0</v>
      </c>
      <c r="Q582" s="949">
        <v>40.0</v>
      </c>
      <c r="R582" s="949">
        <v>116.0</v>
      </c>
      <c r="S582" s="949">
        <v>179.0</v>
      </c>
      <c r="T582" s="949">
        <v>196.0</v>
      </c>
      <c r="U582" s="949"/>
      <c r="V582" s="949"/>
      <c r="W582" s="949"/>
      <c r="X582" s="949"/>
      <c r="Y582" s="949"/>
      <c r="Z582" s="949"/>
      <c r="AA582" s="949"/>
      <c r="AB582" s="949"/>
      <c r="AC582" s="949"/>
      <c r="AD582" s="949"/>
      <c r="AE582" s="949"/>
      <c r="AF582" s="949"/>
      <c r="AG582" s="949"/>
      <c r="AH582" s="949"/>
      <c r="AI582" s="949"/>
      <c r="AJ582" s="949"/>
      <c r="AK582" s="949"/>
      <c r="AL582" s="949"/>
      <c r="AM582" s="953" t="s">
        <v>862</v>
      </c>
      <c r="AN582" s="954" t="s">
        <v>2050</v>
      </c>
      <c r="AO582" s="955" t="s">
        <v>1305</v>
      </c>
      <c r="AP582" s="931"/>
      <c r="AQ582" s="956"/>
      <c r="AR582" s="957"/>
      <c r="AS582" s="931"/>
    </row>
    <row r="583" ht="15.75" customHeight="1">
      <c r="A583" s="931"/>
      <c r="B583" s="941" t="s">
        <v>2490</v>
      </c>
      <c r="C583" s="942" t="s">
        <v>2491</v>
      </c>
      <c r="D583" s="942" t="s">
        <v>2491</v>
      </c>
      <c r="E583" s="943" t="s">
        <v>2491</v>
      </c>
      <c r="F583" s="935"/>
      <c r="G583" s="944"/>
      <c r="H583" s="944"/>
      <c r="I583" s="946" t="s">
        <v>2492</v>
      </c>
      <c r="J583" s="947" t="s">
        <v>708</v>
      </c>
      <c r="K583" s="954" t="s">
        <v>158</v>
      </c>
      <c r="L583" s="949">
        <v>100.0</v>
      </c>
      <c r="M583" s="949">
        <v>100.0</v>
      </c>
      <c r="N583" s="949">
        <v>125.0</v>
      </c>
      <c r="O583" s="949">
        <v>110.0</v>
      </c>
      <c r="P583" s="949">
        <v>50.0</v>
      </c>
      <c r="Q583" s="949">
        <v>50.0</v>
      </c>
      <c r="R583" s="949">
        <v>136.0</v>
      </c>
      <c r="S583" s="949">
        <v>199.0</v>
      </c>
      <c r="T583" s="949">
        <v>218.0</v>
      </c>
      <c r="U583" s="949"/>
      <c r="V583" s="949"/>
      <c r="W583" s="949"/>
      <c r="X583" s="949"/>
      <c r="Y583" s="949"/>
      <c r="Z583" s="949"/>
      <c r="AA583" s="949"/>
      <c r="AB583" s="949"/>
      <c r="AC583" s="949"/>
      <c r="AD583" s="949"/>
      <c r="AE583" s="949"/>
      <c r="AF583" s="949"/>
      <c r="AG583" s="949"/>
      <c r="AH583" s="949"/>
      <c r="AI583" s="949"/>
      <c r="AJ583" s="949"/>
      <c r="AK583" s="949"/>
      <c r="AL583" s="949"/>
      <c r="AM583" s="953" t="s">
        <v>736</v>
      </c>
      <c r="AN583" s="954" t="s">
        <v>1339</v>
      </c>
      <c r="AO583" s="955" t="s">
        <v>1177</v>
      </c>
      <c r="AP583" s="931"/>
      <c r="AQ583" s="956"/>
      <c r="AR583" s="957"/>
      <c r="AS583" s="931"/>
    </row>
    <row r="584" ht="15.75" customHeight="1">
      <c r="A584" s="963"/>
      <c r="B584" s="941" t="s">
        <v>2493</v>
      </c>
      <c r="C584" s="971" t="s">
        <v>2494</v>
      </c>
      <c r="D584" s="971" t="s">
        <v>2494</v>
      </c>
      <c r="E584" s="966" t="s">
        <v>2494</v>
      </c>
      <c r="F584" s="935"/>
      <c r="G584" s="944"/>
      <c r="H584" s="944"/>
      <c r="I584" s="959" t="s">
        <v>2495</v>
      </c>
      <c r="J584" s="972" t="s">
        <v>710</v>
      </c>
      <c r="K584" s="973" t="s">
        <v>158</v>
      </c>
      <c r="L584" s="974">
        <v>75.0</v>
      </c>
      <c r="M584" s="974">
        <v>123.0</v>
      </c>
      <c r="N584" s="974">
        <v>67.0</v>
      </c>
      <c r="O584" s="974">
        <v>95.0</v>
      </c>
      <c r="P584" s="974">
        <v>85.0</v>
      </c>
      <c r="Q584" s="974">
        <v>95.0</v>
      </c>
      <c r="R584" s="949">
        <v>226.0</v>
      </c>
      <c r="S584" s="949">
        <v>289.0</v>
      </c>
      <c r="T584" s="949">
        <v>317.0</v>
      </c>
      <c r="U584" s="949"/>
      <c r="V584" s="949"/>
      <c r="W584" s="949"/>
      <c r="X584" s="949"/>
      <c r="Y584" s="949"/>
      <c r="Z584" s="949"/>
      <c r="AA584" s="949"/>
      <c r="AB584" s="949"/>
      <c r="AC584" s="949"/>
      <c r="AD584" s="949"/>
      <c r="AE584" s="949"/>
      <c r="AF584" s="949"/>
      <c r="AG584" s="949"/>
      <c r="AH584" s="949"/>
      <c r="AI584" s="949"/>
      <c r="AJ584" s="949"/>
      <c r="AK584" s="949"/>
      <c r="AL584" s="949"/>
      <c r="AM584" s="964" t="s">
        <v>2496</v>
      </c>
      <c r="AN584" s="973"/>
      <c r="AO584" s="965" t="s">
        <v>1067</v>
      </c>
      <c r="AP584" s="931"/>
      <c r="AQ584" s="956"/>
      <c r="AR584" s="957"/>
      <c r="AS584" s="931"/>
    </row>
    <row r="585" ht="15.75" customHeight="1">
      <c r="A585" s="931"/>
      <c r="B585" s="941" t="s">
        <v>2497</v>
      </c>
      <c r="C585" s="942" t="s">
        <v>2498</v>
      </c>
      <c r="D585" s="942" t="s">
        <v>2498</v>
      </c>
      <c r="E585" s="943" t="s">
        <v>2498</v>
      </c>
      <c r="F585" s="935"/>
      <c r="G585" s="944"/>
      <c r="H585" s="944"/>
      <c r="I585" s="946" t="s">
        <v>2499</v>
      </c>
      <c r="J585" s="958" t="s">
        <v>704</v>
      </c>
      <c r="K585" s="954" t="s">
        <v>158</v>
      </c>
      <c r="L585" s="949">
        <v>75.0</v>
      </c>
      <c r="M585" s="949">
        <v>95.0</v>
      </c>
      <c r="N585" s="949">
        <v>67.0</v>
      </c>
      <c r="O585" s="949">
        <v>125.0</v>
      </c>
      <c r="P585" s="949">
        <v>95.0</v>
      </c>
      <c r="Q585" s="949">
        <v>83.0</v>
      </c>
      <c r="R585" s="949">
        <v>202.0</v>
      </c>
      <c r="S585" s="949">
        <v>265.0</v>
      </c>
      <c r="T585" s="949">
        <v>291.0</v>
      </c>
      <c r="U585" s="949"/>
      <c r="V585" s="949"/>
      <c r="W585" s="949"/>
      <c r="X585" s="949"/>
      <c r="Y585" s="949"/>
      <c r="Z585" s="949"/>
      <c r="AA585" s="949"/>
      <c r="AB585" s="949"/>
      <c r="AC585" s="949"/>
      <c r="AD585" s="949"/>
      <c r="AE585" s="949"/>
      <c r="AF585" s="949"/>
      <c r="AG585" s="949"/>
      <c r="AH585" s="949"/>
      <c r="AI585" s="949"/>
      <c r="AJ585" s="949"/>
      <c r="AK585" s="949"/>
      <c r="AL585" s="949"/>
      <c r="AM585" s="953" t="s">
        <v>1159</v>
      </c>
      <c r="AN585" s="954"/>
      <c r="AO585" s="955" t="s">
        <v>1067</v>
      </c>
      <c r="AP585" s="931"/>
      <c r="AQ585" s="956"/>
      <c r="AR585" s="957"/>
      <c r="AS585" s="931"/>
    </row>
    <row r="586" ht="15.75" customHeight="1">
      <c r="A586" s="931"/>
      <c r="B586" s="941" t="s">
        <v>2500</v>
      </c>
      <c r="C586" s="942" t="s">
        <v>2501</v>
      </c>
      <c r="D586" s="942" t="s">
        <v>2501</v>
      </c>
      <c r="E586" s="943" t="s">
        <v>2501</v>
      </c>
      <c r="F586" s="935"/>
      <c r="G586" s="944"/>
      <c r="H586" s="944"/>
      <c r="I586" s="946" t="s">
        <v>2502</v>
      </c>
      <c r="J586" s="980" t="s">
        <v>720</v>
      </c>
      <c r="K586" s="960" t="s">
        <v>707</v>
      </c>
      <c r="L586" s="949">
        <v>85.0</v>
      </c>
      <c r="M586" s="949">
        <v>50.0</v>
      </c>
      <c r="N586" s="949">
        <v>95.0</v>
      </c>
      <c r="O586" s="949">
        <v>120.0</v>
      </c>
      <c r="P586" s="949">
        <v>115.0</v>
      </c>
      <c r="Q586" s="949">
        <v>80.0</v>
      </c>
      <c r="R586" s="949">
        <v>196.0</v>
      </c>
      <c r="S586" s="949">
        <v>259.0</v>
      </c>
      <c r="T586" s="949">
        <v>284.0</v>
      </c>
      <c r="U586" s="949"/>
      <c r="V586" s="949"/>
      <c r="W586" s="949"/>
      <c r="X586" s="949"/>
      <c r="Y586" s="949"/>
      <c r="Z586" s="949"/>
      <c r="AA586" s="949"/>
      <c r="AB586" s="949"/>
      <c r="AC586" s="949"/>
      <c r="AD586" s="949"/>
      <c r="AE586" s="949"/>
      <c r="AF586" s="949"/>
      <c r="AG586" s="949"/>
      <c r="AH586" s="949"/>
      <c r="AI586" s="949"/>
      <c r="AJ586" s="949"/>
      <c r="AK586" s="949"/>
      <c r="AL586" s="949"/>
      <c r="AM586" s="953" t="s">
        <v>832</v>
      </c>
      <c r="AN586" s="954" t="s">
        <v>1334</v>
      </c>
      <c r="AO586" s="955" t="s">
        <v>1576</v>
      </c>
      <c r="AP586" s="931"/>
      <c r="AQ586" s="956"/>
      <c r="AR586" s="957"/>
      <c r="AS586" s="931"/>
    </row>
    <row r="587" ht="15.75" customHeight="1">
      <c r="A587" s="931"/>
      <c r="B587" s="941" t="s">
        <v>2503</v>
      </c>
      <c r="C587" s="942" t="s">
        <v>2504</v>
      </c>
      <c r="D587" s="942" t="s">
        <v>2504</v>
      </c>
      <c r="E587" s="943" t="s">
        <v>2504</v>
      </c>
      <c r="F587" s="935"/>
      <c r="G587" s="944"/>
      <c r="H587" s="944"/>
      <c r="I587" s="946" t="s">
        <v>2505</v>
      </c>
      <c r="J587" s="967" t="s">
        <v>715</v>
      </c>
      <c r="K587" s="960" t="s">
        <v>707</v>
      </c>
      <c r="L587" s="949">
        <v>86.0</v>
      </c>
      <c r="M587" s="949">
        <v>76.0</v>
      </c>
      <c r="N587" s="949">
        <v>86.0</v>
      </c>
      <c r="O587" s="949">
        <v>116.0</v>
      </c>
      <c r="P587" s="949">
        <v>56.0</v>
      </c>
      <c r="Q587" s="949">
        <v>95.0</v>
      </c>
      <c r="R587" s="949">
        <v>226.0</v>
      </c>
      <c r="S587" s="949">
        <v>289.0</v>
      </c>
      <c r="T587" s="949">
        <v>317.0</v>
      </c>
      <c r="U587" s="949"/>
      <c r="V587" s="949"/>
      <c r="W587" s="949"/>
      <c r="X587" s="949"/>
      <c r="Y587" s="949"/>
      <c r="Z587" s="949"/>
      <c r="AA587" s="949"/>
      <c r="AB587" s="949"/>
      <c r="AC587" s="949"/>
      <c r="AD587" s="949"/>
      <c r="AE587" s="949"/>
      <c r="AF587" s="949"/>
      <c r="AG587" s="949"/>
      <c r="AH587" s="949"/>
      <c r="AI587" s="949"/>
      <c r="AJ587" s="949"/>
      <c r="AK587" s="949"/>
      <c r="AL587" s="949"/>
      <c r="AM587" s="953" t="s">
        <v>1626</v>
      </c>
      <c r="AN587" s="954" t="s">
        <v>796</v>
      </c>
      <c r="AO587" s="955" t="s">
        <v>990</v>
      </c>
      <c r="AP587" s="931"/>
      <c r="AQ587" s="956"/>
      <c r="AR587" s="957"/>
      <c r="AS587" s="931"/>
    </row>
    <row r="588" ht="15.75" customHeight="1">
      <c r="A588" s="931"/>
      <c r="B588" s="941" t="s">
        <v>2506</v>
      </c>
      <c r="C588" s="942" t="s">
        <v>2507</v>
      </c>
      <c r="D588" s="942" t="s">
        <v>2507</v>
      </c>
      <c r="E588" s="943" t="s">
        <v>2507</v>
      </c>
      <c r="F588" s="935"/>
      <c r="G588" s="944"/>
      <c r="H588" s="944"/>
      <c r="I588" s="946" t="s">
        <v>507</v>
      </c>
      <c r="J588" s="947" t="s">
        <v>708</v>
      </c>
      <c r="K588" s="954" t="s">
        <v>158</v>
      </c>
      <c r="L588" s="949">
        <v>65.0</v>
      </c>
      <c r="M588" s="949">
        <v>110.0</v>
      </c>
      <c r="N588" s="949">
        <v>130.0</v>
      </c>
      <c r="O588" s="949">
        <v>60.0</v>
      </c>
      <c r="P588" s="949">
        <v>65.0</v>
      </c>
      <c r="Q588" s="949">
        <v>95.0</v>
      </c>
      <c r="R588" s="949">
        <v>226.0</v>
      </c>
      <c r="S588" s="949">
        <v>289.0</v>
      </c>
      <c r="T588" s="949">
        <v>317.0</v>
      </c>
      <c r="U588" s="949"/>
      <c r="V588" s="949"/>
      <c r="W588" s="949"/>
      <c r="X588" s="949"/>
      <c r="Y588" s="949"/>
      <c r="Z588" s="949"/>
      <c r="AA588" s="949"/>
      <c r="AB588" s="949"/>
      <c r="AC588" s="949"/>
      <c r="AD588" s="949"/>
      <c r="AE588" s="949"/>
      <c r="AF588" s="949"/>
      <c r="AG588" s="949"/>
      <c r="AH588" s="949"/>
      <c r="AI588" s="949"/>
      <c r="AJ588" s="949"/>
      <c r="AK588" s="949"/>
      <c r="AL588" s="949"/>
      <c r="AM588" s="953" t="s">
        <v>1339</v>
      </c>
      <c r="AN588" s="954"/>
      <c r="AO588" s="955" t="s">
        <v>736</v>
      </c>
      <c r="AP588" s="931"/>
      <c r="AQ588" s="956"/>
      <c r="AR588" s="957"/>
      <c r="AS588" s="931"/>
    </row>
    <row r="589" ht="15.75" customHeight="1">
      <c r="A589" s="931"/>
      <c r="B589" s="941" t="s">
        <v>2508</v>
      </c>
      <c r="C589" s="942" t="s">
        <v>2509</v>
      </c>
      <c r="D589" s="942" t="s">
        <v>2509</v>
      </c>
      <c r="E589" s="943" t="s">
        <v>2509</v>
      </c>
      <c r="F589" s="935"/>
      <c r="G589" s="944"/>
      <c r="H589" s="944"/>
      <c r="I589" s="946" t="s">
        <v>508</v>
      </c>
      <c r="J589" s="977" t="s">
        <v>714</v>
      </c>
      <c r="K589" s="954" t="s">
        <v>158</v>
      </c>
      <c r="L589" s="949">
        <v>65.0</v>
      </c>
      <c r="M589" s="949">
        <v>60.0</v>
      </c>
      <c r="N589" s="949">
        <v>110.0</v>
      </c>
      <c r="O589" s="949">
        <v>130.0</v>
      </c>
      <c r="P589" s="949">
        <v>95.0</v>
      </c>
      <c r="Q589" s="949">
        <v>65.0</v>
      </c>
      <c r="R589" s="949">
        <v>166.0</v>
      </c>
      <c r="S589" s="949">
        <v>229.0</v>
      </c>
      <c r="T589" s="949">
        <v>251.0</v>
      </c>
      <c r="U589" s="949"/>
      <c r="V589" s="949"/>
      <c r="W589" s="949"/>
      <c r="X589" s="949"/>
      <c r="Y589" s="949"/>
      <c r="Z589" s="949"/>
      <c r="AA589" s="949"/>
      <c r="AB589" s="949"/>
      <c r="AC589" s="949"/>
      <c r="AD589" s="949"/>
      <c r="AE589" s="949"/>
      <c r="AF589" s="949"/>
      <c r="AG589" s="949"/>
      <c r="AH589" s="949"/>
      <c r="AI589" s="949"/>
      <c r="AJ589" s="949"/>
      <c r="AK589" s="949"/>
      <c r="AL589" s="949"/>
      <c r="AM589" s="953" t="s">
        <v>929</v>
      </c>
      <c r="AN589" s="954"/>
      <c r="AO589" s="955" t="s">
        <v>1217</v>
      </c>
      <c r="AP589" s="931"/>
      <c r="AQ589" s="956"/>
      <c r="AR589" s="957"/>
      <c r="AS589" s="931"/>
    </row>
    <row r="590" ht="15.75" customHeight="1">
      <c r="A590" s="931"/>
      <c r="B590" s="941" t="s">
        <v>2510</v>
      </c>
      <c r="C590" s="942" t="s">
        <v>2511</v>
      </c>
      <c r="D590" s="942" t="s">
        <v>2511</v>
      </c>
      <c r="E590" s="943" t="s">
        <v>2511</v>
      </c>
      <c r="F590" s="935"/>
      <c r="G590" s="944"/>
      <c r="H590" s="944"/>
      <c r="I590" s="946" t="s">
        <v>2512</v>
      </c>
      <c r="J590" s="976" t="s">
        <v>711</v>
      </c>
      <c r="K590" s="960" t="s">
        <v>707</v>
      </c>
      <c r="L590" s="949">
        <v>75.0</v>
      </c>
      <c r="M590" s="949">
        <v>95.0</v>
      </c>
      <c r="N590" s="949">
        <v>125.0</v>
      </c>
      <c r="O590" s="949">
        <v>45.0</v>
      </c>
      <c r="P590" s="949">
        <v>75.0</v>
      </c>
      <c r="Q590" s="949">
        <v>95.0</v>
      </c>
      <c r="R590" s="949">
        <v>226.0</v>
      </c>
      <c r="S590" s="949">
        <v>289.0</v>
      </c>
      <c r="T590" s="949">
        <v>317.0</v>
      </c>
      <c r="U590" s="949"/>
      <c r="V590" s="949"/>
      <c r="W590" s="949"/>
      <c r="X590" s="949"/>
      <c r="Y590" s="949"/>
      <c r="Z590" s="949"/>
      <c r="AA590" s="949"/>
      <c r="AB590" s="949"/>
      <c r="AC590" s="949"/>
      <c r="AD590" s="949"/>
      <c r="AE590" s="949"/>
      <c r="AF590" s="949"/>
      <c r="AG590" s="949"/>
      <c r="AH590" s="949"/>
      <c r="AI590" s="949"/>
      <c r="AJ590" s="949"/>
      <c r="AK590" s="949"/>
      <c r="AL590" s="949"/>
      <c r="AM590" s="953" t="s">
        <v>1266</v>
      </c>
      <c r="AN590" s="954" t="s">
        <v>923</v>
      </c>
      <c r="AO590" s="955" t="s">
        <v>1926</v>
      </c>
      <c r="AP590" s="931"/>
      <c r="AQ590" s="956"/>
      <c r="AR590" s="957"/>
      <c r="AS590" s="931"/>
    </row>
    <row r="591" ht="15.75" customHeight="1">
      <c r="A591" s="931"/>
      <c r="B591" s="941" t="s">
        <v>2513</v>
      </c>
      <c r="C591" s="942" t="s">
        <v>2514</v>
      </c>
      <c r="D591" s="942" t="s">
        <v>2514</v>
      </c>
      <c r="E591" s="943" t="s">
        <v>2514</v>
      </c>
      <c r="F591" s="935"/>
      <c r="G591" s="944"/>
      <c r="H591" s="944"/>
      <c r="I591" s="946" t="s">
        <v>2515</v>
      </c>
      <c r="J591" s="977" t="s">
        <v>714</v>
      </c>
      <c r="K591" s="976" t="s">
        <v>711</v>
      </c>
      <c r="L591" s="949">
        <v>110.0</v>
      </c>
      <c r="M591" s="949">
        <v>130.0</v>
      </c>
      <c r="N591" s="949">
        <v>80.0</v>
      </c>
      <c r="O591" s="949">
        <v>70.0</v>
      </c>
      <c r="P591" s="949">
        <v>60.0</v>
      </c>
      <c r="Q591" s="949">
        <v>80.0</v>
      </c>
      <c r="R591" s="949">
        <v>196.0</v>
      </c>
      <c r="S591" s="949">
        <v>259.0</v>
      </c>
      <c r="T591" s="949">
        <v>284.0</v>
      </c>
      <c r="U591" s="949"/>
      <c r="V591" s="949"/>
      <c r="W591" s="949"/>
      <c r="X591" s="949"/>
      <c r="Y591" s="949"/>
      <c r="Z591" s="949"/>
      <c r="AA591" s="949"/>
      <c r="AB591" s="949"/>
      <c r="AC591" s="949"/>
      <c r="AD591" s="949"/>
      <c r="AE591" s="949"/>
      <c r="AF591" s="949"/>
      <c r="AG591" s="949"/>
      <c r="AH591" s="949"/>
      <c r="AI591" s="949"/>
      <c r="AJ591" s="949"/>
      <c r="AK591" s="949"/>
      <c r="AL591" s="949"/>
      <c r="AM591" s="953" t="s">
        <v>1175</v>
      </c>
      <c r="AN591" s="954" t="s">
        <v>929</v>
      </c>
      <c r="AO591" s="955" t="s">
        <v>746</v>
      </c>
      <c r="AP591" s="931"/>
      <c r="AQ591" s="956"/>
      <c r="AR591" s="957"/>
      <c r="AS591" s="931"/>
    </row>
    <row r="592" ht="15.75" customHeight="1">
      <c r="A592" s="931"/>
      <c r="B592" s="941" t="s">
        <v>2516</v>
      </c>
      <c r="C592" s="942" t="s">
        <v>2517</v>
      </c>
      <c r="D592" s="942" t="s">
        <v>2518</v>
      </c>
      <c r="E592" s="943" t="s">
        <v>2517</v>
      </c>
      <c r="F592" s="935"/>
      <c r="G592" s="944"/>
      <c r="H592" s="944"/>
      <c r="I592" s="946" t="s">
        <v>2519</v>
      </c>
      <c r="J592" s="968" t="s">
        <v>703</v>
      </c>
      <c r="K592" s="954" t="s">
        <v>158</v>
      </c>
      <c r="L592" s="949">
        <v>85.0</v>
      </c>
      <c r="M592" s="949">
        <v>80.0</v>
      </c>
      <c r="N592" s="949">
        <v>70.0</v>
      </c>
      <c r="O592" s="949">
        <v>135.0</v>
      </c>
      <c r="P592" s="949">
        <v>75.0</v>
      </c>
      <c r="Q592" s="949">
        <v>90.0</v>
      </c>
      <c r="R592" s="949">
        <v>216.0</v>
      </c>
      <c r="S592" s="949">
        <v>279.0</v>
      </c>
      <c r="T592" s="949">
        <v>306.0</v>
      </c>
      <c r="U592" s="949"/>
      <c r="V592" s="949"/>
      <c r="W592" s="949"/>
      <c r="X592" s="949"/>
      <c r="Y592" s="949"/>
      <c r="Z592" s="949"/>
      <c r="AA592" s="949"/>
      <c r="AB592" s="949"/>
      <c r="AC592" s="949"/>
      <c r="AD592" s="949"/>
      <c r="AE592" s="949"/>
      <c r="AF592" s="949"/>
      <c r="AG592" s="949"/>
      <c r="AH592" s="949"/>
      <c r="AI592" s="949"/>
      <c r="AJ592" s="949"/>
      <c r="AK592" s="949"/>
      <c r="AL592" s="949"/>
      <c r="AM592" s="953" t="s">
        <v>811</v>
      </c>
      <c r="AN592" s="954" t="s">
        <v>1435</v>
      </c>
      <c r="AO592" s="955" t="s">
        <v>1195</v>
      </c>
      <c r="AP592" s="931"/>
      <c r="AQ592" s="956"/>
      <c r="AR592" s="957"/>
      <c r="AS592" s="931"/>
    </row>
    <row r="593" ht="15.75" customHeight="1">
      <c r="A593" s="931"/>
      <c r="B593" s="941" t="s">
        <v>2520</v>
      </c>
      <c r="C593" s="942" t="s">
        <v>260</v>
      </c>
      <c r="D593" s="942" t="s">
        <v>260</v>
      </c>
      <c r="E593" s="943" t="s">
        <v>260</v>
      </c>
      <c r="F593" s="935"/>
      <c r="G593" s="944"/>
      <c r="H593" s="944"/>
      <c r="I593" s="946" t="s">
        <v>88</v>
      </c>
      <c r="J593" s="975" t="s">
        <v>712</v>
      </c>
      <c r="K593" s="988" t="s">
        <v>705</v>
      </c>
      <c r="L593" s="949">
        <v>68.0</v>
      </c>
      <c r="M593" s="949">
        <v>125.0</v>
      </c>
      <c r="N593" s="949">
        <v>65.0</v>
      </c>
      <c r="O593" s="949">
        <v>65.0</v>
      </c>
      <c r="P593" s="949">
        <v>115.0</v>
      </c>
      <c r="Q593" s="949">
        <v>80.0</v>
      </c>
      <c r="R593" s="949">
        <v>196.0</v>
      </c>
      <c r="S593" s="949">
        <v>259.0</v>
      </c>
      <c r="T593" s="949">
        <v>284.0</v>
      </c>
      <c r="U593" s="949"/>
      <c r="V593" s="949"/>
      <c r="W593" s="949"/>
      <c r="X593" s="949"/>
      <c r="Y593" s="949"/>
      <c r="Z593" s="949"/>
      <c r="AA593" s="949"/>
      <c r="AB593" s="949"/>
      <c r="AC593" s="949"/>
      <c r="AD593" s="949"/>
      <c r="AE593" s="949"/>
      <c r="AF593" s="949"/>
      <c r="AG593" s="949"/>
      <c r="AH593" s="949"/>
      <c r="AI593" s="949"/>
      <c r="AJ593" s="949"/>
      <c r="AK593" s="949"/>
      <c r="AL593" s="949"/>
      <c r="AM593" s="953" t="s">
        <v>1108</v>
      </c>
      <c r="AN593" s="954"/>
      <c r="AO593" s="955" t="s">
        <v>1074</v>
      </c>
      <c r="AP593" s="931"/>
      <c r="AQ593" s="956"/>
      <c r="AR593" s="957"/>
      <c r="AS593" s="931"/>
    </row>
    <row r="594" ht="15.75" customHeight="1">
      <c r="A594" s="931"/>
      <c r="B594" s="941" t="s">
        <v>2521</v>
      </c>
      <c r="C594" s="942" t="s">
        <v>2522</v>
      </c>
      <c r="D594" s="942" t="s">
        <v>2522</v>
      </c>
      <c r="E594" s="943" t="s">
        <v>2522</v>
      </c>
      <c r="F594" s="935"/>
      <c r="G594" s="944"/>
      <c r="H594" s="944"/>
      <c r="I594" s="946" t="s">
        <v>2523</v>
      </c>
      <c r="J594" s="975" t="s">
        <v>712</v>
      </c>
      <c r="K594" s="988" t="s">
        <v>705</v>
      </c>
      <c r="L594" s="949">
        <v>68.0</v>
      </c>
      <c r="M594" s="949">
        <v>165.0</v>
      </c>
      <c r="N594" s="949">
        <v>95.0</v>
      </c>
      <c r="O594" s="949">
        <v>65.0</v>
      </c>
      <c r="P594" s="949">
        <v>115.0</v>
      </c>
      <c r="Q594" s="949">
        <v>110.0</v>
      </c>
      <c r="R594" s="949">
        <v>256.0</v>
      </c>
      <c r="S594" s="949">
        <v>319.0</v>
      </c>
      <c r="T594" s="949">
        <v>350.0</v>
      </c>
      <c r="U594" s="949"/>
      <c r="V594" s="949"/>
      <c r="W594" s="949"/>
      <c r="X594" s="949"/>
      <c r="Y594" s="949"/>
      <c r="Z594" s="949"/>
      <c r="AA594" s="949"/>
      <c r="AB594" s="949"/>
      <c r="AC594" s="949"/>
      <c r="AD594" s="949"/>
      <c r="AE594" s="949"/>
      <c r="AF594" s="949"/>
      <c r="AG594" s="949"/>
      <c r="AH594" s="949"/>
      <c r="AI594" s="949"/>
      <c r="AJ594" s="949"/>
      <c r="AK594" s="949"/>
      <c r="AL594" s="949"/>
      <c r="AM594" s="953" t="s">
        <v>994</v>
      </c>
      <c r="AN594" s="954"/>
      <c r="AO594" s="955"/>
      <c r="AP594" s="931"/>
      <c r="AQ594" s="956"/>
      <c r="AR594" s="957"/>
      <c r="AS594" s="931"/>
    </row>
    <row r="595" ht="15.75" customHeight="1">
      <c r="A595" s="931"/>
      <c r="B595" s="941" t="s">
        <v>2524</v>
      </c>
      <c r="C595" s="942" t="s">
        <v>2525</v>
      </c>
      <c r="D595" s="942" t="s">
        <v>2525</v>
      </c>
      <c r="E595" s="943" t="s">
        <v>2525</v>
      </c>
      <c r="F595" s="935"/>
      <c r="G595" s="944"/>
      <c r="H595" s="944"/>
      <c r="I595" s="946" t="s">
        <v>2526</v>
      </c>
      <c r="J595" s="989" t="s">
        <v>713</v>
      </c>
      <c r="K595" s="978" t="s">
        <v>719</v>
      </c>
      <c r="L595" s="949">
        <v>60.0</v>
      </c>
      <c r="M595" s="949">
        <v>55.0</v>
      </c>
      <c r="N595" s="949">
        <v>145.0</v>
      </c>
      <c r="O595" s="949">
        <v>75.0</v>
      </c>
      <c r="P595" s="949">
        <v>150.0</v>
      </c>
      <c r="Q595" s="949">
        <v>40.0</v>
      </c>
      <c r="R595" s="949">
        <v>116.0</v>
      </c>
      <c r="S595" s="949">
        <v>179.0</v>
      </c>
      <c r="T595" s="949">
        <v>196.0</v>
      </c>
      <c r="U595" s="949"/>
      <c r="V595" s="949"/>
      <c r="W595" s="949"/>
      <c r="X595" s="949"/>
      <c r="Y595" s="949"/>
      <c r="Z595" s="949"/>
      <c r="AA595" s="949"/>
      <c r="AB595" s="949"/>
      <c r="AC595" s="949"/>
      <c r="AD595" s="949"/>
      <c r="AE595" s="949"/>
      <c r="AF595" s="949"/>
      <c r="AG595" s="949"/>
      <c r="AH595" s="949"/>
      <c r="AI595" s="949"/>
      <c r="AJ595" s="949"/>
      <c r="AK595" s="949"/>
      <c r="AL595" s="949"/>
      <c r="AM595" s="953" t="s">
        <v>1135</v>
      </c>
      <c r="AN595" s="954" t="s">
        <v>1140</v>
      </c>
      <c r="AO595" s="955" t="s">
        <v>1026</v>
      </c>
      <c r="AP595" s="931"/>
      <c r="AQ595" s="956"/>
      <c r="AR595" s="957"/>
      <c r="AS595" s="931"/>
    </row>
    <row r="596" ht="15.75" customHeight="1">
      <c r="A596" s="931"/>
      <c r="B596" s="941" t="s">
        <v>2527</v>
      </c>
      <c r="C596" s="942" t="s">
        <v>2528</v>
      </c>
      <c r="D596" s="942" t="s">
        <v>2528</v>
      </c>
      <c r="E596" s="943" t="s">
        <v>2528</v>
      </c>
      <c r="F596" s="935"/>
      <c r="G596" s="944"/>
      <c r="H596" s="944"/>
      <c r="I596" s="946" t="s">
        <v>2529</v>
      </c>
      <c r="J596" s="994" t="s">
        <v>717</v>
      </c>
      <c r="K596" s="954" t="s">
        <v>158</v>
      </c>
      <c r="L596" s="949">
        <v>45.0</v>
      </c>
      <c r="M596" s="949">
        <v>100.0</v>
      </c>
      <c r="N596" s="949">
        <v>135.0</v>
      </c>
      <c r="O596" s="949">
        <v>65.0</v>
      </c>
      <c r="P596" s="949">
        <v>135.0</v>
      </c>
      <c r="Q596" s="949">
        <v>45.0</v>
      </c>
      <c r="R596" s="949">
        <v>126.0</v>
      </c>
      <c r="S596" s="949">
        <v>189.0</v>
      </c>
      <c r="T596" s="949">
        <v>207.0</v>
      </c>
      <c r="U596" s="949"/>
      <c r="V596" s="949"/>
      <c r="W596" s="949"/>
      <c r="X596" s="949"/>
      <c r="Y596" s="949"/>
      <c r="Z596" s="949"/>
      <c r="AA596" s="949"/>
      <c r="AB596" s="949"/>
      <c r="AC596" s="949"/>
      <c r="AD596" s="949"/>
      <c r="AE596" s="949"/>
      <c r="AF596" s="949"/>
      <c r="AG596" s="949"/>
      <c r="AH596" s="949"/>
      <c r="AI596" s="949"/>
      <c r="AJ596" s="949"/>
      <c r="AK596" s="949"/>
      <c r="AL596" s="949"/>
      <c r="AM596" s="953" t="s">
        <v>1451</v>
      </c>
      <c r="AN596" s="954"/>
      <c r="AO596" s="955" t="s">
        <v>990</v>
      </c>
      <c r="AP596" s="931"/>
      <c r="AQ596" s="956"/>
      <c r="AR596" s="957"/>
      <c r="AS596" s="931"/>
    </row>
    <row r="597" ht="15.75" customHeight="1">
      <c r="A597" s="963"/>
      <c r="B597" s="941" t="s">
        <v>2530</v>
      </c>
      <c r="C597" s="971" t="s">
        <v>2531</v>
      </c>
      <c r="D597" s="971" t="s">
        <v>2531</v>
      </c>
      <c r="E597" s="966" t="s">
        <v>2531</v>
      </c>
      <c r="F597" s="935"/>
      <c r="G597" s="944"/>
      <c r="H597" s="944"/>
      <c r="I597" s="959" t="s">
        <v>438</v>
      </c>
      <c r="J597" s="998" t="s">
        <v>714</v>
      </c>
      <c r="K597" s="995" t="s">
        <v>717</v>
      </c>
      <c r="L597" s="974">
        <v>70.0</v>
      </c>
      <c r="M597" s="974">
        <v>80.0</v>
      </c>
      <c r="N597" s="974">
        <v>70.0</v>
      </c>
      <c r="O597" s="974">
        <v>80.0</v>
      </c>
      <c r="P597" s="974">
        <v>70.0</v>
      </c>
      <c r="Q597" s="974">
        <v>110.0</v>
      </c>
      <c r="R597" s="949">
        <v>256.0</v>
      </c>
      <c r="S597" s="949">
        <v>319.0</v>
      </c>
      <c r="T597" s="949">
        <v>350.0</v>
      </c>
      <c r="U597" s="949"/>
      <c r="V597" s="949"/>
      <c r="W597" s="949"/>
      <c r="X597" s="949"/>
      <c r="Y597" s="949"/>
      <c r="Z597" s="949"/>
      <c r="AA597" s="949"/>
      <c r="AB597" s="949"/>
      <c r="AC597" s="949"/>
      <c r="AD597" s="949"/>
      <c r="AE597" s="949"/>
      <c r="AF597" s="949"/>
      <c r="AG597" s="949"/>
      <c r="AH597" s="949"/>
      <c r="AI597" s="949"/>
      <c r="AJ597" s="949"/>
      <c r="AK597" s="949"/>
      <c r="AL597" s="949"/>
      <c r="AM597" s="964" t="s">
        <v>929</v>
      </c>
      <c r="AN597" s="954"/>
      <c r="AO597" s="965" t="s">
        <v>1248</v>
      </c>
      <c r="AP597" s="931"/>
      <c r="AQ597" s="956"/>
      <c r="AR597" s="957"/>
      <c r="AS597" s="931"/>
    </row>
    <row r="598" ht="15.75" customHeight="1">
      <c r="A598" s="931"/>
      <c r="B598" s="941" t="s">
        <v>2532</v>
      </c>
      <c r="C598" s="942" t="s">
        <v>2533</v>
      </c>
      <c r="D598" s="942" t="s">
        <v>2533</v>
      </c>
      <c r="E598" s="943" t="s">
        <v>2533</v>
      </c>
      <c r="F598" s="935"/>
      <c r="G598" s="944"/>
      <c r="H598" s="944"/>
      <c r="I598" s="946" t="s">
        <v>463</v>
      </c>
      <c r="J598" s="970" t="s">
        <v>710</v>
      </c>
      <c r="K598" s="994" t="s">
        <v>717</v>
      </c>
      <c r="L598" s="949">
        <v>50.0</v>
      </c>
      <c r="M598" s="949">
        <v>50.0</v>
      </c>
      <c r="N598" s="949">
        <v>77.0</v>
      </c>
      <c r="O598" s="949">
        <v>95.0</v>
      </c>
      <c r="P598" s="949">
        <v>77.0</v>
      </c>
      <c r="Q598" s="949">
        <v>91.0</v>
      </c>
      <c r="R598" s="949">
        <v>218.0</v>
      </c>
      <c r="S598" s="949">
        <v>281.0</v>
      </c>
      <c r="T598" s="949">
        <v>309.0</v>
      </c>
      <c r="U598" s="949"/>
      <c r="V598" s="949"/>
      <c r="W598" s="949"/>
      <c r="X598" s="949"/>
      <c r="Y598" s="949"/>
      <c r="Z598" s="949"/>
      <c r="AA598" s="949"/>
      <c r="AB598" s="949"/>
      <c r="AC598" s="949"/>
      <c r="AD598" s="949"/>
      <c r="AE598" s="949"/>
      <c r="AF598" s="949"/>
      <c r="AG598" s="949"/>
      <c r="AH598" s="949"/>
      <c r="AI598" s="949"/>
      <c r="AJ598" s="949"/>
      <c r="AK598" s="949"/>
      <c r="AL598" s="949"/>
      <c r="AM598" s="953" t="s">
        <v>1244</v>
      </c>
      <c r="AN598" s="954"/>
      <c r="AO598" s="955"/>
      <c r="AP598" s="931"/>
      <c r="AQ598" s="956"/>
      <c r="AR598" s="957"/>
      <c r="AS598" s="931"/>
    </row>
    <row r="599" ht="15.75" customHeight="1">
      <c r="A599" s="931"/>
      <c r="B599" s="941" t="s">
        <v>2534</v>
      </c>
      <c r="C599" s="942" t="s">
        <v>2535</v>
      </c>
      <c r="D599" s="942" t="s">
        <v>2535</v>
      </c>
      <c r="E599" s="943" t="s">
        <v>2535</v>
      </c>
      <c r="F599" s="935"/>
      <c r="G599" s="944"/>
      <c r="H599" s="944"/>
      <c r="I599" s="946" t="s">
        <v>305</v>
      </c>
      <c r="J599" s="970" t="s">
        <v>710</v>
      </c>
      <c r="K599" s="958" t="s">
        <v>704</v>
      </c>
      <c r="L599" s="949">
        <v>50.0</v>
      </c>
      <c r="M599" s="949">
        <v>65.0</v>
      </c>
      <c r="N599" s="949">
        <v>107.0</v>
      </c>
      <c r="O599" s="949">
        <v>105.0</v>
      </c>
      <c r="P599" s="949">
        <v>107.0</v>
      </c>
      <c r="Q599" s="949">
        <v>86.0</v>
      </c>
      <c r="R599" s="949">
        <v>208.0</v>
      </c>
      <c r="S599" s="949">
        <v>271.0</v>
      </c>
      <c r="T599" s="949">
        <v>298.0</v>
      </c>
      <c r="U599" s="949"/>
      <c r="V599" s="949"/>
      <c r="W599" s="949"/>
      <c r="X599" s="949"/>
      <c r="Y599" s="949"/>
      <c r="Z599" s="949"/>
      <c r="AA599" s="949"/>
      <c r="AB599" s="949"/>
      <c r="AC599" s="949"/>
      <c r="AD599" s="949"/>
      <c r="AE599" s="949"/>
      <c r="AF599" s="949"/>
      <c r="AG599" s="949"/>
      <c r="AH599" s="949"/>
      <c r="AI599" s="949"/>
      <c r="AJ599" s="949"/>
      <c r="AK599" s="949"/>
      <c r="AL599" s="949"/>
      <c r="AM599" s="953" t="s">
        <v>1244</v>
      </c>
      <c r="AN599" s="954"/>
      <c r="AO599" s="955"/>
      <c r="AP599" s="931"/>
      <c r="AQ599" s="956"/>
      <c r="AR599" s="957"/>
      <c r="AS599" s="931"/>
    </row>
    <row r="600" ht="15.75" customHeight="1">
      <c r="A600" s="931"/>
      <c r="B600" s="941" t="s">
        <v>2536</v>
      </c>
      <c r="C600" s="942" t="s">
        <v>2537</v>
      </c>
      <c r="D600" s="942" t="s">
        <v>2537</v>
      </c>
      <c r="E600" s="943" t="s">
        <v>2537</v>
      </c>
      <c r="F600" s="935"/>
      <c r="G600" s="944"/>
      <c r="H600" s="944"/>
      <c r="I600" s="946" t="s">
        <v>354</v>
      </c>
      <c r="J600" s="970" t="s">
        <v>710</v>
      </c>
      <c r="K600" s="962" t="s">
        <v>706</v>
      </c>
      <c r="L600" s="949">
        <v>50.0</v>
      </c>
      <c r="M600" s="949">
        <v>65.0</v>
      </c>
      <c r="N600" s="949">
        <v>107.0</v>
      </c>
      <c r="O600" s="949">
        <v>105.0</v>
      </c>
      <c r="P600" s="949">
        <v>107.0</v>
      </c>
      <c r="Q600" s="949">
        <v>86.0</v>
      </c>
      <c r="R600" s="949">
        <v>208.0</v>
      </c>
      <c r="S600" s="949">
        <v>271.0</v>
      </c>
      <c r="T600" s="949">
        <v>298.0</v>
      </c>
      <c r="U600" s="949"/>
      <c r="V600" s="949"/>
      <c r="W600" s="949"/>
      <c r="X600" s="949"/>
      <c r="Y600" s="949"/>
      <c r="Z600" s="949"/>
      <c r="AA600" s="949"/>
      <c r="AB600" s="949"/>
      <c r="AC600" s="949"/>
      <c r="AD600" s="949"/>
      <c r="AE600" s="949"/>
      <c r="AF600" s="949"/>
      <c r="AG600" s="949"/>
      <c r="AH600" s="949"/>
      <c r="AI600" s="949"/>
      <c r="AJ600" s="949"/>
      <c r="AK600" s="949"/>
      <c r="AL600" s="949"/>
      <c r="AM600" s="953" t="s">
        <v>1244</v>
      </c>
      <c r="AN600" s="954"/>
      <c r="AO600" s="955"/>
      <c r="AP600" s="931"/>
      <c r="AQ600" s="956"/>
      <c r="AR600" s="957"/>
      <c r="AS600" s="931"/>
    </row>
    <row r="601" ht="15.75" customHeight="1">
      <c r="A601" s="931"/>
      <c r="B601" s="941" t="s">
        <v>2538</v>
      </c>
      <c r="C601" s="942" t="s">
        <v>236</v>
      </c>
      <c r="D601" s="942" t="s">
        <v>236</v>
      </c>
      <c r="E601" s="943" t="s">
        <v>236</v>
      </c>
      <c r="F601" s="935"/>
      <c r="G601" s="944"/>
      <c r="H601" s="944"/>
      <c r="I601" s="946" t="s">
        <v>123</v>
      </c>
      <c r="J601" s="970" t="s">
        <v>710</v>
      </c>
      <c r="K601" s="977" t="s">
        <v>714</v>
      </c>
      <c r="L601" s="949">
        <v>50.0</v>
      </c>
      <c r="M601" s="949">
        <v>65.0</v>
      </c>
      <c r="N601" s="949">
        <v>107.0</v>
      </c>
      <c r="O601" s="949">
        <v>105.0</v>
      </c>
      <c r="P601" s="949">
        <v>107.0</v>
      </c>
      <c r="Q601" s="949">
        <v>86.0</v>
      </c>
      <c r="R601" s="949">
        <v>208.0</v>
      </c>
      <c r="S601" s="949">
        <v>271.0</v>
      </c>
      <c r="T601" s="949">
        <v>298.0</v>
      </c>
      <c r="U601" s="949"/>
      <c r="V601" s="949"/>
      <c r="W601" s="949"/>
      <c r="X601" s="949"/>
      <c r="Y601" s="949"/>
      <c r="Z601" s="949"/>
      <c r="AA601" s="949"/>
      <c r="AB601" s="949"/>
      <c r="AC601" s="949"/>
      <c r="AD601" s="949"/>
      <c r="AE601" s="949"/>
      <c r="AF601" s="949"/>
      <c r="AG601" s="949"/>
      <c r="AH601" s="949"/>
      <c r="AI601" s="949"/>
      <c r="AJ601" s="949"/>
      <c r="AK601" s="949"/>
      <c r="AL601" s="949"/>
      <c r="AM601" s="953" t="s">
        <v>1244</v>
      </c>
      <c r="AN601" s="954"/>
      <c r="AO601" s="955"/>
      <c r="AP601" s="931"/>
      <c r="AQ601" s="956"/>
      <c r="AR601" s="957"/>
      <c r="AS601" s="931"/>
    </row>
    <row r="602" ht="15.75" customHeight="1">
      <c r="A602" s="931"/>
      <c r="B602" s="941" t="s">
        <v>2539</v>
      </c>
      <c r="C602" s="942" t="s">
        <v>2540</v>
      </c>
      <c r="D602" s="942" t="s">
        <v>2540</v>
      </c>
      <c r="E602" s="943" t="s">
        <v>2540</v>
      </c>
      <c r="F602" s="935"/>
      <c r="G602" s="944"/>
      <c r="H602" s="944"/>
      <c r="I602" s="946" t="s">
        <v>443</v>
      </c>
      <c r="J602" s="970" t="s">
        <v>710</v>
      </c>
      <c r="K602" s="960" t="s">
        <v>707</v>
      </c>
      <c r="L602" s="949">
        <v>50.0</v>
      </c>
      <c r="M602" s="949">
        <v>65.0</v>
      </c>
      <c r="N602" s="949">
        <v>107.0</v>
      </c>
      <c r="O602" s="949">
        <v>105.0</v>
      </c>
      <c r="P602" s="949">
        <v>107.0</v>
      </c>
      <c r="Q602" s="949">
        <v>86.0</v>
      </c>
      <c r="R602" s="949">
        <v>208.0</v>
      </c>
      <c r="S602" s="949">
        <v>271.0</v>
      </c>
      <c r="T602" s="949">
        <v>298.0</v>
      </c>
      <c r="U602" s="949"/>
      <c r="V602" s="949"/>
      <c r="W602" s="949"/>
      <c r="X602" s="949"/>
      <c r="Y602" s="949"/>
      <c r="Z602" s="949"/>
      <c r="AA602" s="949"/>
      <c r="AB602" s="949"/>
      <c r="AC602" s="949"/>
      <c r="AD602" s="949"/>
      <c r="AE602" s="949"/>
      <c r="AF602" s="949"/>
      <c r="AG602" s="949"/>
      <c r="AH602" s="949"/>
      <c r="AI602" s="949"/>
      <c r="AJ602" s="949"/>
      <c r="AK602" s="949"/>
      <c r="AL602" s="949"/>
      <c r="AM602" s="953" t="s">
        <v>1244</v>
      </c>
      <c r="AN602" s="954"/>
      <c r="AO602" s="955"/>
      <c r="AP602" s="931"/>
      <c r="AQ602" s="956"/>
      <c r="AR602" s="957"/>
      <c r="AS602" s="931"/>
    </row>
    <row r="603" ht="15.75" customHeight="1">
      <c r="A603" s="931"/>
      <c r="B603" s="941" t="s">
        <v>2541</v>
      </c>
      <c r="C603" s="942" t="s">
        <v>2542</v>
      </c>
      <c r="D603" s="942" t="s">
        <v>2542</v>
      </c>
      <c r="E603" s="943" t="s">
        <v>2542</v>
      </c>
      <c r="F603" s="935"/>
      <c r="G603" s="944"/>
      <c r="H603" s="944"/>
      <c r="I603" s="946" t="s">
        <v>406</v>
      </c>
      <c r="J603" s="970" t="s">
        <v>710</v>
      </c>
      <c r="K603" s="947" t="s">
        <v>708</v>
      </c>
      <c r="L603" s="949">
        <v>50.0</v>
      </c>
      <c r="M603" s="949">
        <v>65.0</v>
      </c>
      <c r="N603" s="949">
        <v>107.0</v>
      </c>
      <c r="O603" s="949">
        <v>105.0</v>
      </c>
      <c r="P603" s="949">
        <v>107.0</v>
      </c>
      <c r="Q603" s="949">
        <v>86.0</v>
      </c>
      <c r="R603" s="949">
        <v>208.0</v>
      </c>
      <c r="S603" s="949">
        <v>271.0</v>
      </c>
      <c r="T603" s="949">
        <v>298.0</v>
      </c>
      <c r="U603" s="949"/>
      <c r="V603" s="949"/>
      <c r="W603" s="949"/>
      <c r="X603" s="949"/>
      <c r="Y603" s="949"/>
      <c r="Z603" s="949"/>
      <c r="AA603" s="949"/>
      <c r="AB603" s="949"/>
      <c r="AC603" s="949"/>
      <c r="AD603" s="949"/>
      <c r="AE603" s="949"/>
      <c r="AF603" s="949"/>
      <c r="AG603" s="949"/>
      <c r="AH603" s="949"/>
      <c r="AI603" s="949"/>
      <c r="AJ603" s="949"/>
      <c r="AK603" s="949"/>
      <c r="AL603" s="949"/>
      <c r="AM603" s="953" t="s">
        <v>1244</v>
      </c>
      <c r="AN603" s="954"/>
      <c r="AO603" s="955"/>
      <c r="AP603" s="931"/>
      <c r="AQ603" s="956"/>
      <c r="AR603" s="957"/>
      <c r="AS603" s="931"/>
    </row>
    <row r="604" ht="15.75" customHeight="1">
      <c r="A604" s="931"/>
      <c r="B604" s="941" t="s">
        <v>2543</v>
      </c>
      <c r="C604" s="942" t="s">
        <v>2544</v>
      </c>
      <c r="D604" s="942" t="s">
        <v>2544</v>
      </c>
      <c r="E604" s="943" t="s">
        <v>2544</v>
      </c>
      <c r="F604" s="935"/>
      <c r="G604" s="944"/>
      <c r="H604" s="944"/>
      <c r="I604" s="946" t="s">
        <v>2545</v>
      </c>
      <c r="J604" s="975" t="s">
        <v>712</v>
      </c>
      <c r="K604" s="954" t="s">
        <v>158</v>
      </c>
      <c r="L604" s="949">
        <v>75.0</v>
      </c>
      <c r="M604" s="949">
        <v>75.0</v>
      </c>
      <c r="N604" s="949">
        <v>130.0</v>
      </c>
      <c r="O604" s="949">
        <v>75.0</v>
      </c>
      <c r="P604" s="949">
        <v>130.0</v>
      </c>
      <c r="Q604" s="949">
        <v>95.0</v>
      </c>
      <c r="R604" s="949">
        <v>226.0</v>
      </c>
      <c r="S604" s="949">
        <v>289.0</v>
      </c>
      <c r="T604" s="949">
        <v>317.0</v>
      </c>
      <c r="U604" s="949"/>
      <c r="V604" s="949"/>
      <c r="W604" s="949"/>
      <c r="X604" s="949"/>
      <c r="Y604" s="949"/>
      <c r="Z604" s="949"/>
      <c r="AA604" s="949"/>
      <c r="AB604" s="949"/>
      <c r="AC604" s="949"/>
      <c r="AD604" s="949"/>
      <c r="AE604" s="949"/>
      <c r="AF604" s="949"/>
      <c r="AG604" s="949"/>
      <c r="AH604" s="949"/>
      <c r="AI604" s="949"/>
      <c r="AJ604" s="949"/>
      <c r="AK604" s="949"/>
      <c r="AL604" s="949"/>
      <c r="AM604" s="953" t="s">
        <v>1244</v>
      </c>
      <c r="AN604" s="954"/>
      <c r="AO604" s="955"/>
      <c r="AP604" s="931"/>
      <c r="AQ604" s="956"/>
      <c r="AR604" s="957"/>
      <c r="AS604" s="931"/>
    </row>
    <row r="605" ht="15.75" customHeight="1">
      <c r="A605" s="931"/>
      <c r="B605" s="941" t="s">
        <v>2546</v>
      </c>
      <c r="C605" s="942" t="s">
        <v>2547</v>
      </c>
      <c r="D605" s="942" t="s">
        <v>2547</v>
      </c>
      <c r="E605" s="943" t="s">
        <v>2547</v>
      </c>
      <c r="F605" s="935"/>
      <c r="G605" s="944"/>
      <c r="H605" s="944"/>
      <c r="I605" s="946" t="s">
        <v>2548</v>
      </c>
      <c r="J605" s="975" t="s">
        <v>712</v>
      </c>
      <c r="K605" s="954" t="s">
        <v>158</v>
      </c>
      <c r="L605" s="949">
        <v>80.0</v>
      </c>
      <c r="M605" s="949">
        <v>105.0</v>
      </c>
      <c r="N605" s="949">
        <v>105.0</v>
      </c>
      <c r="O605" s="949">
        <v>105.0</v>
      </c>
      <c r="P605" s="949">
        <v>105.0</v>
      </c>
      <c r="Q605" s="949">
        <v>80.0</v>
      </c>
      <c r="R605" s="949">
        <v>196.0</v>
      </c>
      <c r="S605" s="949">
        <v>259.0</v>
      </c>
      <c r="T605" s="949">
        <v>284.0</v>
      </c>
      <c r="U605" s="949"/>
      <c r="V605" s="949"/>
      <c r="W605" s="949"/>
      <c r="X605" s="949"/>
      <c r="Y605" s="949"/>
      <c r="Z605" s="949"/>
      <c r="AA605" s="949"/>
      <c r="AB605" s="949"/>
      <c r="AC605" s="949"/>
      <c r="AD605" s="949"/>
      <c r="AE605" s="949"/>
      <c r="AF605" s="949"/>
      <c r="AG605" s="949"/>
      <c r="AH605" s="949"/>
      <c r="AI605" s="949"/>
      <c r="AJ605" s="949"/>
      <c r="AK605" s="949"/>
      <c r="AL605" s="949"/>
      <c r="AM605" s="953" t="s">
        <v>1244</v>
      </c>
      <c r="AN605" s="954"/>
      <c r="AO605" s="955"/>
      <c r="AP605" s="931"/>
      <c r="AQ605" s="956"/>
      <c r="AR605" s="957"/>
      <c r="AS605" s="931"/>
    </row>
    <row r="606" ht="15.75" customHeight="1">
      <c r="A606" s="931"/>
      <c r="B606" s="941" t="s">
        <v>2549</v>
      </c>
      <c r="C606" s="942" t="s">
        <v>2550</v>
      </c>
      <c r="D606" s="942" t="s">
        <v>2550</v>
      </c>
      <c r="E606" s="943" t="s">
        <v>2550</v>
      </c>
      <c r="F606" s="935"/>
      <c r="G606" s="944"/>
      <c r="H606" s="944"/>
      <c r="I606" s="946" t="s">
        <v>2551</v>
      </c>
      <c r="J606" s="975" t="s">
        <v>712</v>
      </c>
      <c r="K606" s="954" t="s">
        <v>158</v>
      </c>
      <c r="L606" s="949">
        <v>75.0</v>
      </c>
      <c r="M606" s="949">
        <v>125.0</v>
      </c>
      <c r="N606" s="949">
        <v>70.0</v>
      </c>
      <c r="O606" s="949">
        <v>125.0</v>
      </c>
      <c r="P606" s="949">
        <v>70.0</v>
      </c>
      <c r="Q606" s="949">
        <v>115.0</v>
      </c>
      <c r="R606" s="949">
        <v>266.0</v>
      </c>
      <c r="S606" s="949">
        <v>329.0</v>
      </c>
      <c r="T606" s="949">
        <v>361.0</v>
      </c>
      <c r="U606" s="949"/>
      <c r="V606" s="949"/>
      <c r="W606" s="949"/>
      <c r="X606" s="949"/>
      <c r="Y606" s="949"/>
      <c r="Z606" s="949"/>
      <c r="AA606" s="949"/>
      <c r="AB606" s="949"/>
      <c r="AC606" s="949"/>
      <c r="AD606" s="949"/>
      <c r="AE606" s="949"/>
      <c r="AF606" s="949"/>
      <c r="AG606" s="949"/>
      <c r="AH606" s="949"/>
      <c r="AI606" s="949"/>
      <c r="AJ606" s="949"/>
      <c r="AK606" s="949"/>
      <c r="AL606" s="949"/>
      <c r="AM606" s="953" t="s">
        <v>1244</v>
      </c>
      <c r="AN606" s="954"/>
      <c r="AO606" s="955"/>
      <c r="AP606" s="931"/>
      <c r="AQ606" s="956"/>
      <c r="AR606" s="957"/>
      <c r="AS606" s="931"/>
    </row>
    <row r="607" ht="15.75" customHeight="1">
      <c r="A607" s="931"/>
      <c r="B607" s="941" t="s">
        <v>2552</v>
      </c>
      <c r="C607" s="942" t="s">
        <v>170</v>
      </c>
      <c r="D607" s="942" t="s">
        <v>170</v>
      </c>
      <c r="E607" s="943" t="s">
        <v>170</v>
      </c>
      <c r="F607" s="935"/>
      <c r="G607" s="944"/>
      <c r="H607" s="944"/>
      <c r="I607" s="946" t="s">
        <v>171</v>
      </c>
      <c r="J607" s="978" t="s">
        <v>719</v>
      </c>
      <c r="K607" s="961" t="s">
        <v>716</v>
      </c>
      <c r="L607" s="949">
        <v>100.0</v>
      </c>
      <c r="M607" s="949">
        <v>120.0</v>
      </c>
      <c r="N607" s="949">
        <v>120.0</v>
      </c>
      <c r="O607" s="949">
        <v>150.0</v>
      </c>
      <c r="P607" s="949">
        <v>100.0</v>
      </c>
      <c r="Q607" s="949">
        <v>90.0</v>
      </c>
      <c r="R607" s="949">
        <v>216.0</v>
      </c>
      <c r="S607" s="949">
        <v>279.0</v>
      </c>
      <c r="T607" s="949">
        <v>306.0</v>
      </c>
      <c r="U607" s="949"/>
      <c r="V607" s="949"/>
      <c r="W607" s="949"/>
      <c r="X607" s="949"/>
      <c r="Y607" s="949"/>
      <c r="Z607" s="949"/>
      <c r="AA607" s="949"/>
      <c r="AB607" s="949"/>
      <c r="AC607" s="949"/>
      <c r="AD607" s="949"/>
      <c r="AE607" s="949"/>
      <c r="AF607" s="949"/>
      <c r="AG607" s="949"/>
      <c r="AH607" s="949"/>
      <c r="AI607" s="949"/>
      <c r="AJ607" s="949"/>
      <c r="AK607" s="949"/>
      <c r="AL607" s="949"/>
      <c r="AM607" s="953" t="s">
        <v>1451</v>
      </c>
      <c r="AN607" s="954"/>
      <c r="AO607" s="955" t="s">
        <v>1657</v>
      </c>
      <c r="AP607" s="931"/>
      <c r="AQ607" s="956"/>
      <c r="AR607" s="957"/>
      <c r="AS607" s="931"/>
    </row>
    <row r="608" ht="15.75" customHeight="1">
      <c r="A608" s="931"/>
      <c r="B608" s="941" t="s">
        <v>2553</v>
      </c>
      <c r="C608" s="942" t="str">
        <f t="shared" ref="C608:E608" si="8">C607&amp;"-origin"</f>
        <v>dialga-origin</v>
      </c>
      <c r="D608" s="942" t="str">
        <f t="shared" si="8"/>
        <v>dialga-origin</v>
      </c>
      <c r="E608" s="943" t="str">
        <f t="shared" si="8"/>
        <v>dialga-origin</v>
      </c>
      <c r="F608" s="935"/>
      <c r="G608" s="944"/>
      <c r="H608" s="944"/>
      <c r="I608" s="959" t="s">
        <v>2554</v>
      </c>
      <c r="J608" s="978" t="s">
        <v>719</v>
      </c>
      <c r="K608" s="961" t="s">
        <v>716</v>
      </c>
      <c r="L608" s="949">
        <v>100.0</v>
      </c>
      <c r="M608" s="949">
        <v>100.0</v>
      </c>
      <c r="N608" s="949">
        <v>120.0</v>
      </c>
      <c r="O608" s="949">
        <v>150.0</v>
      </c>
      <c r="P608" s="949">
        <v>100.0</v>
      </c>
      <c r="Q608" s="949">
        <v>90.0</v>
      </c>
      <c r="R608" s="949">
        <v>216.0</v>
      </c>
      <c r="S608" s="949">
        <v>279.0</v>
      </c>
      <c r="T608" s="949">
        <v>306.0</v>
      </c>
      <c r="U608" s="949"/>
      <c r="V608" s="949"/>
      <c r="W608" s="949"/>
      <c r="X608" s="949"/>
      <c r="Y608" s="949"/>
      <c r="Z608" s="949"/>
      <c r="AA608" s="949"/>
      <c r="AB608" s="949"/>
      <c r="AC608" s="949"/>
      <c r="AD608" s="949"/>
      <c r="AE608" s="949"/>
      <c r="AF608" s="949"/>
      <c r="AG608" s="949"/>
      <c r="AH608" s="949"/>
      <c r="AI608" s="949"/>
      <c r="AJ608" s="949"/>
      <c r="AK608" s="949"/>
      <c r="AL608" s="949"/>
      <c r="AM608" s="953" t="s">
        <v>1451</v>
      </c>
      <c r="AN608" s="954"/>
      <c r="AO608" s="955" t="s">
        <v>1657</v>
      </c>
      <c r="AP608" s="931"/>
      <c r="AQ608" s="956"/>
      <c r="AR608" s="957"/>
      <c r="AS608" s="931"/>
    </row>
    <row r="609" ht="15.75" customHeight="1">
      <c r="A609" s="931"/>
      <c r="B609" s="941" t="s">
        <v>2555</v>
      </c>
      <c r="C609" s="942" t="s">
        <v>280</v>
      </c>
      <c r="D609" s="942" t="s">
        <v>280</v>
      </c>
      <c r="E609" s="943" t="s">
        <v>280</v>
      </c>
      <c r="F609" s="935"/>
      <c r="G609" s="944"/>
      <c r="H609" s="944"/>
      <c r="I609" s="946" t="s">
        <v>281</v>
      </c>
      <c r="J609" s="962" t="s">
        <v>706</v>
      </c>
      <c r="K609" s="961" t="s">
        <v>716</v>
      </c>
      <c r="L609" s="949">
        <v>90.0</v>
      </c>
      <c r="M609" s="949">
        <v>120.0</v>
      </c>
      <c r="N609" s="949">
        <v>100.0</v>
      </c>
      <c r="O609" s="949">
        <v>150.0</v>
      </c>
      <c r="P609" s="949">
        <v>120.0</v>
      </c>
      <c r="Q609" s="949">
        <v>100.0</v>
      </c>
      <c r="R609" s="949">
        <v>236.0</v>
      </c>
      <c r="S609" s="949">
        <v>299.0</v>
      </c>
      <c r="T609" s="949">
        <v>328.0</v>
      </c>
      <c r="U609" s="949"/>
      <c r="V609" s="949"/>
      <c r="W609" s="949"/>
      <c r="X609" s="949"/>
      <c r="Y609" s="949"/>
      <c r="Z609" s="949"/>
      <c r="AA609" s="949"/>
      <c r="AB609" s="949"/>
      <c r="AC609" s="949"/>
      <c r="AD609" s="949"/>
      <c r="AE609" s="949"/>
      <c r="AF609" s="949"/>
      <c r="AG609" s="949"/>
      <c r="AH609" s="949"/>
      <c r="AI609" s="949"/>
      <c r="AJ609" s="949"/>
      <c r="AK609" s="949"/>
      <c r="AL609" s="949"/>
      <c r="AM609" s="953" t="s">
        <v>1451</v>
      </c>
      <c r="AN609" s="954"/>
      <c r="AO609" s="955" t="s">
        <v>1657</v>
      </c>
      <c r="AP609" s="931"/>
      <c r="AQ609" s="956"/>
      <c r="AR609" s="957"/>
      <c r="AS609" s="931"/>
    </row>
    <row r="610" ht="15.75" customHeight="1">
      <c r="A610" s="931"/>
      <c r="B610" s="941" t="s">
        <v>2556</v>
      </c>
      <c r="C610" s="942" t="str">
        <f t="shared" ref="C610:E610" si="9">C609&amp;"-origin"</f>
        <v>palkia-origin</v>
      </c>
      <c r="D610" s="942" t="str">
        <f t="shared" si="9"/>
        <v>palkia-origin</v>
      </c>
      <c r="E610" s="943" t="str">
        <f t="shared" si="9"/>
        <v>palkia-origin</v>
      </c>
      <c r="F610" s="935"/>
      <c r="G610" s="944"/>
      <c r="H610" s="944"/>
      <c r="I610" s="946" t="s">
        <v>2557</v>
      </c>
      <c r="J610" s="962" t="s">
        <v>706</v>
      </c>
      <c r="K610" s="961" t="s">
        <v>716</v>
      </c>
      <c r="L610" s="949">
        <v>90.0</v>
      </c>
      <c r="M610" s="949">
        <v>100.0</v>
      </c>
      <c r="N610" s="949">
        <v>100.0</v>
      </c>
      <c r="O610" s="949">
        <v>150.0</v>
      </c>
      <c r="P610" s="949">
        <v>120.0</v>
      </c>
      <c r="Q610" s="949">
        <v>120.0</v>
      </c>
      <c r="R610" s="949">
        <v>276.0</v>
      </c>
      <c r="S610" s="949">
        <v>339.0</v>
      </c>
      <c r="T610" s="949">
        <v>372.0</v>
      </c>
      <c r="U610" s="949"/>
      <c r="V610" s="949"/>
      <c r="W610" s="949"/>
      <c r="X610" s="949"/>
      <c r="Y610" s="949"/>
      <c r="Z610" s="949"/>
      <c r="AA610" s="949"/>
      <c r="AB610" s="949"/>
      <c r="AC610" s="949"/>
      <c r="AD610" s="949"/>
      <c r="AE610" s="949"/>
      <c r="AF610" s="949"/>
      <c r="AG610" s="949"/>
      <c r="AH610" s="949"/>
      <c r="AI610" s="949"/>
      <c r="AJ610" s="949"/>
      <c r="AK610" s="949"/>
      <c r="AL610" s="949"/>
      <c r="AM610" s="953" t="s">
        <v>1451</v>
      </c>
      <c r="AN610" s="954"/>
      <c r="AO610" s="955" t="s">
        <v>1657</v>
      </c>
      <c r="AP610" s="931"/>
      <c r="AQ610" s="956"/>
      <c r="AR610" s="957"/>
      <c r="AS610" s="931"/>
    </row>
    <row r="611" ht="15.75" customHeight="1">
      <c r="A611" s="931"/>
      <c r="B611" s="941" t="s">
        <v>2558</v>
      </c>
      <c r="C611" s="942" t="s">
        <v>2559</v>
      </c>
      <c r="D611" s="942" t="s">
        <v>2559</v>
      </c>
      <c r="E611" s="943" t="s">
        <v>2559</v>
      </c>
      <c r="F611" s="935"/>
      <c r="G611" s="944"/>
      <c r="H611" s="944"/>
      <c r="I611" s="946" t="s">
        <v>2560</v>
      </c>
      <c r="J611" s="958" t="s">
        <v>704</v>
      </c>
      <c r="K611" s="978" t="s">
        <v>719</v>
      </c>
      <c r="L611" s="949">
        <v>91.0</v>
      </c>
      <c r="M611" s="949">
        <v>90.0</v>
      </c>
      <c r="N611" s="949">
        <v>106.0</v>
      </c>
      <c r="O611" s="949">
        <v>130.0</v>
      </c>
      <c r="P611" s="949">
        <v>106.0</v>
      </c>
      <c r="Q611" s="949">
        <v>77.0</v>
      </c>
      <c r="R611" s="949">
        <v>190.0</v>
      </c>
      <c r="S611" s="949">
        <v>253.0</v>
      </c>
      <c r="T611" s="949">
        <v>278.0</v>
      </c>
      <c r="U611" s="949"/>
      <c r="V611" s="949"/>
      <c r="W611" s="949"/>
      <c r="X611" s="949"/>
      <c r="Y611" s="949"/>
      <c r="Z611" s="949"/>
      <c r="AA611" s="949"/>
      <c r="AB611" s="949"/>
      <c r="AC611" s="949"/>
      <c r="AD611" s="949"/>
      <c r="AE611" s="949"/>
      <c r="AF611" s="949"/>
      <c r="AG611" s="949"/>
      <c r="AH611" s="949"/>
      <c r="AI611" s="949"/>
      <c r="AJ611" s="949"/>
      <c r="AK611" s="949"/>
      <c r="AL611" s="949"/>
      <c r="AM611" s="953" t="s">
        <v>972</v>
      </c>
      <c r="AN611" s="954"/>
      <c r="AO611" s="955" t="s">
        <v>1159</v>
      </c>
      <c r="AP611" s="931"/>
      <c r="AQ611" s="956"/>
      <c r="AR611" s="957"/>
      <c r="AS611" s="931"/>
    </row>
    <row r="612" ht="15.75" customHeight="1">
      <c r="A612" s="931"/>
      <c r="B612" s="941" t="s">
        <v>2561</v>
      </c>
      <c r="C612" s="942" t="s">
        <v>2562</v>
      </c>
      <c r="D612" s="942" t="s">
        <v>2562</v>
      </c>
      <c r="E612" s="943" t="s">
        <v>2562</v>
      </c>
      <c r="F612" s="935"/>
      <c r="G612" s="944"/>
      <c r="H612" s="944"/>
      <c r="I612" s="946" t="s">
        <v>2563</v>
      </c>
      <c r="J612" s="968" t="s">
        <v>703</v>
      </c>
      <c r="K612" s="954" t="s">
        <v>158</v>
      </c>
      <c r="L612" s="949">
        <v>110.0</v>
      </c>
      <c r="M612" s="949">
        <v>160.0</v>
      </c>
      <c r="N612" s="949">
        <v>110.0</v>
      </c>
      <c r="O612" s="949">
        <v>80.0</v>
      </c>
      <c r="P612" s="949">
        <v>110.0</v>
      </c>
      <c r="Q612" s="949">
        <v>100.0</v>
      </c>
      <c r="R612" s="949">
        <v>236.0</v>
      </c>
      <c r="S612" s="949">
        <v>299.0</v>
      </c>
      <c r="T612" s="949">
        <v>328.0</v>
      </c>
      <c r="U612" s="949"/>
      <c r="V612" s="949"/>
      <c r="W612" s="949"/>
      <c r="X612" s="949"/>
      <c r="Y612" s="949"/>
      <c r="Z612" s="949"/>
      <c r="AA612" s="949"/>
      <c r="AB612" s="949"/>
      <c r="AC612" s="949"/>
      <c r="AD612" s="949"/>
      <c r="AE612" s="949"/>
      <c r="AF612" s="949"/>
      <c r="AG612" s="949"/>
      <c r="AH612" s="949"/>
      <c r="AI612" s="949"/>
      <c r="AJ612" s="949"/>
      <c r="AK612" s="949"/>
      <c r="AL612" s="949"/>
      <c r="AM612" s="953" t="s">
        <v>2564</v>
      </c>
      <c r="AN612" s="954"/>
      <c r="AO612" s="955"/>
      <c r="AP612" s="931"/>
      <c r="AQ612" s="956"/>
      <c r="AR612" s="957"/>
      <c r="AS612" s="931"/>
    </row>
    <row r="613" ht="15.75" customHeight="1">
      <c r="A613" s="931"/>
      <c r="B613" s="941" t="s">
        <v>2565</v>
      </c>
      <c r="C613" s="942" t="s">
        <v>200</v>
      </c>
      <c r="D613" s="942" t="s">
        <v>200</v>
      </c>
      <c r="E613" s="943" t="s">
        <v>200</v>
      </c>
      <c r="F613" s="935"/>
      <c r="G613" s="944"/>
      <c r="H613" s="944"/>
      <c r="I613" s="946" t="s">
        <v>2566</v>
      </c>
      <c r="J613" s="994" t="s">
        <v>717</v>
      </c>
      <c r="K613" s="961" t="s">
        <v>716</v>
      </c>
      <c r="L613" s="949">
        <v>150.0</v>
      </c>
      <c r="M613" s="949">
        <v>100.0</v>
      </c>
      <c r="N613" s="949">
        <v>120.0</v>
      </c>
      <c r="O613" s="949">
        <v>100.0</v>
      </c>
      <c r="P613" s="949">
        <v>120.0</v>
      </c>
      <c r="Q613" s="949">
        <v>90.0</v>
      </c>
      <c r="R613" s="949">
        <v>216.0</v>
      </c>
      <c r="S613" s="949">
        <v>279.0</v>
      </c>
      <c r="T613" s="949">
        <v>306.0</v>
      </c>
      <c r="U613" s="949"/>
      <c r="V613" s="949"/>
      <c r="W613" s="949"/>
      <c r="X613" s="949"/>
      <c r="Y613" s="949"/>
      <c r="Z613" s="949"/>
      <c r="AA613" s="949"/>
      <c r="AB613" s="949"/>
      <c r="AC613" s="949"/>
      <c r="AD613" s="949"/>
      <c r="AE613" s="949"/>
      <c r="AF613" s="949"/>
      <c r="AG613" s="949"/>
      <c r="AH613" s="949"/>
      <c r="AI613" s="949"/>
      <c r="AJ613" s="949"/>
      <c r="AK613" s="949"/>
      <c r="AL613" s="949"/>
      <c r="AM613" s="953" t="s">
        <v>1451</v>
      </c>
      <c r="AN613" s="954"/>
      <c r="AO613" s="955" t="s">
        <v>1657</v>
      </c>
      <c r="AP613" s="931"/>
      <c r="AQ613" s="956"/>
      <c r="AR613" s="957"/>
      <c r="AS613" s="931"/>
    </row>
    <row r="614" ht="15.75" customHeight="1">
      <c r="A614" s="931"/>
      <c r="B614" s="941" t="s">
        <v>2567</v>
      </c>
      <c r="C614" s="942" t="s">
        <v>208</v>
      </c>
      <c r="D614" s="942" t="s">
        <v>208</v>
      </c>
      <c r="E614" s="943" t="s">
        <v>208</v>
      </c>
      <c r="F614" s="935"/>
      <c r="G614" s="944"/>
      <c r="H614" s="944"/>
      <c r="I614" s="946" t="s">
        <v>209</v>
      </c>
      <c r="J614" s="994" t="s">
        <v>717</v>
      </c>
      <c r="K614" s="961" t="s">
        <v>716</v>
      </c>
      <c r="L614" s="949">
        <v>150.0</v>
      </c>
      <c r="M614" s="949">
        <v>120.0</v>
      </c>
      <c r="N614" s="949">
        <v>100.0</v>
      </c>
      <c r="O614" s="949">
        <v>120.0</v>
      </c>
      <c r="P614" s="949">
        <v>100.0</v>
      </c>
      <c r="Q614" s="949">
        <v>90.0</v>
      </c>
      <c r="R614" s="949">
        <v>216.0</v>
      </c>
      <c r="S614" s="949">
        <v>279.0</v>
      </c>
      <c r="T614" s="949">
        <v>306.0</v>
      </c>
      <c r="U614" s="949"/>
      <c r="V614" s="949"/>
      <c r="W614" s="949"/>
      <c r="X614" s="949"/>
      <c r="Y614" s="949"/>
      <c r="Z614" s="949"/>
      <c r="AA614" s="949"/>
      <c r="AB614" s="949"/>
      <c r="AC614" s="949"/>
      <c r="AD614" s="949"/>
      <c r="AE614" s="949"/>
      <c r="AF614" s="949"/>
      <c r="AG614" s="949"/>
      <c r="AH614" s="949"/>
      <c r="AI614" s="949"/>
      <c r="AJ614" s="949"/>
      <c r="AK614" s="949"/>
      <c r="AL614" s="949"/>
      <c r="AM614" s="953" t="s">
        <v>1244</v>
      </c>
      <c r="AN614" s="954"/>
      <c r="AO614" s="955"/>
      <c r="AP614" s="931"/>
      <c r="AQ614" s="956"/>
      <c r="AR614" s="957"/>
      <c r="AS614" s="931"/>
    </row>
    <row r="615" ht="15.75" customHeight="1">
      <c r="A615" s="963"/>
      <c r="B615" s="941" t="s">
        <v>2568</v>
      </c>
      <c r="C615" s="971" t="s">
        <v>2569</v>
      </c>
      <c r="D615" s="971" t="s">
        <v>2569</v>
      </c>
      <c r="E615" s="966" t="s">
        <v>2569</v>
      </c>
      <c r="F615" s="935"/>
      <c r="G615" s="944"/>
      <c r="H615" s="944"/>
      <c r="I615" s="959" t="s">
        <v>2570</v>
      </c>
      <c r="J615" s="990" t="s">
        <v>712</v>
      </c>
      <c r="K615" s="973" t="s">
        <v>158</v>
      </c>
      <c r="L615" s="974">
        <v>120.0</v>
      </c>
      <c r="M615" s="974">
        <v>70.0</v>
      </c>
      <c r="N615" s="974">
        <v>120.0</v>
      </c>
      <c r="O615" s="974">
        <v>75.0</v>
      </c>
      <c r="P615" s="974">
        <v>130.0</v>
      </c>
      <c r="Q615" s="974">
        <v>85.0</v>
      </c>
      <c r="R615" s="949">
        <v>206.0</v>
      </c>
      <c r="S615" s="949">
        <v>269.0</v>
      </c>
      <c r="T615" s="949">
        <v>295.0</v>
      </c>
      <c r="U615" s="949"/>
      <c r="V615" s="949"/>
      <c r="W615" s="949"/>
      <c r="X615" s="949"/>
      <c r="Y615" s="949"/>
      <c r="Z615" s="949"/>
      <c r="AA615" s="949"/>
      <c r="AB615" s="949"/>
      <c r="AC615" s="949"/>
      <c r="AD615" s="949"/>
      <c r="AE615" s="949"/>
      <c r="AF615" s="949"/>
      <c r="AG615" s="949"/>
      <c r="AH615" s="949"/>
      <c r="AI615" s="949"/>
      <c r="AJ615" s="949"/>
      <c r="AK615" s="949"/>
      <c r="AL615" s="949"/>
      <c r="AM615" s="964" t="s">
        <v>1244</v>
      </c>
      <c r="AN615" s="973"/>
      <c r="AO615" s="965"/>
      <c r="AP615" s="931"/>
      <c r="AQ615" s="956"/>
      <c r="AR615" s="957"/>
      <c r="AS615" s="931"/>
    </row>
    <row r="616" ht="15.75" customHeight="1">
      <c r="A616" s="931"/>
      <c r="B616" s="941" t="s">
        <v>2571</v>
      </c>
      <c r="C616" s="942" t="s">
        <v>2572</v>
      </c>
      <c r="D616" s="942" t="s">
        <v>2572</v>
      </c>
      <c r="E616" s="943" t="s">
        <v>2572</v>
      </c>
      <c r="F616" s="935"/>
      <c r="G616" s="944"/>
      <c r="H616" s="944"/>
      <c r="I616" s="946" t="s">
        <v>2573</v>
      </c>
      <c r="J616" s="962" t="s">
        <v>706</v>
      </c>
      <c r="K616" s="954" t="s">
        <v>158</v>
      </c>
      <c r="L616" s="949">
        <v>80.0</v>
      </c>
      <c r="M616" s="949">
        <v>80.0</v>
      </c>
      <c r="N616" s="949">
        <v>80.0</v>
      </c>
      <c r="O616" s="949">
        <v>80.0</v>
      </c>
      <c r="P616" s="949">
        <v>80.0</v>
      </c>
      <c r="Q616" s="949">
        <v>80.0</v>
      </c>
      <c r="R616" s="949">
        <v>196.0</v>
      </c>
      <c r="S616" s="949">
        <v>259.0</v>
      </c>
      <c r="T616" s="949">
        <v>284.0</v>
      </c>
      <c r="U616" s="949"/>
      <c r="V616" s="949"/>
      <c r="W616" s="949"/>
      <c r="X616" s="949"/>
      <c r="Y616" s="949"/>
      <c r="Z616" s="949"/>
      <c r="AA616" s="949"/>
      <c r="AB616" s="949"/>
      <c r="AC616" s="949"/>
      <c r="AD616" s="949"/>
      <c r="AE616" s="949"/>
      <c r="AF616" s="949"/>
      <c r="AG616" s="949"/>
      <c r="AH616" s="949"/>
      <c r="AI616" s="949"/>
      <c r="AJ616" s="949"/>
      <c r="AK616" s="949"/>
      <c r="AL616" s="949"/>
      <c r="AM616" s="953" t="s">
        <v>1216</v>
      </c>
      <c r="AN616" s="954"/>
      <c r="AO616" s="955"/>
      <c r="AP616" s="931"/>
      <c r="AQ616" s="956"/>
      <c r="AR616" s="957"/>
      <c r="AS616" s="931"/>
    </row>
    <row r="617" ht="15.75" customHeight="1">
      <c r="A617" s="931"/>
      <c r="B617" s="941" t="s">
        <v>2574</v>
      </c>
      <c r="C617" s="942" t="s">
        <v>2575</v>
      </c>
      <c r="D617" s="942" t="s">
        <v>2575</v>
      </c>
      <c r="E617" s="943" t="s">
        <v>2575</v>
      </c>
      <c r="F617" s="935"/>
      <c r="G617" s="944"/>
      <c r="H617" s="944"/>
      <c r="I617" s="946" t="s">
        <v>2576</v>
      </c>
      <c r="J617" s="962" t="s">
        <v>706</v>
      </c>
      <c r="K617" s="954" t="s">
        <v>158</v>
      </c>
      <c r="L617" s="949">
        <v>100.0</v>
      </c>
      <c r="M617" s="949">
        <v>100.0</v>
      </c>
      <c r="N617" s="949">
        <v>100.0</v>
      </c>
      <c r="O617" s="949">
        <v>100.0</v>
      </c>
      <c r="P617" s="949">
        <v>100.0</v>
      </c>
      <c r="Q617" s="949">
        <v>100.0</v>
      </c>
      <c r="R617" s="949">
        <v>236.0</v>
      </c>
      <c r="S617" s="949">
        <v>299.0</v>
      </c>
      <c r="T617" s="949">
        <v>328.0</v>
      </c>
      <c r="U617" s="949"/>
      <c r="V617" s="949"/>
      <c r="W617" s="949"/>
      <c r="X617" s="949"/>
      <c r="Y617" s="949"/>
      <c r="Z617" s="949"/>
      <c r="AA617" s="949"/>
      <c r="AB617" s="949"/>
      <c r="AC617" s="949"/>
      <c r="AD617" s="949"/>
      <c r="AE617" s="949"/>
      <c r="AF617" s="949"/>
      <c r="AG617" s="949"/>
      <c r="AH617" s="949"/>
      <c r="AI617" s="949"/>
      <c r="AJ617" s="949"/>
      <c r="AK617" s="949"/>
      <c r="AL617" s="949"/>
      <c r="AM617" s="953" t="s">
        <v>1216</v>
      </c>
      <c r="AN617" s="954"/>
      <c r="AO617" s="955"/>
      <c r="AP617" s="931"/>
      <c r="AQ617" s="956"/>
      <c r="AR617" s="957"/>
      <c r="AS617" s="931"/>
    </row>
    <row r="618" ht="15.75" customHeight="1">
      <c r="A618" s="931"/>
      <c r="B618" s="941" t="s">
        <v>2577</v>
      </c>
      <c r="C618" s="942" t="s">
        <v>2578</v>
      </c>
      <c r="D618" s="942" t="s">
        <v>2578</v>
      </c>
      <c r="E618" s="943" t="s">
        <v>2578</v>
      </c>
      <c r="F618" s="935"/>
      <c r="G618" s="944"/>
      <c r="H618" s="944"/>
      <c r="I618" s="946" t="s">
        <v>2579</v>
      </c>
      <c r="J618" s="969" t="s">
        <v>718</v>
      </c>
      <c r="K618" s="954" t="s">
        <v>158</v>
      </c>
      <c r="L618" s="949">
        <v>70.0</v>
      </c>
      <c r="M618" s="949">
        <v>90.0</v>
      </c>
      <c r="N618" s="949">
        <v>90.0</v>
      </c>
      <c r="O618" s="949">
        <v>135.0</v>
      </c>
      <c r="P618" s="949">
        <v>90.0</v>
      </c>
      <c r="Q618" s="949">
        <v>125.0</v>
      </c>
      <c r="R618" s="949">
        <v>286.0</v>
      </c>
      <c r="S618" s="949">
        <v>349.0</v>
      </c>
      <c r="T618" s="949">
        <v>383.0</v>
      </c>
      <c r="U618" s="949"/>
      <c r="V618" s="949"/>
      <c r="W618" s="949"/>
      <c r="X618" s="949"/>
      <c r="Y618" s="949"/>
      <c r="Z618" s="949"/>
      <c r="AA618" s="949"/>
      <c r="AB618" s="949"/>
      <c r="AC618" s="949"/>
      <c r="AD618" s="949"/>
      <c r="AE618" s="949"/>
      <c r="AF618" s="949"/>
      <c r="AG618" s="949"/>
      <c r="AH618" s="949"/>
      <c r="AI618" s="949"/>
      <c r="AJ618" s="949"/>
      <c r="AK618" s="949"/>
      <c r="AL618" s="949"/>
      <c r="AM618" s="953" t="s">
        <v>2580</v>
      </c>
      <c r="AN618" s="954"/>
      <c r="AO618" s="955"/>
      <c r="AP618" s="931"/>
      <c r="AQ618" s="956"/>
      <c r="AR618" s="957"/>
      <c r="AS618" s="931"/>
    </row>
    <row r="619" ht="15.75" customHeight="1">
      <c r="A619" s="931"/>
      <c r="B619" s="941" t="s">
        <v>2581</v>
      </c>
      <c r="C619" s="942" t="s">
        <v>2582</v>
      </c>
      <c r="D619" s="942" t="s">
        <v>2582</v>
      </c>
      <c r="E619" s="943" t="s">
        <v>2582</v>
      </c>
      <c r="F619" s="935"/>
      <c r="G619" s="944"/>
      <c r="H619" s="944"/>
      <c r="I619" s="959" t="s">
        <v>2583</v>
      </c>
      <c r="J619" s="947" t="s">
        <v>708</v>
      </c>
      <c r="K619" s="954" t="s">
        <v>158</v>
      </c>
      <c r="L619" s="949">
        <v>100.0</v>
      </c>
      <c r="M619" s="949">
        <v>100.0</v>
      </c>
      <c r="N619" s="949">
        <v>100.0</v>
      </c>
      <c r="O619" s="949">
        <v>100.0</v>
      </c>
      <c r="P619" s="949">
        <v>100.0</v>
      </c>
      <c r="Q619" s="949">
        <v>100.0</v>
      </c>
      <c r="R619" s="949">
        <v>236.0</v>
      </c>
      <c r="S619" s="949">
        <v>299.0</v>
      </c>
      <c r="T619" s="949">
        <v>328.0</v>
      </c>
      <c r="U619" s="949"/>
      <c r="V619" s="949"/>
      <c r="W619" s="949"/>
      <c r="X619" s="949"/>
      <c r="Y619" s="949"/>
      <c r="Z619" s="949"/>
      <c r="AA619" s="949"/>
      <c r="AB619" s="949"/>
      <c r="AC619" s="949"/>
      <c r="AD619" s="949"/>
      <c r="AE619" s="949"/>
      <c r="AF619" s="949"/>
      <c r="AG619" s="949"/>
      <c r="AH619" s="949"/>
      <c r="AI619" s="949"/>
      <c r="AJ619" s="949"/>
      <c r="AK619" s="949"/>
      <c r="AL619" s="949"/>
      <c r="AM619" s="953" t="s">
        <v>1333</v>
      </c>
      <c r="AN619" s="954"/>
      <c r="AO619" s="955"/>
      <c r="AP619" s="931"/>
      <c r="AQ619" s="956"/>
      <c r="AR619" s="957"/>
      <c r="AS619" s="931"/>
    </row>
    <row r="620" ht="15.75" customHeight="1">
      <c r="A620" s="931"/>
      <c r="B620" s="941" t="s">
        <v>2584</v>
      </c>
      <c r="C620" s="942" t="s">
        <v>2585</v>
      </c>
      <c r="D620" s="942" t="s">
        <v>2585</v>
      </c>
      <c r="E620" s="943" t="s">
        <v>2585</v>
      </c>
      <c r="F620" s="935"/>
      <c r="G620" s="944"/>
      <c r="H620" s="944"/>
      <c r="I620" s="946" t="s">
        <v>2586</v>
      </c>
      <c r="J620" s="947" t="s">
        <v>708</v>
      </c>
      <c r="K620" s="960" t="s">
        <v>707</v>
      </c>
      <c r="L620" s="949">
        <v>100.0</v>
      </c>
      <c r="M620" s="949">
        <v>103.0</v>
      </c>
      <c r="N620" s="949">
        <v>75.0</v>
      </c>
      <c r="O620" s="949">
        <v>120.0</v>
      </c>
      <c r="P620" s="949">
        <v>75.0</v>
      </c>
      <c r="Q620" s="949">
        <v>127.0</v>
      </c>
      <c r="R620" s="949">
        <v>290.0</v>
      </c>
      <c r="S620" s="949">
        <v>353.0</v>
      </c>
      <c r="T620" s="949">
        <v>388.0</v>
      </c>
      <c r="U620" s="949"/>
      <c r="V620" s="949"/>
      <c r="W620" s="949"/>
      <c r="X620" s="949"/>
      <c r="Y620" s="949"/>
      <c r="Z620" s="949"/>
      <c r="AA620" s="949"/>
      <c r="AB620" s="949"/>
      <c r="AC620" s="949"/>
      <c r="AD620" s="949"/>
      <c r="AE620" s="949"/>
      <c r="AF620" s="949"/>
      <c r="AG620" s="949"/>
      <c r="AH620" s="949"/>
      <c r="AI620" s="949"/>
      <c r="AJ620" s="949"/>
      <c r="AK620" s="949"/>
      <c r="AL620" s="949"/>
      <c r="AM620" s="953" t="s">
        <v>1334</v>
      </c>
      <c r="AN620" s="954"/>
      <c r="AO620" s="955"/>
      <c r="AP620" s="931"/>
      <c r="AQ620" s="956"/>
      <c r="AR620" s="957"/>
      <c r="AS620" s="931"/>
    </row>
    <row r="621" ht="15.75" customHeight="1">
      <c r="A621" s="931"/>
      <c r="B621" s="941" t="s">
        <v>2587</v>
      </c>
      <c r="C621" s="942" t="s">
        <v>2588</v>
      </c>
      <c r="D621" s="942" t="s">
        <v>2588</v>
      </c>
      <c r="E621" s="943" t="s">
        <v>2588</v>
      </c>
      <c r="F621" s="935"/>
      <c r="G621" s="944"/>
      <c r="H621" s="944"/>
      <c r="I621" s="959" t="s">
        <v>73</v>
      </c>
      <c r="J621" s="968" t="s">
        <v>703</v>
      </c>
      <c r="K621" s="954" t="s">
        <v>158</v>
      </c>
      <c r="L621" s="949">
        <v>120.0</v>
      </c>
      <c r="M621" s="949">
        <v>120.0</v>
      </c>
      <c r="N621" s="949">
        <v>120.0</v>
      </c>
      <c r="O621" s="949">
        <v>120.0</v>
      </c>
      <c r="P621" s="949">
        <v>120.0</v>
      </c>
      <c r="Q621" s="949">
        <v>120.0</v>
      </c>
      <c r="R621" s="949">
        <v>276.0</v>
      </c>
      <c r="S621" s="949">
        <v>339.0</v>
      </c>
      <c r="T621" s="949">
        <v>372.0</v>
      </c>
      <c r="U621" s="949"/>
      <c r="V621" s="949"/>
      <c r="W621" s="949"/>
      <c r="X621" s="949"/>
      <c r="Y621" s="949"/>
      <c r="Z621" s="949"/>
      <c r="AA621" s="949"/>
      <c r="AB621" s="949"/>
      <c r="AC621" s="949"/>
      <c r="AD621" s="949"/>
      <c r="AE621" s="949"/>
      <c r="AF621" s="949"/>
      <c r="AG621" s="949"/>
      <c r="AH621" s="949"/>
      <c r="AI621" s="949"/>
      <c r="AJ621" s="949"/>
      <c r="AK621" s="949"/>
      <c r="AL621" s="949"/>
      <c r="AM621" s="953" t="s">
        <v>2589</v>
      </c>
      <c r="AN621" s="954"/>
      <c r="AO621" s="955"/>
      <c r="AP621" s="931"/>
      <c r="AQ621" s="956"/>
      <c r="AR621" s="957"/>
      <c r="AS621" s="931"/>
    </row>
    <row r="622" ht="15.75" customHeight="1">
      <c r="A622" s="931"/>
      <c r="B622" s="941" t="s">
        <v>2587</v>
      </c>
      <c r="C622" s="942" t="s">
        <v>2590</v>
      </c>
      <c r="D622" s="942" t="s">
        <v>2590</v>
      </c>
      <c r="E622" s="943" t="s">
        <v>2590</v>
      </c>
      <c r="F622" s="935"/>
      <c r="G622" s="944"/>
      <c r="H622" s="944"/>
      <c r="I622" s="946" t="s">
        <v>2591</v>
      </c>
      <c r="J622" s="967" t="s">
        <v>715</v>
      </c>
      <c r="K622" s="954" t="s">
        <v>158</v>
      </c>
      <c r="L622" s="949">
        <v>120.0</v>
      </c>
      <c r="M622" s="949">
        <v>120.0</v>
      </c>
      <c r="N622" s="949">
        <v>120.0</v>
      </c>
      <c r="O622" s="949">
        <v>120.0</v>
      </c>
      <c r="P622" s="949">
        <v>120.0</v>
      </c>
      <c r="Q622" s="949">
        <v>120.0</v>
      </c>
      <c r="R622" s="949">
        <v>276.0</v>
      </c>
      <c r="S622" s="949">
        <v>339.0</v>
      </c>
      <c r="T622" s="949">
        <v>372.0</v>
      </c>
      <c r="U622" s="949"/>
      <c r="V622" s="949"/>
      <c r="W622" s="949"/>
      <c r="X622" s="949"/>
      <c r="Y622" s="949"/>
      <c r="Z622" s="949"/>
      <c r="AA622" s="949"/>
      <c r="AB622" s="949"/>
      <c r="AC622" s="949"/>
      <c r="AD622" s="949"/>
      <c r="AE622" s="949"/>
      <c r="AF622" s="949"/>
      <c r="AG622" s="949"/>
      <c r="AH622" s="949"/>
      <c r="AI622" s="949"/>
      <c r="AJ622" s="949"/>
      <c r="AK622" s="949"/>
      <c r="AL622" s="949"/>
      <c r="AM622" s="953" t="s">
        <v>2589</v>
      </c>
      <c r="AN622" s="954"/>
      <c r="AO622" s="955"/>
      <c r="AP622" s="931"/>
      <c r="AQ622" s="956"/>
      <c r="AR622" s="957"/>
      <c r="AS622" s="931"/>
    </row>
    <row r="623" ht="15.75" customHeight="1">
      <c r="A623" s="931"/>
      <c r="B623" s="941" t="s">
        <v>2587</v>
      </c>
      <c r="C623" s="942" t="s">
        <v>2592</v>
      </c>
      <c r="D623" s="942" t="s">
        <v>2592</v>
      </c>
      <c r="E623" s="943" t="s">
        <v>2592</v>
      </c>
      <c r="F623" s="935"/>
      <c r="G623" s="944"/>
      <c r="H623" s="944"/>
      <c r="I623" s="946" t="s">
        <v>2593</v>
      </c>
      <c r="J623" s="969" t="s">
        <v>718</v>
      </c>
      <c r="K623" s="954" t="s">
        <v>158</v>
      </c>
      <c r="L623" s="949">
        <v>120.0</v>
      </c>
      <c r="M623" s="949">
        <v>120.0</v>
      </c>
      <c r="N623" s="949">
        <v>120.0</v>
      </c>
      <c r="O623" s="949">
        <v>120.0</v>
      </c>
      <c r="P623" s="949">
        <v>120.0</v>
      </c>
      <c r="Q623" s="949">
        <v>120.0</v>
      </c>
      <c r="R623" s="949">
        <v>276.0</v>
      </c>
      <c r="S623" s="949">
        <v>339.0</v>
      </c>
      <c r="T623" s="949">
        <v>372.0</v>
      </c>
      <c r="U623" s="949"/>
      <c r="V623" s="949"/>
      <c r="W623" s="949"/>
      <c r="X623" s="949"/>
      <c r="Y623" s="949"/>
      <c r="Z623" s="949"/>
      <c r="AA623" s="949"/>
      <c r="AB623" s="949"/>
      <c r="AC623" s="949"/>
      <c r="AD623" s="949"/>
      <c r="AE623" s="949"/>
      <c r="AF623" s="949"/>
      <c r="AG623" s="949"/>
      <c r="AH623" s="949"/>
      <c r="AI623" s="949"/>
      <c r="AJ623" s="949"/>
      <c r="AK623" s="949"/>
      <c r="AL623" s="949"/>
      <c r="AM623" s="953" t="s">
        <v>2589</v>
      </c>
      <c r="AN623" s="954"/>
      <c r="AO623" s="955"/>
      <c r="AP623" s="931"/>
      <c r="AQ623" s="956"/>
      <c r="AR623" s="957"/>
      <c r="AS623" s="931"/>
    </row>
    <row r="624" ht="15.75" customHeight="1">
      <c r="A624" s="931"/>
      <c r="B624" s="941" t="s">
        <v>2587</v>
      </c>
      <c r="C624" s="942" t="s">
        <v>2594</v>
      </c>
      <c r="D624" s="942" t="s">
        <v>2594</v>
      </c>
      <c r="E624" s="943" t="s">
        <v>2594</v>
      </c>
      <c r="F624" s="935"/>
      <c r="G624" s="944"/>
      <c r="H624" s="944"/>
      <c r="I624" s="946" t="s">
        <v>2595</v>
      </c>
      <c r="J624" s="961" t="s">
        <v>716</v>
      </c>
      <c r="K624" s="954" t="s">
        <v>158</v>
      </c>
      <c r="L624" s="949">
        <v>120.0</v>
      </c>
      <c r="M624" s="949">
        <v>120.0</v>
      </c>
      <c r="N624" s="949">
        <v>120.0</v>
      </c>
      <c r="O624" s="949">
        <v>120.0</v>
      </c>
      <c r="P624" s="949">
        <v>120.0</v>
      </c>
      <c r="Q624" s="949">
        <v>120.0</v>
      </c>
      <c r="R624" s="949">
        <v>276.0</v>
      </c>
      <c r="S624" s="949">
        <v>339.0</v>
      </c>
      <c r="T624" s="949">
        <v>372.0</v>
      </c>
      <c r="U624" s="949"/>
      <c r="V624" s="949"/>
      <c r="W624" s="949"/>
      <c r="X624" s="949"/>
      <c r="Y624" s="949"/>
      <c r="Z624" s="949"/>
      <c r="AA624" s="949"/>
      <c r="AB624" s="949"/>
      <c r="AC624" s="949"/>
      <c r="AD624" s="949"/>
      <c r="AE624" s="949"/>
      <c r="AF624" s="949"/>
      <c r="AG624" s="949"/>
      <c r="AH624" s="949"/>
      <c r="AI624" s="949"/>
      <c r="AJ624" s="949"/>
      <c r="AK624" s="949"/>
      <c r="AL624" s="949"/>
      <c r="AM624" s="953" t="s">
        <v>2589</v>
      </c>
      <c r="AN624" s="954"/>
      <c r="AO624" s="955"/>
      <c r="AP624" s="931"/>
      <c r="AQ624" s="956"/>
      <c r="AR624" s="957"/>
      <c r="AS624" s="931"/>
    </row>
    <row r="625" ht="15.75" customHeight="1">
      <c r="A625" s="931"/>
      <c r="B625" s="941" t="s">
        <v>2587</v>
      </c>
      <c r="C625" s="942" t="s">
        <v>2596</v>
      </c>
      <c r="D625" s="942" t="s">
        <v>2596</v>
      </c>
      <c r="E625" s="943" t="s">
        <v>2596</v>
      </c>
      <c r="F625" s="935"/>
      <c r="G625" s="944"/>
      <c r="H625" s="944"/>
      <c r="I625" s="946" t="s">
        <v>2597</v>
      </c>
      <c r="J625" s="970" t="s">
        <v>710</v>
      </c>
      <c r="K625" s="954" t="s">
        <v>158</v>
      </c>
      <c r="L625" s="949">
        <v>120.0</v>
      </c>
      <c r="M625" s="949">
        <v>120.0</v>
      </c>
      <c r="N625" s="949">
        <v>120.0</v>
      </c>
      <c r="O625" s="949">
        <v>120.0</v>
      </c>
      <c r="P625" s="949">
        <v>120.0</v>
      </c>
      <c r="Q625" s="949">
        <v>120.0</v>
      </c>
      <c r="R625" s="949">
        <v>276.0</v>
      </c>
      <c r="S625" s="949">
        <v>339.0</v>
      </c>
      <c r="T625" s="949">
        <v>372.0</v>
      </c>
      <c r="U625" s="949"/>
      <c r="V625" s="949"/>
      <c r="W625" s="949"/>
      <c r="X625" s="949"/>
      <c r="Y625" s="949"/>
      <c r="Z625" s="949"/>
      <c r="AA625" s="949"/>
      <c r="AB625" s="949"/>
      <c r="AC625" s="949"/>
      <c r="AD625" s="949"/>
      <c r="AE625" s="949"/>
      <c r="AF625" s="949"/>
      <c r="AG625" s="949"/>
      <c r="AH625" s="949"/>
      <c r="AI625" s="949"/>
      <c r="AJ625" s="949"/>
      <c r="AK625" s="949"/>
      <c r="AL625" s="949"/>
      <c r="AM625" s="953" t="s">
        <v>2589</v>
      </c>
      <c r="AN625" s="954"/>
      <c r="AO625" s="955"/>
      <c r="AP625" s="931"/>
      <c r="AQ625" s="956"/>
      <c r="AR625" s="957"/>
      <c r="AS625" s="931"/>
    </row>
    <row r="626" ht="15.75" customHeight="1">
      <c r="A626" s="931"/>
      <c r="B626" s="941" t="s">
        <v>2587</v>
      </c>
      <c r="C626" s="942" t="s">
        <v>2598</v>
      </c>
      <c r="D626" s="942" t="s">
        <v>2598</v>
      </c>
      <c r="E626" s="943" t="s">
        <v>2598</v>
      </c>
      <c r="F626" s="935"/>
      <c r="G626" s="944"/>
      <c r="H626" s="944"/>
      <c r="I626" s="946" t="s">
        <v>2599</v>
      </c>
      <c r="J626" s="980" t="s">
        <v>720</v>
      </c>
      <c r="K626" s="954" t="s">
        <v>158</v>
      </c>
      <c r="L626" s="949">
        <v>120.0</v>
      </c>
      <c r="M626" s="949">
        <v>120.0</v>
      </c>
      <c r="N626" s="949">
        <v>120.0</v>
      </c>
      <c r="O626" s="949">
        <v>120.0</v>
      </c>
      <c r="P626" s="949">
        <v>120.0</v>
      </c>
      <c r="Q626" s="949">
        <v>120.0</v>
      </c>
      <c r="R626" s="949">
        <v>276.0</v>
      </c>
      <c r="S626" s="949">
        <v>339.0</v>
      </c>
      <c r="T626" s="949">
        <v>372.0</v>
      </c>
      <c r="U626" s="949"/>
      <c r="V626" s="949"/>
      <c r="W626" s="949"/>
      <c r="X626" s="949"/>
      <c r="Y626" s="949"/>
      <c r="Z626" s="949"/>
      <c r="AA626" s="949"/>
      <c r="AB626" s="949"/>
      <c r="AC626" s="949"/>
      <c r="AD626" s="949"/>
      <c r="AE626" s="949"/>
      <c r="AF626" s="949"/>
      <c r="AG626" s="949"/>
      <c r="AH626" s="949"/>
      <c r="AI626" s="949"/>
      <c r="AJ626" s="949"/>
      <c r="AK626" s="949"/>
      <c r="AL626" s="949"/>
      <c r="AM626" s="953" t="s">
        <v>2589</v>
      </c>
      <c r="AN626" s="954"/>
      <c r="AO626" s="955"/>
      <c r="AP626" s="931"/>
      <c r="AQ626" s="956"/>
      <c r="AR626" s="957"/>
      <c r="AS626" s="931"/>
    </row>
    <row r="627" ht="15.75" customHeight="1">
      <c r="A627" s="931"/>
      <c r="B627" s="941" t="s">
        <v>2587</v>
      </c>
      <c r="C627" s="942" t="s">
        <v>2600</v>
      </c>
      <c r="D627" s="942" t="s">
        <v>2600</v>
      </c>
      <c r="E627" s="943" t="s">
        <v>2600</v>
      </c>
      <c r="F627" s="935"/>
      <c r="G627" s="944"/>
      <c r="H627" s="944"/>
      <c r="I627" s="946" t="s">
        <v>2601</v>
      </c>
      <c r="J627" s="988" t="s">
        <v>705</v>
      </c>
      <c r="K627" s="954" t="s">
        <v>158</v>
      </c>
      <c r="L627" s="949">
        <v>120.0</v>
      </c>
      <c r="M627" s="949">
        <v>120.0</v>
      </c>
      <c r="N627" s="949">
        <v>120.0</v>
      </c>
      <c r="O627" s="949">
        <v>120.0</v>
      </c>
      <c r="P627" s="949">
        <v>120.0</v>
      </c>
      <c r="Q627" s="949">
        <v>120.0</v>
      </c>
      <c r="R627" s="949">
        <v>276.0</v>
      </c>
      <c r="S627" s="949">
        <v>339.0</v>
      </c>
      <c r="T627" s="949">
        <v>372.0</v>
      </c>
      <c r="U627" s="949"/>
      <c r="V627" s="949"/>
      <c r="W627" s="949"/>
      <c r="X627" s="949"/>
      <c r="Y627" s="949"/>
      <c r="Z627" s="949"/>
      <c r="AA627" s="949"/>
      <c r="AB627" s="949"/>
      <c r="AC627" s="949"/>
      <c r="AD627" s="949"/>
      <c r="AE627" s="949"/>
      <c r="AF627" s="949"/>
      <c r="AG627" s="949"/>
      <c r="AH627" s="949"/>
      <c r="AI627" s="949"/>
      <c r="AJ627" s="949"/>
      <c r="AK627" s="949"/>
      <c r="AL627" s="949"/>
      <c r="AM627" s="953" t="s">
        <v>2589</v>
      </c>
      <c r="AN627" s="954"/>
      <c r="AO627" s="955"/>
      <c r="AP627" s="931"/>
      <c r="AQ627" s="956"/>
      <c r="AR627" s="957"/>
      <c r="AS627" s="931"/>
    </row>
    <row r="628" ht="15.75" customHeight="1">
      <c r="A628" s="931"/>
      <c r="B628" s="941" t="s">
        <v>2587</v>
      </c>
      <c r="C628" s="942" t="s">
        <v>2602</v>
      </c>
      <c r="D628" s="942" t="s">
        <v>2602</v>
      </c>
      <c r="E628" s="943" t="s">
        <v>2602</v>
      </c>
      <c r="F628" s="935"/>
      <c r="G628" s="944"/>
      <c r="H628" s="944"/>
      <c r="I628" s="946" t="s">
        <v>2603</v>
      </c>
      <c r="J628" s="958" t="s">
        <v>704</v>
      </c>
      <c r="K628" s="954" t="s">
        <v>158</v>
      </c>
      <c r="L628" s="949">
        <v>120.0</v>
      </c>
      <c r="M628" s="949">
        <v>120.0</v>
      </c>
      <c r="N628" s="949">
        <v>120.0</v>
      </c>
      <c r="O628" s="949">
        <v>120.0</v>
      </c>
      <c r="P628" s="949">
        <v>120.0</v>
      </c>
      <c r="Q628" s="949">
        <v>120.0</v>
      </c>
      <c r="R628" s="949">
        <v>276.0</v>
      </c>
      <c r="S628" s="949">
        <v>339.0</v>
      </c>
      <c r="T628" s="949">
        <v>372.0</v>
      </c>
      <c r="U628" s="949"/>
      <c r="V628" s="949"/>
      <c r="W628" s="949"/>
      <c r="X628" s="949"/>
      <c r="Y628" s="949"/>
      <c r="Z628" s="949"/>
      <c r="AA628" s="949"/>
      <c r="AB628" s="949"/>
      <c r="AC628" s="949"/>
      <c r="AD628" s="949"/>
      <c r="AE628" s="949"/>
      <c r="AF628" s="949"/>
      <c r="AG628" s="949"/>
      <c r="AH628" s="949"/>
      <c r="AI628" s="949"/>
      <c r="AJ628" s="949"/>
      <c r="AK628" s="949"/>
      <c r="AL628" s="949"/>
      <c r="AM628" s="953" t="s">
        <v>2589</v>
      </c>
      <c r="AN628" s="954"/>
      <c r="AO628" s="955"/>
      <c r="AP628" s="931"/>
      <c r="AQ628" s="956"/>
      <c r="AR628" s="957"/>
      <c r="AS628" s="931"/>
    </row>
    <row r="629" ht="15.75" customHeight="1">
      <c r="A629" s="931"/>
      <c r="B629" s="941" t="s">
        <v>2587</v>
      </c>
      <c r="C629" s="942" t="s">
        <v>2604</v>
      </c>
      <c r="D629" s="942" t="s">
        <v>2604</v>
      </c>
      <c r="E629" s="943" t="s">
        <v>2604</v>
      </c>
      <c r="F629" s="935"/>
      <c r="G629" s="944"/>
      <c r="H629" s="944"/>
      <c r="I629" s="946" t="s">
        <v>2605</v>
      </c>
      <c r="J629" s="960" t="s">
        <v>707</v>
      </c>
      <c r="K629" s="954" t="s">
        <v>158</v>
      </c>
      <c r="L629" s="949">
        <v>120.0</v>
      </c>
      <c r="M629" s="949">
        <v>120.0</v>
      </c>
      <c r="N629" s="949">
        <v>120.0</v>
      </c>
      <c r="O629" s="949">
        <v>120.0</v>
      </c>
      <c r="P629" s="949">
        <v>120.0</v>
      </c>
      <c r="Q629" s="949">
        <v>120.0</v>
      </c>
      <c r="R629" s="949">
        <v>276.0</v>
      </c>
      <c r="S629" s="949">
        <v>339.0</v>
      </c>
      <c r="T629" s="949">
        <v>372.0</v>
      </c>
      <c r="U629" s="949"/>
      <c r="V629" s="949"/>
      <c r="W629" s="949"/>
      <c r="X629" s="949"/>
      <c r="Y629" s="949"/>
      <c r="Z629" s="949"/>
      <c r="AA629" s="949"/>
      <c r="AB629" s="949"/>
      <c r="AC629" s="949"/>
      <c r="AD629" s="949"/>
      <c r="AE629" s="949"/>
      <c r="AF629" s="949"/>
      <c r="AG629" s="949"/>
      <c r="AH629" s="949"/>
      <c r="AI629" s="949"/>
      <c r="AJ629" s="949"/>
      <c r="AK629" s="949"/>
      <c r="AL629" s="949"/>
      <c r="AM629" s="953" t="s">
        <v>2589</v>
      </c>
      <c r="AN629" s="954"/>
      <c r="AO629" s="955"/>
      <c r="AP629" s="931"/>
      <c r="AQ629" s="956"/>
      <c r="AR629" s="957"/>
      <c r="AS629" s="931"/>
    </row>
    <row r="630" ht="15.75" customHeight="1">
      <c r="A630" s="931"/>
      <c r="B630" s="941" t="s">
        <v>2587</v>
      </c>
      <c r="C630" s="942" t="s">
        <v>2606</v>
      </c>
      <c r="D630" s="942" t="s">
        <v>2606</v>
      </c>
      <c r="E630" s="943" t="s">
        <v>2606</v>
      </c>
      <c r="F630" s="935"/>
      <c r="G630" s="944"/>
      <c r="H630" s="944"/>
      <c r="I630" s="946" t="s">
        <v>2607</v>
      </c>
      <c r="J630" s="994" t="s">
        <v>717</v>
      </c>
      <c r="K630" s="954" t="s">
        <v>158</v>
      </c>
      <c r="L630" s="949">
        <v>120.0</v>
      </c>
      <c r="M630" s="949">
        <v>120.0</v>
      </c>
      <c r="N630" s="949">
        <v>120.0</v>
      </c>
      <c r="O630" s="949">
        <v>120.0</v>
      </c>
      <c r="P630" s="949">
        <v>120.0</v>
      </c>
      <c r="Q630" s="949">
        <v>120.0</v>
      </c>
      <c r="R630" s="949">
        <v>276.0</v>
      </c>
      <c r="S630" s="949">
        <v>339.0</v>
      </c>
      <c r="T630" s="949">
        <v>372.0</v>
      </c>
      <c r="U630" s="949"/>
      <c r="V630" s="949"/>
      <c r="W630" s="949"/>
      <c r="X630" s="949"/>
      <c r="Y630" s="949"/>
      <c r="Z630" s="949"/>
      <c r="AA630" s="949"/>
      <c r="AB630" s="949"/>
      <c r="AC630" s="949"/>
      <c r="AD630" s="949"/>
      <c r="AE630" s="949"/>
      <c r="AF630" s="949"/>
      <c r="AG630" s="949"/>
      <c r="AH630" s="949"/>
      <c r="AI630" s="949"/>
      <c r="AJ630" s="949"/>
      <c r="AK630" s="949"/>
      <c r="AL630" s="949"/>
      <c r="AM630" s="953" t="s">
        <v>2589</v>
      </c>
      <c r="AN630" s="954"/>
      <c r="AO630" s="955"/>
      <c r="AP630" s="931"/>
      <c r="AQ630" s="956"/>
      <c r="AR630" s="957"/>
      <c r="AS630" s="931"/>
    </row>
    <row r="631" ht="15.75" customHeight="1">
      <c r="A631" s="931"/>
      <c r="B631" s="941" t="s">
        <v>2587</v>
      </c>
      <c r="C631" s="942" t="s">
        <v>2608</v>
      </c>
      <c r="D631" s="942" t="s">
        <v>2608</v>
      </c>
      <c r="E631" s="943" t="s">
        <v>2608</v>
      </c>
      <c r="F631" s="935"/>
      <c r="G631" s="944"/>
      <c r="H631" s="944"/>
      <c r="I631" s="946" t="s">
        <v>2609</v>
      </c>
      <c r="J631" s="947" t="s">
        <v>708</v>
      </c>
      <c r="K631" s="954" t="s">
        <v>158</v>
      </c>
      <c r="L631" s="949">
        <v>120.0</v>
      </c>
      <c r="M631" s="949">
        <v>120.0</v>
      </c>
      <c r="N631" s="949">
        <v>120.0</v>
      </c>
      <c r="O631" s="949">
        <v>120.0</v>
      </c>
      <c r="P631" s="949">
        <v>120.0</v>
      </c>
      <c r="Q631" s="949">
        <v>120.0</v>
      </c>
      <c r="R631" s="949">
        <v>276.0</v>
      </c>
      <c r="S631" s="949">
        <v>339.0</v>
      </c>
      <c r="T631" s="949">
        <v>372.0</v>
      </c>
      <c r="U631" s="949"/>
      <c r="V631" s="949"/>
      <c r="W631" s="949"/>
      <c r="X631" s="949"/>
      <c r="Y631" s="949"/>
      <c r="Z631" s="949"/>
      <c r="AA631" s="949"/>
      <c r="AB631" s="949"/>
      <c r="AC631" s="949"/>
      <c r="AD631" s="949"/>
      <c r="AE631" s="949"/>
      <c r="AF631" s="949"/>
      <c r="AG631" s="949"/>
      <c r="AH631" s="949"/>
      <c r="AI631" s="949"/>
      <c r="AJ631" s="949"/>
      <c r="AK631" s="949"/>
      <c r="AL631" s="949"/>
      <c r="AM631" s="953" t="s">
        <v>2589</v>
      </c>
      <c r="AN631" s="954"/>
      <c r="AO631" s="955"/>
      <c r="AP631" s="931"/>
      <c r="AQ631" s="956"/>
      <c r="AR631" s="957"/>
      <c r="AS631" s="931"/>
    </row>
    <row r="632" ht="15.75" customHeight="1">
      <c r="A632" s="931"/>
      <c r="B632" s="941" t="s">
        <v>2587</v>
      </c>
      <c r="C632" s="942" t="s">
        <v>2610</v>
      </c>
      <c r="D632" s="942" t="s">
        <v>2610</v>
      </c>
      <c r="E632" s="943" t="s">
        <v>2610</v>
      </c>
      <c r="F632" s="935"/>
      <c r="G632" s="944"/>
      <c r="H632" s="944"/>
      <c r="I632" s="946" t="s">
        <v>2611</v>
      </c>
      <c r="J632" s="976" t="s">
        <v>711</v>
      </c>
      <c r="K632" s="954" t="s">
        <v>158</v>
      </c>
      <c r="L632" s="949">
        <v>120.0</v>
      </c>
      <c r="M632" s="949">
        <v>120.0</v>
      </c>
      <c r="N632" s="949">
        <v>120.0</v>
      </c>
      <c r="O632" s="949">
        <v>120.0</v>
      </c>
      <c r="P632" s="949">
        <v>120.0</v>
      </c>
      <c r="Q632" s="949">
        <v>120.0</v>
      </c>
      <c r="R632" s="949">
        <v>276.0</v>
      </c>
      <c r="S632" s="949">
        <v>339.0</v>
      </c>
      <c r="T632" s="949">
        <v>372.0</v>
      </c>
      <c r="U632" s="949"/>
      <c r="V632" s="949"/>
      <c r="W632" s="949"/>
      <c r="X632" s="949"/>
      <c r="Y632" s="949"/>
      <c r="Z632" s="949"/>
      <c r="AA632" s="949"/>
      <c r="AB632" s="949"/>
      <c r="AC632" s="949"/>
      <c r="AD632" s="949"/>
      <c r="AE632" s="949"/>
      <c r="AF632" s="949"/>
      <c r="AG632" s="949"/>
      <c r="AH632" s="949"/>
      <c r="AI632" s="949"/>
      <c r="AJ632" s="949"/>
      <c r="AK632" s="949"/>
      <c r="AL632" s="949"/>
      <c r="AM632" s="953" t="s">
        <v>2589</v>
      </c>
      <c r="AN632" s="954"/>
      <c r="AO632" s="955"/>
      <c r="AP632" s="931"/>
      <c r="AQ632" s="956"/>
      <c r="AR632" s="957"/>
      <c r="AS632" s="931"/>
    </row>
    <row r="633" ht="15.75" customHeight="1">
      <c r="A633" s="931"/>
      <c r="B633" s="941" t="s">
        <v>2587</v>
      </c>
      <c r="C633" s="942" t="s">
        <v>2612</v>
      </c>
      <c r="D633" s="942" t="s">
        <v>2612</v>
      </c>
      <c r="E633" s="943" t="s">
        <v>2612</v>
      </c>
      <c r="F633" s="935"/>
      <c r="G633" s="944"/>
      <c r="H633" s="944"/>
      <c r="I633" s="959" t="s">
        <v>2613</v>
      </c>
      <c r="J633" s="977" t="s">
        <v>714</v>
      </c>
      <c r="K633" s="954" t="s">
        <v>158</v>
      </c>
      <c r="L633" s="949">
        <v>120.0</v>
      </c>
      <c r="M633" s="949">
        <v>120.0</v>
      </c>
      <c r="N633" s="949">
        <v>120.0</v>
      </c>
      <c r="O633" s="949">
        <v>120.0</v>
      </c>
      <c r="P633" s="949">
        <v>120.0</v>
      </c>
      <c r="Q633" s="949">
        <v>120.0</v>
      </c>
      <c r="R633" s="949">
        <v>276.0</v>
      </c>
      <c r="S633" s="949">
        <v>339.0</v>
      </c>
      <c r="T633" s="949">
        <v>372.0</v>
      </c>
      <c r="U633" s="949"/>
      <c r="V633" s="949"/>
      <c r="W633" s="949"/>
      <c r="X633" s="949"/>
      <c r="Y633" s="949"/>
      <c r="Z633" s="949"/>
      <c r="AA633" s="949"/>
      <c r="AB633" s="949"/>
      <c r="AC633" s="949"/>
      <c r="AD633" s="949"/>
      <c r="AE633" s="949"/>
      <c r="AF633" s="949"/>
      <c r="AG633" s="949"/>
      <c r="AH633" s="949"/>
      <c r="AI633" s="949"/>
      <c r="AJ633" s="949"/>
      <c r="AK633" s="949"/>
      <c r="AL633" s="949"/>
      <c r="AM633" s="953" t="s">
        <v>2589</v>
      </c>
      <c r="AN633" s="954"/>
      <c r="AO633" s="955"/>
      <c r="AP633" s="931"/>
      <c r="AQ633" s="956"/>
      <c r="AR633" s="957"/>
      <c r="AS633" s="931"/>
    </row>
    <row r="634" ht="15.75" customHeight="1">
      <c r="A634" s="931"/>
      <c r="B634" s="941" t="s">
        <v>2587</v>
      </c>
      <c r="C634" s="942" t="s">
        <v>2614</v>
      </c>
      <c r="D634" s="942" t="s">
        <v>2614</v>
      </c>
      <c r="E634" s="943" t="s">
        <v>2614</v>
      </c>
      <c r="F634" s="935"/>
      <c r="G634" s="944"/>
      <c r="H634" s="944"/>
      <c r="I634" s="946" t="s">
        <v>2615</v>
      </c>
      <c r="J634" s="948" t="s">
        <v>709</v>
      </c>
      <c r="K634" s="954" t="s">
        <v>158</v>
      </c>
      <c r="L634" s="949">
        <v>120.0</v>
      </c>
      <c r="M634" s="949">
        <v>120.0</v>
      </c>
      <c r="N634" s="949">
        <v>120.0</v>
      </c>
      <c r="O634" s="949">
        <v>120.0</v>
      </c>
      <c r="P634" s="949">
        <v>120.0</v>
      </c>
      <c r="Q634" s="949">
        <v>120.0</v>
      </c>
      <c r="R634" s="949">
        <v>276.0</v>
      </c>
      <c r="S634" s="949">
        <v>339.0</v>
      </c>
      <c r="T634" s="949">
        <v>372.0</v>
      </c>
      <c r="U634" s="949"/>
      <c r="V634" s="949"/>
      <c r="W634" s="949"/>
      <c r="X634" s="949"/>
      <c r="Y634" s="949"/>
      <c r="Z634" s="949"/>
      <c r="AA634" s="949"/>
      <c r="AB634" s="949"/>
      <c r="AC634" s="949"/>
      <c r="AD634" s="949"/>
      <c r="AE634" s="949"/>
      <c r="AF634" s="949"/>
      <c r="AG634" s="949"/>
      <c r="AH634" s="949"/>
      <c r="AI634" s="949"/>
      <c r="AJ634" s="949"/>
      <c r="AK634" s="949"/>
      <c r="AL634" s="949"/>
      <c r="AM634" s="953" t="s">
        <v>2589</v>
      </c>
      <c r="AN634" s="954"/>
      <c r="AO634" s="955"/>
      <c r="AP634" s="931"/>
      <c r="AQ634" s="956"/>
      <c r="AR634" s="957"/>
      <c r="AS634" s="931"/>
    </row>
    <row r="635" ht="15.75" customHeight="1">
      <c r="A635" s="931"/>
      <c r="B635" s="941" t="s">
        <v>2587</v>
      </c>
      <c r="C635" s="942" t="s">
        <v>2616</v>
      </c>
      <c r="D635" s="942" t="s">
        <v>2616</v>
      </c>
      <c r="E635" s="943" t="s">
        <v>2616</v>
      </c>
      <c r="F635" s="935"/>
      <c r="G635" s="944"/>
      <c r="H635" s="944"/>
      <c r="I635" s="946" t="s">
        <v>2617</v>
      </c>
      <c r="J635" s="975" t="s">
        <v>712</v>
      </c>
      <c r="K635" s="954" t="s">
        <v>158</v>
      </c>
      <c r="L635" s="949">
        <v>120.0</v>
      </c>
      <c r="M635" s="949">
        <v>120.0</v>
      </c>
      <c r="N635" s="949">
        <v>120.0</v>
      </c>
      <c r="O635" s="949">
        <v>120.0</v>
      </c>
      <c r="P635" s="949">
        <v>120.0</v>
      </c>
      <c r="Q635" s="949">
        <v>120.0</v>
      </c>
      <c r="R635" s="949">
        <v>276.0</v>
      </c>
      <c r="S635" s="949">
        <v>339.0</v>
      </c>
      <c r="T635" s="949">
        <v>372.0</v>
      </c>
      <c r="U635" s="949"/>
      <c r="V635" s="949"/>
      <c r="W635" s="949"/>
      <c r="X635" s="949"/>
      <c r="Y635" s="949"/>
      <c r="Z635" s="949"/>
      <c r="AA635" s="949"/>
      <c r="AB635" s="949"/>
      <c r="AC635" s="949"/>
      <c r="AD635" s="949"/>
      <c r="AE635" s="949"/>
      <c r="AF635" s="949"/>
      <c r="AG635" s="949"/>
      <c r="AH635" s="949"/>
      <c r="AI635" s="949"/>
      <c r="AJ635" s="949"/>
      <c r="AK635" s="949"/>
      <c r="AL635" s="949"/>
      <c r="AM635" s="953" t="s">
        <v>2589</v>
      </c>
      <c r="AN635" s="954"/>
      <c r="AO635" s="955"/>
      <c r="AP635" s="931"/>
      <c r="AQ635" s="956"/>
      <c r="AR635" s="957"/>
      <c r="AS635" s="931"/>
    </row>
    <row r="636" ht="15.75" customHeight="1">
      <c r="A636" s="931"/>
      <c r="B636" s="941" t="s">
        <v>2587</v>
      </c>
      <c r="C636" s="942" t="s">
        <v>2618</v>
      </c>
      <c r="D636" s="942" t="s">
        <v>2618</v>
      </c>
      <c r="E636" s="943" t="s">
        <v>2618</v>
      </c>
      <c r="F636" s="935"/>
      <c r="G636" s="944"/>
      <c r="H636" s="944"/>
      <c r="I636" s="946" t="s">
        <v>2619</v>
      </c>
      <c r="J636" s="989" t="s">
        <v>713</v>
      </c>
      <c r="K636" s="954" t="s">
        <v>158</v>
      </c>
      <c r="L636" s="949">
        <v>120.0</v>
      </c>
      <c r="M636" s="949">
        <v>120.0</v>
      </c>
      <c r="N636" s="949">
        <v>120.0</v>
      </c>
      <c r="O636" s="949">
        <v>120.0</v>
      </c>
      <c r="P636" s="949">
        <v>120.0</v>
      </c>
      <c r="Q636" s="949">
        <v>120.0</v>
      </c>
      <c r="R636" s="949">
        <v>276.0</v>
      </c>
      <c r="S636" s="949">
        <v>339.0</v>
      </c>
      <c r="T636" s="949">
        <v>372.0</v>
      </c>
      <c r="U636" s="949"/>
      <c r="V636" s="949"/>
      <c r="W636" s="949"/>
      <c r="X636" s="949"/>
      <c r="Y636" s="949"/>
      <c r="Z636" s="949"/>
      <c r="AA636" s="949"/>
      <c r="AB636" s="949"/>
      <c r="AC636" s="949"/>
      <c r="AD636" s="949"/>
      <c r="AE636" s="949"/>
      <c r="AF636" s="949"/>
      <c r="AG636" s="949"/>
      <c r="AH636" s="949"/>
      <c r="AI636" s="949"/>
      <c r="AJ636" s="949"/>
      <c r="AK636" s="949"/>
      <c r="AL636" s="949"/>
      <c r="AM636" s="953" t="s">
        <v>2589</v>
      </c>
      <c r="AN636" s="954"/>
      <c r="AO636" s="955"/>
      <c r="AP636" s="931"/>
      <c r="AQ636" s="956"/>
      <c r="AR636" s="957"/>
      <c r="AS636" s="931"/>
    </row>
    <row r="637" ht="15.75" customHeight="1">
      <c r="A637" s="931"/>
      <c r="B637" s="941" t="s">
        <v>2587</v>
      </c>
      <c r="C637" s="942" t="s">
        <v>2620</v>
      </c>
      <c r="D637" s="942" t="s">
        <v>2620</v>
      </c>
      <c r="E637" s="943" t="s">
        <v>2620</v>
      </c>
      <c r="F637" s="935"/>
      <c r="G637" s="944"/>
      <c r="H637" s="944"/>
      <c r="I637" s="946" t="s">
        <v>2621</v>
      </c>
      <c r="J637" s="978" t="s">
        <v>719</v>
      </c>
      <c r="K637" s="954" t="s">
        <v>158</v>
      </c>
      <c r="L637" s="949">
        <v>120.0</v>
      </c>
      <c r="M637" s="949">
        <v>120.0</v>
      </c>
      <c r="N637" s="949">
        <v>120.0</v>
      </c>
      <c r="O637" s="949">
        <v>120.0</v>
      </c>
      <c r="P637" s="949">
        <v>120.0</v>
      </c>
      <c r="Q637" s="949">
        <v>120.0</v>
      </c>
      <c r="R637" s="949">
        <v>276.0</v>
      </c>
      <c r="S637" s="949">
        <v>339.0</v>
      </c>
      <c r="T637" s="949">
        <v>372.0</v>
      </c>
      <c r="U637" s="949"/>
      <c r="V637" s="949"/>
      <c r="W637" s="949"/>
      <c r="X637" s="949"/>
      <c r="Y637" s="949"/>
      <c r="Z637" s="949"/>
      <c r="AA637" s="949"/>
      <c r="AB637" s="949"/>
      <c r="AC637" s="949"/>
      <c r="AD637" s="949"/>
      <c r="AE637" s="949"/>
      <c r="AF637" s="949"/>
      <c r="AG637" s="949"/>
      <c r="AH637" s="949"/>
      <c r="AI637" s="949"/>
      <c r="AJ637" s="949"/>
      <c r="AK637" s="949"/>
      <c r="AL637" s="949"/>
      <c r="AM637" s="953" t="s">
        <v>2589</v>
      </c>
      <c r="AN637" s="954"/>
      <c r="AO637" s="955"/>
      <c r="AP637" s="931"/>
      <c r="AQ637" s="956"/>
      <c r="AR637" s="957"/>
      <c r="AS637" s="931"/>
    </row>
    <row r="638" ht="15.75" customHeight="1">
      <c r="A638" s="931"/>
      <c r="B638" s="941" t="s">
        <v>2587</v>
      </c>
      <c r="C638" s="942" t="s">
        <v>2622</v>
      </c>
      <c r="D638" s="942" t="s">
        <v>2622</v>
      </c>
      <c r="E638" s="943" t="s">
        <v>2622</v>
      </c>
      <c r="F638" s="935"/>
      <c r="G638" s="944"/>
      <c r="H638" s="944"/>
      <c r="I638" s="946" t="s">
        <v>2623</v>
      </c>
      <c r="J638" s="962" t="s">
        <v>706</v>
      </c>
      <c r="K638" s="954" t="s">
        <v>158</v>
      </c>
      <c r="L638" s="949">
        <v>120.0</v>
      </c>
      <c r="M638" s="949">
        <v>120.0</v>
      </c>
      <c r="N638" s="949">
        <v>120.0</v>
      </c>
      <c r="O638" s="949">
        <v>120.0</v>
      </c>
      <c r="P638" s="949">
        <v>120.0</v>
      </c>
      <c r="Q638" s="949">
        <v>120.0</v>
      </c>
      <c r="R638" s="949">
        <v>276.0</v>
      </c>
      <c r="S638" s="949">
        <v>339.0</v>
      </c>
      <c r="T638" s="949">
        <v>372.0</v>
      </c>
      <c r="U638" s="949"/>
      <c r="V638" s="949"/>
      <c r="W638" s="949"/>
      <c r="X638" s="949"/>
      <c r="Y638" s="949"/>
      <c r="Z638" s="949"/>
      <c r="AA638" s="949"/>
      <c r="AB638" s="949"/>
      <c r="AC638" s="949"/>
      <c r="AD638" s="949"/>
      <c r="AE638" s="949"/>
      <c r="AF638" s="949"/>
      <c r="AG638" s="949"/>
      <c r="AH638" s="949"/>
      <c r="AI638" s="949"/>
      <c r="AJ638" s="949"/>
      <c r="AK638" s="949"/>
      <c r="AL638" s="949"/>
      <c r="AM638" s="953" t="s">
        <v>2589</v>
      </c>
      <c r="AN638" s="954"/>
      <c r="AO638" s="955"/>
      <c r="AP638" s="931"/>
      <c r="AQ638" s="956"/>
      <c r="AR638" s="957"/>
      <c r="AS638" s="931"/>
    </row>
    <row r="639" ht="15.75" customHeight="1">
      <c r="A639" s="931"/>
      <c r="B639" s="941" t="s">
        <v>2624</v>
      </c>
      <c r="C639" s="942" t="s">
        <v>2625</v>
      </c>
      <c r="D639" s="942" t="s">
        <v>2625</v>
      </c>
      <c r="E639" s="943" t="s">
        <v>2625</v>
      </c>
      <c r="F639" s="935"/>
      <c r="G639" s="944"/>
      <c r="H639" s="944"/>
      <c r="I639" s="946" t="s">
        <v>2626</v>
      </c>
      <c r="J639" s="975" t="s">
        <v>712</v>
      </c>
      <c r="K639" s="958" t="s">
        <v>704</v>
      </c>
      <c r="L639" s="949">
        <v>100.0</v>
      </c>
      <c r="M639" s="949">
        <v>100.0</v>
      </c>
      <c r="N639" s="949">
        <v>100.0</v>
      </c>
      <c r="O639" s="949">
        <v>100.0</v>
      </c>
      <c r="P639" s="949">
        <v>100.0</v>
      </c>
      <c r="Q639" s="949">
        <v>100.0</v>
      </c>
      <c r="R639" s="949">
        <v>236.0</v>
      </c>
      <c r="S639" s="949">
        <v>299.0</v>
      </c>
      <c r="T639" s="949">
        <v>328.0</v>
      </c>
      <c r="U639" s="949"/>
      <c r="V639" s="949"/>
      <c r="W639" s="949"/>
      <c r="X639" s="949"/>
      <c r="Y639" s="949"/>
      <c r="Z639" s="949"/>
      <c r="AA639" s="949"/>
      <c r="AB639" s="949"/>
      <c r="AC639" s="949"/>
      <c r="AD639" s="949"/>
      <c r="AE639" s="949"/>
      <c r="AF639" s="949"/>
      <c r="AG639" s="949"/>
      <c r="AH639" s="949"/>
      <c r="AI639" s="949"/>
      <c r="AJ639" s="949"/>
      <c r="AK639" s="949"/>
      <c r="AL639" s="949"/>
      <c r="AM639" s="953" t="s">
        <v>2627</v>
      </c>
      <c r="AN639" s="954"/>
      <c r="AO639" s="955"/>
      <c r="AP639" s="931"/>
      <c r="AQ639" s="956"/>
      <c r="AR639" s="957"/>
      <c r="AS639" s="931"/>
    </row>
    <row r="640" ht="15.75" customHeight="1">
      <c r="A640" s="931"/>
      <c r="B640" s="941" t="s">
        <v>2628</v>
      </c>
      <c r="C640" s="942" t="s">
        <v>2629</v>
      </c>
      <c r="D640" s="942" t="s">
        <v>2629</v>
      </c>
      <c r="E640" s="943" t="s">
        <v>2629</v>
      </c>
      <c r="F640" s="935"/>
      <c r="G640" s="944"/>
      <c r="H640" s="944"/>
      <c r="I640" s="946" t="s">
        <v>2630</v>
      </c>
      <c r="J640" s="947" t="s">
        <v>708</v>
      </c>
      <c r="K640" s="954" t="s">
        <v>158</v>
      </c>
      <c r="L640" s="949">
        <v>45.0</v>
      </c>
      <c r="M640" s="949">
        <v>45.0</v>
      </c>
      <c r="N640" s="949">
        <v>55.0</v>
      </c>
      <c r="O640" s="949">
        <v>45.0</v>
      </c>
      <c r="P640" s="949">
        <v>55.0</v>
      </c>
      <c r="Q640" s="949">
        <v>63.0</v>
      </c>
      <c r="R640" s="949">
        <v>162.0</v>
      </c>
      <c r="S640" s="949">
        <v>225.0</v>
      </c>
      <c r="T640" s="949">
        <v>247.0</v>
      </c>
      <c r="U640" s="949"/>
      <c r="V640" s="949"/>
      <c r="W640" s="949"/>
      <c r="X640" s="949"/>
      <c r="Y640" s="949"/>
      <c r="Z640" s="949"/>
      <c r="AA640" s="949"/>
      <c r="AB640" s="949"/>
      <c r="AC640" s="949"/>
      <c r="AD640" s="949"/>
      <c r="AE640" s="949"/>
      <c r="AF640" s="949"/>
      <c r="AG640" s="949"/>
      <c r="AH640" s="949"/>
      <c r="AI640" s="949"/>
      <c r="AJ640" s="949"/>
      <c r="AK640" s="949"/>
      <c r="AL640" s="949"/>
      <c r="AM640" s="953" t="s">
        <v>735</v>
      </c>
      <c r="AN640" s="954"/>
      <c r="AO640" s="955" t="s">
        <v>1693</v>
      </c>
      <c r="AP640" s="931"/>
      <c r="AQ640" s="956"/>
      <c r="AR640" s="957"/>
      <c r="AS640" s="931"/>
    </row>
    <row r="641" ht="15.75" customHeight="1">
      <c r="A641" s="931"/>
      <c r="B641" s="941" t="s">
        <v>2631</v>
      </c>
      <c r="C641" s="942" t="s">
        <v>2632</v>
      </c>
      <c r="D641" s="942" t="s">
        <v>2632</v>
      </c>
      <c r="E641" s="943" t="s">
        <v>2632</v>
      </c>
      <c r="F641" s="935"/>
      <c r="G641" s="944"/>
      <c r="H641" s="944"/>
      <c r="I641" s="946" t="s">
        <v>2633</v>
      </c>
      <c r="J641" s="947" t="s">
        <v>708</v>
      </c>
      <c r="K641" s="954" t="s">
        <v>158</v>
      </c>
      <c r="L641" s="949">
        <v>60.0</v>
      </c>
      <c r="M641" s="949">
        <v>60.0</v>
      </c>
      <c r="N641" s="949">
        <v>75.0</v>
      </c>
      <c r="O641" s="949">
        <v>60.0</v>
      </c>
      <c r="P641" s="949">
        <v>75.0</v>
      </c>
      <c r="Q641" s="949">
        <v>83.0</v>
      </c>
      <c r="R641" s="949">
        <v>202.0</v>
      </c>
      <c r="S641" s="949">
        <v>265.0</v>
      </c>
      <c r="T641" s="949">
        <v>291.0</v>
      </c>
      <c r="U641" s="949"/>
      <c r="V641" s="949"/>
      <c r="W641" s="949"/>
      <c r="X641" s="949"/>
      <c r="Y641" s="949"/>
      <c r="Z641" s="949"/>
      <c r="AA641" s="949"/>
      <c r="AB641" s="949"/>
      <c r="AC641" s="949"/>
      <c r="AD641" s="949"/>
      <c r="AE641" s="949"/>
      <c r="AF641" s="949"/>
      <c r="AG641" s="949"/>
      <c r="AH641" s="949"/>
      <c r="AI641" s="949"/>
      <c r="AJ641" s="949"/>
      <c r="AK641" s="949"/>
      <c r="AL641" s="949"/>
      <c r="AM641" s="953" t="s">
        <v>735</v>
      </c>
      <c r="AN641" s="954"/>
      <c r="AO641" s="955" t="s">
        <v>1693</v>
      </c>
      <c r="AP641" s="931"/>
      <c r="AQ641" s="956"/>
      <c r="AR641" s="957"/>
      <c r="AS641" s="931"/>
    </row>
    <row r="642" ht="15.75" customHeight="1">
      <c r="A642" s="931"/>
      <c r="B642" s="941" t="s">
        <v>2634</v>
      </c>
      <c r="C642" s="942" t="s">
        <v>2635</v>
      </c>
      <c r="D642" s="942" t="s">
        <v>2635</v>
      </c>
      <c r="E642" s="943" t="s">
        <v>2635</v>
      </c>
      <c r="F642" s="935"/>
      <c r="G642" s="944"/>
      <c r="H642" s="944"/>
      <c r="I642" s="946" t="s">
        <v>2636</v>
      </c>
      <c r="J642" s="947" t="s">
        <v>708</v>
      </c>
      <c r="K642" s="954" t="s">
        <v>158</v>
      </c>
      <c r="L642" s="949">
        <v>75.0</v>
      </c>
      <c r="M642" s="949">
        <v>75.0</v>
      </c>
      <c r="N642" s="949">
        <v>95.0</v>
      </c>
      <c r="O642" s="949">
        <v>75.0</v>
      </c>
      <c r="P642" s="949">
        <v>95.0</v>
      </c>
      <c r="Q642" s="949">
        <v>113.0</v>
      </c>
      <c r="R642" s="949">
        <v>262.0</v>
      </c>
      <c r="S642" s="949">
        <v>325.0</v>
      </c>
      <c r="T642" s="949">
        <v>357.0</v>
      </c>
      <c r="U642" s="949"/>
      <c r="V642" s="949"/>
      <c r="W642" s="949"/>
      <c r="X642" s="949"/>
      <c r="Y642" s="949"/>
      <c r="Z642" s="949"/>
      <c r="AA642" s="949"/>
      <c r="AB642" s="949"/>
      <c r="AC642" s="949"/>
      <c r="AD642" s="949"/>
      <c r="AE642" s="949"/>
      <c r="AF642" s="949"/>
      <c r="AG642" s="949"/>
      <c r="AH642" s="949"/>
      <c r="AI642" s="949"/>
      <c r="AJ642" s="949"/>
      <c r="AK642" s="949"/>
      <c r="AL642" s="949"/>
      <c r="AM642" s="953" t="s">
        <v>735</v>
      </c>
      <c r="AN642" s="954"/>
      <c r="AO642" s="955" t="s">
        <v>1693</v>
      </c>
      <c r="AP642" s="931"/>
      <c r="AQ642" s="956"/>
      <c r="AR642" s="957"/>
      <c r="AS642" s="931"/>
    </row>
    <row r="643" ht="15.75" customHeight="1">
      <c r="A643" s="931"/>
      <c r="B643" s="941" t="s">
        <v>2637</v>
      </c>
      <c r="C643" s="942" t="s">
        <v>2638</v>
      </c>
      <c r="D643" s="942" t="s">
        <v>2638</v>
      </c>
      <c r="E643" s="943" t="s">
        <v>2638</v>
      </c>
      <c r="F643" s="935"/>
      <c r="G643" s="944"/>
      <c r="H643" s="944"/>
      <c r="I643" s="946" t="s">
        <v>2639</v>
      </c>
      <c r="J643" s="958" t="s">
        <v>704</v>
      </c>
      <c r="K643" s="954" t="s">
        <v>158</v>
      </c>
      <c r="L643" s="949">
        <v>65.0</v>
      </c>
      <c r="M643" s="949">
        <v>63.0</v>
      </c>
      <c r="N643" s="949">
        <v>45.0</v>
      </c>
      <c r="O643" s="949">
        <v>45.0</v>
      </c>
      <c r="P643" s="949">
        <v>45.0</v>
      </c>
      <c r="Q643" s="949">
        <v>45.0</v>
      </c>
      <c r="R643" s="949">
        <v>126.0</v>
      </c>
      <c r="S643" s="949">
        <v>189.0</v>
      </c>
      <c r="T643" s="949">
        <v>207.0</v>
      </c>
      <c r="U643" s="949"/>
      <c r="V643" s="949"/>
      <c r="W643" s="949"/>
      <c r="X643" s="949"/>
      <c r="Y643" s="949"/>
      <c r="Z643" s="949"/>
      <c r="AA643" s="949"/>
      <c r="AB643" s="949"/>
      <c r="AC643" s="949"/>
      <c r="AD643" s="949"/>
      <c r="AE643" s="949"/>
      <c r="AF643" s="949"/>
      <c r="AG643" s="949"/>
      <c r="AH643" s="949"/>
      <c r="AI643" s="949"/>
      <c r="AJ643" s="949"/>
      <c r="AK643" s="949"/>
      <c r="AL643" s="949"/>
      <c r="AM643" s="953" t="s">
        <v>750</v>
      </c>
      <c r="AN643" s="954"/>
      <c r="AO643" s="955" t="s">
        <v>746</v>
      </c>
      <c r="AP643" s="931"/>
      <c r="AQ643" s="956"/>
      <c r="AR643" s="957"/>
      <c r="AS643" s="931"/>
    </row>
    <row r="644" ht="15.75" customHeight="1">
      <c r="A644" s="931"/>
      <c r="B644" s="941" t="s">
        <v>2640</v>
      </c>
      <c r="C644" s="942" t="s">
        <v>2641</v>
      </c>
      <c r="D644" s="942" t="s">
        <v>2641</v>
      </c>
      <c r="E644" s="943" t="s">
        <v>2641</v>
      </c>
      <c r="F644" s="935"/>
      <c r="G644" s="944"/>
      <c r="H644" s="944"/>
      <c r="I644" s="946" t="s">
        <v>2642</v>
      </c>
      <c r="J644" s="958" t="s">
        <v>704</v>
      </c>
      <c r="K644" s="988" t="s">
        <v>705</v>
      </c>
      <c r="L644" s="949">
        <v>90.0</v>
      </c>
      <c r="M644" s="949">
        <v>93.0</v>
      </c>
      <c r="N644" s="949">
        <v>55.0</v>
      </c>
      <c r="O644" s="949">
        <v>70.0</v>
      </c>
      <c r="P644" s="949">
        <v>55.0</v>
      </c>
      <c r="Q644" s="949">
        <v>55.0</v>
      </c>
      <c r="R644" s="949">
        <v>146.0</v>
      </c>
      <c r="S644" s="949">
        <v>209.0</v>
      </c>
      <c r="T644" s="949">
        <v>229.0</v>
      </c>
      <c r="U644" s="949"/>
      <c r="V644" s="949"/>
      <c r="W644" s="949"/>
      <c r="X644" s="949"/>
      <c r="Y644" s="949"/>
      <c r="Z644" s="949"/>
      <c r="AA644" s="949"/>
      <c r="AB644" s="949"/>
      <c r="AC644" s="949"/>
      <c r="AD644" s="949"/>
      <c r="AE644" s="949"/>
      <c r="AF644" s="949"/>
      <c r="AG644" s="949"/>
      <c r="AH644" s="949"/>
      <c r="AI644" s="949"/>
      <c r="AJ644" s="949"/>
      <c r="AK644" s="949"/>
      <c r="AL644" s="949"/>
      <c r="AM644" s="953" t="s">
        <v>750</v>
      </c>
      <c r="AN644" s="954"/>
      <c r="AO644" s="955" t="s">
        <v>746</v>
      </c>
      <c r="AP644" s="931"/>
      <c r="AQ644" s="956"/>
      <c r="AR644" s="957"/>
      <c r="AS644" s="931"/>
    </row>
    <row r="645" ht="15.75" customHeight="1">
      <c r="A645" s="963"/>
      <c r="B645" s="941" t="s">
        <v>2643</v>
      </c>
      <c r="C645" s="971" t="s">
        <v>2644</v>
      </c>
      <c r="D645" s="971" t="s">
        <v>2644</v>
      </c>
      <c r="E645" s="966" t="s">
        <v>2644</v>
      </c>
      <c r="F645" s="935"/>
      <c r="G645" s="944"/>
      <c r="H645" s="944"/>
      <c r="I645" s="959" t="s">
        <v>2645</v>
      </c>
      <c r="J645" s="981" t="s">
        <v>704</v>
      </c>
      <c r="K645" s="987" t="s">
        <v>705</v>
      </c>
      <c r="L645" s="974">
        <v>110.0</v>
      </c>
      <c r="M645" s="974">
        <v>123.0</v>
      </c>
      <c r="N645" s="974">
        <v>65.0</v>
      </c>
      <c r="O645" s="974">
        <v>100.0</v>
      </c>
      <c r="P645" s="974">
        <v>65.0</v>
      </c>
      <c r="Q645" s="974">
        <v>65.0</v>
      </c>
      <c r="R645" s="949">
        <v>166.0</v>
      </c>
      <c r="S645" s="949">
        <v>229.0</v>
      </c>
      <c r="T645" s="949">
        <v>251.0</v>
      </c>
      <c r="U645" s="949"/>
      <c r="V645" s="949"/>
      <c r="W645" s="949"/>
      <c r="X645" s="949"/>
      <c r="Y645" s="949"/>
      <c r="Z645" s="949"/>
      <c r="AA645" s="949"/>
      <c r="AB645" s="949"/>
      <c r="AC645" s="949"/>
      <c r="AD645" s="949"/>
      <c r="AE645" s="949"/>
      <c r="AF645" s="949"/>
      <c r="AG645" s="949"/>
      <c r="AH645" s="949"/>
      <c r="AI645" s="949"/>
      <c r="AJ645" s="949"/>
      <c r="AK645" s="949"/>
      <c r="AL645" s="949"/>
      <c r="AM645" s="964" t="s">
        <v>750</v>
      </c>
      <c r="AN645" s="973"/>
      <c r="AO645" s="965" t="s">
        <v>1305</v>
      </c>
      <c r="AP645" s="931"/>
      <c r="AQ645" s="956"/>
      <c r="AR645" s="957"/>
      <c r="AS645" s="931"/>
    </row>
    <row r="646" ht="15.75" customHeight="1">
      <c r="A646" s="931"/>
      <c r="B646" s="941" t="s">
        <v>2646</v>
      </c>
      <c r="C646" s="942" t="s">
        <v>2647</v>
      </c>
      <c r="D646" s="942" t="s">
        <v>2647</v>
      </c>
      <c r="E646" s="943" t="s">
        <v>2647</v>
      </c>
      <c r="F646" s="935"/>
      <c r="G646" s="944"/>
      <c r="H646" s="944"/>
      <c r="I646" s="946" t="s">
        <v>2648</v>
      </c>
      <c r="J646" s="962" t="s">
        <v>706</v>
      </c>
      <c r="K646" s="954" t="s">
        <v>158</v>
      </c>
      <c r="L646" s="949">
        <v>55.0</v>
      </c>
      <c r="M646" s="949">
        <v>55.0</v>
      </c>
      <c r="N646" s="949">
        <v>45.0</v>
      </c>
      <c r="O646" s="949">
        <v>63.0</v>
      </c>
      <c r="P646" s="949">
        <v>45.0</v>
      </c>
      <c r="Q646" s="949">
        <v>45.0</v>
      </c>
      <c r="R646" s="949">
        <v>126.0</v>
      </c>
      <c r="S646" s="949">
        <v>189.0</v>
      </c>
      <c r="T646" s="949">
        <v>207.0</v>
      </c>
      <c r="U646" s="949"/>
      <c r="V646" s="949"/>
      <c r="W646" s="949"/>
      <c r="X646" s="949"/>
      <c r="Y646" s="949"/>
      <c r="Z646" s="949"/>
      <c r="AA646" s="949"/>
      <c r="AB646" s="949"/>
      <c r="AC646" s="949"/>
      <c r="AD646" s="949"/>
      <c r="AE646" s="949"/>
      <c r="AF646" s="949"/>
      <c r="AG646" s="949"/>
      <c r="AH646" s="949"/>
      <c r="AI646" s="949"/>
      <c r="AJ646" s="949"/>
      <c r="AK646" s="949"/>
      <c r="AL646" s="949"/>
      <c r="AM646" s="953" t="s">
        <v>771</v>
      </c>
      <c r="AN646" s="954"/>
      <c r="AO646" s="955" t="s">
        <v>1192</v>
      </c>
      <c r="AP646" s="931"/>
      <c r="AQ646" s="956"/>
      <c r="AR646" s="957"/>
      <c r="AS646" s="931"/>
    </row>
    <row r="647" ht="15.75" customHeight="1">
      <c r="A647" s="963"/>
      <c r="B647" s="941" t="s">
        <v>2649</v>
      </c>
      <c r="C647" s="971" t="s">
        <v>2650</v>
      </c>
      <c r="D647" s="971" t="s">
        <v>2650</v>
      </c>
      <c r="E647" s="966" t="s">
        <v>2650</v>
      </c>
      <c r="F647" s="935"/>
      <c r="G647" s="944"/>
      <c r="H647" s="944"/>
      <c r="I647" s="959" t="s">
        <v>2651</v>
      </c>
      <c r="J647" s="986" t="s">
        <v>706</v>
      </c>
      <c r="K647" s="973" t="s">
        <v>158</v>
      </c>
      <c r="L647" s="974">
        <v>75.0</v>
      </c>
      <c r="M647" s="974">
        <v>75.0</v>
      </c>
      <c r="N647" s="974">
        <v>60.0</v>
      </c>
      <c r="O647" s="974">
        <v>83.0</v>
      </c>
      <c r="P647" s="974">
        <v>60.0</v>
      </c>
      <c r="Q647" s="974">
        <v>60.0</v>
      </c>
      <c r="R647" s="949">
        <v>156.0</v>
      </c>
      <c r="S647" s="949">
        <v>219.0</v>
      </c>
      <c r="T647" s="949">
        <v>240.0</v>
      </c>
      <c r="U647" s="949"/>
      <c r="V647" s="949"/>
      <c r="W647" s="949"/>
      <c r="X647" s="949"/>
      <c r="Y647" s="949"/>
      <c r="Z647" s="949"/>
      <c r="AA647" s="949"/>
      <c r="AB647" s="949"/>
      <c r="AC647" s="949"/>
      <c r="AD647" s="949"/>
      <c r="AE647" s="949"/>
      <c r="AF647" s="949"/>
      <c r="AG647" s="949"/>
      <c r="AH647" s="949"/>
      <c r="AI647" s="949"/>
      <c r="AJ647" s="949"/>
      <c r="AK647" s="949"/>
      <c r="AL647" s="949"/>
      <c r="AM647" s="964" t="s">
        <v>771</v>
      </c>
      <c r="AN647" s="973"/>
      <c r="AO647" s="965" t="s">
        <v>1192</v>
      </c>
      <c r="AP647" s="931"/>
      <c r="AQ647" s="956"/>
      <c r="AR647" s="957"/>
      <c r="AS647" s="931"/>
    </row>
    <row r="648" ht="15.75" customHeight="1">
      <c r="A648" s="931"/>
      <c r="B648" s="941" t="s">
        <v>2652</v>
      </c>
      <c r="C648" s="942" t="s">
        <v>2653</v>
      </c>
      <c r="D648" s="942" t="s">
        <v>2653</v>
      </c>
      <c r="E648" s="943" t="s">
        <v>2653</v>
      </c>
      <c r="F648" s="935"/>
      <c r="G648" s="944"/>
      <c r="H648" s="944"/>
      <c r="I648" s="946" t="s">
        <v>2654</v>
      </c>
      <c r="J648" s="962" t="s">
        <v>706</v>
      </c>
      <c r="K648" s="954" t="s">
        <v>158</v>
      </c>
      <c r="L648" s="949">
        <v>95.0</v>
      </c>
      <c r="M648" s="949">
        <v>100.0</v>
      </c>
      <c r="N648" s="949">
        <v>85.0</v>
      </c>
      <c r="O648" s="949">
        <v>108.0</v>
      </c>
      <c r="P648" s="949">
        <v>70.0</v>
      </c>
      <c r="Q648" s="949">
        <v>70.0</v>
      </c>
      <c r="R648" s="949">
        <v>176.0</v>
      </c>
      <c r="S648" s="949">
        <v>239.0</v>
      </c>
      <c r="T648" s="949">
        <v>262.0</v>
      </c>
      <c r="U648" s="949"/>
      <c r="V648" s="949"/>
      <c r="W648" s="949"/>
      <c r="X648" s="949"/>
      <c r="Y648" s="949"/>
      <c r="Z648" s="949"/>
      <c r="AA648" s="949"/>
      <c r="AB648" s="949"/>
      <c r="AC648" s="949"/>
      <c r="AD648" s="949"/>
      <c r="AE648" s="949"/>
      <c r="AF648" s="949"/>
      <c r="AG648" s="949"/>
      <c r="AH648" s="949"/>
      <c r="AI648" s="949"/>
      <c r="AJ648" s="949"/>
      <c r="AK648" s="949"/>
      <c r="AL648" s="949"/>
      <c r="AM648" s="953" t="s">
        <v>771</v>
      </c>
      <c r="AN648" s="954"/>
      <c r="AO648" s="955" t="s">
        <v>1192</v>
      </c>
      <c r="AP648" s="931"/>
      <c r="AQ648" s="956"/>
      <c r="AR648" s="957"/>
      <c r="AS648" s="931"/>
    </row>
    <row r="649" ht="15.75" customHeight="1">
      <c r="A649" s="931"/>
      <c r="B649" s="941" t="s">
        <v>2655</v>
      </c>
      <c r="C649" s="942" t="str">
        <f t="shared" ref="C649:E649" si="10">C648&amp;"-hisui"</f>
        <v>samurott-hisui</v>
      </c>
      <c r="D649" s="942" t="str">
        <f t="shared" si="10"/>
        <v>samurott-hisui</v>
      </c>
      <c r="E649" s="943" t="str">
        <f t="shared" si="10"/>
        <v>samurott-hisui</v>
      </c>
      <c r="F649" s="935"/>
      <c r="G649" s="944"/>
      <c r="H649" s="944"/>
      <c r="I649" s="946" t="s">
        <v>2656</v>
      </c>
      <c r="J649" s="962" t="s">
        <v>706</v>
      </c>
      <c r="K649" s="969" t="s">
        <v>718</v>
      </c>
      <c r="L649" s="949">
        <v>90.0</v>
      </c>
      <c r="M649" s="949">
        <v>108.0</v>
      </c>
      <c r="N649" s="949">
        <v>80.0</v>
      </c>
      <c r="O649" s="949">
        <v>100.0</v>
      </c>
      <c r="P649" s="949">
        <v>65.0</v>
      </c>
      <c r="Q649" s="949">
        <v>85.0</v>
      </c>
      <c r="R649" s="949">
        <v>206.0</v>
      </c>
      <c r="S649" s="949">
        <v>269.0</v>
      </c>
      <c r="T649" s="949">
        <v>295.0</v>
      </c>
      <c r="U649" s="949"/>
      <c r="V649" s="949"/>
      <c r="W649" s="949"/>
      <c r="X649" s="949"/>
      <c r="Y649" s="949"/>
      <c r="Z649" s="949"/>
      <c r="AA649" s="949"/>
      <c r="AB649" s="949"/>
      <c r="AC649" s="949"/>
      <c r="AD649" s="949"/>
      <c r="AE649" s="949"/>
      <c r="AF649" s="949"/>
      <c r="AG649" s="949"/>
      <c r="AH649" s="949"/>
      <c r="AI649" s="949"/>
      <c r="AJ649" s="949"/>
      <c r="AK649" s="949"/>
      <c r="AL649" s="949"/>
      <c r="AM649" s="953" t="s">
        <v>771</v>
      </c>
      <c r="AN649" s="954"/>
      <c r="AO649" s="955" t="s">
        <v>2657</v>
      </c>
      <c r="AP649" s="931"/>
      <c r="AQ649" s="956"/>
      <c r="AR649" s="957"/>
      <c r="AS649" s="931"/>
    </row>
    <row r="650" ht="15.75" customHeight="1">
      <c r="A650" s="931"/>
      <c r="B650" s="941" t="s">
        <v>2658</v>
      </c>
      <c r="C650" s="942" t="s">
        <v>2659</v>
      </c>
      <c r="D650" s="942" t="s">
        <v>2659</v>
      </c>
      <c r="E650" s="943" t="s">
        <v>2659</v>
      </c>
      <c r="F650" s="935"/>
      <c r="G650" s="944"/>
      <c r="H650" s="944"/>
      <c r="I650" s="946" t="s">
        <v>2660</v>
      </c>
      <c r="J650" s="968" t="s">
        <v>703</v>
      </c>
      <c r="K650" s="954" t="s">
        <v>158</v>
      </c>
      <c r="L650" s="949">
        <v>45.0</v>
      </c>
      <c r="M650" s="949">
        <v>55.0</v>
      </c>
      <c r="N650" s="949">
        <v>39.0</v>
      </c>
      <c r="O650" s="949">
        <v>35.0</v>
      </c>
      <c r="P650" s="949">
        <v>39.0</v>
      </c>
      <c r="Q650" s="949">
        <v>42.0</v>
      </c>
      <c r="R650" s="949">
        <v>120.0</v>
      </c>
      <c r="S650" s="949">
        <v>183.0</v>
      </c>
      <c r="T650" s="949">
        <v>201.0</v>
      </c>
      <c r="U650" s="949"/>
      <c r="V650" s="949"/>
      <c r="W650" s="949"/>
      <c r="X650" s="949"/>
      <c r="Y650" s="949"/>
      <c r="Z650" s="949"/>
      <c r="AA650" s="949"/>
      <c r="AB650" s="949"/>
      <c r="AC650" s="949"/>
      <c r="AD650" s="949"/>
      <c r="AE650" s="949"/>
      <c r="AF650" s="949"/>
      <c r="AG650" s="949"/>
      <c r="AH650" s="949"/>
      <c r="AI650" s="949"/>
      <c r="AJ650" s="949"/>
      <c r="AK650" s="949"/>
      <c r="AL650" s="949"/>
      <c r="AM650" s="953" t="s">
        <v>787</v>
      </c>
      <c r="AN650" s="954" t="s">
        <v>815</v>
      </c>
      <c r="AO650" s="955" t="s">
        <v>1195</v>
      </c>
      <c r="AP650" s="931"/>
      <c r="AQ650" s="956"/>
      <c r="AR650" s="957"/>
      <c r="AS650" s="931"/>
    </row>
    <row r="651" ht="15.75" customHeight="1">
      <c r="A651" s="931"/>
      <c r="B651" s="941" t="s">
        <v>2661</v>
      </c>
      <c r="C651" s="942" t="s">
        <v>2662</v>
      </c>
      <c r="D651" s="942" t="s">
        <v>2662</v>
      </c>
      <c r="E651" s="943" t="s">
        <v>2662</v>
      </c>
      <c r="F651" s="935"/>
      <c r="G651" s="944"/>
      <c r="H651" s="944"/>
      <c r="I651" s="959" t="s">
        <v>2663</v>
      </c>
      <c r="J651" s="968" t="s">
        <v>703</v>
      </c>
      <c r="K651" s="954" t="s">
        <v>158</v>
      </c>
      <c r="L651" s="949">
        <v>60.0</v>
      </c>
      <c r="M651" s="949">
        <v>85.0</v>
      </c>
      <c r="N651" s="949">
        <v>69.0</v>
      </c>
      <c r="O651" s="949">
        <v>60.0</v>
      </c>
      <c r="P651" s="949">
        <v>69.0</v>
      </c>
      <c r="Q651" s="949">
        <v>77.0</v>
      </c>
      <c r="R651" s="949">
        <v>190.0</v>
      </c>
      <c r="S651" s="949">
        <v>253.0</v>
      </c>
      <c r="T651" s="949">
        <v>278.0</v>
      </c>
      <c r="U651" s="949"/>
      <c r="V651" s="949"/>
      <c r="W651" s="949"/>
      <c r="X651" s="949"/>
      <c r="Y651" s="949"/>
      <c r="Z651" s="949"/>
      <c r="AA651" s="949"/>
      <c r="AB651" s="949"/>
      <c r="AC651" s="949"/>
      <c r="AD651" s="949"/>
      <c r="AE651" s="949"/>
      <c r="AF651" s="949"/>
      <c r="AG651" s="949"/>
      <c r="AH651" s="949"/>
      <c r="AI651" s="949"/>
      <c r="AJ651" s="949"/>
      <c r="AK651" s="949"/>
      <c r="AL651" s="949"/>
      <c r="AM651" s="953" t="s">
        <v>1362</v>
      </c>
      <c r="AN651" s="954" t="s">
        <v>815</v>
      </c>
      <c r="AO651" s="955" t="s">
        <v>1195</v>
      </c>
      <c r="AP651" s="931"/>
      <c r="AQ651" s="956"/>
      <c r="AR651" s="957"/>
      <c r="AS651" s="931"/>
    </row>
    <row r="652" ht="15.75" customHeight="1">
      <c r="A652" s="931"/>
      <c r="B652" s="941" t="s">
        <v>2664</v>
      </c>
      <c r="C652" s="942" t="s">
        <v>2665</v>
      </c>
      <c r="D652" s="942" t="s">
        <v>2665</v>
      </c>
      <c r="E652" s="943" t="s">
        <v>2665</v>
      </c>
      <c r="F652" s="935"/>
      <c r="G652" s="944"/>
      <c r="H652" s="944"/>
      <c r="I652" s="959" t="s">
        <v>2666</v>
      </c>
      <c r="J652" s="968" t="s">
        <v>703</v>
      </c>
      <c r="K652" s="954" t="s">
        <v>158</v>
      </c>
      <c r="L652" s="949">
        <v>45.0</v>
      </c>
      <c r="M652" s="949">
        <v>60.0</v>
      </c>
      <c r="N652" s="949">
        <v>45.0</v>
      </c>
      <c r="O652" s="949">
        <v>25.0</v>
      </c>
      <c r="P652" s="949">
        <v>45.0</v>
      </c>
      <c r="Q652" s="949">
        <v>55.0</v>
      </c>
      <c r="R652" s="949">
        <v>146.0</v>
      </c>
      <c r="S652" s="949">
        <v>209.0</v>
      </c>
      <c r="T652" s="949">
        <v>229.0</v>
      </c>
      <c r="U652" s="949"/>
      <c r="V652" s="949"/>
      <c r="W652" s="949"/>
      <c r="X652" s="949"/>
      <c r="Y652" s="949"/>
      <c r="Z652" s="949"/>
      <c r="AA652" s="949"/>
      <c r="AB652" s="949"/>
      <c r="AC652" s="949"/>
      <c r="AD652" s="949"/>
      <c r="AE652" s="949"/>
      <c r="AF652" s="949"/>
      <c r="AG652" s="949"/>
      <c r="AH652" s="949"/>
      <c r="AI652" s="949"/>
      <c r="AJ652" s="949"/>
      <c r="AK652" s="949"/>
      <c r="AL652" s="949"/>
      <c r="AM652" s="953" t="s">
        <v>1067</v>
      </c>
      <c r="AN652" s="954" t="s">
        <v>1040</v>
      </c>
      <c r="AO652" s="955" t="s">
        <v>787</v>
      </c>
      <c r="AP652" s="931"/>
      <c r="AQ652" s="956"/>
      <c r="AR652" s="957"/>
      <c r="AS652" s="931"/>
    </row>
    <row r="653" ht="15.75" customHeight="1">
      <c r="A653" s="931"/>
      <c r="B653" s="941" t="s">
        <v>2667</v>
      </c>
      <c r="C653" s="942" t="s">
        <v>2668</v>
      </c>
      <c r="D653" s="942" t="s">
        <v>2668</v>
      </c>
      <c r="E653" s="943" t="s">
        <v>2668</v>
      </c>
      <c r="F653" s="935"/>
      <c r="G653" s="944"/>
      <c r="H653" s="944"/>
      <c r="I653" s="959" t="s">
        <v>2669</v>
      </c>
      <c r="J653" s="968" t="s">
        <v>703</v>
      </c>
      <c r="K653" s="954" t="s">
        <v>158</v>
      </c>
      <c r="L653" s="949">
        <v>65.0</v>
      </c>
      <c r="M653" s="949">
        <v>80.0</v>
      </c>
      <c r="N653" s="949">
        <v>65.0</v>
      </c>
      <c r="O653" s="949">
        <v>35.0</v>
      </c>
      <c r="P653" s="949">
        <v>65.0</v>
      </c>
      <c r="Q653" s="949">
        <v>60.0</v>
      </c>
      <c r="R653" s="949">
        <v>156.0</v>
      </c>
      <c r="S653" s="949">
        <v>219.0</v>
      </c>
      <c r="T653" s="949">
        <v>240.0</v>
      </c>
      <c r="U653" s="949"/>
      <c r="V653" s="949"/>
      <c r="W653" s="949"/>
      <c r="X653" s="949"/>
      <c r="Y653" s="949"/>
      <c r="Z653" s="949"/>
      <c r="AA653" s="949"/>
      <c r="AB653" s="949"/>
      <c r="AC653" s="949"/>
      <c r="AD653" s="949"/>
      <c r="AE653" s="949"/>
      <c r="AF653" s="949"/>
      <c r="AG653" s="949"/>
      <c r="AH653" s="949"/>
      <c r="AI653" s="949"/>
      <c r="AJ653" s="949"/>
      <c r="AK653" s="949"/>
      <c r="AL653" s="949"/>
      <c r="AM653" s="953" t="s">
        <v>854</v>
      </c>
      <c r="AN653" s="954" t="s">
        <v>924</v>
      </c>
      <c r="AO653" s="955" t="s">
        <v>1205</v>
      </c>
      <c r="AP653" s="931"/>
      <c r="AQ653" s="956"/>
      <c r="AR653" s="957"/>
      <c r="AS653" s="931"/>
    </row>
    <row r="654" ht="15.75" customHeight="1">
      <c r="A654" s="931"/>
      <c r="B654" s="941" t="s">
        <v>2670</v>
      </c>
      <c r="C654" s="942" t="s">
        <v>2671</v>
      </c>
      <c r="D654" s="942" t="s">
        <v>2671</v>
      </c>
      <c r="E654" s="943" t="s">
        <v>2671</v>
      </c>
      <c r="F654" s="935"/>
      <c r="G654" s="944"/>
      <c r="H654" s="944"/>
      <c r="I654" s="959" t="s">
        <v>2672</v>
      </c>
      <c r="J654" s="968" t="s">
        <v>703</v>
      </c>
      <c r="K654" s="954" t="s">
        <v>158</v>
      </c>
      <c r="L654" s="949">
        <v>85.0</v>
      </c>
      <c r="M654" s="949">
        <v>110.0</v>
      </c>
      <c r="N654" s="949">
        <v>90.0</v>
      </c>
      <c r="O654" s="949">
        <v>45.0</v>
      </c>
      <c r="P654" s="949">
        <v>90.0</v>
      </c>
      <c r="Q654" s="949">
        <v>80.0</v>
      </c>
      <c r="R654" s="949">
        <v>196.0</v>
      </c>
      <c r="S654" s="949">
        <v>259.0</v>
      </c>
      <c r="T654" s="949">
        <v>284.0</v>
      </c>
      <c r="U654" s="949"/>
      <c r="V654" s="949"/>
      <c r="W654" s="949"/>
      <c r="X654" s="949"/>
      <c r="Y654" s="949"/>
      <c r="Z654" s="949"/>
      <c r="AA654" s="949"/>
      <c r="AB654" s="949"/>
      <c r="AC654" s="949"/>
      <c r="AD654" s="949"/>
      <c r="AE654" s="949"/>
      <c r="AF654" s="949"/>
      <c r="AG654" s="949"/>
      <c r="AH654" s="949"/>
      <c r="AI654" s="949"/>
      <c r="AJ654" s="949"/>
      <c r="AK654" s="949"/>
      <c r="AL654" s="949"/>
      <c r="AM654" s="953" t="s">
        <v>854</v>
      </c>
      <c r="AN654" s="954" t="s">
        <v>924</v>
      </c>
      <c r="AO654" s="955" t="s">
        <v>1205</v>
      </c>
      <c r="AP654" s="931"/>
      <c r="AQ654" s="956"/>
      <c r="AR654" s="957"/>
      <c r="AS654" s="931"/>
    </row>
    <row r="655" ht="15.75" customHeight="1">
      <c r="A655" s="931"/>
      <c r="B655" s="941" t="s">
        <v>2673</v>
      </c>
      <c r="C655" s="942" t="s">
        <v>2674</v>
      </c>
      <c r="D655" s="942" t="s">
        <v>2674</v>
      </c>
      <c r="E655" s="943" t="s">
        <v>2674</v>
      </c>
      <c r="F655" s="935"/>
      <c r="G655" s="944"/>
      <c r="H655" s="944"/>
      <c r="I655" s="959" t="s">
        <v>2675</v>
      </c>
      <c r="J655" s="969" t="s">
        <v>718</v>
      </c>
      <c r="K655" s="954" t="s">
        <v>158</v>
      </c>
      <c r="L655" s="949">
        <v>41.0</v>
      </c>
      <c r="M655" s="949">
        <v>50.0</v>
      </c>
      <c r="N655" s="949">
        <v>37.0</v>
      </c>
      <c r="O655" s="949">
        <v>50.0</v>
      </c>
      <c r="P655" s="949">
        <v>37.0</v>
      </c>
      <c r="Q655" s="949">
        <v>66.0</v>
      </c>
      <c r="R655" s="949">
        <v>168.0</v>
      </c>
      <c r="S655" s="949">
        <v>231.0</v>
      </c>
      <c r="T655" s="949">
        <v>254.0</v>
      </c>
      <c r="U655" s="949"/>
      <c r="V655" s="949"/>
      <c r="W655" s="949"/>
      <c r="X655" s="949"/>
      <c r="Y655" s="949"/>
      <c r="Z655" s="949"/>
      <c r="AA655" s="949"/>
      <c r="AB655" s="949"/>
      <c r="AC655" s="949"/>
      <c r="AD655" s="949"/>
      <c r="AE655" s="949"/>
      <c r="AF655" s="949"/>
      <c r="AG655" s="949"/>
      <c r="AH655" s="949"/>
      <c r="AI655" s="949"/>
      <c r="AJ655" s="949"/>
      <c r="AK655" s="949"/>
      <c r="AL655" s="949"/>
      <c r="AM655" s="953" t="s">
        <v>1053</v>
      </c>
      <c r="AN655" s="954" t="s">
        <v>1306</v>
      </c>
      <c r="AO655" s="955" t="s">
        <v>1641</v>
      </c>
      <c r="AP655" s="931"/>
      <c r="AQ655" s="956"/>
      <c r="AR655" s="957"/>
      <c r="AS655" s="931"/>
    </row>
    <row r="656" ht="15.75" customHeight="1">
      <c r="A656" s="931"/>
      <c r="B656" s="941" t="s">
        <v>2676</v>
      </c>
      <c r="C656" s="942" t="s">
        <v>2677</v>
      </c>
      <c r="D656" s="942" t="s">
        <v>2677</v>
      </c>
      <c r="E656" s="943" t="s">
        <v>2677</v>
      </c>
      <c r="F656" s="935"/>
      <c r="G656" s="944"/>
      <c r="H656" s="944"/>
      <c r="I656" s="959" t="s">
        <v>2678</v>
      </c>
      <c r="J656" s="969" t="s">
        <v>718</v>
      </c>
      <c r="K656" s="954" t="s">
        <v>158</v>
      </c>
      <c r="L656" s="949">
        <v>64.0</v>
      </c>
      <c r="M656" s="949">
        <v>88.0</v>
      </c>
      <c r="N656" s="949">
        <v>50.0</v>
      </c>
      <c r="O656" s="949">
        <v>88.0</v>
      </c>
      <c r="P656" s="949">
        <v>50.0</v>
      </c>
      <c r="Q656" s="949">
        <v>106.0</v>
      </c>
      <c r="R656" s="949">
        <v>248.0</v>
      </c>
      <c r="S656" s="949">
        <v>311.0</v>
      </c>
      <c r="T656" s="949">
        <v>342.0</v>
      </c>
      <c r="U656" s="949"/>
      <c r="V656" s="949"/>
      <c r="W656" s="949"/>
      <c r="X656" s="949"/>
      <c r="Y656" s="949"/>
      <c r="Z656" s="949"/>
      <c r="AA656" s="949"/>
      <c r="AB656" s="949"/>
      <c r="AC656" s="949"/>
      <c r="AD656" s="949"/>
      <c r="AE656" s="949"/>
      <c r="AF656" s="949"/>
      <c r="AG656" s="949"/>
      <c r="AH656" s="949"/>
      <c r="AI656" s="949"/>
      <c r="AJ656" s="949"/>
      <c r="AK656" s="949"/>
      <c r="AL656" s="949"/>
      <c r="AM656" s="953" t="s">
        <v>1053</v>
      </c>
      <c r="AN656" s="954" t="s">
        <v>1306</v>
      </c>
      <c r="AO656" s="955" t="s">
        <v>1641</v>
      </c>
      <c r="AP656" s="931"/>
      <c r="AQ656" s="956"/>
      <c r="AR656" s="957"/>
      <c r="AS656" s="931"/>
    </row>
    <row r="657" ht="15.75" customHeight="1">
      <c r="A657" s="931"/>
      <c r="B657" s="941" t="s">
        <v>2679</v>
      </c>
      <c r="C657" s="942" t="s">
        <v>2680</v>
      </c>
      <c r="D657" s="942" t="s">
        <v>2680</v>
      </c>
      <c r="E657" s="943" t="s">
        <v>2680</v>
      </c>
      <c r="F657" s="935"/>
      <c r="G657" s="944"/>
      <c r="H657" s="944"/>
      <c r="I657" s="959" t="s">
        <v>2681</v>
      </c>
      <c r="J657" s="947" t="s">
        <v>708</v>
      </c>
      <c r="K657" s="954" t="s">
        <v>158</v>
      </c>
      <c r="L657" s="949">
        <v>50.0</v>
      </c>
      <c r="M657" s="949">
        <v>53.0</v>
      </c>
      <c r="N657" s="949">
        <v>48.0</v>
      </c>
      <c r="O657" s="949">
        <v>53.0</v>
      </c>
      <c r="P657" s="949">
        <v>48.0</v>
      </c>
      <c r="Q657" s="949">
        <v>64.0</v>
      </c>
      <c r="R657" s="949">
        <v>164.0</v>
      </c>
      <c r="S657" s="949">
        <v>227.0</v>
      </c>
      <c r="T657" s="949">
        <v>249.0</v>
      </c>
      <c r="U657" s="949"/>
      <c r="V657" s="949"/>
      <c r="W657" s="949"/>
      <c r="X657" s="949"/>
      <c r="Y657" s="949"/>
      <c r="Z657" s="949"/>
      <c r="AA657" s="949"/>
      <c r="AB657" s="949"/>
      <c r="AC657" s="949"/>
      <c r="AD657" s="949"/>
      <c r="AE657" s="949"/>
      <c r="AF657" s="949"/>
      <c r="AG657" s="949"/>
      <c r="AH657" s="949"/>
      <c r="AI657" s="949"/>
      <c r="AJ657" s="949"/>
      <c r="AK657" s="949"/>
      <c r="AL657" s="949"/>
      <c r="AM657" s="953" t="s">
        <v>837</v>
      </c>
      <c r="AN657" s="954"/>
      <c r="AO657" s="955" t="s">
        <v>735</v>
      </c>
      <c r="AP657" s="931"/>
      <c r="AQ657" s="956"/>
      <c r="AR657" s="957"/>
      <c r="AS657" s="931"/>
    </row>
    <row r="658" ht="15.75" customHeight="1">
      <c r="A658" s="931"/>
      <c r="B658" s="941" t="s">
        <v>2682</v>
      </c>
      <c r="C658" s="942" t="s">
        <v>2683</v>
      </c>
      <c r="D658" s="942" t="s">
        <v>2683</v>
      </c>
      <c r="E658" s="943" t="s">
        <v>2683</v>
      </c>
      <c r="F658" s="935"/>
      <c r="G658" s="944"/>
      <c r="H658" s="944"/>
      <c r="I658" s="959" t="s">
        <v>2684</v>
      </c>
      <c r="J658" s="947" t="s">
        <v>708</v>
      </c>
      <c r="K658" s="954" t="s">
        <v>158</v>
      </c>
      <c r="L658" s="949">
        <v>75.0</v>
      </c>
      <c r="M658" s="949">
        <v>98.0</v>
      </c>
      <c r="N658" s="949">
        <v>63.0</v>
      </c>
      <c r="O658" s="949">
        <v>98.0</v>
      </c>
      <c r="P658" s="949">
        <v>63.0</v>
      </c>
      <c r="Q658" s="949">
        <v>101.0</v>
      </c>
      <c r="R658" s="949">
        <v>238.0</v>
      </c>
      <c r="S658" s="949">
        <v>301.0</v>
      </c>
      <c r="T658" s="949">
        <v>331.0</v>
      </c>
      <c r="U658" s="949"/>
      <c r="V658" s="949"/>
      <c r="W658" s="949"/>
      <c r="X658" s="949"/>
      <c r="Y658" s="949"/>
      <c r="Z658" s="949"/>
      <c r="AA658" s="949"/>
      <c r="AB658" s="949"/>
      <c r="AC658" s="949"/>
      <c r="AD658" s="949"/>
      <c r="AE658" s="949"/>
      <c r="AF658" s="949"/>
      <c r="AG658" s="949"/>
      <c r="AH658" s="949"/>
      <c r="AI658" s="949"/>
      <c r="AJ658" s="949"/>
      <c r="AK658" s="949"/>
      <c r="AL658" s="949"/>
      <c r="AM658" s="953" t="s">
        <v>837</v>
      </c>
      <c r="AN658" s="954"/>
      <c r="AO658" s="955" t="s">
        <v>735</v>
      </c>
      <c r="AP658" s="931"/>
      <c r="AQ658" s="956"/>
      <c r="AR658" s="957"/>
      <c r="AS658" s="931"/>
    </row>
    <row r="659" ht="15.75" customHeight="1">
      <c r="A659" s="931"/>
      <c r="B659" s="941" t="s">
        <v>2685</v>
      </c>
      <c r="C659" s="942" t="s">
        <v>2686</v>
      </c>
      <c r="D659" s="942" t="s">
        <v>2686</v>
      </c>
      <c r="E659" s="943" t="s">
        <v>2686</v>
      </c>
      <c r="F659" s="935"/>
      <c r="G659" s="944"/>
      <c r="H659" s="944"/>
      <c r="I659" s="959" t="s">
        <v>2687</v>
      </c>
      <c r="J659" s="958" t="s">
        <v>704</v>
      </c>
      <c r="K659" s="954" t="s">
        <v>158</v>
      </c>
      <c r="L659" s="949">
        <v>50.0</v>
      </c>
      <c r="M659" s="949">
        <v>53.0</v>
      </c>
      <c r="N659" s="949">
        <v>48.0</v>
      </c>
      <c r="O659" s="949">
        <v>53.0</v>
      </c>
      <c r="P659" s="949">
        <v>48.0</v>
      </c>
      <c r="Q659" s="949">
        <v>64.0</v>
      </c>
      <c r="R659" s="949">
        <v>164.0</v>
      </c>
      <c r="S659" s="949">
        <v>227.0</v>
      </c>
      <c r="T659" s="949">
        <v>249.0</v>
      </c>
      <c r="U659" s="949"/>
      <c r="V659" s="949"/>
      <c r="W659" s="949"/>
      <c r="X659" s="949"/>
      <c r="Y659" s="949"/>
      <c r="Z659" s="949"/>
      <c r="AA659" s="949"/>
      <c r="AB659" s="949"/>
      <c r="AC659" s="949"/>
      <c r="AD659" s="949"/>
      <c r="AE659" s="949"/>
      <c r="AF659" s="949"/>
      <c r="AG659" s="949"/>
      <c r="AH659" s="949"/>
      <c r="AI659" s="949"/>
      <c r="AJ659" s="949"/>
      <c r="AK659" s="949"/>
      <c r="AL659" s="949"/>
      <c r="AM659" s="953" t="s">
        <v>837</v>
      </c>
      <c r="AN659" s="954"/>
      <c r="AO659" s="955" t="s">
        <v>750</v>
      </c>
      <c r="AP659" s="931"/>
      <c r="AQ659" s="956"/>
      <c r="AR659" s="957"/>
      <c r="AS659" s="931"/>
    </row>
    <row r="660" ht="15.75" customHeight="1">
      <c r="A660" s="931"/>
      <c r="B660" s="941" t="s">
        <v>2688</v>
      </c>
      <c r="C660" s="942" t="s">
        <v>2689</v>
      </c>
      <c r="D660" s="942" t="s">
        <v>2689</v>
      </c>
      <c r="E660" s="943" t="s">
        <v>2689</v>
      </c>
      <c r="F660" s="935"/>
      <c r="G660" s="944"/>
      <c r="H660" s="944"/>
      <c r="I660" s="959" t="s">
        <v>2690</v>
      </c>
      <c r="J660" s="958" t="s">
        <v>704</v>
      </c>
      <c r="K660" s="954" t="s">
        <v>158</v>
      </c>
      <c r="L660" s="949">
        <v>75.0</v>
      </c>
      <c r="M660" s="949">
        <v>98.0</v>
      </c>
      <c r="N660" s="949">
        <v>63.0</v>
      </c>
      <c r="O660" s="949">
        <v>98.0</v>
      </c>
      <c r="P660" s="949">
        <v>63.0</v>
      </c>
      <c r="Q660" s="949">
        <v>101.0</v>
      </c>
      <c r="R660" s="949">
        <v>238.0</v>
      </c>
      <c r="S660" s="949">
        <v>301.0</v>
      </c>
      <c r="T660" s="949">
        <v>331.0</v>
      </c>
      <c r="U660" s="949"/>
      <c r="V660" s="949"/>
      <c r="W660" s="949"/>
      <c r="X660" s="949"/>
      <c r="Y660" s="949"/>
      <c r="Z660" s="949"/>
      <c r="AA660" s="949"/>
      <c r="AB660" s="949"/>
      <c r="AC660" s="949"/>
      <c r="AD660" s="949"/>
      <c r="AE660" s="949"/>
      <c r="AF660" s="949"/>
      <c r="AG660" s="949"/>
      <c r="AH660" s="949"/>
      <c r="AI660" s="949"/>
      <c r="AJ660" s="949"/>
      <c r="AK660" s="949"/>
      <c r="AL660" s="949"/>
      <c r="AM660" s="953" t="s">
        <v>837</v>
      </c>
      <c r="AN660" s="954"/>
      <c r="AO660" s="955" t="s">
        <v>750</v>
      </c>
      <c r="AP660" s="931"/>
      <c r="AQ660" s="956"/>
      <c r="AR660" s="957"/>
      <c r="AS660" s="931"/>
    </row>
    <row r="661" ht="15.75" customHeight="1">
      <c r="A661" s="931"/>
      <c r="B661" s="941" t="s">
        <v>2691</v>
      </c>
      <c r="C661" s="942" t="s">
        <v>2692</v>
      </c>
      <c r="D661" s="942" t="s">
        <v>2692</v>
      </c>
      <c r="E661" s="943" t="s">
        <v>2692</v>
      </c>
      <c r="F661" s="935"/>
      <c r="G661" s="944"/>
      <c r="H661" s="944"/>
      <c r="I661" s="959" t="s">
        <v>2693</v>
      </c>
      <c r="J661" s="962" t="s">
        <v>706</v>
      </c>
      <c r="K661" s="954" t="s">
        <v>158</v>
      </c>
      <c r="L661" s="949">
        <v>50.0</v>
      </c>
      <c r="M661" s="949">
        <v>53.0</v>
      </c>
      <c r="N661" s="949">
        <v>48.0</v>
      </c>
      <c r="O661" s="949">
        <v>53.0</v>
      </c>
      <c r="P661" s="949">
        <v>48.0</v>
      </c>
      <c r="Q661" s="949">
        <v>64.0</v>
      </c>
      <c r="R661" s="949">
        <v>164.0</v>
      </c>
      <c r="S661" s="949">
        <v>227.0</v>
      </c>
      <c r="T661" s="949">
        <v>249.0</v>
      </c>
      <c r="U661" s="949"/>
      <c r="V661" s="949"/>
      <c r="W661" s="949"/>
      <c r="X661" s="949"/>
      <c r="Y661" s="949"/>
      <c r="Z661" s="949"/>
      <c r="AA661" s="949"/>
      <c r="AB661" s="949"/>
      <c r="AC661" s="949"/>
      <c r="AD661" s="949"/>
      <c r="AE661" s="949"/>
      <c r="AF661" s="949"/>
      <c r="AG661" s="949"/>
      <c r="AH661" s="949"/>
      <c r="AI661" s="949"/>
      <c r="AJ661" s="949"/>
      <c r="AK661" s="949"/>
      <c r="AL661" s="949"/>
      <c r="AM661" s="953" t="s">
        <v>837</v>
      </c>
      <c r="AN661" s="954"/>
      <c r="AO661" s="955" t="s">
        <v>771</v>
      </c>
      <c r="AP661" s="931"/>
      <c r="AQ661" s="956"/>
      <c r="AR661" s="957"/>
      <c r="AS661" s="931"/>
    </row>
    <row r="662" ht="15.75" customHeight="1">
      <c r="A662" s="931"/>
      <c r="B662" s="941" t="s">
        <v>2694</v>
      </c>
      <c r="C662" s="942" t="s">
        <v>2695</v>
      </c>
      <c r="D662" s="942" t="s">
        <v>2695</v>
      </c>
      <c r="E662" s="943" t="s">
        <v>2695</v>
      </c>
      <c r="F662" s="935"/>
      <c r="G662" s="944"/>
      <c r="H662" s="944"/>
      <c r="I662" s="959" t="s">
        <v>2696</v>
      </c>
      <c r="J662" s="962" t="s">
        <v>706</v>
      </c>
      <c r="K662" s="954" t="s">
        <v>158</v>
      </c>
      <c r="L662" s="949">
        <v>75.0</v>
      </c>
      <c r="M662" s="949">
        <v>98.0</v>
      </c>
      <c r="N662" s="949">
        <v>63.0</v>
      </c>
      <c r="O662" s="949">
        <v>98.0</v>
      </c>
      <c r="P662" s="949">
        <v>63.0</v>
      </c>
      <c r="Q662" s="949">
        <v>101.0</v>
      </c>
      <c r="R662" s="949">
        <v>238.0</v>
      </c>
      <c r="S662" s="949">
        <v>301.0</v>
      </c>
      <c r="T662" s="949">
        <v>331.0</v>
      </c>
      <c r="U662" s="949"/>
      <c r="V662" s="949"/>
      <c r="W662" s="949"/>
      <c r="X662" s="949"/>
      <c r="Y662" s="949"/>
      <c r="Z662" s="949"/>
      <c r="AA662" s="949"/>
      <c r="AB662" s="949"/>
      <c r="AC662" s="949"/>
      <c r="AD662" s="949"/>
      <c r="AE662" s="949"/>
      <c r="AF662" s="949"/>
      <c r="AG662" s="949"/>
      <c r="AH662" s="949"/>
      <c r="AI662" s="949"/>
      <c r="AJ662" s="949"/>
      <c r="AK662" s="949"/>
      <c r="AL662" s="949"/>
      <c r="AM662" s="953" t="s">
        <v>837</v>
      </c>
      <c r="AN662" s="954"/>
      <c r="AO662" s="955" t="s">
        <v>771</v>
      </c>
      <c r="AP662" s="931"/>
      <c r="AQ662" s="956"/>
      <c r="AR662" s="957"/>
      <c r="AS662" s="931"/>
    </row>
    <row r="663" ht="15.75" customHeight="1">
      <c r="A663" s="931"/>
      <c r="B663" s="941" t="s">
        <v>2697</v>
      </c>
      <c r="C663" s="942" t="s">
        <v>2698</v>
      </c>
      <c r="D663" s="942" t="s">
        <v>2698</v>
      </c>
      <c r="E663" s="943" t="s">
        <v>2698</v>
      </c>
      <c r="F663" s="935"/>
      <c r="G663" s="944"/>
      <c r="H663" s="944"/>
      <c r="I663" s="959" t="s">
        <v>2699</v>
      </c>
      <c r="J663" s="975" t="s">
        <v>712</v>
      </c>
      <c r="K663" s="954" t="s">
        <v>158</v>
      </c>
      <c r="L663" s="949">
        <v>76.0</v>
      </c>
      <c r="M663" s="949">
        <v>25.0</v>
      </c>
      <c r="N663" s="949">
        <v>45.0</v>
      </c>
      <c r="O663" s="949">
        <v>67.0</v>
      </c>
      <c r="P663" s="949">
        <v>55.0</v>
      </c>
      <c r="Q663" s="949">
        <v>24.0</v>
      </c>
      <c r="R663" s="949">
        <v>84.0</v>
      </c>
      <c r="S663" s="949">
        <v>147.0</v>
      </c>
      <c r="T663" s="949">
        <v>161.0</v>
      </c>
      <c r="U663" s="949"/>
      <c r="V663" s="949"/>
      <c r="W663" s="949"/>
      <c r="X663" s="949"/>
      <c r="Y663" s="949"/>
      <c r="Z663" s="949"/>
      <c r="AA663" s="949"/>
      <c r="AB663" s="949"/>
      <c r="AC663" s="949"/>
      <c r="AD663" s="949"/>
      <c r="AE663" s="949"/>
      <c r="AF663" s="949"/>
      <c r="AG663" s="949"/>
      <c r="AH663" s="949"/>
      <c r="AI663" s="949"/>
      <c r="AJ663" s="949"/>
      <c r="AK663" s="949"/>
      <c r="AL663" s="949"/>
      <c r="AM663" s="953" t="s">
        <v>1260</v>
      </c>
      <c r="AN663" s="954" t="s">
        <v>1094</v>
      </c>
      <c r="AO663" s="955" t="s">
        <v>1657</v>
      </c>
      <c r="AP663" s="931"/>
      <c r="AQ663" s="956"/>
      <c r="AR663" s="957"/>
      <c r="AS663" s="931"/>
    </row>
    <row r="664" ht="15.75" customHeight="1">
      <c r="A664" s="931"/>
      <c r="B664" s="941" t="s">
        <v>2700</v>
      </c>
      <c r="C664" s="942" t="s">
        <v>2701</v>
      </c>
      <c r="D664" s="942" t="s">
        <v>2701</v>
      </c>
      <c r="E664" s="966" t="s">
        <v>2701</v>
      </c>
      <c r="F664" s="935"/>
      <c r="G664" s="944"/>
      <c r="H664" s="944"/>
      <c r="I664" s="959" t="s">
        <v>2702</v>
      </c>
      <c r="J664" s="975" t="s">
        <v>712</v>
      </c>
      <c r="K664" s="954" t="s">
        <v>158</v>
      </c>
      <c r="L664" s="949">
        <v>116.0</v>
      </c>
      <c r="M664" s="949">
        <v>55.0</v>
      </c>
      <c r="N664" s="949">
        <v>85.0</v>
      </c>
      <c r="O664" s="949">
        <v>107.0</v>
      </c>
      <c r="P664" s="949">
        <v>95.0</v>
      </c>
      <c r="Q664" s="949">
        <v>29.0</v>
      </c>
      <c r="R664" s="949">
        <v>94.0</v>
      </c>
      <c r="S664" s="949">
        <v>157.0</v>
      </c>
      <c r="T664" s="949">
        <v>172.0</v>
      </c>
      <c r="U664" s="949"/>
      <c r="V664" s="949"/>
      <c r="W664" s="949"/>
      <c r="X664" s="949"/>
      <c r="Y664" s="949"/>
      <c r="Z664" s="949"/>
      <c r="AA664" s="949"/>
      <c r="AB664" s="949"/>
      <c r="AC664" s="949"/>
      <c r="AD664" s="949"/>
      <c r="AE664" s="949"/>
      <c r="AF664" s="949"/>
      <c r="AG664" s="949"/>
      <c r="AH664" s="949"/>
      <c r="AI664" s="949"/>
      <c r="AJ664" s="949"/>
      <c r="AK664" s="949"/>
      <c r="AL664" s="949"/>
      <c r="AM664" s="953" t="s">
        <v>1260</v>
      </c>
      <c r="AN664" s="954" t="s">
        <v>1094</v>
      </c>
      <c r="AO664" s="955" t="s">
        <v>1657</v>
      </c>
      <c r="AP664" s="931"/>
      <c r="AQ664" s="956"/>
      <c r="AR664" s="957"/>
      <c r="AS664" s="931"/>
    </row>
    <row r="665" ht="15.75" customHeight="1">
      <c r="A665" s="931"/>
      <c r="B665" s="941" t="s">
        <v>2703</v>
      </c>
      <c r="C665" s="942" t="s">
        <v>2704</v>
      </c>
      <c r="D665" s="942" t="s">
        <v>2704</v>
      </c>
      <c r="E665" s="966" t="s">
        <v>2704</v>
      </c>
      <c r="F665" s="935"/>
      <c r="G665" s="944"/>
      <c r="H665" s="944"/>
      <c r="I665" s="959" t="s">
        <v>2705</v>
      </c>
      <c r="J665" s="968" t="s">
        <v>703</v>
      </c>
      <c r="K665" s="960" t="s">
        <v>707</v>
      </c>
      <c r="L665" s="949">
        <v>50.0</v>
      </c>
      <c r="M665" s="949">
        <v>55.0</v>
      </c>
      <c r="N665" s="949">
        <v>50.0</v>
      </c>
      <c r="O665" s="949">
        <v>36.0</v>
      </c>
      <c r="P665" s="949">
        <v>30.0</v>
      </c>
      <c r="Q665" s="949">
        <v>43.0</v>
      </c>
      <c r="R665" s="949">
        <v>122.0</v>
      </c>
      <c r="S665" s="949">
        <v>185.0</v>
      </c>
      <c r="T665" s="949">
        <v>203.0</v>
      </c>
      <c r="U665" s="949"/>
      <c r="V665" s="949"/>
      <c r="W665" s="949"/>
      <c r="X665" s="949"/>
      <c r="Y665" s="949"/>
      <c r="Z665" s="949"/>
      <c r="AA665" s="949"/>
      <c r="AB665" s="949"/>
      <c r="AC665" s="949"/>
      <c r="AD665" s="949"/>
      <c r="AE665" s="949"/>
      <c r="AF665" s="949"/>
      <c r="AG665" s="949"/>
      <c r="AH665" s="949"/>
      <c r="AI665" s="949"/>
      <c r="AJ665" s="949"/>
      <c r="AK665" s="949"/>
      <c r="AL665" s="949"/>
      <c r="AM665" s="953" t="s">
        <v>817</v>
      </c>
      <c r="AN665" s="954" t="s">
        <v>1576</v>
      </c>
      <c r="AO665" s="955" t="s">
        <v>943</v>
      </c>
      <c r="AP665" s="931"/>
      <c r="AQ665" s="956"/>
      <c r="AR665" s="957"/>
      <c r="AS665" s="931"/>
    </row>
    <row r="666" ht="15.75" customHeight="1">
      <c r="A666" s="931"/>
      <c r="B666" s="941" t="s">
        <v>2706</v>
      </c>
      <c r="C666" s="942" t="s">
        <v>2707</v>
      </c>
      <c r="D666" s="942" t="s">
        <v>2707</v>
      </c>
      <c r="E666" s="943" t="s">
        <v>2707</v>
      </c>
      <c r="F666" s="935"/>
      <c r="G666" s="944"/>
      <c r="H666" s="944"/>
      <c r="I666" s="959" t="s">
        <v>2708</v>
      </c>
      <c r="J666" s="968" t="s">
        <v>703</v>
      </c>
      <c r="K666" s="960" t="s">
        <v>707</v>
      </c>
      <c r="L666" s="949">
        <v>62.0</v>
      </c>
      <c r="M666" s="949">
        <v>77.0</v>
      </c>
      <c r="N666" s="949">
        <v>62.0</v>
      </c>
      <c r="O666" s="949">
        <v>50.0</v>
      </c>
      <c r="P666" s="949">
        <v>42.0</v>
      </c>
      <c r="Q666" s="949">
        <v>65.0</v>
      </c>
      <c r="R666" s="949">
        <v>166.0</v>
      </c>
      <c r="S666" s="949">
        <v>229.0</v>
      </c>
      <c r="T666" s="949">
        <v>251.0</v>
      </c>
      <c r="U666" s="949"/>
      <c r="V666" s="949"/>
      <c r="W666" s="949"/>
      <c r="X666" s="949"/>
      <c r="Y666" s="949"/>
      <c r="Z666" s="949"/>
      <c r="AA666" s="949"/>
      <c r="AB666" s="949"/>
      <c r="AC666" s="949"/>
      <c r="AD666" s="949"/>
      <c r="AE666" s="949"/>
      <c r="AF666" s="949"/>
      <c r="AG666" s="949"/>
      <c r="AH666" s="949"/>
      <c r="AI666" s="949"/>
      <c r="AJ666" s="949"/>
      <c r="AK666" s="949"/>
      <c r="AL666" s="949"/>
      <c r="AM666" s="953" t="s">
        <v>817</v>
      </c>
      <c r="AN666" s="954" t="s">
        <v>1576</v>
      </c>
      <c r="AO666" s="955" t="s">
        <v>943</v>
      </c>
      <c r="AP666" s="931"/>
      <c r="AQ666" s="956"/>
      <c r="AR666" s="957"/>
      <c r="AS666" s="931"/>
    </row>
    <row r="667" ht="15.75" customHeight="1">
      <c r="A667" s="931"/>
      <c r="B667" s="941" t="s">
        <v>2709</v>
      </c>
      <c r="C667" s="942" t="s">
        <v>2710</v>
      </c>
      <c r="D667" s="942" t="s">
        <v>2710</v>
      </c>
      <c r="E667" s="943" t="s">
        <v>2710</v>
      </c>
      <c r="F667" s="935"/>
      <c r="G667" s="944"/>
      <c r="H667" s="944"/>
      <c r="I667" s="959" t="s">
        <v>2711</v>
      </c>
      <c r="J667" s="968" t="s">
        <v>703</v>
      </c>
      <c r="K667" s="960" t="s">
        <v>707</v>
      </c>
      <c r="L667" s="949">
        <v>80.0</v>
      </c>
      <c r="M667" s="949">
        <v>115.0</v>
      </c>
      <c r="N667" s="949">
        <v>80.0</v>
      </c>
      <c r="O667" s="949">
        <v>65.0</v>
      </c>
      <c r="P667" s="949">
        <v>55.0</v>
      </c>
      <c r="Q667" s="949">
        <v>93.0</v>
      </c>
      <c r="R667" s="949">
        <v>222.0</v>
      </c>
      <c r="S667" s="949">
        <v>285.0</v>
      </c>
      <c r="T667" s="949">
        <v>313.0</v>
      </c>
      <c r="U667" s="949"/>
      <c r="V667" s="949"/>
      <c r="W667" s="949"/>
      <c r="X667" s="949"/>
      <c r="Y667" s="949"/>
      <c r="Z667" s="949"/>
      <c r="AA667" s="949"/>
      <c r="AB667" s="949"/>
      <c r="AC667" s="949"/>
      <c r="AD667" s="949"/>
      <c r="AE667" s="949"/>
      <c r="AF667" s="949"/>
      <c r="AG667" s="949"/>
      <c r="AH667" s="949"/>
      <c r="AI667" s="949"/>
      <c r="AJ667" s="949"/>
      <c r="AK667" s="949"/>
      <c r="AL667" s="949"/>
      <c r="AM667" s="953" t="s">
        <v>817</v>
      </c>
      <c r="AN667" s="954" t="s">
        <v>1576</v>
      </c>
      <c r="AO667" s="955" t="s">
        <v>943</v>
      </c>
      <c r="AP667" s="931"/>
      <c r="AQ667" s="956"/>
      <c r="AR667" s="957"/>
      <c r="AS667" s="931"/>
    </row>
    <row r="668" ht="15.75" customHeight="1">
      <c r="A668" s="931"/>
      <c r="B668" s="941" t="s">
        <v>2712</v>
      </c>
      <c r="C668" s="942" t="s">
        <v>2713</v>
      </c>
      <c r="D668" s="942" t="s">
        <v>2713</v>
      </c>
      <c r="E668" s="943" t="s">
        <v>2713</v>
      </c>
      <c r="F668" s="935"/>
      <c r="G668" s="944"/>
      <c r="H668" s="944"/>
      <c r="I668" s="959" t="s">
        <v>2714</v>
      </c>
      <c r="J668" s="970" t="s">
        <v>710</v>
      </c>
      <c r="K668" s="954" t="s">
        <v>158</v>
      </c>
      <c r="L668" s="949">
        <v>45.0</v>
      </c>
      <c r="M668" s="949">
        <v>60.0</v>
      </c>
      <c r="N668" s="949">
        <v>32.0</v>
      </c>
      <c r="O668" s="949">
        <v>50.0</v>
      </c>
      <c r="P668" s="949">
        <v>32.0</v>
      </c>
      <c r="Q668" s="949">
        <v>76.0</v>
      </c>
      <c r="R668" s="949">
        <v>188.0</v>
      </c>
      <c r="S668" s="949">
        <v>251.0</v>
      </c>
      <c r="T668" s="949">
        <v>276.0</v>
      </c>
      <c r="U668" s="949"/>
      <c r="V668" s="949"/>
      <c r="W668" s="949"/>
      <c r="X668" s="949"/>
      <c r="Y668" s="949"/>
      <c r="Z668" s="949"/>
      <c r="AA668" s="949"/>
      <c r="AB668" s="949"/>
      <c r="AC668" s="949"/>
      <c r="AD668" s="949"/>
      <c r="AE668" s="949"/>
      <c r="AF668" s="949"/>
      <c r="AG668" s="949"/>
      <c r="AH668" s="949"/>
      <c r="AI668" s="949"/>
      <c r="AJ668" s="949"/>
      <c r="AK668" s="949"/>
      <c r="AL668" s="949"/>
      <c r="AM668" s="953" t="s">
        <v>862</v>
      </c>
      <c r="AN668" s="954" t="s">
        <v>2496</v>
      </c>
      <c r="AO668" s="955" t="s">
        <v>1603</v>
      </c>
      <c r="AP668" s="931"/>
      <c r="AQ668" s="956"/>
      <c r="AR668" s="957"/>
      <c r="AS668" s="931"/>
    </row>
    <row r="669" ht="15.75" customHeight="1">
      <c r="A669" s="931"/>
      <c r="B669" s="941" t="s">
        <v>2715</v>
      </c>
      <c r="C669" s="942" t="s">
        <v>2716</v>
      </c>
      <c r="D669" s="942" t="s">
        <v>2716</v>
      </c>
      <c r="E669" s="943" t="s">
        <v>2716</v>
      </c>
      <c r="F669" s="935"/>
      <c r="G669" s="944"/>
      <c r="H669" s="944"/>
      <c r="I669" s="959" t="s">
        <v>2717</v>
      </c>
      <c r="J669" s="970" t="s">
        <v>710</v>
      </c>
      <c r="K669" s="954" t="s">
        <v>158</v>
      </c>
      <c r="L669" s="949">
        <v>75.0</v>
      </c>
      <c r="M669" s="949">
        <v>100.0</v>
      </c>
      <c r="N669" s="949">
        <v>63.0</v>
      </c>
      <c r="O669" s="949">
        <v>80.0</v>
      </c>
      <c r="P669" s="949">
        <v>63.0</v>
      </c>
      <c r="Q669" s="949">
        <v>116.0</v>
      </c>
      <c r="R669" s="949">
        <v>268.0</v>
      </c>
      <c r="S669" s="949">
        <v>331.0</v>
      </c>
      <c r="T669" s="949">
        <v>364.0</v>
      </c>
      <c r="U669" s="949"/>
      <c r="V669" s="949"/>
      <c r="W669" s="949"/>
      <c r="X669" s="949"/>
      <c r="Y669" s="949"/>
      <c r="Z669" s="949"/>
      <c r="AA669" s="949"/>
      <c r="AB669" s="949"/>
      <c r="AC669" s="949"/>
      <c r="AD669" s="949"/>
      <c r="AE669" s="949"/>
      <c r="AF669" s="949"/>
      <c r="AG669" s="949"/>
      <c r="AH669" s="949"/>
      <c r="AI669" s="949"/>
      <c r="AJ669" s="949"/>
      <c r="AK669" s="949"/>
      <c r="AL669" s="949"/>
      <c r="AM669" s="953" t="s">
        <v>862</v>
      </c>
      <c r="AN669" s="954" t="s">
        <v>2496</v>
      </c>
      <c r="AO669" s="955" t="s">
        <v>1603</v>
      </c>
      <c r="AP669" s="931"/>
      <c r="AQ669" s="956"/>
      <c r="AR669" s="957"/>
      <c r="AS669" s="931"/>
    </row>
    <row r="670" ht="15.75" customHeight="1">
      <c r="A670" s="931"/>
      <c r="B670" s="941" t="s">
        <v>2718</v>
      </c>
      <c r="C670" s="942" t="s">
        <v>2719</v>
      </c>
      <c r="D670" s="942" t="s">
        <v>2719</v>
      </c>
      <c r="E670" s="943" t="s">
        <v>2719</v>
      </c>
      <c r="F670" s="935"/>
      <c r="G670" s="944"/>
      <c r="H670" s="944"/>
      <c r="I670" s="959" t="s">
        <v>2720</v>
      </c>
      <c r="J670" s="989" t="s">
        <v>713</v>
      </c>
      <c r="K670" s="954" t="s">
        <v>158</v>
      </c>
      <c r="L670" s="949">
        <v>55.0</v>
      </c>
      <c r="M670" s="949">
        <v>75.0</v>
      </c>
      <c r="N670" s="949">
        <v>85.0</v>
      </c>
      <c r="O670" s="949">
        <v>25.0</v>
      </c>
      <c r="P670" s="949">
        <v>25.0</v>
      </c>
      <c r="Q670" s="949">
        <v>15.0</v>
      </c>
      <c r="R670" s="949">
        <v>66.0</v>
      </c>
      <c r="S670" s="949">
        <v>129.0</v>
      </c>
      <c r="T670" s="949">
        <v>141.0</v>
      </c>
      <c r="U670" s="949"/>
      <c r="V670" s="949"/>
      <c r="W670" s="949"/>
      <c r="X670" s="949"/>
      <c r="Y670" s="949"/>
      <c r="Z670" s="949"/>
      <c r="AA670" s="949"/>
      <c r="AB670" s="949"/>
      <c r="AC670" s="949"/>
      <c r="AD670" s="949"/>
      <c r="AE670" s="949"/>
      <c r="AF670" s="949"/>
      <c r="AG670" s="949"/>
      <c r="AH670" s="949"/>
      <c r="AI670" s="949"/>
      <c r="AJ670" s="949"/>
      <c r="AK670" s="949"/>
      <c r="AL670" s="949"/>
      <c r="AM670" s="953" t="s">
        <v>1135</v>
      </c>
      <c r="AN670" s="954" t="s">
        <v>1256</v>
      </c>
      <c r="AO670" s="955" t="s">
        <v>1026</v>
      </c>
      <c r="AP670" s="931"/>
      <c r="AQ670" s="956"/>
      <c r="AR670" s="957"/>
      <c r="AS670" s="931"/>
    </row>
    <row r="671" ht="15.75" customHeight="1">
      <c r="A671" s="931"/>
      <c r="B671" s="941" t="s">
        <v>2721</v>
      </c>
      <c r="C671" s="942" t="s">
        <v>2722</v>
      </c>
      <c r="D671" s="942" t="s">
        <v>2722</v>
      </c>
      <c r="E671" s="943" t="s">
        <v>2722</v>
      </c>
      <c r="F671" s="935"/>
      <c r="G671" s="944"/>
      <c r="H671" s="944"/>
      <c r="I671" s="959" t="s">
        <v>2723</v>
      </c>
      <c r="J671" s="989" t="s">
        <v>713</v>
      </c>
      <c r="K671" s="954" t="s">
        <v>158</v>
      </c>
      <c r="L671" s="949">
        <v>70.0</v>
      </c>
      <c r="M671" s="949">
        <v>105.0</v>
      </c>
      <c r="N671" s="949">
        <v>105.0</v>
      </c>
      <c r="O671" s="949">
        <v>50.0</v>
      </c>
      <c r="P671" s="949">
        <v>40.0</v>
      </c>
      <c r="Q671" s="949">
        <v>20.0</v>
      </c>
      <c r="R671" s="949">
        <v>76.0</v>
      </c>
      <c r="S671" s="949">
        <v>139.0</v>
      </c>
      <c r="T671" s="949">
        <v>152.0</v>
      </c>
      <c r="U671" s="949"/>
      <c r="V671" s="949"/>
      <c r="W671" s="949"/>
      <c r="X671" s="949"/>
      <c r="Y671" s="949"/>
      <c r="Z671" s="949"/>
      <c r="AA671" s="949"/>
      <c r="AB671" s="949"/>
      <c r="AC671" s="949"/>
      <c r="AD671" s="949"/>
      <c r="AE671" s="949"/>
      <c r="AF671" s="949"/>
      <c r="AG671" s="949"/>
      <c r="AH671" s="949"/>
      <c r="AI671" s="949"/>
      <c r="AJ671" s="949"/>
      <c r="AK671" s="949"/>
      <c r="AL671" s="949"/>
      <c r="AM671" s="953" t="s">
        <v>1135</v>
      </c>
      <c r="AN671" s="954" t="s">
        <v>1256</v>
      </c>
      <c r="AO671" s="955" t="s">
        <v>1026</v>
      </c>
      <c r="AP671" s="931"/>
      <c r="AQ671" s="956"/>
      <c r="AR671" s="957"/>
      <c r="AS671" s="931"/>
    </row>
    <row r="672" ht="15.75" customHeight="1">
      <c r="A672" s="931"/>
      <c r="B672" s="941" t="s">
        <v>2724</v>
      </c>
      <c r="C672" s="942" t="s">
        <v>2725</v>
      </c>
      <c r="D672" s="942" t="s">
        <v>2725</v>
      </c>
      <c r="E672" s="943" t="s">
        <v>2725</v>
      </c>
      <c r="F672" s="935"/>
      <c r="G672" s="944"/>
      <c r="H672" s="944"/>
      <c r="I672" s="959" t="s">
        <v>2726</v>
      </c>
      <c r="J672" s="989" t="s">
        <v>713</v>
      </c>
      <c r="K672" s="954" t="s">
        <v>158</v>
      </c>
      <c r="L672" s="949">
        <v>85.0</v>
      </c>
      <c r="M672" s="949">
        <v>135.0</v>
      </c>
      <c r="N672" s="949">
        <v>130.0</v>
      </c>
      <c r="O672" s="949">
        <v>60.0</v>
      </c>
      <c r="P672" s="949">
        <v>80.0</v>
      </c>
      <c r="Q672" s="949">
        <v>25.0</v>
      </c>
      <c r="R672" s="949">
        <v>86.0</v>
      </c>
      <c r="S672" s="949">
        <v>149.0</v>
      </c>
      <c r="T672" s="949">
        <v>163.0</v>
      </c>
      <c r="U672" s="949"/>
      <c r="V672" s="949"/>
      <c r="W672" s="949"/>
      <c r="X672" s="949"/>
      <c r="Y672" s="949"/>
      <c r="Z672" s="949"/>
      <c r="AA672" s="949"/>
      <c r="AB672" s="949"/>
      <c r="AC672" s="949"/>
      <c r="AD672" s="949"/>
      <c r="AE672" s="949"/>
      <c r="AF672" s="949"/>
      <c r="AG672" s="949"/>
      <c r="AH672" s="949"/>
      <c r="AI672" s="949"/>
      <c r="AJ672" s="949"/>
      <c r="AK672" s="949"/>
      <c r="AL672" s="949"/>
      <c r="AM672" s="953" t="s">
        <v>1135</v>
      </c>
      <c r="AN672" s="954" t="s">
        <v>1802</v>
      </c>
      <c r="AO672" s="955" t="s">
        <v>1026</v>
      </c>
      <c r="AP672" s="931"/>
      <c r="AQ672" s="956"/>
      <c r="AR672" s="957"/>
      <c r="AS672" s="931"/>
    </row>
    <row r="673" ht="15.75" customHeight="1">
      <c r="A673" s="931"/>
      <c r="B673" s="941" t="s">
        <v>2727</v>
      </c>
      <c r="C673" s="942" t="s">
        <v>2728</v>
      </c>
      <c r="D673" s="942" t="s">
        <v>2728</v>
      </c>
      <c r="E673" s="943" t="s">
        <v>2728</v>
      </c>
      <c r="F673" s="935"/>
      <c r="G673" s="944"/>
      <c r="H673" s="944"/>
      <c r="I673" s="959" t="s">
        <v>2729</v>
      </c>
      <c r="J673" s="975" t="s">
        <v>712</v>
      </c>
      <c r="K673" s="960" t="s">
        <v>707</v>
      </c>
      <c r="L673" s="949">
        <v>65.0</v>
      </c>
      <c r="M673" s="949">
        <v>45.0</v>
      </c>
      <c r="N673" s="949">
        <v>43.0</v>
      </c>
      <c r="O673" s="949">
        <v>55.0</v>
      </c>
      <c r="P673" s="949">
        <v>43.0</v>
      </c>
      <c r="Q673" s="949">
        <v>72.0</v>
      </c>
      <c r="R673" s="949">
        <v>180.0</v>
      </c>
      <c r="S673" s="949">
        <v>243.0</v>
      </c>
      <c r="T673" s="949">
        <v>267.0</v>
      </c>
      <c r="U673" s="949"/>
      <c r="V673" s="949"/>
      <c r="W673" s="949"/>
      <c r="X673" s="949"/>
      <c r="Y673" s="949"/>
      <c r="Z673" s="949"/>
      <c r="AA673" s="949"/>
      <c r="AB673" s="949"/>
      <c r="AC673" s="949"/>
      <c r="AD673" s="949"/>
      <c r="AE673" s="949"/>
      <c r="AF673" s="949"/>
      <c r="AG673" s="949"/>
      <c r="AH673" s="949"/>
      <c r="AI673" s="949"/>
      <c r="AJ673" s="949"/>
      <c r="AK673" s="949"/>
      <c r="AL673" s="949"/>
      <c r="AM673" s="953" t="s">
        <v>968</v>
      </c>
      <c r="AN673" s="954" t="s">
        <v>2390</v>
      </c>
      <c r="AO673" s="955" t="s">
        <v>2048</v>
      </c>
      <c r="AP673" s="931"/>
      <c r="AQ673" s="956"/>
      <c r="AR673" s="957"/>
      <c r="AS673" s="931"/>
    </row>
    <row r="674" ht="15.75" customHeight="1">
      <c r="A674" s="963"/>
      <c r="B674" s="941" t="s">
        <v>2730</v>
      </c>
      <c r="C674" s="942" t="s">
        <v>2731</v>
      </c>
      <c r="D674" s="942" t="s">
        <v>2731</v>
      </c>
      <c r="E674" s="943" t="s">
        <v>2731</v>
      </c>
      <c r="F674" s="935"/>
      <c r="G674" s="944"/>
      <c r="H674" s="944"/>
      <c r="I674" s="959" t="s">
        <v>2732</v>
      </c>
      <c r="J674" s="975" t="s">
        <v>712</v>
      </c>
      <c r="K674" s="960" t="s">
        <v>707</v>
      </c>
      <c r="L674" s="949">
        <v>67.0</v>
      </c>
      <c r="M674" s="949">
        <v>57.0</v>
      </c>
      <c r="N674" s="949">
        <v>55.0</v>
      </c>
      <c r="O674" s="949">
        <v>77.0</v>
      </c>
      <c r="P674" s="949">
        <v>55.0</v>
      </c>
      <c r="Q674" s="949">
        <v>114.0</v>
      </c>
      <c r="R674" s="949">
        <v>264.0</v>
      </c>
      <c r="S674" s="949">
        <v>327.0</v>
      </c>
      <c r="T674" s="949">
        <v>359.0</v>
      </c>
      <c r="U674" s="949"/>
      <c r="V674" s="949"/>
      <c r="W674" s="949"/>
      <c r="X674" s="949"/>
      <c r="Y674" s="949"/>
      <c r="Z674" s="949"/>
      <c r="AA674" s="949"/>
      <c r="AB674" s="949"/>
      <c r="AC674" s="949"/>
      <c r="AD674" s="949"/>
      <c r="AE674" s="949"/>
      <c r="AF674" s="949"/>
      <c r="AG674" s="949"/>
      <c r="AH674" s="949"/>
      <c r="AI674" s="949"/>
      <c r="AJ674" s="949"/>
      <c r="AK674" s="949"/>
      <c r="AL674" s="949"/>
      <c r="AM674" s="953" t="s">
        <v>968</v>
      </c>
      <c r="AN674" s="954" t="s">
        <v>2390</v>
      </c>
      <c r="AO674" s="955" t="s">
        <v>2048</v>
      </c>
      <c r="AP674" s="931"/>
      <c r="AQ674" s="956"/>
      <c r="AR674" s="957"/>
      <c r="AS674" s="931"/>
    </row>
    <row r="675" ht="15.75" customHeight="1">
      <c r="A675" s="931"/>
      <c r="B675" s="941" t="s">
        <v>2733</v>
      </c>
      <c r="C675" s="942" t="s">
        <v>2734</v>
      </c>
      <c r="D675" s="942" t="s">
        <v>2734</v>
      </c>
      <c r="E675" s="943" t="s">
        <v>2734</v>
      </c>
      <c r="F675" s="935"/>
      <c r="G675" s="944"/>
      <c r="H675" s="944"/>
      <c r="I675" s="959" t="s">
        <v>2735</v>
      </c>
      <c r="J675" s="976" t="s">
        <v>711</v>
      </c>
      <c r="K675" s="954" t="s">
        <v>158</v>
      </c>
      <c r="L675" s="949">
        <v>60.0</v>
      </c>
      <c r="M675" s="949">
        <v>85.0</v>
      </c>
      <c r="N675" s="949">
        <v>40.0</v>
      </c>
      <c r="O675" s="949">
        <v>30.0</v>
      </c>
      <c r="P675" s="949">
        <v>45.0</v>
      </c>
      <c r="Q675" s="949">
        <v>68.0</v>
      </c>
      <c r="R675" s="949">
        <v>172.0</v>
      </c>
      <c r="S675" s="949">
        <v>235.0</v>
      </c>
      <c r="T675" s="949">
        <v>258.0</v>
      </c>
      <c r="U675" s="949"/>
      <c r="V675" s="949"/>
      <c r="W675" s="949"/>
      <c r="X675" s="949"/>
      <c r="Y675" s="949"/>
      <c r="Z675" s="949"/>
      <c r="AA675" s="949"/>
      <c r="AB675" s="949"/>
      <c r="AC675" s="949"/>
      <c r="AD675" s="949"/>
      <c r="AE675" s="949"/>
      <c r="AF675" s="949"/>
      <c r="AG675" s="949"/>
      <c r="AH675" s="949"/>
      <c r="AI675" s="949"/>
      <c r="AJ675" s="949"/>
      <c r="AK675" s="949"/>
      <c r="AL675" s="949"/>
      <c r="AM675" s="964" t="s">
        <v>924</v>
      </c>
      <c r="AN675" s="954" t="s">
        <v>1026</v>
      </c>
      <c r="AO675" s="955" t="s">
        <v>1391</v>
      </c>
      <c r="AP675" s="931"/>
      <c r="AQ675" s="956"/>
      <c r="AR675" s="957"/>
      <c r="AS675" s="931"/>
    </row>
    <row r="676" ht="15.75" customHeight="1">
      <c r="A676" s="931"/>
      <c r="B676" s="941" t="s">
        <v>2736</v>
      </c>
      <c r="C676" s="942" t="s">
        <v>2737</v>
      </c>
      <c r="D676" s="942" t="s">
        <v>2737</v>
      </c>
      <c r="E676" s="943" t="s">
        <v>2737</v>
      </c>
      <c r="F676" s="935"/>
      <c r="G676" s="944"/>
      <c r="H676" s="944"/>
      <c r="I676" s="959" t="s">
        <v>2738</v>
      </c>
      <c r="J676" s="976" t="s">
        <v>711</v>
      </c>
      <c r="K676" s="978" t="s">
        <v>719</v>
      </c>
      <c r="L676" s="949">
        <v>110.0</v>
      </c>
      <c r="M676" s="949">
        <v>135.0</v>
      </c>
      <c r="N676" s="949">
        <v>60.0</v>
      </c>
      <c r="O676" s="949">
        <v>50.0</v>
      </c>
      <c r="P676" s="949">
        <v>65.0</v>
      </c>
      <c r="Q676" s="949">
        <v>88.0</v>
      </c>
      <c r="R676" s="949">
        <v>212.0</v>
      </c>
      <c r="S676" s="949">
        <v>275.0</v>
      </c>
      <c r="T676" s="949">
        <v>302.0</v>
      </c>
      <c r="U676" s="949"/>
      <c r="V676" s="949"/>
      <c r="W676" s="949"/>
      <c r="X676" s="949"/>
      <c r="Y676" s="949"/>
      <c r="Z676" s="949"/>
      <c r="AA676" s="949"/>
      <c r="AB676" s="949"/>
      <c r="AC676" s="949"/>
      <c r="AD676" s="949"/>
      <c r="AE676" s="949"/>
      <c r="AF676" s="949"/>
      <c r="AG676" s="949"/>
      <c r="AH676" s="949"/>
      <c r="AI676" s="949"/>
      <c r="AJ676" s="949"/>
      <c r="AK676" s="949"/>
      <c r="AL676" s="949"/>
      <c r="AM676" s="953" t="s">
        <v>924</v>
      </c>
      <c r="AN676" s="954" t="s">
        <v>1026</v>
      </c>
      <c r="AO676" s="955" t="s">
        <v>1391</v>
      </c>
      <c r="AP676" s="931"/>
      <c r="AQ676" s="956"/>
      <c r="AR676" s="957"/>
      <c r="AS676" s="931"/>
    </row>
    <row r="677" ht="15.75" customHeight="1">
      <c r="A677" s="931"/>
      <c r="B677" s="941" t="s">
        <v>2739</v>
      </c>
      <c r="C677" s="942" t="s">
        <v>2740</v>
      </c>
      <c r="D677" s="942" t="s">
        <v>2740</v>
      </c>
      <c r="E677" s="943" t="s">
        <v>2740</v>
      </c>
      <c r="F677" s="935"/>
      <c r="G677" s="944"/>
      <c r="H677" s="944"/>
      <c r="I677" s="959" t="s">
        <v>2741</v>
      </c>
      <c r="J677" s="968" t="s">
        <v>703</v>
      </c>
      <c r="K677" s="954" t="s">
        <v>158</v>
      </c>
      <c r="L677" s="949">
        <v>103.0</v>
      </c>
      <c r="M677" s="949">
        <v>60.0</v>
      </c>
      <c r="N677" s="949">
        <v>86.0</v>
      </c>
      <c r="O677" s="949">
        <v>60.0</v>
      </c>
      <c r="P677" s="949">
        <v>86.0</v>
      </c>
      <c r="Q677" s="949">
        <v>50.0</v>
      </c>
      <c r="R677" s="949">
        <v>136.0</v>
      </c>
      <c r="S677" s="949">
        <v>199.0</v>
      </c>
      <c r="T677" s="949">
        <v>218.0</v>
      </c>
      <c r="U677" s="949"/>
      <c r="V677" s="949"/>
      <c r="W677" s="949"/>
      <c r="X677" s="949"/>
      <c r="Y677" s="949"/>
      <c r="Z677" s="949"/>
      <c r="AA677" s="949"/>
      <c r="AB677" s="949"/>
      <c r="AC677" s="949"/>
      <c r="AD677" s="949"/>
      <c r="AE677" s="949"/>
      <c r="AF677" s="949"/>
      <c r="AG677" s="949"/>
      <c r="AH677" s="949"/>
      <c r="AI677" s="949"/>
      <c r="AJ677" s="949"/>
      <c r="AK677" s="949"/>
      <c r="AL677" s="949"/>
      <c r="AM677" s="953" t="s">
        <v>1335</v>
      </c>
      <c r="AN677" s="954" t="s">
        <v>1177</v>
      </c>
      <c r="AO677" s="955" t="s">
        <v>2390</v>
      </c>
      <c r="AP677" s="931"/>
      <c r="AQ677" s="956"/>
      <c r="AR677" s="957"/>
      <c r="AS677" s="931"/>
    </row>
    <row r="678" ht="15.75" customHeight="1">
      <c r="A678" s="931"/>
      <c r="B678" s="941" t="s">
        <v>2742</v>
      </c>
      <c r="C678" s="942" t="s">
        <v>2743</v>
      </c>
      <c r="D678" s="942" t="s">
        <v>2743</v>
      </c>
      <c r="E678" s="943" t="s">
        <v>2743</v>
      </c>
      <c r="F678" s="935"/>
      <c r="G678" s="944"/>
      <c r="H678" s="944"/>
      <c r="I678" s="959" t="s">
        <v>2744</v>
      </c>
      <c r="J678" s="968" t="s">
        <v>703</v>
      </c>
      <c r="K678" s="980" t="s">
        <v>720</v>
      </c>
      <c r="L678" s="949">
        <v>103.0</v>
      </c>
      <c r="M678" s="949">
        <v>60.0</v>
      </c>
      <c r="N678" s="949">
        <v>126.0</v>
      </c>
      <c r="O678" s="949">
        <v>80.0</v>
      </c>
      <c r="P678" s="949">
        <v>126.0</v>
      </c>
      <c r="Q678" s="949">
        <v>50.0</v>
      </c>
      <c r="R678" s="949">
        <v>136.0</v>
      </c>
      <c r="S678" s="949">
        <v>199.0</v>
      </c>
      <c r="T678" s="949">
        <v>218.0</v>
      </c>
      <c r="U678" s="949"/>
      <c r="V678" s="949"/>
      <c r="W678" s="949"/>
      <c r="X678" s="949"/>
      <c r="Y678" s="949"/>
      <c r="Z678" s="949"/>
      <c r="AA678" s="949"/>
      <c r="AB678" s="949"/>
      <c r="AC678" s="949"/>
      <c r="AD678" s="949"/>
      <c r="AE678" s="949"/>
      <c r="AF678" s="949"/>
      <c r="AG678" s="949"/>
      <c r="AH678" s="949"/>
      <c r="AI678" s="949"/>
      <c r="AJ678" s="949"/>
      <c r="AK678" s="949"/>
      <c r="AL678" s="949"/>
      <c r="AM678" s="953" t="s">
        <v>1335</v>
      </c>
      <c r="AN678" s="954"/>
      <c r="AO678" s="955"/>
      <c r="AP678" s="931"/>
      <c r="AQ678" s="956"/>
      <c r="AR678" s="957"/>
      <c r="AS678" s="931"/>
    </row>
    <row r="679" ht="15.75" customHeight="1">
      <c r="A679" s="931"/>
      <c r="B679" s="941" t="s">
        <v>2745</v>
      </c>
      <c r="C679" s="942" t="s">
        <v>2746</v>
      </c>
      <c r="D679" s="942" t="s">
        <v>2746</v>
      </c>
      <c r="E679" s="943" t="s">
        <v>2746</v>
      </c>
      <c r="F679" s="935"/>
      <c r="G679" s="944"/>
      <c r="H679" s="944"/>
      <c r="I679" s="959" t="s">
        <v>2747</v>
      </c>
      <c r="J679" s="988" t="s">
        <v>705</v>
      </c>
      <c r="K679" s="954" t="s">
        <v>158</v>
      </c>
      <c r="L679" s="949">
        <v>75.0</v>
      </c>
      <c r="M679" s="949">
        <v>80.0</v>
      </c>
      <c r="N679" s="949">
        <v>55.0</v>
      </c>
      <c r="O679" s="949">
        <v>25.0</v>
      </c>
      <c r="P679" s="949">
        <v>35.0</v>
      </c>
      <c r="Q679" s="949">
        <v>35.0</v>
      </c>
      <c r="R679" s="949">
        <v>106.0</v>
      </c>
      <c r="S679" s="949">
        <v>169.0</v>
      </c>
      <c r="T679" s="949">
        <v>185.0</v>
      </c>
      <c r="U679" s="949"/>
      <c r="V679" s="949"/>
      <c r="W679" s="949"/>
      <c r="X679" s="949"/>
      <c r="Y679" s="949"/>
      <c r="Z679" s="949"/>
      <c r="AA679" s="949"/>
      <c r="AB679" s="949"/>
      <c r="AC679" s="949"/>
      <c r="AD679" s="949"/>
      <c r="AE679" s="949"/>
      <c r="AF679" s="949"/>
      <c r="AG679" s="949"/>
      <c r="AH679" s="949"/>
      <c r="AI679" s="949"/>
      <c r="AJ679" s="949"/>
      <c r="AK679" s="949"/>
      <c r="AL679" s="949"/>
      <c r="AM679" s="953" t="s">
        <v>831</v>
      </c>
      <c r="AN679" s="954" t="s">
        <v>949</v>
      </c>
      <c r="AO679" s="955" t="s">
        <v>1310</v>
      </c>
      <c r="AP679" s="931"/>
      <c r="AQ679" s="956"/>
      <c r="AR679" s="957"/>
      <c r="AS679" s="931"/>
    </row>
    <row r="680" ht="15.75" customHeight="1">
      <c r="A680" s="931"/>
      <c r="B680" s="941" t="s">
        <v>2748</v>
      </c>
      <c r="C680" s="942" t="s">
        <v>2749</v>
      </c>
      <c r="D680" s="942" t="s">
        <v>2749</v>
      </c>
      <c r="E680" s="943" t="s">
        <v>2749</v>
      </c>
      <c r="F680" s="935"/>
      <c r="G680" s="944"/>
      <c r="H680" s="944"/>
      <c r="I680" s="959" t="s">
        <v>2750</v>
      </c>
      <c r="J680" s="988" t="s">
        <v>705</v>
      </c>
      <c r="K680" s="954" t="s">
        <v>158</v>
      </c>
      <c r="L680" s="949">
        <v>85.0</v>
      </c>
      <c r="M680" s="949">
        <v>105.0</v>
      </c>
      <c r="N680" s="949">
        <v>85.0</v>
      </c>
      <c r="O680" s="949">
        <v>40.0</v>
      </c>
      <c r="P680" s="949">
        <v>50.0</v>
      </c>
      <c r="Q680" s="949">
        <v>40.0</v>
      </c>
      <c r="R680" s="949">
        <v>116.0</v>
      </c>
      <c r="S680" s="949">
        <v>179.0</v>
      </c>
      <c r="T680" s="949">
        <v>196.0</v>
      </c>
      <c r="U680" s="949"/>
      <c r="V680" s="949"/>
      <c r="W680" s="949"/>
      <c r="X680" s="949"/>
      <c r="Y680" s="949"/>
      <c r="Z680" s="949"/>
      <c r="AA680" s="949"/>
      <c r="AB680" s="949"/>
      <c r="AC680" s="949"/>
      <c r="AD680" s="949"/>
      <c r="AE680" s="949"/>
      <c r="AF680" s="949"/>
      <c r="AG680" s="949"/>
      <c r="AH680" s="949"/>
      <c r="AI680" s="949"/>
      <c r="AJ680" s="949"/>
      <c r="AK680" s="949"/>
      <c r="AL680" s="949"/>
      <c r="AM680" s="953" t="s">
        <v>831</v>
      </c>
      <c r="AN680" s="954" t="s">
        <v>949</v>
      </c>
      <c r="AO680" s="955" t="s">
        <v>1310</v>
      </c>
      <c r="AP680" s="931"/>
      <c r="AQ680" s="956"/>
      <c r="AR680" s="957"/>
      <c r="AS680" s="931"/>
    </row>
    <row r="681" ht="15.75" customHeight="1">
      <c r="A681" s="931"/>
      <c r="B681" s="941" t="s">
        <v>2751</v>
      </c>
      <c r="C681" s="942" t="s">
        <v>2752</v>
      </c>
      <c r="D681" s="942" t="s">
        <v>2752</v>
      </c>
      <c r="E681" s="943" t="s">
        <v>2752</v>
      </c>
      <c r="F681" s="935"/>
      <c r="G681" s="944"/>
      <c r="H681" s="944"/>
      <c r="I681" s="959" t="s">
        <v>2753</v>
      </c>
      <c r="J681" s="988" t="s">
        <v>705</v>
      </c>
      <c r="K681" s="954" t="s">
        <v>158</v>
      </c>
      <c r="L681" s="949">
        <v>105.0</v>
      </c>
      <c r="M681" s="949">
        <v>140.0</v>
      </c>
      <c r="N681" s="949">
        <v>95.0</v>
      </c>
      <c r="O681" s="949">
        <v>55.0</v>
      </c>
      <c r="P681" s="949">
        <v>65.0</v>
      </c>
      <c r="Q681" s="949">
        <v>45.0</v>
      </c>
      <c r="R681" s="949">
        <v>126.0</v>
      </c>
      <c r="S681" s="949">
        <v>189.0</v>
      </c>
      <c r="T681" s="949">
        <v>207.0</v>
      </c>
      <c r="U681" s="949"/>
      <c r="V681" s="949"/>
      <c r="W681" s="949"/>
      <c r="X681" s="949"/>
      <c r="Y681" s="949"/>
      <c r="Z681" s="949"/>
      <c r="AA681" s="949"/>
      <c r="AB681" s="949"/>
      <c r="AC681" s="949"/>
      <c r="AD681" s="949"/>
      <c r="AE681" s="949"/>
      <c r="AF681" s="949"/>
      <c r="AG681" s="949"/>
      <c r="AH681" s="949"/>
      <c r="AI681" s="949"/>
      <c r="AJ681" s="949"/>
      <c r="AK681" s="949"/>
      <c r="AL681" s="949"/>
      <c r="AM681" s="953" t="s">
        <v>831</v>
      </c>
      <c r="AN681" s="954" t="s">
        <v>949</v>
      </c>
      <c r="AO681" s="955" t="s">
        <v>1310</v>
      </c>
      <c r="AP681" s="931"/>
      <c r="AQ681" s="956"/>
      <c r="AR681" s="957"/>
      <c r="AS681" s="931"/>
    </row>
    <row r="682" ht="15.75" customHeight="1">
      <c r="A682" s="931"/>
      <c r="B682" s="941" t="s">
        <v>2754</v>
      </c>
      <c r="C682" s="942" t="s">
        <v>2755</v>
      </c>
      <c r="D682" s="942" t="s">
        <v>2755</v>
      </c>
      <c r="E682" s="943" t="s">
        <v>2755</v>
      </c>
      <c r="F682" s="935"/>
      <c r="G682" s="944"/>
      <c r="H682" s="944"/>
      <c r="I682" s="959" t="s">
        <v>2756</v>
      </c>
      <c r="J682" s="962" t="s">
        <v>706</v>
      </c>
      <c r="K682" s="954" t="s">
        <v>158</v>
      </c>
      <c r="L682" s="949">
        <v>50.0</v>
      </c>
      <c r="M682" s="949">
        <v>50.0</v>
      </c>
      <c r="N682" s="949">
        <v>40.0</v>
      </c>
      <c r="O682" s="949">
        <v>50.0</v>
      </c>
      <c r="P682" s="949">
        <v>40.0</v>
      </c>
      <c r="Q682" s="949">
        <v>64.0</v>
      </c>
      <c r="R682" s="949">
        <v>164.0</v>
      </c>
      <c r="S682" s="949">
        <v>227.0</v>
      </c>
      <c r="T682" s="949">
        <v>249.0</v>
      </c>
      <c r="U682" s="949"/>
      <c r="V682" s="949"/>
      <c r="W682" s="949"/>
      <c r="X682" s="949"/>
      <c r="Y682" s="949"/>
      <c r="Z682" s="949"/>
      <c r="AA682" s="949"/>
      <c r="AB682" s="949"/>
      <c r="AC682" s="949"/>
      <c r="AD682" s="949"/>
      <c r="AE682" s="949"/>
      <c r="AF682" s="949"/>
      <c r="AG682" s="949"/>
      <c r="AH682" s="949"/>
      <c r="AI682" s="949"/>
      <c r="AJ682" s="949"/>
      <c r="AK682" s="949"/>
      <c r="AL682" s="949"/>
      <c r="AM682" s="953" t="s">
        <v>1062</v>
      </c>
      <c r="AN682" s="954" t="s">
        <v>1216</v>
      </c>
      <c r="AO682" s="955" t="s">
        <v>1084</v>
      </c>
      <c r="AP682" s="931"/>
      <c r="AQ682" s="956"/>
      <c r="AR682" s="957"/>
      <c r="AS682" s="931"/>
    </row>
    <row r="683" ht="15.75" customHeight="1">
      <c r="A683" s="931"/>
      <c r="B683" s="941" t="s">
        <v>2757</v>
      </c>
      <c r="C683" s="942" t="s">
        <v>2758</v>
      </c>
      <c r="D683" s="942" t="s">
        <v>2758</v>
      </c>
      <c r="E683" s="943" t="s">
        <v>2758</v>
      </c>
      <c r="F683" s="935"/>
      <c r="G683" s="944"/>
      <c r="H683" s="944"/>
      <c r="I683" s="959" t="s">
        <v>2759</v>
      </c>
      <c r="J683" s="962" t="s">
        <v>706</v>
      </c>
      <c r="K683" s="976" t="s">
        <v>711</v>
      </c>
      <c r="L683" s="949">
        <v>75.0</v>
      </c>
      <c r="M683" s="949">
        <v>65.0</v>
      </c>
      <c r="N683" s="949">
        <v>55.0</v>
      </c>
      <c r="O683" s="949">
        <v>65.0</v>
      </c>
      <c r="P683" s="949">
        <v>55.0</v>
      </c>
      <c r="Q683" s="949">
        <v>69.0</v>
      </c>
      <c r="R683" s="949">
        <v>174.0</v>
      </c>
      <c r="S683" s="949">
        <v>237.0</v>
      </c>
      <c r="T683" s="949">
        <v>260.0</v>
      </c>
      <c r="U683" s="949"/>
      <c r="V683" s="949"/>
      <c r="W683" s="949"/>
      <c r="X683" s="949"/>
      <c r="Y683" s="949"/>
      <c r="Z683" s="949"/>
      <c r="AA683" s="949"/>
      <c r="AB683" s="949"/>
      <c r="AC683" s="949"/>
      <c r="AD683" s="949"/>
      <c r="AE683" s="949"/>
      <c r="AF683" s="949"/>
      <c r="AG683" s="949"/>
      <c r="AH683" s="949"/>
      <c r="AI683" s="949"/>
      <c r="AJ683" s="949"/>
      <c r="AK683" s="949"/>
      <c r="AL683" s="949"/>
      <c r="AM683" s="953" t="s">
        <v>1062</v>
      </c>
      <c r="AN683" s="954" t="s">
        <v>1216</v>
      </c>
      <c r="AO683" s="955" t="s">
        <v>1084</v>
      </c>
      <c r="AP683" s="931"/>
      <c r="AQ683" s="956"/>
      <c r="AR683" s="957"/>
      <c r="AS683" s="931"/>
    </row>
    <row r="684" ht="15.75" customHeight="1">
      <c r="A684" s="931"/>
      <c r="B684" s="941" t="s">
        <v>2760</v>
      </c>
      <c r="C684" s="942" t="s">
        <v>2761</v>
      </c>
      <c r="D684" s="942" t="s">
        <v>2761</v>
      </c>
      <c r="E684" s="966" t="s">
        <v>2761</v>
      </c>
      <c r="F684" s="935"/>
      <c r="G684" s="944"/>
      <c r="H684" s="944"/>
      <c r="I684" s="959" t="s">
        <v>2762</v>
      </c>
      <c r="J684" s="962" t="s">
        <v>706</v>
      </c>
      <c r="K684" s="976" t="s">
        <v>711</v>
      </c>
      <c r="L684" s="949">
        <v>105.0</v>
      </c>
      <c r="M684" s="949">
        <v>95.0</v>
      </c>
      <c r="N684" s="949">
        <v>75.0</v>
      </c>
      <c r="O684" s="949">
        <v>85.0</v>
      </c>
      <c r="P684" s="949">
        <v>75.0</v>
      </c>
      <c r="Q684" s="949">
        <v>74.0</v>
      </c>
      <c r="R684" s="949">
        <v>184.0</v>
      </c>
      <c r="S684" s="949">
        <v>247.0</v>
      </c>
      <c r="T684" s="949">
        <v>271.0</v>
      </c>
      <c r="U684" s="949"/>
      <c r="V684" s="949"/>
      <c r="W684" s="949"/>
      <c r="X684" s="949"/>
      <c r="Y684" s="949"/>
      <c r="Z684" s="949"/>
      <c r="AA684" s="949"/>
      <c r="AB684" s="949"/>
      <c r="AC684" s="949"/>
      <c r="AD684" s="949"/>
      <c r="AE684" s="949"/>
      <c r="AF684" s="949"/>
      <c r="AG684" s="949"/>
      <c r="AH684" s="949"/>
      <c r="AI684" s="949"/>
      <c r="AJ684" s="949"/>
      <c r="AK684" s="949"/>
      <c r="AL684" s="949"/>
      <c r="AM684" s="953" t="s">
        <v>1062</v>
      </c>
      <c r="AN684" s="954" t="s">
        <v>1224</v>
      </c>
      <c r="AO684" s="955" t="s">
        <v>1084</v>
      </c>
      <c r="AP684" s="931"/>
      <c r="AQ684" s="956"/>
      <c r="AR684" s="957"/>
      <c r="AS684" s="931"/>
    </row>
    <row r="685" ht="15.75" customHeight="1">
      <c r="A685" s="931"/>
      <c r="B685" s="941" t="s">
        <v>2763</v>
      </c>
      <c r="C685" s="942" t="s">
        <v>2764</v>
      </c>
      <c r="D685" s="942" t="s">
        <v>2764</v>
      </c>
      <c r="E685" s="966" t="s">
        <v>2764</v>
      </c>
      <c r="F685" s="935"/>
      <c r="G685" s="944"/>
      <c r="H685" s="944"/>
      <c r="I685" s="959" t="s">
        <v>2765</v>
      </c>
      <c r="J685" s="988" t="s">
        <v>705</v>
      </c>
      <c r="K685" s="954" t="s">
        <v>158</v>
      </c>
      <c r="L685" s="949">
        <v>120.0</v>
      </c>
      <c r="M685" s="949">
        <v>100.0</v>
      </c>
      <c r="N685" s="949">
        <v>85.0</v>
      </c>
      <c r="O685" s="949">
        <v>30.0</v>
      </c>
      <c r="P685" s="949">
        <v>85.0</v>
      </c>
      <c r="Q685" s="949">
        <v>45.0</v>
      </c>
      <c r="R685" s="949">
        <v>126.0</v>
      </c>
      <c r="S685" s="949">
        <v>189.0</v>
      </c>
      <c r="T685" s="949">
        <v>207.0</v>
      </c>
      <c r="U685" s="949"/>
      <c r="V685" s="949"/>
      <c r="W685" s="949"/>
      <c r="X685" s="949"/>
      <c r="Y685" s="949"/>
      <c r="Z685" s="949"/>
      <c r="AA685" s="949"/>
      <c r="AB685" s="949"/>
      <c r="AC685" s="949"/>
      <c r="AD685" s="949"/>
      <c r="AE685" s="949"/>
      <c r="AF685" s="949"/>
      <c r="AG685" s="949"/>
      <c r="AH685" s="949"/>
      <c r="AI685" s="949"/>
      <c r="AJ685" s="949"/>
      <c r="AK685" s="949"/>
      <c r="AL685" s="949"/>
      <c r="AM685" s="953" t="s">
        <v>831</v>
      </c>
      <c r="AN685" s="954" t="s">
        <v>994</v>
      </c>
      <c r="AO685" s="955" t="s">
        <v>1391</v>
      </c>
      <c r="AP685" s="931"/>
      <c r="AQ685" s="956"/>
      <c r="AR685" s="957"/>
      <c r="AS685" s="931"/>
    </row>
    <row r="686" ht="15.75" customHeight="1">
      <c r="A686" s="931"/>
      <c r="B686" s="941" t="s">
        <v>2766</v>
      </c>
      <c r="C686" s="942" t="s">
        <v>2767</v>
      </c>
      <c r="D686" s="942" t="s">
        <v>2767</v>
      </c>
      <c r="E686" s="943" t="s">
        <v>2767</v>
      </c>
      <c r="F686" s="935"/>
      <c r="G686" s="944"/>
      <c r="H686" s="944"/>
      <c r="I686" s="959" t="s">
        <v>2768</v>
      </c>
      <c r="J686" s="988" t="s">
        <v>705</v>
      </c>
      <c r="K686" s="954" t="s">
        <v>158</v>
      </c>
      <c r="L686" s="949">
        <v>75.0</v>
      </c>
      <c r="M686" s="949">
        <v>125.0</v>
      </c>
      <c r="N686" s="949">
        <v>75.0</v>
      </c>
      <c r="O686" s="949">
        <v>30.0</v>
      </c>
      <c r="P686" s="949">
        <v>75.0</v>
      </c>
      <c r="Q686" s="949">
        <v>85.0</v>
      </c>
      <c r="R686" s="949">
        <v>206.0</v>
      </c>
      <c r="S686" s="949">
        <v>269.0</v>
      </c>
      <c r="T686" s="949">
        <v>295.0</v>
      </c>
      <c r="U686" s="949"/>
      <c r="V686" s="949"/>
      <c r="W686" s="949"/>
      <c r="X686" s="949"/>
      <c r="Y686" s="949"/>
      <c r="Z686" s="949"/>
      <c r="AA686" s="949"/>
      <c r="AB686" s="949"/>
      <c r="AC686" s="949"/>
      <c r="AD686" s="949"/>
      <c r="AE686" s="949"/>
      <c r="AF686" s="949"/>
      <c r="AG686" s="949"/>
      <c r="AH686" s="949"/>
      <c r="AI686" s="949"/>
      <c r="AJ686" s="949"/>
      <c r="AK686" s="949"/>
      <c r="AL686" s="949"/>
      <c r="AM686" s="953" t="s">
        <v>1135</v>
      </c>
      <c r="AN686" s="954" t="s">
        <v>994</v>
      </c>
      <c r="AO686" s="955" t="s">
        <v>1391</v>
      </c>
      <c r="AP686" s="931"/>
      <c r="AQ686" s="956"/>
      <c r="AR686" s="957"/>
      <c r="AS686" s="931"/>
    </row>
    <row r="687" ht="15.75" customHeight="1">
      <c r="A687" s="931"/>
      <c r="B687" s="941" t="s">
        <v>2769</v>
      </c>
      <c r="C687" s="942" t="s">
        <v>2770</v>
      </c>
      <c r="D687" s="942" t="s">
        <v>2770</v>
      </c>
      <c r="E687" s="943" t="s">
        <v>2770</v>
      </c>
      <c r="F687" s="935"/>
      <c r="G687" s="944"/>
      <c r="H687" s="944"/>
      <c r="I687" s="959" t="s">
        <v>2771</v>
      </c>
      <c r="J687" s="967" t="s">
        <v>715</v>
      </c>
      <c r="K687" s="947" t="s">
        <v>708</v>
      </c>
      <c r="L687" s="949">
        <v>45.0</v>
      </c>
      <c r="M687" s="949">
        <v>53.0</v>
      </c>
      <c r="N687" s="949">
        <v>70.0</v>
      </c>
      <c r="O687" s="949">
        <v>40.0</v>
      </c>
      <c r="P687" s="949">
        <v>60.0</v>
      </c>
      <c r="Q687" s="949">
        <v>42.0</v>
      </c>
      <c r="R687" s="949">
        <v>120.0</v>
      </c>
      <c r="S687" s="949">
        <v>183.0</v>
      </c>
      <c r="T687" s="949">
        <v>201.0</v>
      </c>
      <c r="U687" s="949"/>
      <c r="V687" s="949"/>
      <c r="W687" s="949"/>
      <c r="X687" s="949"/>
      <c r="Y687" s="949"/>
      <c r="Z687" s="949"/>
      <c r="AA687" s="949"/>
      <c r="AB687" s="949"/>
      <c r="AC687" s="949"/>
      <c r="AD687" s="949"/>
      <c r="AE687" s="949"/>
      <c r="AF687" s="949"/>
      <c r="AG687" s="949"/>
      <c r="AH687" s="949"/>
      <c r="AI687" s="949"/>
      <c r="AJ687" s="949"/>
      <c r="AK687" s="949"/>
      <c r="AL687" s="949"/>
      <c r="AM687" s="953" t="s">
        <v>806</v>
      </c>
      <c r="AN687" s="954" t="s">
        <v>736</v>
      </c>
      <c r="AO687" s="955" t="s">
        <v>1239</v>
      </c>
      <c r="AP687" s="931"/>
      <c r="AQ687" s="956"/>
      <c r="AR687" s="957"/>
      <c r="AS687" s="931"/>
    </row>
    <row r="688" ht="15.75" customHeight="1">
      <c r="A688" s="931"/>
      <c r="B688" s="941" t="s">
        <v>2772</v>
      </c>
      <c r="C688" s="942" t="s">
        <v>2773</v>
      </c>
      <c r="D688" s="942" t="s">
        <v>2773</v>
      </c>
      <c r="E688" s="943" t="s">
        <v>2773</v>
      </c>
      <c r="F688" s="935"/>
      <c r="G688" s="944"/>
      <c r="H688" s="944"/>
      <c r="I688" s="959" t="s">
        <v>2774</v>
      </c>
      <c r="J688" s="967" t="s">
        <v>715</v>
      </c>
      <c r="K688" s="947" t="s">
        <v>708</v>
      </c>
      <c r="L688" s="949">
        <v>55.0</v>
      </c>
      <c r="M688" s="949">
        <v>63.0</v>
      </c>
      <c r="N688" s="949">
        <v>90.0</v>
      </c>
      <c r="O688" s="949">
        <v>50.0</v>
      </c>
      <c r="P688" s="949">
        <v>80.0</v>
      </c>
      <c r="Q688" s="949">
        <v>42.0</v>
      </c>
      <c r="R688" s="949">
        <v>120.0</v>
      </c>
      <c r="S688" s="949">
        <v>183.0</v>
      </c>
      <c r="T688" s="949">
        <v>201.0</v>
      </c>
      <c r="U688" s="949"/>
      <c r="V688" s="949"/>
      <c r="W688" s="949"/>
      <c r="X688" s="949"/>
      <c r="Y688" s="949"/>
      <c r="Z688" s="949"/>
      <c r="AA688" s="949"/>
      <c r="AB688" s="949"/>
      <c r="AC688" s="949"/>
      <c r="AD688" s="949"/>
      <c r="AE688" s="949"/>
      <c r="AF688" s="949"/>
      <c r="AG688" s="949"/>
      <c r="AH688" s="949"/>
      <c r="AI688" s="949"/>
      <c r="AJ688" s="949"/>
      <c r="AK688" s="949"/>
      <c r="AL688" s="949"/>
      <c r="AM688" s="953" t="s">
        <v>1339</v>
      </c>
      <c r="AN688" s="954" t="s">
        <v>736</v>
      </c>
      <c r="AO688" s="955" t="s">
        <v>1239</v>
      </c>
      <c r="AP688" s="931"/>
      <c r="AQ688" s="956"/>
      <c r="AR688" s="957"/>
      <c r="AS688" s="931"/>
    </row>
    <row r="689" ht="15.75" customHeight="1">
      <c r="A689" s="931"/>
      <c r="B689" s="941" t="s">
        <v>2775</v>
      </c>
      <c r="C689" s="942" t="s">
        <v>2776</v>
      </c>
      <c r="D689" s="942" t="s">
        <v>2776</v>
      </c>
      <c r="E689" s="943" t="s">
        <v>2776</v>
      </c>
      <c r="F689" s="935"/>
      <c r="G689" s="944"/>
      <c r="H689" s="944"/>
      <c r="I689" s="959" t="s">
        <v>2777</v>
      </c>
      <c r="J689" s="967" t="s">
        <v>715</v>
      </c>
      <c r="K689" s="947" t="s">
        <v>708</v>
      </c>
      <c r="L689" s="949">
        <v>75.0</v>
      </c>
      <c r="M689" s="949">
        <v>103.0</v>
      </c>
      <c r="N689" s="949">
        <v>80.0</v>
      </c>
      <c r="O689" s="949">
        <v>70.0</v>
      </c>
      <c r="P689" s="949">
        <v>80.0</v>
      </c>
      <c r="Q689" s="949">
        <v>92.0</v>
      </c>
      <c r="R689" s="949">
        <v>220.0</v>
      </c>
      <c r="S689" s="949">
        <v>283.0</v>
      </c>
      <c r="T689" s="949">
        <v>311.0</v>
      </c>
      <c r="U689" s="949"/>
      <c r="V689" s="949"/>
      <c r="W689" s="949"/>
      <c r="X689" s="949"/>
      <c r="Y689" s="949"/>
      <c r="Z689" s="949"/>
      <c r="AA689" s="949"/>
      <c r="AB689" s="949"/>
      <c r="AC689" s="949"/>
      <c r="AD689" s="949"/>
      <c r="AE689" s="949"/>
      <c r="AF689" s="949"/>
      <c r="AG689" s="949"/>
      <c r="AH689" s="949"/>
      <c r="AI689" s="949"/>
      <c r="AJ689" s="949"/>
      <c r="AK689" s="949"/>
      <c r="AL689" s="949"/>
      <c r="AM689" s="953" t="s">
        <v>806</v>
      </c>
      <c r="AN689" s="954" t="s">
        <v>736</v>
      </c>
      <c r="AO689" s="955" t="s">
        <v>1239</v>
      </c>
      <c r="AP689" s="931"/>
      <c r="AQ689" s="956"/>
      <c r="AR689" s="957"/>
      <c r="AS689" s="931"/>
    </row>
    <row r="690" ht="15.75" customHeight="1">
      <c r="A690" s="931"/>
      <c r="B690" s="941" t="s">
        <v>2778</v>
      </c>
      <c r="C690" s="942" t="s">
        <v>2779</v>
      </c>
      <c r="D690" s="942" t="s">
        <v>2779</v>
      </c>
      <c r="E690" s="943" t="s">
        <v>2779</v>
      </c>
      <c r="F690" s="935"/>
      <c r="G690" s="944"/>
      <c r="H690" s="944"/>
      <c r="I690" s="959" t="s">
        <v>2780</v>
      </c>
      <c r="J690" s="967" t="s">
        <v>715</v>
      </c>
      <c r="K690" s="948" t="s">
        <v>709</v>
      </c>
      <c r="L690" s="949">
        <v>30.0</v>
      </c>
      <c r="M690" s="949">
        <v>45.0</v>
      </c>
      <c r="N690" s="949">
        <v>59.0</v>
      </c>
      <c r="O690" s="949">
        <v>30.0</v>
      </c>
      <c r="P690" s="949">
        <v>39.0</v>
      </c>
      <c r="Q690" s="949">
        <v>57.0</v>
      </c>
      <c r="R690" s="949">
        <v>150.0</v>
      </c>
      <c r="S690" s="949">
        <v>213.0</v>
      </c>
      <c r="T690" s="949">
        <v>234.0</v>
      </c>
      <c r="U690" s="949"/>
      <c r="V690" s="949"/>
      <c r="W690" s="949"/>
      <c r="X690" s="949"/>
      <c r="Y690" s="949"/>
      <c r="Z690" s="949"/>
      <c r="AA690" s="949"/>
      <c r="AB690" s="949"/>
      <c r="AC690" s="949"/>
      <c r="AD690" s="949"/>
      <c r="AE690" s="949"/>
      <c r="AF690" s="949"/>
      <c r="AG690" s="949"/>
      <c r="AH690" s="949"/>
      <c r="AI690" s="949"/>
      <c r="AJ690" s="949"/>
      <c r="AK690" s="949"/>
      <c r="AL690" s="949"/>
      <c r="AM690" s="953" t="s">
        <v>942</v>
      </c>
      <c r="AN690" s="954" t="s">
        <v>806</v>
      </c>
      <c r="AO690" s="955" t="s">
        <v>1626</v>
      </c>
      <c r="AP690" s="931"/>
      <c r="AQ690" s="956"/>
      <c r="AR690" s="957"/>
      <c r="AS690" s="931"/>
    </row>
    <row r="691" ht="15.75" customHeight="1">
      <c r="A691" s="931"/>
      <c r="B691" s="941" t="s">
        <v>2781</v>
      </c>
      <c r="C691" s="942" t="s">
        <v>2782</v>
      </c>
      <c r="D691" s="942" t="s">
        <v>2782</v>
      </c>
      <c r="E691" s="943" t="s">
        <v>2782</v>
      </c>
      <c r="F691" s="935"/>
      <c r="G691" s="944"/>
      <c r="H691" s="944"/>
      <c r="I691" s="959" t="s">
        <v>2783</v>
      </c>
      <c r="J691" s="967" t="s">
        <v>715</v>
      </c>
      <c r="K691" s="948" t="s">
        <v>709</v>
      </c>
      <c r="L691" s="949">
        <v>40.0</v>
      </c>
      <c r="M691" s="949">
        <v>55.0</v>
      </c>
      <c r="N691" s="949">
        <v>99.0</v>
      </c>
      <c r="O691" s="949">
        <v>40.0</v>
      </c>
      <c r="P691" s="949">
        <v>79.0</v>
      </c>
      <c r="Q691" s="949">
        <v>47.0</v>
      </c>
      <c r="R691" s="949">
        <v>130.0</v>
      </c>
      <c r="S691" s="949">
        <v>193.0</v>
      </c>
      <c r="T691" s="949">
        <v>212.0</v>
      </c>
      <c r="U691" s="949"/>
      <c r="V691" s="949"/>
      <c r="W691" s="949"/>
      <c r="X691" s="949"/>
      <c r="Y691" s="949"/>
      <c r="Z691" s="949"/>
      <c r="AA691" s="949"/>
      <c r="AB691" s="949"/>
      <c r="AC691" s="949"/>
      <c r="AD691" s="949"/>
      <c r="AE691" s="949"/>
      <c r="AF691" s="949"/>
      <c r="AG691" s="949"/>
      <c r="AH691" s="949"/>
      <c r="AI691" s="949"/>
      <c r="AJ691" s="949"/>
      <c r="AK691" s="949"/>
      <c r="AL691" s="949"/>
      <c r="AM691" s="953" t="s">
        <v>942</v>
      </c>
      <c r="AN691" s="954" t="s">
        <v>806</v>
      </c>
      <c r="AO691" s="955" t="s">
        <v>1626</v>
      </c>
      <c r="AP691" s="931"/>
      <c r="AQ691" s="956"/>
      <c r="AR691" s="957"/>
      <c r="AS691" s="931"/>
    </row>
    <row r="692" ht="15.75" customHeight="1">
      <c r="A692" s="931"/>
      <c r="B692" s="941" t="s">
        <v>2784</v>
      </c>
      <c r="C692" s="942" t="s">
        <v>2785</v>
      </c>
      <c r="D692" s="942" t="s">
        <v>2785</v>
      </c>
      <c r="E692" s="943" t="s">
        <v>2785</v>
      </c>
      <c r="F692" s="935"/>
      <c r="G692" s="944"/>
      <c r="H692" s="944"/>
      <c r="I692" s="959" t="s">
        <v>2786</v>
      </c>
      <c r="J692" s="967" t="s">
        <v>715</v>
      </c>
      <c r="K692" s="948" t="s">
        <v>709</v>
      </c>
      <c r="L692" s="949">
        <v>60.0</v>
      </c>
      <c r="M692" s="949">
        <v>100.0</v>
      </c>
      <c r="N692" s="949">
        <v>89.0</v>
      </c>
      <c r="O692" s="949">
        <v>55.0</v>
      </c>
      <c r="P692" s="949">
        <v>69.0</v>
      </c>
      <c r="Q692" s="949">
        <v>112.0</v>
      </c>
      <c r="R692" s="949">
        <v>260.0</v>
      </c>
      <c r="S692" s="949">
        <v>323.0</v>
      </c>
      <c r="T692" s="949">
        <v>355.0</v>
      </c>
      <c r="U692" s="949"/>
      <c r="V692" s="949"/>
      <c r="W692" s="949"/>
      <c r="X692" s="949"/>
      <c r="Y692" s="949"/>
      <c r="Z692" s="949"/>
      <c r="AA692" s="949"/>
      <c r="AB692" s="949"/>
      <c r="AC692" s="949"/>
      <c r="AD692" s="949"/>
      <c r="AE692" s="949"/>
      <c r="AF692" s="949"/>
      <c r="AG692" s="949"/>
      <c r="AH692" s="949"/>
      <c r="AI692" s="949"/>
      <c r="AJ692" s="949"/>
      <c r="AK692" s="949"/>
      <c r="AL692" s="949"/>
      <c r="AM692" s="953" t="s">
        <v>942</v>
      </c>
      <c r="AN692" s="954" t="s">
        <v>806</v>
      </c>
      <c r="AO692" s="955" t="s">
        <v>1626</v>
      </c>
      <c r="AP692" s="931"/>
      <c r="AQ692" s="956"/>
      <c r="AR692" s="957"/>
      <c r="AS692" s="931"/>
    </row>
    <row r="693" ht="15.75" customHeight="1">
      <c r="A693" s="931"/>
      <c r="B693" s="941" t="s">
        <v>2787</v>
      </c>
      <c r="C693" s="942" t="s">
        <v>2788</v>
      </c>
      <c r="D693" s="942" t="s">
        <v>2788</v>
      </c>
      <c r="E693" s="943" t="s">
        <v>2788</v>
      </c>
      <c r="F693" s="935"/>
      <c r="G693" s="944"/>
      <c r="H693" s="944"/>
      <c r="I693" s="959" t="s">
        <v>2789</v>
      </c>
      <c r="J693" s="947" t="s">
        <v>708</v>
      </c>
      <c r="K693" s="980" t="s">
        <v>720</v>
      </c>
      <c r="L693" s="949">
        <v>40.0</v>
      </c>
      <c r="M693" s="949">
        <v>27.0</v>
      </c>
      <c r="N693" s="949">
        <v>60.0</v>
      </c>
      <c r="O693" s="949">
        <v>37.0</v>
      </c>
      <c r="P693" s="949">
        <v>50.0</v>
      </c>
      <c r="Q693" s="949">
        <v>66.0</v>
      </c>
      <c r="R693" s="949">
        <v>168.0</v>
      </c>
      <c r="S693" s="949">
        <v>231.0</v>
      </c>
      <c r="T693" s="949">
        <v>254.0</v>
      </c>
      <c r="U693" s="949"/>
      <c r="V693" s="949"/>
      <c r="W693" s="949"/>
      <c r="X693" s="949"/>
      <c r="Y693" s="949"/>
      <c r="Z693" s="949"/>
      <c r="AA693" s="949"/>
      <c r="AB693" s="949"/>
      <c r="AC693" s="949"/>
      <c r="AD693" s="949"/>
      <c r="AE693" s="949"/>
      <c r="AF693" s="949"/>
      <c r="AG693" s="949"/>
      <c r="AH693" s="949"/>
      <c r="AI693" s="949"/>
      <c r="AJ693" s="949"/>
      <c r="AK693" s="949"/>
      <c r="AL693" s="949"/>
      <c r="AM693" s="953" t="s">
        <v>1641</v>
      </c>
      <c r="AN693" s="954" t="s">
        <v>995</v>
      </c>
      <c r="AO693" s="955" t="s">
        <v>736</v>
      </c>
      <c r="AP693" s="931"/>
      <c r="AQ693" s="956"/>
      <c r="AR693" s="957"/>
      <c r="AS693" s="931"/>
    </row>
    <row r="694" ht="15.75" customHeight="1">
      <c r="A694" s="931"/>
      <c r="B694" s="941" t="s">
        <v>2790</v>
      </c>
      <c r="C694" s="942" t="s">
        <v>2791</v>
      </c>
      <c r="D694" s="942" t="s">
        <v>2791</v>
      </c>
      <c r="E694" s="943" t="s">
        <v>2791</v>
      </c>
      <c r="F694" s="935"/>
      <c r="G694" s="944"/>
      <c r="H694" s="944"/>
      <c r="I694" s="959" t="s">
        <v>2792</v>
      </c>
      <c r="J694" s="947" t="s">
        <v>708</v>
      </c>
      <c r="K694" s="980" t="s">
        <v>720</v>
      </c>
      <c r="L694" s="949">
        <v>60.0</v>
      </c>
      <c r="M694" s="949">
        <v>67.0</v>
      </c>
      <c r="N694" s="949">
        <v>85.0</v>
      </c>
      <c r="O694" s="949">
        <v>77.0</v>
      </c>
      <c r="P694" s="949">
        <v>75.0</v>
      </c>
      <c r="Q694" s="949">
        <v>116.0</v>
      </c>
      <c r="R694" s="949">
        <v>268.0</v>
      </c>
      <c r="S694" s="949">
        <v>331.0</v>
      </c>
      <c r="T694" s="949">
        <v>364.0</v>
      </c>
      <c r="U694" s="949"/>
      <c r="V694" s="949"/>
      <c r="W694" s="949"/>
      <c r="X694" s="949"/>
      <c r="Y694" s="949"/>
      <c r="Z694" s="949"/>
      <c r="AA694" s="949"/>
      <c r="AB694" s="949"/>
      <c r="AC694" s="949"/>
      <c r="AD694" s="949"/>
      <c r="AE694" s="949"/>
      <c r="AF694" s="949"/>
      <c r="AG694" s="949"/>
      <c r="AH694" s="949"/>
      <c r="AI694" s="949"/>
      <c r="AJ694" s="949"/>
      <c r="AK694" s="949"/>
      <c r="AL694" s="949"/>
      <c r="AM694" s="953" t="s">
        <v>1641</v>
      </c>
      <c r="AN694" s="954" t="s">
        <v>995</v>
      </c>
      <c r="AO694" s="955" t="s">
        <v>736</v>
      </c>
      <c r="AP694" s="931"/>
      <c r="AQ694" s="956"/>
      <c r="AR694" s="957"/>
      <c r="AS694" s="931"/>
    </row>
    <row r="695" ht="15.75" customHeight="1">
      <c r="A695" s="931"/>
      <c r="B695" s="941" t="s">
        <v>2793</v>
      </c>
      <c r="C695" s="942" t="s">
        <v>2794</v>
      </c>
      <c r="D695" s="942" t="s">
        <v>2794</v>
      </c>
      <c r="E695" s="943" t="s">
        <v>2794</v>
      </c>
      <c r="F695" s="935"/>
      <c r="G695" s="944"/>
      <c r="H695" s="944"/>
      <c r="I695" s="959" t="s">
        <v>2795</v>
      </c>
      <c r="J695" s="947" t="s">
        <v>708</v>
      </c>
      <c r="K695" s="954" t="s">
        <v>158</v>
      </c>
      <c r="L695" s="949">
        <v>45.0</v>
      </c>
      <c r="M695" s="949">
        <v>35.0</v>
      </c>
      <c r="N695" s="949">
        <v>50.0</v>
      </c>
      <c r="O695" s="949">
        <v>70.0</v>
      </c>
      <c r="P695" s="949">
        <v>50.0</v>
      </c>
      <c r="Q695" s="949">
        <v>30.0</v>
      </c>
      <c r="R695" s="949">
        <v>96.0</v>
      </c>
      <c r="S695" s="949">
        <v>159.0</v>
      </c>
      <c r="T695" s="949">
        <v>174.0</v>
      </c>
      <c r="U695" s="949"/>
      <c r="V695" s="949"/>
      <c r="W695" s="949"/>
      <c r="X695" s="949"/>
      <c r="Y695" s="949"/>
      <c r="Z695" s="949"/>
      <c r="AA695" s="949"/>
      <c r="AB695" s="949"/>
      <c r="AC695" s="949"/>
      <c r="AD695" s="949"/>
      <c r="AE695" s="949"/>
      <c r="AF695" s="949"/>
      <c r="AG695" s="949"/>
      <c r="AH695" s="949"/>
      <c r="AI695" s="949"/>
      <c r="AJ695" s="949"/>
      <c r="AK695" s="949"/>
      <c r="AL695" s="949"/>
      <c r="AM695" s="953" t="s">
        <v>736</v>
      </c>
      <c r="AN695" s="954" t="s">
        <v>1176</v>
      </c>
      <c r="AO695" s="955" t="s">
        <v>1339</v>
      </c>
      <c r="AP695" s="931"/>
      <c r="AQ695" s="956"/>
      <c r="AR695" s="957"/>
      <c r="AS695" s="931"/>
    </row>
    <row r="696" ht="15.75" customHeight="1">
      <c r="A696" s="931"/>
      <c r="B696" s="941" t="s">
        <v>2796</v>
      </c>
      <c r="C696" s="942" t="s">
        <v>251</v>
      </c>
      <c r="D696" s="942" t="s">
        <v>251</v>
      </c>
      <c r="E696" s="943" t="s">
        <v>251</v>
      </c>
      <c r="F696" s="935"/>
      <c r="G696" s="944"/>
      <c r="H696" s="944"/>
      <c r="I696" s="959" t="s">
        <v>124</v>
      </c>
      <c r="J696" s="947" t="s">
        <v>708</v>
      </c>
      <c r="K696" s="954" t="s">
        <v>158</v>
      </c>
      <c r="L696" s="949">
        <v>70.0</v>
      </c>
      <c r="M696" s="949">
        <v>60.0</v>
      </c>
      <c r="N696" s="949">
        <v>75.0</v>
      </c>
      <c r="O696" s="949">
        <v>110.0</v>
      </c>
      <c r="P696" s="949">
        <v>75.0</v>
      </c>
      <c r="Q696" s="949">
        <v>90.0</v>
      </c>
      <c r="R696" s="949">
        <v>216.0</v>
      </c>
      <c r="S696" s="949">
        <v>279.0</v>
      </c>
      <c r="T696" s="949">
        <v>306.0</v>
      </c>
      <c r="U696" s="949"/>
      <c r="V696" s="949"/>
      <c r="W696" s="949"/>
      <c r="X696" s="949"/>
      <c r="Y696" s="949"/>
      <c r="Z696" s="949"/>
      <c r="AA696" s="949"/>
      <c r="AB696" s="949"/>
      <c r="AC696" s="949"/>
      <c r="AD696" s="949"/>
      <c r="AE696" s="949"/>
      <c r="AF696" s="949"/>
      <c r="AG696" s="949"/>
      <c r="AH696" s="949"/>
      <c r="AI696" s="949"/>
      <c r="AJ696" s="949"/>
      <c r="AK696" s="949"/>
      <c r="AL696" s="949"/>
      <c r="AM696" s="953" t="s">
        <v>736</v>
      </c>
      <c r="AN696" s="954" t="s">
        <v>1176</v>
      </c>
      <c r="AO696" s="955" t="s">
        <v>1339</v>
      </c>
      <c r="AP696" s="931"/>
      <c r="AQ696" s="956"/>
      <c r="AR696" s="957"/>
      <c r="AS696" s="931"/>
    </row>
    <row r="697" ht="15.75" customHeight="1">
      <c r="A697" s="931"/>
      <c r="B697" s="941" t="s">
        <v>2797</v>
      </c>
      <c r="C697" s="942" t="s">
        <v>2798</v>
      </c>
      <c r="D697" s="942" t="s">
        <v>2799</v>
      </c>
      <c r="E697" s="943" t="s">
        <v>2798</v>
      </c>
      <c r="F697" s="935"/>
      <c r="G697" s="944"/>
      <c r="H697" s="944"/>
      <c r="I697" s="959" t="s">
        <v>2800</v>
      </c>
      <c r="J697" s="953"/>
      <c r="K697" s="954"/>
      <c r="L697" s="949"/>
      <c r="M697" s="949"/>
      <c r="N697" s="949"/>
      <c r="O697" s="949"/>
      <c r="P697" s="949"/>
      <c r="Q697" s="949"/>
      <c r="R697" s="949" t="s">
        <v>2801</v>
      </c>
      <c r="S697" s="949" t="s">
        <v>2801</v>
      </c>
      <c r="T697" s="949" t="s">
        <v>2801</v>
      </c>
      <c r="U697" s="949"/>
      <c r="V697" s="949"/>
      <c r="W697" s="949"/>
      <c r="X697" s="949"/>
      <c r="Y697" s="949"/>
      <c r="Z697" s="949"/>
      <c r="AA697" s="949"/>
      <c r="AB697" s="949"/>
      <c r="AC697" s="949"/>
      <c r="AD697" s="949"/>
      <c r="AE697" s="949"/>
      <c r="AF697" s="949"/>
      <c r="AG697" s="949"/>
      <c r="AH697" s="949"/>
      <c r="AI697" s="949"/>
      <c r="AJ697" s="949"/>
      <c r="AK697" s="949"/>
      <c r="AL697" s="949"/>
      <c r="AM697" s="953"/>
      <c r="AN697" s="954"/>
      <c r="AO697" s="955"/>
      <c r="AP697" s="931"/>
      <c r="AQ697" s="956"/>
      <c r="AR697" s="957"/>
      <c r="AS697" s="931"/>
    </row>
    <row r="698" ht="15.75" customHeight="1">
      <c r="A698" s="931"/>
      <c r="B698" s="941" t="s">
        <v>2802</v>
      </c>
      <c r="C698" s="942" t="s">
        <v>2803</v>
      </c>
      <c r="D698" s="942" t="s">
        <v>2803</v>
      </c>
      <c r="E698" s="943" t="s">
        <v>2803</v>
      </c>
      <c r="F698" s="935"/>
      <c r="G698" s="944"/>
      <c r="H698" s="944"/>
      <c r="I698" s="959" t="s">
        <v>509</v>
      </c>
      <c r="J698" s="962" t="s">
        <v>706</v>
      </c>
      <c r="K698" s="954" t="s">
        <v>158</v>
      </c>
      <c r="L698" s="949">
        <v>70.0</v>
      </c>
      <c r="M698" s="949">
        <v>92.0</v>
      </c>
      <c r="N698" s="949">
        <v>65.0</v>
      </c>
      <c r="O698" s="949">
        <v>80.0</v>
      </c>
      <c r="P698" s="949">
        <v>55.0</v>
      </c>
      <c r="Q698" s="949">
        <v>98.0</v>
      </c>
      <c r="R698" s="949">
        <v>232.0</v>
      </c>
      <c r="S698" s="949">
        <v>295.0</v>
      </c>
      <c r="T698" s="949">
        <v>324.0</v>
      </c>
      <c r="U698" s="949"/>
      <c r="V698" s="949"/>
      <c r="W698" s="949"/>
      <c r="X698" s="949"/>
      <c r="Y698" s="949"/>
      <c r="Z698" s="949"/>
      <c r="AA698" s="949"/>
      <c r="AB698" s="949"/>
      <c r="AC698" s="949"/>
      <c r="AD698" s="949"/>
      <c r="AE698" s="949"/>
      <c r="AF698" s="949"/>
      <c r="AG698" s="949"/>
      <c r="AH698" s="949"/>
      <c r="AI698" s="949"/>
      <c r="AJ698" s="949"/>
      <c r="AK698" s="949"/>
      <c r="AL698" s="949"/>
      <c r="AM698" s="953" t="s">
        <v>1305</v>
      </c>
      <c r="AN698" s="954" t="s">
        <v>811</v>
      </c>
      <c r="AO698" s="955" t="s">
        <v>1391</v>
      </c>
      <c r="AP698" s="931"/>
      <c r="AQ698" s="956"/>
      <c r="AR698" s="957"/>
      <c r="AS698" s="931"/>
    </row>
    <row r="699" ht="15.75" customHeight="1">
      <c r="A699" s="931"/>
      <c r="B699" s="941" t="s">
        <v>2804</v>
      </c>
      <c r="C699" s="942" t="s">
        <v>2805</v>
      </c>
      <c r="D699" s="942" t="s">
        <v>2806</v>
      </c>
      <c r="E699" s="943" t="s">
        <v>2805</v>
      </c>
      <c r="F699" s="935"/>
      <c r="G699" s="944"/>
      <c r="H699" s="944"/>
      <c r="I699" s="959" t="s">
        <v>2807</v>
      </c>
      <c r="J699" s="962" t="s">
        <v>706</v>
      </c>
      <c r="K699" s="954" t="s">
        <v>158</v>
      </c>
      <c r="L699" s="949">
        <v>70.0</v>
      </c>
      <c r="M699" s="949">
        <v>92.0</v>
      </c>
      <c r="N699" s="949">
        <v>65.0</v>
      </c>
      <c r="O699" s="949">
        <v>80.0</v>
      </c>
      <c r="P699" s="949">
        <v>55.0</v>
      </c>
      <c r="Q699" s="949">
        <v>98.0</v>
      </c>
      <c r="R699" s="949">
        <v>232.0</v>
      </c>
      <c r="S699" s="949">
        <v>295.0</v>
      </c>
      <c r="T699" s="949">
        <v>324.0</v>
      </c>
      <c r="U699" s="949"/>
      <c r="V699" s="949"/>
      <c r="W699" s="949"/>
      <c r="X699" s="949"/>
      <c r="Y699" s="949"/>
      <c r="Z699" s="949"/>
      <c r="AA699" s="949"/>
      <c r="AB699" s="949"/>
      <c r="AC699" s="949"/>
      <c r="AD699" s="949"/>
      <c r="AE699" s="949"/>
      <c r="AF699" s="949"/>
      <c r="AG699" s="949"/>
      <c r="AH699" s="949"/>
      <c r="AI699" s="949"/>
      <c r="AJ699" s="949"/>
      <c r="AK699" s="949"/>
      <c r="AL699" s="949"/>
      <c r="AM699" s="953" t="s">
        <v>1077</v>
      </c>
      <c r="AN699" s="954" t="s">
        <v>811</v>
      </c>
      <c r="AO699" s="955" t="s">
        <v>1391</v>
      </c>
      <c r="AP699" s="931"/>
      <c r="AQ699" s="956"/>
      <c r="AR699" s="957"/>
      <c r="AS699" s="931"/>
    </row>
    <row r="700" ht="15.75" customHeight="1">
      <c r="A700" s="931"/>
      <c r="B700" s="941" t="s">
        <v>2808</v>
      </c>
      <c r="C700" s="942" t="s">
        <v>2809</v>
      </c>
      <c r="D700" s="942" t="s">
        <v>2809</v>
      </c>
      <c r="E700" s="943" t="s">
        <v>2809</v>
      </c>
      <c r="F700" s="935"/>
      <c r="G700" s="944"/>
      <c r="H700" s="944"/>
      <c r="I700" s="946" t="s">
        <v>619</v>
      </c>
      <c r="J700" s="976" t="s">
        <v>711</v>
      </c>
      <c r="K700" s="969" t="s">
        <v>718</v>
      </c>
      <c r="L700" s="949">
        <v>50.0</v>
      </c>
      <c r="M700" s="949">
        <v>72.0</v>
      </c>
      <c r="N700" s="949">
        <v>35.0</v>
      </c>
      <c r="O700" s="949">
        <v>35.0</v>
      </c>
      <c r="P700" s="949">
        <v>35.0</v>
      </c>
      <c r="Q700" s="949">
        <v>65.0</v>
      </c>
      <c r="R700" s="949">
        <v>166.0</v>
      </c>
      <c r="S700" s="949">
        <v>229.0</v>
      </c>
      <c r="T700" s="949">
        <v>251.0</v>
      </c>
      <c r="U700" s="949"/>
      <c r="V700" s="949"/>
      <c r="W700" s="949"/>
      <c r="X700" s="949"/>
      <c r="Y700" s="949"/>
      <c r="Z700" s="949"/>
      <c r="AA700" s="949"/>
      <c r="AB700" s="949"/>
      <c r="AC700" s="949"/>
      <c r="AD700" s="949"/>
      <c r="AE700" s="949"/>
      <c r="AF700" s="949"/>
      <c r="AG700" s="949"/>
      <c r="AH700" s="949"/>
      <c r="AI700" s="949"/>
      <c r="AJ700" s="949"/>
      <c r="AK700" s="949"/>
      <c r="AL700" s="949"/>
      <c r="AM700" s="964" t="s">
        <v>854</v>
      </c>
      <c r="AN700" s="954" t="s">
        <v>1392</v>
      </c>
      <c r="AO700" s="955" t="s">
        <v>1068</v>
      </c>
      <c r="AP700" s="931"/>
      <c r="AQ700" s="956"/>
      <c r="AR700" s="957"/>
      <c r="AS700" s="931"/>
    </row>
    <row r="701" ht="15.75" customHeight="1">
      <c r="A701" s="931"/>
      <c r="B701" s="941" t="s">
        <v>2810</v>
      </c>
      <c r="C701" s="942" t="s">
        <v>2811</v>
      </c>
      <c r="D701" s="942" t="s">
        <v>2811</v>
      </c>
      <c r="E701" s="943" t="s">
        <v>2811</v>
      </c>
      <c r="F701" s="935"/>
      <c r="G701" s="944"/>
      <c r="H701" s="944"/>
      <c r="I701" s="959" t="s">
        <v>543</v>
      </c>
      <c r="J701" s="976" t="s">
        <v>711</v>
      </c>
      <c r="K701" s="969" t="s">
        <v>718</v>
      </c>
      <c r="L701" s="949">
        <v>60.0</v>
      </c>
      <c r="M701" s="949">
        <v>82.0</v>
      </c>
      <c r="N701" s="949">
        <v>45.0</v>
      </c>
      <c r="O701" s="949">
        <v>45.0</v>
      </c>
      <c r="P701" s="949">
        <v>45.0</v>
      </c>
      <c r="Q701" s="949">
        <v>74.0</v>
      </c>
      <c r="R701" s="949">
        <v>184.0</v>
      </c>
      <c r="S701" s="949">
        <v>247.0</v>
      </c>
      <c r="T701" s="949">
        <v>271.0</v>
      </c>
      <c r="U701" s="949"/>
      <c r="V701" s="949"/>
      <c r="W701" s="949"/>
      <c r="X701" s="949"/>
      <c r="Y701" s="949"/>
      <c r="Z701" s="949"/>
      <c r="AA701" s="949"/>
      <c r="AB701" s="949"/>
      <c r="AC701" s="949"/>
      <c r="AD701" s="949"/>
      <c r="AE701" s="949"/>
      <c r="AF701" s="949"/>
      <c r="AG701" s="949"/>
      <c r="AH701" s="949"/>
      <c r="AI701" s="949"/>
      <c r="AJ701" s="949"/>
      <c r="AK701" s="949"/>
      <c r="AL701" s="949"/>
      <c r="AM701" s="964" t="s">
        <v>854</v>
      </c>
      <c r="AN701" s="954" t="s">
        <v>1392</v>
      </c>
      <c r="AO701" s="955" t="s">
        <v>1068</v>
      </c>
      <c r="AP701" s="931"/>
      <c r="AQ701" s="956"/>
      <c r="AR701" s="957"/>
      <c r="AS701" s="931"/>
    </row>
    <row r="702" ht="15.75" customHeight="1">
      <c r="A702" s="931"/>
      <c r="B702" s="941" t="s">
        <v>2812</v>
      </c>
      <c r="C702" s="942" t="s">
        <v>2813</v>
      </c>
      <c r="D702" s="942" t="s">
        <v>2813</v>
      </c>
      <c r="E702" s="943" t="s">
        <v>2813</v>
      </c>
      <c r="F702" s="935"/>
      <c r="G702" s="944"/>
      <c r="H702" s="944"/>
      <c r="I702" s="959" t="s">
        <v>415</v>
      </c>
      <c r="J702" s="976" t="s">
        <v>711</v>
      </c>
      <c r="K702" s="969" t="s">
        <v>718</v>
      </c>
      <c r="L702" s="949">
        <v>95.0</v>
      </c>
      <c r="M702" s="949">
        <v>117.0</v>
      </c>
      <c r="N702" s="949">
        <v>80.0</v>
      </c>
      <c r="O702" s="949">
        <v>65.0</v>
      </c>
      <c r="P702" s="949">
        <v>70.0</v>
      </c>
      <c r="Q702" s="949">
        <v>92.0</v>
      </c>
      <c r="R702" s="949">
        <v>220.0</v>
      </c>
      <c r="S702" s="949">
        <v>283.0</v>
      </c>
      <c r="T702" s="949">
        <v>311.0</v>
      </c>
      <c r="U702" s="949"/>
      <c r="V702" s="949"/>
      <c r="W702" s="949"/>
      <c r="X702" s="949"/>
      <c r="Y702" s="949"/>
      <c r="Z702" s="949"/>
      <c r="AA702" s="949"/>
      <c r="AB702" s="949"/>
      <c r="AC702" s="949"/>
      <c r="AD702" s="949"/>
      <c r="AE702" s="949"/>
      <c r="AF702" s="949"/>
      <c r="AG702" s="949"/>
      <c r="AH702" s="949"/>
      <c r="AI702" s="949"/>
      <c r="AJ702" s="949"/>
      <c r="AK702" s="949"/>
      <c r="AL702" s="949"/>
      <c r="AM702" s="964" t="s">
        <v>854</v>
      </c>
      <c r="AN702" s="954" t="s">
        <v>1392</v>
      </c>
      <c r="AO702" s="955" t="s">
        <v>1068</v>
      </c>
      <c r="AP702" s="931"/>
      <c r="AQ702" s="956"/>
      <c r="AR702" s="957"/>
      <c r="AS702" s="931"/>
    </row>
    <row r="703" ht="15.75" customHeight="1">
      <c r="A703" s="931"/>
      <c r="B703" s="941" t="s">
        <v>2814</v>
      </c>
      <c r="C703" s="942" t="s">
        <v>2815</v>
      </c>
      <c r="D703" s="942" t="s">
        <v>2815</v>
      </c>
      <c r="E703" s="943" t="s">
        <v>2815</v>
      </c>
      <c r="F703" s="935"/>
      <c r="G703" s="944"/>
      <c r="H703" s="944"/>
      <c r="I703" s="946" t="s">
        <v>2816</v>
      </c>
      <c r="J703" s="958" t="s">
        <v>704</v>
      </c>
      <c r="K703" s="954" t="s">
        <v>158</v>
      </c>
      <c r="L703" s="949">
        <v>70.0</v>
      </c>
      <c r="M703" s="949">
        <v>90.0</v>
      </c>
      <c r="N703" s="949">
        <v>45.0</v>
      </c>
      <c r="O703" s="949">
        <v>15.0</v>
      </c>
      <c r="P703" s="949">
        <v>45.0</v>
      </c>
      <c r="Q703" s="949">
        <v>50.0</v>
      </c>
      <c r="R703" s="949">
        <v>136.0</v>
      </c>
      <c r="S703" s="949">
        <v>199.0</v>
      </c>
      <c r="T703" s="949">
        <v>218.0</v>
      </c>
      <c r="U703" s="949"/>
      <c r="V703" s="949"/>
      <c r="W703" s="949"/>
      <c r="X703" s="949"/>
      <c r="Y703" s="949"/>
      <c r="Z703" s="949"/>
      <c r="AA703" s="949"/>
      <c r="AB703" s="949"/>
      <c r="AC703" s="949"/>
      <c r="AD703" s="949"/>
      <c r="AE703" s="949"/>
      <c r="AF703" s="949"/>
      <c r="AG703" s="949"/>
      <c r="AH703" s="949"/>
      <c r="AI703" s="949"/>
      <c r="AJ703" s="949"/>
      <c r="AK703" s="949"/>
      <c r="AL703" s="949"/>
      <c r="AM703" s="964" t="s">
        <v>832</v>
      </c>
      <c r="AN703" s="954"/>
      <c r="AO703" s="955" t="s">
        <v>994</v>
      </c>
      <c r="AP703" s="931"/>
      <c r="AQ703" s="956"/>
      <c r="AR703" s="957"/>
      <c r="AS703" s="931"/>
    </row>
    <row r="704" ht="15.75" customHeight="1">
      <c r="A704" s="963"/>
      <c r="B704" s="941" t="s">
        <v>2817</v>
      </c>
      <c r="C704" s="971" t="s">
        <v>2818</v>
      </c>
      <c r="D704" s="971" t="s">
        <v>2818</v>
      </c>
      <c r="E704" s="966" t="s">
        <v>2819</v>
      </c>
      <c r="F704" s="935"/>
      <c r="G704" s="944"/>
      <c r="H704" s="944"/>
      <c r="I704" s="959" t="s">
        <v>2820</v>
      </c>
      <c r="J704" s="998" t="s">
        <v>714</v>
      </c>
      <c r="K704" s="973" t="s">
        <v>158</v>
      </c>
      <c r="L704" s="974">
        <v>70.0</v>
      </c>
      <c r="M704" s="974">
        <v>90.0</v>
      </c>
      <c r="N704" s="974">
        <v>45.0</v>
      </c>
      <c r="O704" s="974">
        <v>15.0</v>
      </c>
      <c r="P704" s="974">
        <v>45.0</v>
      </c>
      <c r="Q704" s="974">
        <v>50.0</v>
      </c>
      <c r="R704" s="949">
        <v>136.0</v>
      </c>
      <c r="S704" s="949">
        <v>199.0</v>
      </c>
      <c r="T704" s="949">
        <v>218.0</v>
      </c>
      <c r="U704" s="949"/>
      <c r="V704" s="949"/>
      <c r="W704" s="949"/>
      <c r="X704" s="949"/>
      <c r="Y704" s="949"/>
      <c r="Z704" s="949"/>
      <c r="AA704" s="949"/>
      <c r="AB704" s="949"/>
      <c r="AC704" s="949"/>
      <c r="AD704" s="949"/>
      <c r="AE704" s="949"/>
      <c r="AF704" s="949"/>
      <c r="AG704" s="949"/>
      <c r="AH704" s="949"/>
      <c r="AI704" s="949"/>
      <c r="AJ704" s="949"/>
      <c r="AK704" s="949"/>
      <c r="AL704" s="949"/>
      <c r="AM704" s="964" t="s">
        <v>832</v>
      </c>
      <c r="AN704" s="954"/>
      <c r="AO704" s="965" t="s">
        <v>994</v>
      </c>
      <c r="AP704" s="931"/>
      <c r="AQ704" s="956"/>
      <c r="AR704" s="957"/>
      <c r="AS704" s="931"/>
    </row>
    <row r="705" ht="15.75" customHeight="1">
      <c r="A705" s="931"/>
      <c r="B705" s="941" t="s">
        <v>2821</v>
      </c>
      <c r="C705" s="971" t="s">
        <v>2822</v>
      </c>
      <c r="D705" s="942" t="s">
        <v>2822</v>
      </c>
      <c r="E705" s="966" t="s">
        <v>2823</v>
      </c>
      <c r="F705" s="935"/>
      <c r="G705" s="944"/>
      <c r="H705" s="944"/>
      <c r="I705" s="946" t="s">
        <v>2824</v>
      </c>
      <c r="J705" s="958" t="s">
        <v>704</v>
      </c>
      <c r="K705" s="954" t="s">
        <v>158</v>
      </c>
      <c r="L705" s="949">
        <v>105.0</v>
      </c>
      <c r="M705" s="949">
        <v>140.0</v>
      </c>
      <c r="N705" s="949">
        <v>55.0</v>
      </c>
      <c r="O705" s="949">
        <v>30.0</v>
      </c>
      <c r="P705" s="949">
        <v>55.0</v>
      </c>
      <c r="Q705" s="949">
        <v>95.0</v>
      </c>
      <c r="R705" s="949">
        <v>226.0</v>
      </c>
      <c r="S705" s="949">
        <v>289.0</v>
      </c>
      <c r="T705" s="949">
        <v>317.0</v>
      </c>
      <c r="U705" s="949"/>
      <c r="V705" s="949"/>
      <c r="W705" s="949"/>
      <c r="X705" s="949"/>
      <c r="Y705" s="949"/>
      <c r="Z705" s="949"/>
      <c r="AA705" s="949"/>
      <c r="AB705" s="949"/>
      <c r="AC705" s="949"/>
      <c r="AD705" s="949"/>
      <c r="AE705" s="949"/>
      <c r="AF705" s="949"/>
      <c r="AG705" s="949"/>
      <c r="AH705" s="949"/>
      <c r="AI705" s="949"/>
      <c r="AJ705" s="949"/>
      <c r="AK705" s="949"/>
      <c r="AL705" s="949"/>
      <c r="AM705" s="953" t="s">
        <v>949</v>
      </c>
      <c r="AN705" s="954"/>
      <c r="AO705" s="955" t="s">
        <v>2825</v>
      </c>
      <c r="AP705" s="931"/>
      <c r="AQ705" s="956"/>
      <c r="AR705" s="957"/>
      <c r="AS705" s="931"/>
    </row>
    <row r="706" ht="15.75" customHeight="1">
      <c r="A706" s="931"/>
      <c r="B706" s="941" t="s">
        <v>2826</v>
      </c>
      <c r="C706" s="942" t="s">
        <v>2827</v>
      </c>
      <c r="D706" s="942" t="s">
        <v>2827</v>
      </c>
      <c r="E706" s="966" t="s">
        <v>2827</v>
      </c>
      <c r="F706" s="935"/>
      <c r="G706" s="944"/>
      <c r="H706" s="944"/>
      <c r="I706" s="946" t="s">
        <v>2828</v>
      </c>
      <c r="J706" s="958" t="s">
        <v>704</v>
      </c>
      <c r="K706" s="975" t="s">
        <v>712</v>
      </c>
      <c r="L706" s="949">
        <v>105.0</v>
      </c>
      <c r="M706" s="949">
        <v>30.0</v>
      </c>
      <c r="N706" s="949">
        <v>105.0</v>
      </c>
      <c r="O706" s="949">
        <v>140.0</v>
      </c>
      <c r="P706" s="949">
        <v>105.0</v>
      </c>
      <c r="Q706" s="949">
        <v>55.0</v>
      </c>
      <c r="R706" s="949">
        <v>146.0</v>
      </c>
      <c r="S706" s="949">
        <v>209.0</v>
      </c>
      <c r="T706" s="949">
        <v>229.0</v>
      </c>
      <c r="U706" s="949"/>
      <c r="V706" s="949"/>
      <c r="W706" s="949"/>
      <c r="X706" s="949"/>
      <c r="Y706" s="949"/>
      <c r="Z706" s="949"/>
      <c r="AA706" s="949"/>
      <c r="AB706" s="949"/>
      <c r="AC706" s="949"/>
      <c r="AD706" s="949"/>
      <c r="AE706" s="949"/>
      <c r="AF706" s="949"/>
      <c r="AG706" s="949"/>
      <c r="AH706" s="949"/>
      <c r="AI706" s="949"/>
      <c r="AJ706" s="949"/>
      <c r="AK706" s="949"/>
      <c r="AL706" s="949"/>
      <c r="AM706" s="953"/>
      <c r="AN706" s="954"/>
      <c r="AO706" s="955" t="s">
        <v>2825</v>
      </c>
      <c r="AP706" s="931"/>
      <c r="AQ706" s="956"/>
      <c r="AR706" s="957"/>
      <c r="AS706" s="931"/>
    </row>
    <row r="707" ht="15.75" customHeight="1">
      <c r="A707" s="931"/>
      <c r="B707" s="941" t="s">
        <v>2829</v>
      </c>
      <c r="C707" s="942" t="s">
        <v>2830</v>
      </c>
      <c r="D707" s="942" t="s">
        <v>2830</v>
      </c>
      <c r="E707" s="943" t="s">
        <v>2831</v>
      </c>
      <c r="F707" s="935"/>
      <c r="G707" s="944"/>
      <c r="H707" s="944"/>
      <c r="I707" s="946" t="s">
        <v>2832</v>
      </c>
      <c r="J707" s="977" t="s">
        <v>714</v>
      </c>
      <c r="K707" s="954" t="s">
        <v>158</v>
      </c>
      <c r="L707" s="949">
        <v>105.0</v>
      </c>
      <c r="M707" s="949">
        <v>140.0</v>
      </c>
      <c r="N707" s="949">
        <v>55.0</v>
      </c>
      <c r="O707" s="949">
        <v>30.0</v>
      </c>
      <c r="P707" s="949">
        <v>55.0</v>
      </c>
      <c r="Q707" s="949">
        <v>95.0</v>
      </c>
      <c r="R707" s="949">
        <v>226.0</v>
      </c>
      <c r="S707" s="949">
        <v>289.0</v>
      </c>
      <c r="T707" s="949">
        <v>317.0</v>
      </c>
      <c r="U707" s="949"/>
      <c r="V707" s="949"/>
      <c r="W707" s="949"/>
      <c r="X707" s="949"/>
      <c r="Y707" s="949"/>
      <c r="Z707" s="949"/>
      <c r="AA707" s="949"/>
      <c r="AB707" s="949"/>
      <c r="AC707" s="949"/>
      <c r="AD707" s="949"/>
      <c r="AE707" s="949"/>
      <c r="AF707" s="949"/>
      <c r="AG707" s="949"/>
      <c r="AH707" s="949"/>
      <c r="AI707" s="949"/>
      <c r="AJ707" s="949"/>
      <c r="AK707" s="949"/>
      <c r="AL707" s="949"/>
      <c r="AM707" s="953" t="s">
        <v>2833</v>
      </c>
      <c r="AN707" s="954"/>
      <c r="AO707" s="955" t="s">
        <v>2825</v>
      </c>
      <c r="AP707" s="931"/>
      <c r="AQ707" s="956"/>
      <c r="AR707" s="957"/>
      <c r="AS707" s="931"/>
    </row>
    <row r="708" ht="15.75" customHeight="1">
      <c r="A708" s="931"/>
      <c r="B708" s="941" t="s">
        <v>2834</v>
      </c>
      <c r="C708" s="942" t="s">
        <v>2835</v>
      </c>
      <c r="D708" s="942" t="s">
        <v>2836</v>
      </c>
      <c r="E708" s="943" t="s">
        <v>2837</v>
      </c>
      <c r="F708" s="935"/>
      <c r="G708" s="944"/>
      <c r="H708" s="944"/>
      <c r="I708" s="946" t="s">
        <v>2838</v>
      </c>
      <c r="J708" s="977" t="s">
        <v>714</v>
      </c>
      <c r="K708" s="958" t="s">
        <v>704</v>
      </c>
      <c r="L708" s="949">
        <v>105.0</v>
      </c>
      <c r="M708" s="949">
        <v>160.0</v>
      </c>
      <c r="N708" s="949">
        <v>55.0</v>
      </c>
      <c r="O708" s="949">
        <v>30.0</v>
      </c>
      <c r="P708" s="949">
        <v>55.0</v>
      </c>
      <c r="Q708" s="949">
        <v>135.0</v>
      </c>
      <c r="R708" s="949">
        <v>306.0</v>
      </c>
      <c r="S708" s="949">
        <v>369.0</v>
      </c>
      <c r="T708" s="949">
        <v>405.0</v>
      </c>
      <c r="U708" s="949"/>
      <c r="V708" s="949"/>
      <c r="W708" s="949"/>
      <c r="X708" s="949"/>
      <c r="Y708" s="949"/>
      <c r="Z708" s="949"/>
      <c r="AA708" s="949"/>
      <c r="AB708" s="949"/>
      <c r="AC708" s="949"/>
      <c r="AD708" s="949"/>
      <c r="AE708" s="949"/>
      <c r="AF708" s="949"/>
      <c r="AG708" s="949"/>
      <c r="AH708" s="949"/>
      <c r="AI708" s="949"/>
      <c r="AJ708" s="949"/>
      <c r="AK708" s="949"/>
      <c r="AL708" s="949"/>
      <c r="AM708" s="953"/>
      <c r="AN708" s="954"/>
      <c r="AO708" s="955" t="s">
        <v>2825</v>
      </c>
      <c r="AP708" s="931"/>
      <c r="AQ708" s="956"/>
      <c r="AR708" s="957"/>
      <c r="AS708" s="931"/>
    </row>
    <row r="709" ht="15.75" customHeight="1">
      <c r="A709" s="931"/>
      <c r="B709" s="941" t="s">
        <v>2839</v>
      </c>
      <c r="C709" s="942" t="s">
        <v>2840</v>
      </c>
      <c r="D709" s="942" t="s">
        <v>2840</v>
      </c>
      <c r="E709" s="943" t="s">
        <v>2840</v>
      </c>
      <c r="F709" s="935"/>
      <c r="G709" s="944"/>
      <c r="H709" s="944"/>
      <c r="I709" s="946" t="s">
        <v>2841</v>
      </c>
      <c r="J709" s="947" t="s">
        <v>708</v>
      </c>
      <c r="K709" s="954" t="s">
        <v>158</v>
      </c>
      <c r="L709" s="949">
        <v>75.0</v>
      </c>
      <c r="M709" s="949">
        <v>86.0</v>
      </c>
      <c r="N709" s="949">
        <v>67.0</v>
      </c>
      <c r="O709" s="949">
        <v>106.0</v>
      </c>
      <c r="P709" s="949">
        <v>67.0</v>
      </c>
      <c r="Q709" s="949">
        <v>60.0</v>
      </c>
      <c r="R709" s="949">
        <v>156.0</v>
      </c>
      <c r="S709" s="949">
        <v>219.0</v>
      </c>
      <c r="T709" s="949">
        <v>240.0</v>
      </c>
      <c r="U709" s="949"/>
      <c r="V709" s="949"/>
      <c r="W709" s="949"/>
      <c r="X709" s="949"/>
      <c r="Y709" s="949"/>
      <c r="Z709" s="949"/>
      <c r="AA709" s="949"/>
      <c r="AB709" s="949"/>
      <c r="AC709" s="949"/>
      <c r="AD709" s="949"/>
      <c r="AE709" s="949"/>
      <c r="AF709" s="949"/>
      <c r="AG709" s="949"/>
      <c r="AH709" s="949"/>
      <c r="AI709" s="949"/>
      <c r="AJ709" s="949"/>
      <c r="AK709" s="949"/>
      <c r="AL709" s="949"/>
      <c r="AM709" s="953" t="s">
        <v>1084</v>
      </c>
      <c r="AN709" s="954" t="s">
        <v>736</v>
      </c>
      <c r="AO709" s="955" t="s">
        <v>2113</v>
      </c>
      <c r="AP709" s="931"/>
      <c r="AQ709" s="956"/>
      <c r="AR709" s="957"/>
      <c r="AS709" s="931"/>
    </row>
    <row r="710" ht="15.75" customHeight="1">
      <c r="A710" s="931"/>
      <c r="B710" s="941" t="s">
        <v>2842</v>
      </c>
      <c r="C710" s="942" t="s">
        <v>2843</v>
      </c>
      <c r="D710" s="942" t="s">
        <v>2843</v>
      </c>
      <c r="E710" s="943" t="s">
        <v>2843</v>
      </c>
      <c r="F710" s="935"/>
      <c r="G710" s="944"/>
      <c r="H710" s="944"/>
      <c r="I710" s="946" t="s">
        <v>731</v>
      </c>
      <c r="J710" s="967" t="s">
        <v>715</v>
      </c>
      <c r="K710" s="989" t="s">
        <v>713</v>
      </c>
      <c r="L710" s="949">
        <v>50.0</v>
      </c>
      <c r="M710" s="949">
        <v>65.0</v>
      </c>
      <c r="N710" s="949">
        <v>85.0</v>
      </c>
      <c r="O710" s="949">
        <v>35.0</v>
      </c>
      <c r="P710" s="949">
        <v>35.0</v>
      </c>
      <c r="Q710" s="949">
        <v>55.0</v>
      </c>
      <c r="R710" s="949">
        <v>146.0</v>
      </c>
      <c r="S710" s="949">
        <v>209.0</v>
      </c>
      <c r="T710" s="949">
        <v>229.0</v>
      </c>
      <c r="U710" s="949"/>
      <c r="V710" s="949"/>
      <c r="W710" s="949"/>
      <c r="X710" s="949"/>
      <c r="Y710" s="949"/>
      <c r="Z710" s="949"/>
      <c r="AA710" s="949"/>
      <c r="AB710" s="949"/>
      <c r="AC710" s="949"/>
      <c r="AD710" s="949"/>
      <c r="AE710" s="949"/>
      <c r="AF710" s="949"/>
      <c r="AG710" s="949"/>
      <c r="AH710" s="949"/>
      <c r="AI710" s="949"/>
      <c r="AJ710" s="949"/>
      <c r="AK710" s="949"/>
      <c r="AL710" s="949"/>
      <c r="AM710" s="953" t="s">
        <v>1135</v>
      </c>
      <c r="AN710" s="954" t="s">
        <v>1192</v>
      </c>
      <c r="AO710" s="955" t="s">
        <v>1256</v>
      </c>
      <c r="AP710" s="931"/>
      <c r="AQ710" s="956"/>
      <c r="AR710" s="957"/>
      <c r="AS710" s="931"/>
    </row>
    <row r="711" ht="15.75" customHeight="1">
      <c r="A711" s="931"/>
      <c r="B711" s="941" t="s">
        <v>2844</v>
      </c>
      <c r="C711" s="942" t="s">
        <v>2845</v>
      </c>
      <c r="D711" s="942" t="s">
        <v>2845</v>
      </c>
      <c r="E711" s="943" t="s">
        <v>2845</v>
      </c>
      <c r="F711" s="935"/>
      <c r="G711" s="944"/>
      <c r="H711" s="944"/>
      <c r="I711" s="946" t="s">
        <v>732</v>
      </c>
      <c r="J711" s="967" t="s">
        <v>715</v>
      </c>
      <c r="K711" s="989" t="s">
        <v>713</v>
      </c>
      <c r="L711" s="949">
        <v>70.0</v>
      </c>
      <c r="M711" s="949">
        <v>105.0</v>
      </c>
      <c r="N711" s="949">
        <v>125.0</v>
      </c>
      <c r="O711" s="949">
        <v>65.0</v>
      </c>
      <c r="P711" s="949">
        <v>75.0</v>
      </c>
      <c r="Q711" s="949">
        <v>45.0</v>
      </c>
      <c r="R711" s="949">
        <v>126.0</v>
      </c>
      <c r="S711" s="949">
        <v>189.0</v>
      </c>
      <c r="T711" s="949">
        <v>207.0</v>
      </c>
      <c r="U711" s="949"/>
      <c r="V711" s="949"/>
      <c r="W711" s="949"/>
      <c r="X711" s="949"/>
      <c r="Y711" s="949"/>
      <c r="Z711" s="949"/>
      <c r="AA711" s="949"/>
      <c r="AB711" s="949"/>
      <c r="AC711" s="949"/>
      <c r="AD711" s="949"/>
      <c r="AE711" s="949"/>
      <c r="AF711" s="949"/>
      <c r="AG711" s="949"/>
      <c r="AH711" s="949"/>
      <c r="AI711" s="949"/>
      <c r="AJ711" s="949"/>
      <c r="AK711" s="949"/>
      <c r="AL711" s="949"/>
      <c r="AM711" s="953" t="s">
        <v>1135</v>
      </c>
      <c r="AN711" s="954" t="s">
        <v>1192</v>
      </c>
      <c r="AO711" s="955" t="s">
        <v>1256</v>
      </c>
      <c r="AP711" s="931"/>
      <c r="AQ711" s="956"/>
      <c r="AR711" s="957"/>
      <c r="AS711" s="931"/>
    </row>
    <row r="712" ht="15.75" customHeight="1">
      <c r="A712" s="931"/>
      <c r="B712" s="941" t="s">
        <v>2846</v>
      </c>
      <c r="C712" s="942" t="s">
        <v>2847</v>
      </c>
      <c r="D712" s="942" t="s">
        <v>2847</v>
      </c>
      <c r="E712" s="943" t="s">
        <v>2847</v>
      </c>
      <c r="F712" s="935"/>
      <c r="G712" s="944"/>
      <c r="H712" s="944"/>
      <c r="I712" s="946" t="s">
        <v>2848</v>
      </c>
      <c r="J712" s="969" t="s">
        <v>718</v>
      </c>
      <c r="K712" s="988" t="s">
        <v>705</v>
      </c>
      <c r="L712" s="949">
        <v>50.0</v>
      </c>
      <c r="M712" s="949">
        <v>75.0</v>
      </c>
      <c r="N712" s="949">
        <v>70.0</v>
      </c>
      <c r="O712" s="949">
        <v>35.0</v>
      </c>
      <c r="P712" s="949">
        <v>70.0</v>
      </c>
      <c r="Q712" s="949">
        <v>48.0</v>
      </c>
      <c r="R712" s="949">
        <v>132.0</v>
      </c>
      <c r="S712" s="949">
        <v>195.0</v>
      </c>
      <c r="T712" s="949">
        <v>214.0</v>
      </c>
      <c r="U712" s="949"/>
      <c r="V712" s="949"/>
      <c r="W712" s="949"/>
      <c r="X712" s="949"/>
      <c r="Y712" s="949"/>
      <c r="Z712" s="949"/>
      <c r="AA712" s="949"/>
      <c r="AB712" s="949"/>
      <c r="AC712" s="949"/>
      <c r="AD712" s="949"/>
      <c r="AE712" s="949"/>
      <c r="AF712" s="949"/>
      <c r="AG712" s="949"/>
      <c r="AH712" s="949"/>
      <c r="AI712" s="949"/>
      <c r="AJ712" s="949"/>
      <c r="AK712" s="949"/>
      <c r="AL712" s="949"/>
      <c r="AM712" s="953" t="s">
        <v>791</v>
      </c>
      <c r="AN712" s="954" t="s">
        <v>1392</v>
      </c>
      <c r="AO712" s="955" t="s">
        <v>854</v>
      </c>
      <c r="AP712" s="931"/>
      <c r="AQ712" s="956"/>
      <c r="AR712" s="957"/>
      <c r="AS712" s="931"/>
    </row>
    <row r="713" ht="15.75" customHeight="1">
      <c r="A713" s="931"/>
      <c r="B713" s="941" t="s">
        <v>2849</v>
      </c>
      <c r="C713" s="942" t="s">
        <v>2850</v>
      </c>
      <c r="D713" s="942" t="s">
        <v>2850</v>
      </c>
      <c r="E713" s="943" t="s">
        <v>2850</v>
      </c>
      <c r="F713" s="935"/>
      <c r="G713" s="944"/>
      <c r="H713" s="944"/>
      <c r="I713" s="946" t="s">
        <v>2851</v>
      </c>
      <c r="J713" s="969" t="s">
        <v>718</v>
      </c>
      <c r="K713" s="988" t="s">
        <v>705</v>
      </c>
      <c r="L713" s="949">
        <v>65.0</v>
      </c>
      <c r="M713" s="949">
        <v>90.0</v>
      </c>
      <c r="N713" s="949">
        <v>115.0</v>
      </c>
      <c r="O713" s="949">
        <v>45.0</v>
      </c>
      <c r="P713" s="949">
        <v>115.0</v>
      </c>
      <c r="Q713" s="949">
        <v>58.0</v>
      </c>
      <c r="R713" s="949">
        <v>152.0</v>
      </c>
      <c r="S713" s="949">
        <v>215.0</v>
      </c>
      <c r="T713" s="949">
        <v>236.0</v>
      </c>
      <c r="U713" s="949"/>
      <c r="V713" s="949"/>
      <c r="W713" s="949"/>
      <c r="X713" s="949"/>
      <c r="Y713" s="949"/>
      <c r="Z713" s="949"/>
      <c r="AA713" s="949"/>
      <c r="AB713" s="949"/>
      <c r="AC713" s="949"/>
      <c r="AD713" s="949"/>
      <c r="AE713" s="949"/>
      <c r="AF713" s="949"/>
      <c r="AG713" s="949"/>
      <c r="AH713" s="949"/>
      <c r="AI713" s="949"/>
      <c r="AJ713" s="949"/>
      <c r="AK713" s="949"/>
      <c r="AL713" s="949"/>
      <c r="AM713" s="953" t="s">
        <v>791</v>
      </c>
      <c r="AN713" s="954" t="s">
        <v>1392</v>
      </c>
      <c r="AO713" s="955" t="s">
        <v>854</v>
      </c>
      <c r="AP713" s="931"/>
      <c r="AQ713" s="956"/>
      <c r="AR713" s="957"/>
      <c r="AS713" s="931"/>
    </row>
    <row r="714" ht="15.75" customHeight="1">
      <c r="A714" s="931"/>
      <c r="B714" s="941" t="s">
        <v>2852</v>
      </c>
      <c r="C714" s="942" t="s">
        <v>2853</v>
      </c>
      <c r="D714" s="942" t="s">
        <v>2853</v>
      </c>
      <c r="E714" s="943" t="s">
        <v>2853</v>
      </c>
      <c r="F714" s="935"/>
      <c r="G714" s="944"/>
      <c r="H714" s="944"/>
      <c r="I714" s="946" t="s">
        <v>2854</v>
      </c>
      <c r="J714" s="975" t="s">
        <v>712</v>
      </c>
      <c r="K714" s="960" t="s">
        <v>707</v>
      </c>
      <c r="L714" s="949">
        <v>72.0</v>
      </c>
      <c r="M714" s="949">
        <v>58.0</v>
      </c>
      <c r="N714" s="949">
        <v>80.0</v>
      </c>
      <c r="O714" s="949">
        <v>103.0</v>
      </c>
      <c r="P714" s="949">
        <v>80.0</v>
      </c>
      <c r="Q714" s="949">
        <v>97.0</v>
      </c>
      <c r="R714" s="949">
        <v>230.0</v>
      </c>
      <c r="S714" s="949">
        <v>293.0</v>
      </c>
      <c r="T714" s="949">
        <v>322.0</v>
      </c>
      <c r="U714" s="949"/>
      <c r="V714" s="949"/>
      <c r="W714" s="949"/>
      <c r="X714" s="949"/>
      <c r="Y714" s="949"/>
      <c r="Z714" s="949"/>
      <c r="AA714" s="949"/>
      <c r="AB714" s="949"/>
      <c r="AC714" s="949"/>
      <c r="AD714" s="949"/>
      <c r="AE714" s="949"/>
      <c r="AF714" s="949"/>
      <c r="AG714" s="949"/>
      <c r="AH714" s="949"/>
      <c r="AI714" s="949"/>
      <c r="AJ714" s="949"/>
      <c r="AK714" s="949"/>
      <c r="AL714" s="949"/>
      <c r="AM714" s="953" t="s">
        <v>1022</v>
      </c>
      <c r="AN714" s="954" t="s">
        <v>963</v>
      </c>
      <c r="AO714" s="955" t="s">
        <v>796</v>
      </c>
      <c r="AP714" s="931"/>
      <c r="AQ714" s="956"/>
      <c r="AR714" s="957"/>
      <c r="AS714" s="931"/>
    </row>
    <row r="715" ht="15.75" customHeight="1">
      <c r="A715" s="931"/>
      <c r="B715" s="941" t="s">
        <v>2855</v>
      </c>
      <c r="C715" s="942" t="s">
        <v>2856</v>
      </c>
      <c r="D715" s="942" t="s">
        <v>2856</v>
      </c>
      <c r="E715" s="943" t="s">
        <v>2856</v>
      </c>
      <c r="F715" s="935"/>
      <c r="G715" s="944"/>
      <c r="H715" s="944"/>
      <c r="I715" s="946" t="s">
        <v>2857</v>
      </c>
      <c r="J715" s="994" t="s">
        <v>717</v>
      </c>
      <c r="K715" s="954" t="s">
        <v>158</v>
      </c>
      <c r="L715" s="949">
        <v>38.0</v>
      </c>
      <c r="M715" s="949">
        <v>30.0</v>
      </c>
      <c r="N715" s="949">
        <v>85.0</v>
      </c>
      <c r="O715" s="949">
        <v>55.0</v>
      </c>
      <c r="P715" s="949">
        <v>65.0</v>
      </c>
      <c r="Q715" s="949">
        <v>30.0</v>
      </c>
      <c r="R715" s="949">
        <v>96.0</v>
      </c>
      <c r="S715" s="949">
        <v>159.0</v>
      </c>
      <c r="T715" s="949">
        <v>174.0</v>
      </c>
      <c r="U715" s="949"/>
      <c r="V715" s="949"/>
      <c r="W715" s="949"/>
      <c r="X715" s="949"/>
      <c r="Y715" s="949"/>
      <c r="Z715" s="949"/>
      <c r="AA715" s="949"/>
      <c r="AB715" s="949"/>
      <c r="AC715" s="949"/>
      <c r="AD715" s="949"/>
      <c r="AE715" s="949"/>
      <c r="AF715" s="949"/>
      <c r="AG715" s="949"/>
      <c r="AH715" s="949"/>
      <c r="AI715" s="949"/>
      <c r="AJ715" s="949"/>
      <c r="AK715" s="949"/>
      <c r="AL715" s="949"/>
      <c r="AM715" s="953" t="s">
        <v>2858</v>
      </c>
      <c r="AN715" s="954"/>
      <c r="AO715" s="955"/>
      <c r="AP715" s="931"/>
      <c r="AQ715" s="956"/>
      <c r="AR715" s="957"/>
      <c r="AS715" s="931"/>
    </row>
    <row r="716" ht="15.75" customHeight="1">
      <c r="A716" s="931"/>
      <c r="B716" s="941" t="s">
        <v>2859</v>
      </c>
      <c r="C716" s="942" t="s">
        <v>2860</v>
      </c>
      <c r="D716" s="942" t="s">
        <v>2860</v>
      </c>
      <c r="E716" s="943" t="s">
        <v>2861</v>
      </c>
      <c r="F716" s="935"/>
      <c r="G716" s="944"/>
      <c r="H716" s="944"/>
      <c r="I716" s="946" t="s">
        <v>2862</v>
      </c>
      <c r="J716" s="976" t="s">
        <v>711</v>
      </c>
      <c r="K716" s="994" t="s">
        <v>717</v>
      </c>
      <c r="L716" s="949">
        <v>38.0</v>
      </c>
      <c r="M716" s="949">
        <v>55.0</v>
      </c>
      <c r="N716" s="949">
        <v>85.0</v>
      </c>
      <c r="O716" s="949">
        <v>30.0</v>
      </c>
      <c r="P716" s="949">
        <v>65.0</v>
      </c>
      <c r="Q716" s="949">
        <v>30.0</v>
      </c>
      <c r="R716" s="949">
        <v>96.0</v>
      </c>
      <c r="S716" s="949">
        <v>159.0</v>
      </c>
      <c r="T716" s="949">
        <v>174.0</v>
      </c>
      <c r="U716" s="949"/>
      <c r="V716" s="949"/>
      <c r="W716" s="949"/>
      <c r="X716" s="949"/>
      <c r="Y716" s="949"/>
      <c r="Z716" s="949"/>
      <c r="AA716" s="949"/>
      <c r="AB716" s="949"/>
      <c r="AC716" s="949"/>
      <c r="AD716" s="949"/>
      <c r="AE716" s="949"/>
      <c r="AF716" s="949"/>
      <c r="AG716" s="949"/>
      <c r="AH716" s="949"/>
      <c r="AI716" s="949"/>
      <c r="AJ716" s="949"/>
      <c r="AK716" s="949"/>
      <c r="AL716" s="949"/>
      <c r="AM716" s="953" t="s">
        <v>2863</v>
      </c>
      <c r="AN716" s="954"/>
      <c r="AO716" s="955"/>
      <c r="AP716" s="931"/>
      <c r="AQ716" s="956"/>
      <c r="AR716" s="957"/>
      <c r="AS716" s="931"/>
    </row>
    <row r="717" ht="15.75" customHeight="1">
      <c r="A717" s="963"/>
      <c r="B717" s="941" t="s">
        <v>2864</v>
      </c>
      <c r="C717" s="942" t="s">
        <v>2865</v>
      </c>
      <c r="D717" s="942" t="s">
        <v>2865</v>
      </c>
      <c r="E717" s="943" t="s">
        <v>2865</v>
      </c>
      <c r="F717" s="935"/>
      <c r="G717" s="944"/>
      <c r="H717" s="944"/>
      <c r="I717" s="946" t="s">
        <v>2866</v>
      </c>
      <c r="J717" s="994" t="s">
        <v>717</v>
      </c>
      <c r="K717" s="954" t="s">
        <v>158</v>
      </c>
      <c r="L717" s="949">
        <v>58.0</v>
      </c>
      <c r="M717" s="949">
        <v>50.0</v>
      </c>
      <c r="N717" s="949">
        <v>145.0</v>
      </c>
      <c r="O717" s="949">
        <v>95.0</v>
      </c>
      <c r="P717" s="949">
        <v>105.0</v>
      </c>
      <c r="Q717" s="949">
        <v>30.0</v>
      </c>
      <c r="R717" s="949">
        <v>96.0</v>
      </c>
      <c r="S717" s="949">
        <v>159.0</v>
      </c>
      <c r="T717" s="949">
        <v>174.0</v>
      </c>
      <c r="U717" s="949"/>
      <c r="V717" s="949"/>
      <c r="W717" s="949"/>
      <c r="X717" s="949"/>
      <c r="Y717" s="949"/>
      <c r="Z717" s="949"/>
      <c r="AA717" s="949"/>
      <c r="AB717" s="949"/>
      <c r="AC717" s="949"/>
      <c r="AD717" s="949"/>
      <c r="AE717" s="949"/>
      <c r="AF717" s="949"/>
      <c r="AG717" s="949"/>
      <c r="AH717" s="949"/>
      <c r="AI717" s="949"/>
      <c r="AJ717" s="949"/>
      <c r="AK717" s="949"/>
      <c r="AL717" s="949"/>
      <c r="AM717" s="964" t="s">
        <v>2858</v>
      </c>
      <c r="AN717" s="954"/>
      <c r="AO717" s="965"/>
      <c r="AP717" s="931"/>
      <c r="AQ717" s="956"/>
      <c r="AR717" s="957"/>
      <c r="AS717" s="931"/>
    </row>
    <row r="718" ht="15.75" customHeight="1">
      <c r="A718" s="931"/>
      <c r="B718" s="941" t="s">
        <v>2867</v>
      </c>
      <c r="C718" s="942" t="s">
        <v>2868</v>
      </c>
      <c r="D718" s="942" t="s">
        <v>2868</v>
      </c>
      <c r="E718" s="943" t="s">
        <v>2868</v>
      </c>
      <c r="F718" s="935"/>
      <c r="G718" s="944"/>
      <c r="H718" s="944"/>
      <c r="I718" s="946" t="s">
        <v>2869</v>
      </c>
      <c r="J718" s="962" t="s">
        <v>706</v>
      </c>
      <c r="K718" s="989" t="s">
        <v>713</v>
      </c>
      <c r="L718" s="949">
        <v>54.0</v>
      </c>
      <c r="M718" s="949">
        <v>78.0</v>
      </c>
      <c r="N718" s="949">
        <v>103.0</v>
      </c>
      <c r="O718" s="949">
        <v>53.0</v>
      </c>
      <c r="P718" s="949">
        <v>45.0</v>
      </c>
      <c r="Q718" s="949">
        <v>22.0</v>
      </c>
      <c r="R718" s="949">
        <v>80.0</v>
      </c>
      <c r="S718" s="949">
        <v>143.0</v>
      </c>
      <c r="T718" s="949">
        <v>157.0</v>
      </c>
      <c r="U718" s="949"/>
      <c r="V718" s="949"/>
      <c r="W718" s="949"/>
      <c r="X718" s="949"/>
      <c r="Y718" s="949"/>
      <c r="Z718" s="949"/>
      <c r="AA718" s="949"/>
      <c r="AB718" s="949"/>
      <c r="AC718" s="949"/>
      <c r="AD718" s="949"/>
      <c r="AE718" s="949"/>
      <c r="AF718" s="949"/>
      <c r="AG718" s="949"/>
      <c r="AH718" s="949"/>
      <c r="AI718" s="949"/>
      <c r="AJ718" s="949"/>
      <c r="AK718" s="949"/>
      <c r="AL718" s="949"/>
      <c r="AM718" s="953" t="s">
        <v>2050</v>
      </c>
      <c r="AN718" s="954" t="s">
        <v>1135</v>
      </c>
      <c r="AO718" s="955" t="s">
        <v>1062</v>
      </c>
      <c r="AP718" s="931"/>
      <c r="AQ718" s="956"/>
      <c r="AR718" s="957"/>
      <c r="AS718" s="931"/>
    </row>
    <row r="719" ht="15.75" customHeight="1">
      <c r="A719" s="931"/>
      <c r="B719" s="941" t="s">
        <v>2870</v>
      </c>
      <c r="C719" s="942" t="s">
        <v>2871</v>
      </c>
      <c r="D719" s="942" t="s">
        <v>2871</v>
      </c>
      <c r="E719" s="943" t="s">
        <v>2871</v>
      </c>
      <c r="F719" s="935"/>
      <c r="G719" s="944"/>
      <c r="H719" s="944"/>
      <c r="I719" s="946" t="s">
        <v>2872</v>
      </c>
      <c r="J719" s="962" t="s">
        <v>706</v>
      </c>
      <c r="K719" s="989" t="s">
        <v>713</v>
      </c>
      <c r="L719" s="949">
        <v>74.0</v>
      </c>
      <c r="M719" s="949">
        <v>108.0</v>
      </c>
      <c r="N719" s="949">
        <v>133.0</v>
      </c>
      <c r="O719" s="949">
        <v>83.0</v>
      </c>
      <c r="P719" s="949">
        <v>65.0</v>
      </c>
      <c r="Q719" s="949">
        <v>32.0</v>
      </c>
      <c r="R719" s="949">
        <v>100.0</v>
      </c>
      <c r="S719" s="949">
        <v>163.0</v>
      </c>
      <c r="T719" s="949">
        <v>179.0</v>
      </c>
      <c r="U719" s="949"/>
      <c r="V719" s="949"/>
      <c r="W719" s="949"/>
      <c r="X719" s="949"/>
      <c r="Y719" s="949"/>
      <c r="Z719" s="949"/>
      <c r="AA719" s="949"/>
      <c r="AB719" s="949"/>
      <c r="AC719" s="949"/>
      <c r="AD719" s="949"/>
      <c r="AE719" s="949"/>
      <c r="AF719" s="949"/>
      <c r="AG719" s="949"/>
      <c r="AH719" s="949"/>
      <c r="AI719" s="949"/>
      <c r="AJ719" s="949"/>
      <c r="AK719" s="949"/>
      <c r="AL719" s="949"/>
      <c r="AM719" s="953" t="s">
        <v>2050</v>
      </c>
      <c r="AN719" s="954" t="s">
        <v>1135</v>
      </c>
      <c r="AO719" s="955" t="s">
        <v>1062</v>
      </c>
      <c r="AP719" s="931"/>
      <c r="AQ719" s="956"/>
      <c r="AR719" s="957"/>
      <c r="AS719" s="931"/>
    </row>
    <row r="720" ht="15.75" customHeight="1">
      <c r="A720" s="931"/>
      <c r="B720" s="941" t="s">
        <v>2873</v>
      </c>
      <c r="C720" s="942" t="s">
        <v>2874</v>
      </c>
      <c r="D720" s="942" t="s">
        <v>2874</v>
      </c>
      <c r="E720" s="943" t="s">
        <v>2874</v>
      </c>
      <c r="F720" s="935"/>
      <c r="G720" s="944"/>
      <c r="H720" s="944"/>
      <c r="I720" s="946" t="s">
        <v>2875</v>
      </c>
      <c r="J720" s="989" t="s">
        <v>713</v>
      </c>
      <c r="K720" s="960" t="s">
        <v>707</v>
      </c>
      <c r="L720" s="949">
        <v>55.0</v>
      </c>
      <c r="M720" s="949">
        <v>112.0</v>
      </c>
      <c r="N720" s="949">
        <v>45.0</v>
      </c>
      <c r="O720" s="949">
        <v>74.0</v>
      </c>
      <c r="P720" s="949">
        <v>45.0</v>
      </c>
      <c r="Q720" s="949">
        <v>70.0</v>
      </c>
      <c r="R720" s="949">
        <v>176.0</v>
      </c>
      <c r="S720" s="949">
        <v>239.0</v>
      </c>
      <c r="T720" s="949">
        <v>262.0</v>
      </c>
      <c r="U720" s="949"/>
      <c r="V720" s="949"/>
      <c r="W720" s="949"/>
      <c r="X720" s="949"/>
      <c r="Y720" s="949"/>
      <c r="Z720" s="949"/>
      <c r="AA720" s="949"/>
      <c r="AB720" s="949"/>
      <c r="AC720" s="949"/>
      <c r="AD720" s="949"/>
      <c r="AE720" s="949"/>
      <c r="AF720" s="949"/>
      <c r="AG720" s="949"/>
      <c r="AH720" s="949"/>
      <c r="AI720" s="949"/>
      <c r="AJ720" s="949"/>
      <c r="AK720" s="949"/>
      <c r="AL720" s="949"/>
      <c r="AM720" s="953" t="s">
        <v>2876</v>
      </c>
      <c r="AN720" s="954"/>
      <c r="AO720" s="955"/>
      <c r="AP720" s="931"/>
      <c r="AQ720" s="956"/>
      <c r="AR720" s="957"/>
      <c r="AS720" s="931"/>
    </row>
    <row r="721" ht="15.75" customHeight="1">
      <c r="A721" s="931"/>
      <c r="B721" s="941" t="s">
        <v>2877</v>
      </c>
      <c r="C721" s="942" t="s">
        <v>2878</v>
      </c>
      <c r="D721" s="942" t="s">
        <v>2878</v>
      </c>
      <c r="E721" s="943" t="s">
        <v>2878</v>
      </c>
      <c r="F721" s="935"/>
      <c r="G721" s="944"/>
      <c r="H721" s="944"/>
      <c r="I721" s="946" t="s">
        <v>2879</v>
      </c>
      <c r="J721" s="989" t="s">
        <v>713</v>
      </c>
      <c r="K721" s="960" t="s">
        <v>707</v>
      </c>
      <c r="L721" s="949">
        <v>75.0</v>
      </c>
      <c r="M721" s="949">
        <v>140.0</v>
      </c>
      <c r="N721" s="949">
        <v>65.0</v>
      </c>
      <c r="O721" s="949">
        <v>112.0</v>
      </c>
      <c r="P721" s="949">
        <v>65.0</v>
      </c>
      <c r="Q721" s="949">
        <v>110.0</v>
      </c>
      <c r="R721" s="949">
        <v>256.0</v>
      </c>
      <c r="S721" s="949">
        <v>319.0</v>
      </c>
      <c r="T721" s="949">
        <v>350.0</v>
      </c>
      <c r="U721" s="949"/>
      <c r="V721" s="949"/>
      <c r="W721" s="949"/>
      <c r="X721" s="949"/>
      <c r="Y721" s="949"/>
      <c r="Z721" s="949"/>
      <c r="AA721" s="949"/>
      <c r="AB721" s="949"/>
      <c r="AC721" s="949"/>
      <c r="AD721" s="949"/>
      <c r="AE721" s="949"/>
      <c r="AF721" s="949"/>
      <c r="AG721" s="949"/>
      <c r="AH721" s="949"/>
      <c r="AI721" s="949"/>
      <c r="AJ721" s="949"/>
      <c r="AK721" s="949"/>
      <c r="AL721" s="949"/>
      <c r="AM721" s="953" t="s">
        <v>2876</v>
      </c>
      <c r="AN721" s="954"/>
      <c r="AO721" s="955"/>
      <c r="AP721" s="931"/>
      <c r="AQ721" s="956"/>
      <c r="AR721" s="957"/>
      <c r="AS721" s="931"/>
    </row>
    <row r="722" ht="15.75" customHeight="1">
      <c r="A722" s="931"/>
      <c r="B722" s="941" t="s">
        <v>2880</v>
      </c>
      <c r="C722" s="942" t="s">
        <v>2881</v>
      </c>
      <c r="D722" s="942" t="s">
        <v>2881</v>
      </c>
      <c r="E722" s="943" t="s">
        <v>2881</v>
      </c>
      <c r="F722" s="935"/>
      <c r="G722" s="944"/>
      <c r="H722" s="944"/>
      <c r="I722" s="946" t="s">
        <v>2882</v>
      </c>
      <c r="J722" s="948" t="s">
        <v>709</v>
      </c>
      <c r="K722" s="954" t="s">
        <v>158</v>
      </c>
      <c r="L722" s="949">
        <v>50.0</v>
      </c>
      <c r="M722" s="949">
        <v>50.0</v>
      </c>
      <c r="N722" s="949">
        <v>62.0</v>
      </c>
      <c r="O722" s="949">
        <v>40.0</v>
      </c>
      <c r="P722" s="949">
        <v>62.0</v>
      </c>
      <c r="Q722" s="949">
        <v>65.0</v>
      </c>
      <c r="R722" s="949">
        <v>166.0</v>
      </c>
      <c r="S722" s="949">
        <v>229.0</v>
      </c>
      <c r="T722" s="949">
        <v>251.0</v>
      </c>
      <c r="U722" s="949"/>
      <c r="V722" s="949"/>
      <c r="W722" s="949"/>
      <c r="X722" s="949"/>
      <c r="Y722" s="949"/>
      <c r="Z722" s="949"/>
      <c r="AA722" s="949"/>
      <c r="AB722" s="949"/>
      <c r="AC722" s="949"/>
      <c r="AD722" s="949"/>
      <c r="AE722" s="949"/>
      <c r="AF722" s="949"/>
      <c r="AG722" s="949"/>
      <c r="AH722" s="949"/>
      <c r="AI722" s="949"/>
      <c r="AJ722" s="949"/>
      <c r="AK722" s="949"/>
      <c r="AL722" s="949"/>
      <c r="AM722" s="953" t="s">
        <v>1005</v>
      </c>
      <c r="AN722" s="954" t="s">
        <v>1223</v>
      </c>
      <c r="AO722" s="955" t="s">
        <v>1273</v>
      </c>
      <c r="AP722" s="931"/>
      <c r="AQ722" s="956"/>
      <c r="AR722" s="957"/>
      <c r="AS722" s="931"/>
    </row>
    <row r="723" ht="15.75" customHeight="1">
      <c r="A723" s="931"/>
      <c r="B723" s="941" t="s">
        <v>2883</v>
      </c>
      <c r="C723" s="942" t="s">
        <v>2884</v>
      </c>
      <c r="D723" s="971" t="s">
        <v>2884</v>
      </c>
      <c r="E723" s="966" t="s">
        <v>2884</v>
      </c>
      <c r="F723" s="935"/>
      <c r="G723" s="944"/>
      <c r="H723" s="944"/>
      <c r="I723" s="946" t="s">
        <v>2885</v>
      </c>
      <c r="J723" s="948" t="s">
        <v>709</v>
      </c>
      <c r="K723" s="954" t="s">
        <v>158</v>
      </c>
      <c r="L723" s="949">
        <v>80.0</v>
      </c>
      <c r="M723" s="949">
        <v>95.0</v>
      </c>
      <c r="N723" s="949">
        <v>82.0</v>
      </c>
      <c r="O723" s="949">
        <v>60.0</v>
      </c>
      <c r="P723" s="949">
        <v>82.0</v>
      </c>
      <c r="Q723" s="949">
        <v>75.0</v>
      </c>
      <c r="R723" s="949">
        <v>186.0</v>
      </c>
      <c r="S723" s="949">
        <v>249.0</v>
      </c>
      <c r="T723" s="949">
        <v>273.0</v>
      </c>
      <c r="U723" s="949"/>
      <c r="V723" s="949"/>
      <c r="W723" s="949"/>
      <c r="X723" s="949"/>
      <c r="Y723" s="949"/>
      <c r="Z723" s="949"/>
      <c r="AA723" s="949"/>
      <c r="AB723" s="949"/>
      <c r="AC723" s="949"/>
      <c r="AD723" s="949"/>
      <c r="AE723" s="949"/>
      <c r="AF723" s="949"/>
      <c r="AG723" s="949"/>
      <c r="AH723" s="949"/>
      <c r="AI723" s="949"/>
      <c r="AJ723" s="949"/>
      <c r="AK723" s="949"/>
      <c r="AL723" s="949"/>
      <c r="AM723" s="953" t="s">
        <v>1005</v>
      </c>
      <c r="AN723" s="954" t="s">
        <v>1256</v>
      </c>
      <c r="AO723" s="955" t="s">
        <v>1273</v>
      </c>
      <c r="AP723" s="931"/>
      <c r="AQ723" s="956"/>
      <c r="AR723" s="957"/>
      <c r="AS723" s="931"/>
    </row>
    <row r="724" ht="15.75" customHeight="1">
      <c r="A724" s="931"/>
      <c r="B724" s="941" t="s">
        <v>2886</v>
      </c>
      <c r="C724" s="942" t="s">
        <v>2887</v>
      </c>
      <c r="D724" s="942" t="s">
        <v>2887</v>
      </c>
      <c r="E724" s="943" t="s">
        <v>2887</v>
      </c>
      <c r="F724" s="935"/>
      <c r="G724" s="944"/>
      <c r="H724" s="944"/>
      <c r="I724" s="959" t="s">
        <v>620</v>
      </c>
      <c r="J724" s="969" t="s">
        <v>718</v>
      </c>
      <c r="K724" s="954" t="s">
        <v>158</v>
      </c>
      <c r="L724" s="949">
        <v>40.0</v>
      </c>
      <c r="M724" s="949">
        <v>65.0</v>
      </c>
      <c r="N724" s="949">
        <v>40.0</v>
      </c>
      <c r="O724" s="949">
        <v>80.0</v>
      </c>
      <c r="P724" s="949">
        <v>40.0</v>
      </c>
      <c r="Q724" s="949">
        <v>65.0</v>
      </c>
      <c r="R724" s="949">
        <v>166.0</v>
      </c>
      <c r="S724" s="949">
        <v>229.0</v>
      </c>
      <c r="T724" s="949">
        <v>251.0</v>
      </c>
      <c r="U724" s="949"/>
      <c r="V724" s="949"/>
      <c r="W724" s="949"/>
      <c r="X724" s="949"/>
      <c r="Y724" s="949"/>
      <c r="Z724" s="949"/>
      <c r="AA724" s="949"/>
      <c r="AB724" s="949"/>
      <c r="AC724" s="949"/>
      <c r="AD724" s="949"/>
      <c r="AE724" s="949"/>
      <c r="AF724" s="949"/>
      <c r="AG724" s="949"/>
      <c r="AH724" s="949"/>
      <c r="AI724" s="949"/>
      <c r="AJ724" s="949"/>
      <c r="AK724" s="949"/>
      <c r="AL724" s="949"/>
      <c r="AM724" s="953" t="s">
        <v>2888</v>
      </c>
      <c r="AN724" s="954"/>
      <c r="AO724" s="955"/>
      <c r="AP724" s="931"/>
      <c r="AQ724" s="956"/>
      <c r="AR724" s="957"/>
      <c r="AS724" s="931"/>
    </row>
    <row r="725" ht="15.75" customHeight="1">
      <c r="A725" s="931"/>
      <c r="B725" s="941" t="s">
        <v>2889</v>
      </c>
      <c r="C725" s="942" t="str">
        <f t="shared" ref="C725:E725" si="11">C724&amp;"-hisui"</f>
        <v>zorua-hisui</v>
      </c>
      <c r="D725" s="942" t="str">
        <f t="shared" si="11"/>
        <v>zorua-hisui</v>
      </c>
      <c r="E725" s="943" t="str">
        <f t="shared" si="11"/>
        <v>zorua-hisui</v>
      </c>
      <c r="F725" s="935"/>
      <c r="G725" s="944"/>
      <c r="H725" s="944"/>
      <c r="I725" s="946" t="s">
        <v>2890</v>
      </c>
      <c r="J725" s="968" t="s">
        <v>703</v>
      </c>
      <c r="K725" s="994" t="s">
        <v>717</v>
      </c>
      <c r="L725" s="949">
        <v>35.0</v>
      </c>
      <c r="M725" s="949">
        <v>60.0</v>
      </c>
      <c r="N725" s="949">
        <v>40.0</v>
      </c>
      <c r="O725" s="949">
        <v>85.0</v>
      </c>
      <c r="P725" s="949">
        <v>40.0</v>
      </c>
      <c r="Q725" s="949">
        <v>70.0</v>
      </c>
      <c r="R725" s="949">
        <v>176.0</v>
      </c>
      <c r="S725" s="949">
        <v>239.0</v>
      </c>
      <c r="T725" s="949">
        <v>262.0</v>
      </c>
      <c r="U725" s="949"/>
      <c r="V725" s="949"/>
      <c r="W725" s="949"/>
      <c r="X725" s="949"/>
      <c r="Y725" s="949"/>
      <c r="Z725" s="949"/>
      <c r="AA725" s="949"/>
      <c r="AB725" s="949"/>
      <c r="AC725" s="949"/>
      <c r="AD725" s="949"/>
      <c r="AE725" s="949"/>
      <c r="AF725" s="949"/>
      <c r="AG725" s="949"/>
      <c r="AH725" s="949"/>
      <c r="AI725" s="949"/>
      <c r="AJ725" s="949"/>
      <c r="AK725" s="949"/>
      <c r="AL725" s="949"/>
      <c r="AM725" s="953" t="s">
        <v>2888</v>
      </c>
      <c r="AN725" s="954"/>
      <c r="AO725" s="955"/>
      <c r="AP725" s="931"/>
      <c r="AQ725" s="956"/>
      <c r="AR725" s="957"/>
      <c r="AS725" s="931"/>
    </row>
    <row r="726" ht="15.75" customHeight="1">
      <c r="A726" s="963"/>
      <c r="B726" s="941" t="s">
        <v>2891</v>
      </c>
      <c r="C726" s="971" t="s">
        <v>2892</v>
      </c>
      <c r="D726" s="971" t="s">
        <v>2892</v>
      </c>
      <c r="E726" s="966" t="s">
        <v>2892</v>
      </c>
      <c r="F726" s="935"/>
      <c r="G726" s="944"/>
      <c r="H726" s="944"/>
      <c r="I726" s="959" t="s">
        <v>439</v>
      </c>
      <c r="J726" s="1003" t="s">
        <v>718</v>
      </c>
      <c r="K726" s="973" t="s">
        <v>158</v>
      </c>
      <c r="L726" s="974">
        <v>60.0</v>
      </c>
      <c r="M726" s="974">
        <v>105.0</v>
      </c>
      <c r="N726" s="974">
        <v>60.0</v>
      </c>
      <c r="O726" s="974">
        <v>120.0</v>
      </c>
      <c r="P726" s="974">
        <v>60.0</v>
      </c>
      <c r="Q726" s="974">
        <v>105.0</v>
      </c>
      <c r="R726" s="949">
        <v>246.0</v>
      </c>
      <c r="S726" s="949">
        <v>309.0</v>
      </c>
      <c r="T726" s="949">
        <v>339.0</v>
      </c>
      <c r="U726" s="949"/>
      <c r="V726" s="949"/>
      <c r="W726" s="949"/>
      <c r="X726" s="949"/>
      <c r="Y726" s="949"/>
      <c r="Z726" s="949"/>
      <c r="AA726" s="949"/>
      <c r="AB726" s="949"/>
      <c r="AC726" s="949"/>
      <c r="AD726" s="949"/>
      <c r="AE726" s="949"/>
      <c r="AF726" s="949"/>
      <c r="AG726" s="949"/>
      <c r="AH726" s="949"/>
      <c r="AI726" s="949"/>
      <c r="AJ726" s="949"/>
      <c r="AK726" s="949"/>
      <c r="AL726" s="949"/>
      <c r="AM726" s="964" t="s">
        <v>2888</v>
      </c>
      <c r="AN726" s="973"/>
      <c r="AO726" s="965"/>
      <c r="AP726" s="931"/>
      <c r="AQ726" s="956"/>
      <c r="AR726" s="957"/>
      <c r="AS726" s="931"/>
    </row>
    <row r="727" ht="15.75" customHeight="1">
      <c r="A727" s="931"/>
      <c r="B727" s="941" t="s">
        <v>2893</v>
      </c>
      <c r="C727" s="942" t="str">
        <f t="shared" ref="C727:E727" si="12">C726&amp;"-hisui"</f>
        <v>zoroark-hisui</v>
      </c>
      <c r="D727" s="942" t="str">
        <f t="shared" si="12"/>
        <v>zoroark-hisui</v>
      </c>
      <c r="E727" s="943" t="str">
        <f t="shared" si="12"/>
        <v>zoroark-hisui</v>
      </c>
      <c r="F727" s="935"/>
      <c r="G727" s="944"/>
      <c r="H727" s="944"/>
      <c r="I727" s="946" t="s">
        <v>2894</v>
      </c>
      <c r="J727" s="968" t="s">
        <v>703</v>
      </c>
      <c r="K727" s="994" t="s">
        <v>717</v>
      </c>
      <c r="L727" s="949">
        <v>60.0</v>
      </c>
      <c r="M727" s="949">
        <v>105.0</v>
      </c>
      <c r="N727" s="949">
        <v>60.0</v>
      </c>
      <c r="O727" s="949">
        <v>120.0</v>
      </c>
      <c r="P727" s="949">
        <v>60.0</v>
      </c>
      <c r="Q727" s="949">
        <v>105.0</v>
      </c>
      <c r="R727" s="949">
        <v>246.0</v>
      </c>
      <c r="S727" s="949">
        <v>309.0</v>
      </c>
      <c r="T727" s="949">
        <v>339.0</v>
      </c>
      <c r="U727" s="949"/>
      <c r="V727" s="949"/>
      <c r="W727" s="949"/>
      <c r="X727" s="949"/>
      <c r="Y727" s="949"/>
      <c r="Z727" s="949"/>
      <c r="AA727" s="949"/>
      <c r="AB727" s="949"/>
      <c r="AC727" s="949"/>
      <c r="AD727" s="949"/>
      <c r="AE727" s="949"/>
      <c r="AF727" s="949"/>
      <c r="AG727" s="949"/>
      <c r="AH727" s="949"/>
      <c r="AI727" s="949"/>
      <c r="AJ727" s="949"/>
      <c r="AK727" s="949"/>
      <c r="AL727" s="949"/>
      <c r="AM727" s="953" t="s">
        <v>2888</v>
      </c>
      <c r="AN727" s="954"/>
      <c r="AO727" s="955"/>
      <c r="AP727" s="931"/>
      <c r="AQ727" s="956"/>
      <c r="AR727" s="957"/>
      <c r="AS727" s="931"/>
    </row>
    <row r="728" ht="15.75" customHeight="1">
      <c r="A728" s="931"/>
      <c r="B728" s="941" t="s">
        <v>2895</v>
      </c>
      <c r="C728" s="942" t="s">
        <v>2896</v>
      </c>
      <c r="D728" s="942" t="s">
        <v>2896</v>
      </c>
      <c r="E728" s="943" t="s">
        <v>2896</v>
      </c>
      <c r="F728" s="935"/>
      <c r="G728" s="944"/>
      <c r="H728" s="944"/>
      <c r="I728" s="946" t="s">
        <v>2897</v>
      </c>
      <c r="J728" s="968" t="s">
        <v>703</v>
      </c>
      <c r="K728" s="954" t="s">
        <v>158</v>
      </c>
      <c r="L728" s="949">
        <v>55.0</v>
      </c>
      <c r="M728" s="949">
        <v>50.0</v>
      </c>
      <c r="N728" s="949">
        <v>40.0</v>
      </c>
      <c r="O728" s="949">
        <v>40.0</v>
      </c>
      <c r="P728" s="949">
        <v>40.0</v>
      </c>
      <c r="Q728" s="949">
        <v>75.0</v>
      </c>
      <c r="R728" s="949">
        <v>186.0</v>
      </c>
      <c r="S728" s="949">
        <v>249.0</v>
      </c>
      <c r="T728" s="949">
        <v>273.0</v>
      </c>
      <c r="U728" s="949"/>
      <c r="V728" s="949"/>
      <c r="W728" s="949"/>
      <c r="X728" s="949"/>
      <c r="Y728" s="949"/>
      <c r="Z728" s="949"/>
      <c r="AA728" s="949"/>
      <c r="AB728" s="949"/>
      <c r="AC728" s="949"/>
      <c r="AD728" s="949"/>
      <c r="AE728" s="949"/>
      <c r="AF728" s="949"/>
      <c r="AG728" s="949"/>
      <c r="AH728" s="949"/>
      <c r="AI728" s="949"/>
      <c r="AJ728" s="949"/>
      <c r="AK728" s="949"/>
      <c r="AL728" s="949"/>
      <c r="AM728" s="953" t="s">
        <v>962</v>
      </c>
      <c r="AN728" s="954" t="s">
        <v>1041</v>
      </c>
      <c r="AO728" s="955" t="s">
        <v>1238</v>
      </c>
      <c r="AP728" s="931"/>
      <c r="AQ728" s="956"/>
      <c r="AR728" s="957"/>
      <c r="AS728" s="931"/>
    </row>
    <row r="729" ht="15.75" customHeight="1">
      <c r="A729" s="931"/>
      <c r="B729" s="941" t="s">
        <v>2898</v>
      </c>
      <c r="C729" s="942" t="s">
        <v>2899</v>
      </c>
      <c r="D729" s="942" t="s">
        <v>2899</v>
      </c>
      <c r="E729" s="943" t="s">
        <v>2899</v>
      </c>
      <c r="F729" s="935"/>
      <c r="G729" s="944"/>
      <c r="H729" s="944"/>
      <c r="I729" s="946" t="s">
        <v>2900</v>
      </c>
      <c r="J729" s="968" t="s">
        <v>703</v>
      </c>
      <c r="K729" s="954" t="s">
        <v>158</v>
      </c>
      <c r="L729" s="949">
        <v>75.0</v>
      </c>
      <c r="M729" s="949">
        <v>95.0</v>
      </c>
      <c r="N729" s="949">
        <v>60.0</v>
      </c>
      <c r="O729" s="949">
        <v>65.0</v>
      </c>
      <c r="P729" s="949">
        <v>60.0</v>
      </c>
      <c r="Q729" s="949">
        <v>115.0</v>
      </c>
      <c r="R729" s="949">
        <v>266.0</v>
      </c>
      <c r="S729" s="949">
        <v>329.0</v>
      </c>
      <c r="T729" s="949">
        <v>361.0</v>
      </c>
      <c r="U729" s="949"/>
      <c r="V729" s="949"/>
      <c r="W729" s="949"/>
      <c r="X729" s="949"/>
      <c r="Y729" s="949"/>
      <c r="Z729" s="949"/>
      <c r="AA729" s="949"/>
      <c r="AB729" s="949"/>
      <c r="AC729" s="949"/>
      <c r="AD729" s="949"/>
      <c r="AE729" s="949"/>
      <c r="AF729" s="949"/>
      <c r="AG729" s="949"/>
      <c r="AH729" s="949"/>
      <c r="AI729" s="949"/>
      <c r="AJ729" s="949"/>
      <c r="AK729" s="949"/>
      <c r="AL729" s="949"/>
      <c r="AM729" s="953" t="s">
        <v>962</v>
      </c>
      <c r="AN729" s="954" t="s">
        <v>1041</v>
      </c>
      <c r="AO729" s="955" t="s">
        <v>1238</v>
      </c>
      <c r="AP729" s="931"/>
      <c r="AQ729" s="956"/>
      <c r="AR729" s="957"/>
      <c r="AS729" s="931"/>
    </row>
    <row r="730" ht="15.75" customHeight="1">
      <c r="A730" s="931"/>
      <c r="B730" s="941" t="s">
        <v>2901</v>
      </c>
      <c r="C730" s="942" t="s">
        <v>2902</v>
      </c>
      <c r="D730" s="942" t="s">
        <v>2902</v>
      </c>
      <c r="E730" s="943" t="s">
        <v>2902</v>
      </c>
      <c r="F730" s="935"/>
      <c r="G730" s="944"/>
      <c r="H730" s="944"/>
      <c r="I730" s="946" t="s">
        <v>510</v>
      </c>
      <c r="J730" s="975" t="s">
        <v>712</v>
      </c>
      <c r="K730" s="954" t="s">
        <v>158</v>
      </c>
      <c r="L730" s="949">
        <v>45.0</v>
      </c>
      <c r="M730" s="949">
        <v>30.0</v>
      </c>
      <c r="N730" s="949">
        <v>50.0</v>
      </c>
      <c r="O730" s="949">
        <v>55.0</v>
      </c>
      <c r="P730" s="949">
        <v>65.0</v>
      </c>
      <c r="Q730" s="949">
        <v>45.0</v>
      </c>
      <c r="R730" s="949">
        <v>126.0</v>
      </c>
      <c r="S730" s="949">
        <v>189.0</v>
      </c>
      <c r="T730" s="949">
        <v>207.0</v>
      </c>
      <c r="U730" s="949"/>
      <c r="V730" s="949"/>
      <c r="W730" s="949"/>
      <c r="X730" s="949"/>
      <c r="Y730" s="949"/>
      <c r="Z730" s="949"/>
      <c r="AA730" s="949"/>
      <c r="AB730" s="949"/>
      <c r="AC730" s="949"/>
      <c r="AD730" s="949"/>
      <c r="AE730" s="949"/>
      <c r="AF730" s="949"/>
      <c r="AG730" s="949"/>
      <c r="AH730" s="949"/>
      <c r="AI730" s="949"/>
      <c r="AJ730" s="949"/>
      <c r="AK730" s="949"/>
      <c r="AL730" s="949"/>
      <c r="AM730" s="953" t="s">
        <v>990</v>
      </c>
      <c r="AN730" s="954" t="s">
        <v>987</v>
      </c>
      <c r="AO730" s="955" t="s">
        <v>1252</v>
      </c>
      <c r="AP730" s="931"/>
      <c r="AQ730" s="956"/>
      <c r="AR730" s="957"/>
      <c r="AS730" s="931"/>
    </row>
    <row r="731" ht="15.75" customHeight="1">
      <c r="A731" s="931"/>
      <c r="B731" s="941" t="s">
        <v>2903</v>
      </c>
      <c r="C731" s="942" t="s">
        <v>2904</v>
      </c>
      <c r="D731" s="942" t="s">
        <v>2904</v>
      </c>
      <c r="E731" s="943" t="s">
        <v>2904</v>
      </c>
      <c r="F731" s="935"/>
      <c r="G731" s="944"/>
      <c r="H731" s="944"/>
      <c r="I731" s="959" t="s">
        <v>408</v>
      </c>
      <c r="J731" s="975" t="s">
        <v>712</v>
      </c>
      <c r="K731" s="954" t="s">
        <v>158</v>
      </c>
      <c r="L731" s="949">
        <v>60.0</v>
      </c>
      <c r="M731" s="949">
        <v>45.0</v>
      </c>
      <c r="N731" s="949">
        <v>70.0</v>
      </c>
      <c r="O731" s="949">
        <v>75.0</v>
      </c>
      <c r="P731" s="949">
        <v>85.0</v>
      </c>
      <c r="Q731" s="949">
        <v>55.0</v>
      </c>
      <c r="R731" s="949">
        <v>146.0</v>
      </c>
      <c r="S731" s="949">
        <v>209.0</v>
      </c>
      <c r="T731" s="949">
        <v>229.0</v>
      </c>
      <c r="U731" s="949"/>
      <c r="V731" s="949"/>
      <c r="W731" s="949"/>
      <c r="X731" s="949"/>
      <c r="Y731" s="949"/>
      <c r="Z731" s="949"/>
      <c r="AA731" s="949"/>
      <c r="AB731" s="949"/>
      <c r="AC731" s="949"/>
      <c r="AD731" s="949"/>
      <c r="AE731" s="949"/>
      <c r="AF731" s="949"/>
      <c r="AG731" s="949"/>
      <c r="AH731" s="949"/>
      <c r="AI731" s="949"/>
      <c r="AJ731" s="949"/>
      <c r="AK731" s="949"/>
      <c r="AL731" s="949"/>
      <c r="AM731" s="953" t="s">
        <v>990</v>
      </c>
      <c r="AN731" s="954" t="s">
        <v>987</v>
      </c>
      <c r="AO731" s="955" t="s">
        <v>1252</v>
      </c>
      <c r="AP731" s="931"/>
      <c r="AQ731" s="956"/>
      <c r="AR731" s="957"/>
      <c r="AS731" s="931"/>
    </row>
    <row r="732" ht="15.75" customHeight="1">
      <c r="A732" s="963"/>
      <c r="B732" s="941" t="s">
        <v>2905</v>
      </c>
      <c r="C732" s="942" t="s">
        <v>230</v>
      </c>
      <c r="D732" s="942" t="s">
        <v>230</v>
      </c>
      <c r="E732" s="943" t="s">
        <v>230</v>
      </c>
      <c r="F732" s="935"/>
      <c r="G732" s="944"/>
      <c r="H732" s="944"/>
      <c r="I732" s="946" t="s">
        <v>98</v>
      </c>
      <c r="J732" s="975" t="s">
        <v>712</v>
      </c>
      <c r="K732" s="954" t="s">
        <v>158</v>
      </c>
      <c r="L732" s="949">
        <v>70.0</v>
      </c>
      <c r="M732" s="949">
        <v>55.0</v>
      </c>
      <c r="N732" s="949">
        <v>95.0</v>
      </c>
      <c r="O732" s="949">
        <v>95.0</v>
      </c>
      <c r="P732" s="949">
        <v>110.0</v>
      </c>
      <c r="Q732" s="949">
        <v>65.0</v>
      </c>
      <c r="R732" s="949">
        <v>166.0</v>
      </c>
      <c r="S732" s="949">
        <v>229.0</v>
      </c>
      <c r="T732" s="949">
        <v>251.0</v>
      </c>
      <c r="U732" s="949"/>
      <c r="V732" s="949"/>
      <c r="W732" s="949"/>
      <c r="X732" s="949"/>
      <c r="Y732" s="949"/>
      <c r="Z732" s="949"/>
      <c r="AA732" s="949"/>
      <c r="AB732" s="949"/>
      <c r="AC732" s="949"/>
      <c r="AD732" s="949"/>
      <c r="AE732" s="949"/>
      <c r="AF732" s="949"/>
      <c r="AG732" s="949"/>
      <c r="AH732" s="949"/>
      <c r="AI732" s="949"/>
      <c r="AJ732" s="949"/>
      <c r="AK732" s="949"/>
      <c r="AL732" s="949"/>
      <c r="AM732" s="964" t="s">
        <v>990</v>
      </c>
      <c r="AN732" s="973" t="s">
        <v>987</v>
      </c>
      <c r="AO732" s="965" t="s">
        <v>1252</v>
      </c>
      <c r="AP732" s="931"/>
      <c r="AQ732" s="956"/>
      <c r="AR732" s="957"/>
      <c r="AS732" s="931"/>
    </row>
    <row r="733" ht="15.75" customHeight="1">
      <c r="A733" s="963"/>
      <c r="B733" s="941" t="s">
        <v>2906</v>
      </c>
      <c r="C733" s="942" t="s">
        <v>2907</v>
      </c>
      <c r="D733" s="942" t="s">
        <v>2907</v>
      </c>
      <c r="E733" s="943" t="s">
        <v>2907</v>
      </c>
      <c r="F733" s="935"/>
      <c r="G733" s="944"/>
      <c r="H733" s="944"/>
      <c r="I733" s="946" t="s">
        <v>2908</v>
      </c>
      <c r="J733" s="975" t="s">
        <v>712</v>
      </c>
      <c r="K733" s="954" t="s">
        <v>158</v>
      </c>
      <c r="L733" s="949">
        <v>45.0</v>
      </c>
      <c r="M733" s="949">
        <v>30.0</v>
      </c>
      <c r="N733" s="949">
        <v>40.0</v>
      </c>
      <c r="O733" s="949">
        <v>105.0</v>
      </c>
      <c r="P733" s="949">
        <v>50.0</v>
      </c>
      <c r="Q733" s="949">
        <v>20.0</v>
      </c>
      <c r="R733" s="949">
        <v>76.0</v>
      </c>
      <c r="S733" s="949">
        <v>139.0</v>
      </c>
      <c r="T733" s="949">
        <v>152.0</v>
      </c>
      <c r="U733" s="949"/>
      <c r="V733" s="949"/>
      <c r="W733" s="949"/>
      <c r="X733" s="949"/>
      <c r="Y733" s="949"/>
      <c r="Z733" s="949"/>
      <c r="AA733" s="949"/>
      <c r="AB733" s="949"/>
      <c r="AC733" s="949"/>
      <c r="AD733" s="949"/>
      <c r="AE733" s="949"/>
      <c r="AF733" s="949"/>
      <c r="AG733" s="949"/>
      <c r="AH733" s="949"/>
      <c r="AI733" s="949"/>
      <c r="AJ733" s="949"/>
      <c r="AK733" s="949"/>
      <c r="AL733" s="949"/>
      <c r="AM733" s="964" t="s">
        <v>1239</v>
      </c>
      <c r="AN733" s="954" t="s">
        <v>963</v>
      </c>
      <c r="AO733" s="955" t="s">
        <v>1177</v>
      </c>
      <c r="AP733" s="931"/>
      <c r="AQ733" s="956"/>
      <c r="AR733" s="957"/>
      <c r="AS733" s="931"/>
    </row>
    <row r="734" ht="15.75" customHeight="1">
      <c r="A734" s="963"/>
      <c r="B734" s="941" t="s">
        <v>2909</v>
      </c>
      <c r="C734" s="942" t="s">
        <v>2910</v>
      </c>
      <c r="D734" s="942" t="s">
        <v>2910</v>
      </c>
      <c r="E734" s="943" t="s">
        <v>2910</v>
      </c>
      <c r="F734" s="935"/>
      <c r="G734" s="944"/>
      <c r="H734" s="944"/>
      <c r="I734" s="959" t="s">
        <v>2911</v>
      </c>
      <c r="J734" s="975" t="s">
        <v>712</v>
      </c>
      <c r="K734" s="954" t="s">
        <v>158</v>
      </c>
      <c r="L734" s="949">
        <v>65.0</v>
      </c>
      <c r="M734" s="949">
        <v>40.0</v>
      </c>
      <c r="N734" s="949">
        <v>50.0</v>
      </c>
      <c r="O734" s="949">
        <v>125.0</v>
      </c>
      <c r="P734" s="949">
        <v>60.0</v>
      </c>
      <c r="Q734" s="949">
        <v>30.0</v>
      </c>
      <c r="R734" s="949">
        <v>96.0</v>
      </c>
      <c r="S734" s="949">
        <v>159.0</v>
      </c>
      <c r="T734" s="949">
        <v>174.0</v>
      </c>
      <c r="U734" s="949"/>
      <c r="V734" s="949"/>
      <c r="W734" s="949"/>
      <c r="X734" s="949"/>
      <c r="Y734" s="949"/>
      <c r="Z734" s="949"/>
      <c r="AA734" s="949"/>
      <c r="AB734" s="949"/>
      <c r="AC734" s="949"/>
      <c r="AD734" s="949"/>
      <c r="AE734" s="949"/>
      <c r="AF734" s="949"/>
      <c r="AG734" s="949"/>
      <c r="AH734" s="949"/>
      <c r="AI734" s="949"/>
      <c r="AJ734" s="949"/>
      <c r="AK734" s="949"/>
      <c r="AL734" s="949"/>
      <c r="AM734" s="964" t="s">
        <v>1239</v>
      </c>
      <c r="AN734" s="954" t="s">
        <v>963</v>
      </c>
      <c r="AO734" s="955" t="s">
        <v>1177</v>
      </c>
      <c r="AP734" s="931"/>
      <c r="AQ734" s="956"/>
      <c r="AR734" s="957"/>
      <c r="AS734" s="931"/>
    </row>
    <row r="735" ht="15.75" customHeight="1">
      <c r="A735" s="931"/>
      <c r="B735" s="941" t="s">
        <v>2912</v>
      </c>
      <c r="C735" s="942" t="s">
        <v>2913</v>
      </c>
      <c r="D735" s="942" t="s">
        <v>2913</v>
      </c>
      <c r="E735" s="943" t="s">
        <v>2913</v>
      </c>
      <c r="F735" s="935"/>
      <c r="G735" s="944"/>
      <c r="H735" s="944"/>
      <c r="I735" s="946" t="s">
        <v>2914</v>
      </c>
      <c r="J735" s="975" t="s">
        <v>712</v>
      </c>
      <c r="K735" s="954" t="s">
        <v>158</v>
      </c>
      <c r="L735" s="949">
        <v>110.0</v>
      </c>
      <c r="M735" s="949">
        <v>65.0</v>
      </c>
      <c r="N735" s="949">
        <v>75.0</v>
      </c>
      <c r="O735" s="949">
        <v>125.0</v>
      </c>
      <c r="P735" s="949">
        <v>85.0</v>
      </c>
      <c r="Q735" s="949">
        <v>30.0</v>
      </c>
      <c r="R735" s="949">
        <v>96.0</v>
      </c>
      <c r="S735" s="949">
        <v>159.0</v>
      </c>
      <c r="T735" s="949">
        <v>174.0</v>
      </c>
      <c r="U735" s="949"/>
      <c r="V735" s="949"/>
      <c r="W735" s="949"/>
      <c r="X735" s="949"/>
      <c r="Y735" s="949"/>
      <c r="Z735" s="949"/>
      <c r="AA735" s="949"/>
      <c r="AB735" s="949"/>
      <c r="AC735" s="949"/>
      <c r="AD735" s="949"/>
      <c r="AE735" s="949"/>
      <c r="AF735" s="949"/>
      <c r="AG735" s="949"/>
      <c r="AH735" s="949"/>
      <c r="AI735" s="949"/>
      <c r="AJ735" s="949"/>
      <c r="AK735" s="949"/>
      <c r="AL735" s="949"/>
      <c r="AM735" s="953" t="s">
        <v>1239</v>
      </c>
      <c r="AN735" s="954" t="s">
        <v>963</v>
      </c>
      <c r="AO735" s="955" t="s">
        <v>1177</v>
      </c>
      <c r="AP735" s="931"/>
      <c r="AQ735" s="956"/>
      <c r="AR735" s="957"/>
      <c r="AS735" s="931"/>
    </row>
    <row r="736" ht="15.75" customHeight="1">
      <c r="A736" s="931"/>
      <c r="B736" s="941" t="s">
        <v>2915</v>
      </c>
      <c r="C736" s="942" t="s">
        <v>2916</v>
      </c>
      <c r="D736" s="942" t="s">
        <v>2916</v>
      </c>
      <c r="E736" s="943" t="s">
        <v>2916</v>
      </c>
      <c r="F736" s="935"/>
      <c r="G736" s="944"/>
      <c r="H736" s="944"/>
      <c r="I736" s="946" t="s">
        <v>2917</v>
      </c>
      <c r="J736" s="962" t="s">
        <v>706</v>
      </c>
      <c r="K736" s="960" t="s">
        <v>707</v>
      </c>
      <c r="L736" s="949">
        <v>62.0</v>
      </c>
      <c r="M736" s="949">
        <v>44.0</v>
      </c>
      <c r="N736" s="949">
        <v>50.0</v>
      </c>
      <c r="O736" s="949">
        <v>44.0</v>
      </c>
      <c r="P736" s="949">
        <v>50.0</v>
      </c>
      <c r="Q736" s="949">
        <v>55.0</v>
      </c>
      <c r="R736" s="949">
        <v>146.0</v>
      </c>
      <c r="S736" s="949">
        <v>209.0</v>
      </c>
      <c r="T736" s="949">
        <v>229.0</v>
      </c>
      <c r="U736" s="949"/>
      <c r="V736" s="949"/>
      <c r="W736" s="949"/>
      <c r="X736" s="949"/>
      <c r="Y736" s="949"/>
      <c r="Z736" s="949"/>
      <c r="AA736" s="949"/>
      <c r="AB736" s="949"/>
      <c r="AC736" s="949"/>
      <c r="AD736" s="949"/>
      <c r="AE736" s="949"/>
      <c r="AF736" s="949"/>
      <c r="AG736" s="949"/>
      <c r="AH736" s="949"/>
      <c r="AI736" s="949"/>
      <c r="AJ736" s="949"/>
      <c r="AK736" s="949"/>
      <c r="AL736" s="949"/>
      <c r="AM736" s="953" t="s">
        <v>815</v>
      </c>
      <c r="AN736" s="954" t="s">
        <v>817</v>
      </c>
      <c r="AO736" s="955" t="s">
        <v>1216</v>
      </c>
      <c r="AP736" s="931"/>
      <c r="AQ736" s="956"/>
      <c r="AR736" s="957"/>
      <c r="AS736" s="931"/>
    </row>
    <row r="737" ht="15.75" customHeight="1">
      <c r="A737" s="963"/>
      <c r="B737" s="941" t="s">
        <v>2918</v>
      </c>
      <c r="C737" s="942" t="s">
        <v>2919</v>
      </c>
      <c r="D737" s="942" t="s">
        <v>2919</v>
      </c>
      <c r="E737" s="966" t="s">
        <v>2919</v>
      </c>
      <c r="F737" s="935"/>
      <c r="G737" s="944"/>
      <c r="H737" s="944"/>
      <c r="I737" s="946" t="s">
        <v>2920</v>
      </c>
      <c r="J737" s="962" t="s">
        <v>706</v>
      </c>
      <c r="K737" s="960" t="s">
        <v>707</v>
      </c>
      <c r="L737" s="949">
        <v>75.0</v>
      </c>
      <c r="M737" s="949">
        <v>87.0</v>
      </c>
      <c r="N737" s="949">
        <v>63.0</v>
      </c>
      <c r="O737" s="949">
        <v>87.0</v>
      </c>
      <c r="P737" s="949">
        <v>63.0</v>
      </c>
      <c r="Q737" s="949">
        <v>98.0</v>
      </c>
      <c r="R737" s="949">
        <v>232.0</v>
      </c>
      <c r="S737" s="949">
        <v>295.0</v>
      </c>
      <c r="T737" s="949">
        <v>324.0</v>
      </c>
      <c r="U737" s="949"/>
      <c r="V737" s="949"/>
      <c r="W737" s="949"/>
      <c r="X737" s="949"/>
      <c r="Y737" s="949"/>
      <c r="Z737" s="949"/>
      <c r="AA737" s="949"/>
      <c r="AB737" s="949"/>
      <c r="AC737" s="949"/>
      <c r="AD737" s="949"/>
      <c r="AE737" s="949"/>
      <c r="AF737" s="949"/>
      <c r="AG737" s="949"/>
      <c r="AH737" s="949"/>
      <c r="AI737" s="949"/>
      <c r="AJ737" s="949"/>
      <c r="AK737" s="949"/>
      <c r="AL737" s="949"/>
      <c r="AM737" s="964" t="s">
        <v>815</v>
      </c>
      <c r="AN737" s="973" t="s">
        <v>817</v>
      </c>
      <c r="AO737" s="965" t="s">
        <v>1216</v>
      </c>
      <c r="AP737" s="931"/>
      <c r="AQ737" s="956"/>
      <c r="AR737" s="957"/>
      <c r="AS737" s="931"/>
    </row>
    <row r="738" ht="15.75" customHeight="1">
      <c r="A738" s="931"/>
      <c r="B738" s="941" t="s">
        <v>2921</v>
      </c>
      <c r="C738" s="942" t="s">
        <v>2922</v>
      </c>
      <c r="D738" s="942" t="s">
        <v>2922</v>
      </c>
      <c r="E738" s="943" t="s">
        <v>2922</v>
      </c>
      <c r="F738" s="935"/>
      <c r="G738" s="944"/>
      <c r="H738" s="944"/>
      <c r="I738" s="946" t="s">
        <v>2923</v>
      </c>
      <c r="J738" s="977" t="s">
        <v>714</v>
      </c>
      <c r="K738" s="954" t="s">
        <v>158</v>
      </c>
      <c r="L738" s="949">
        <v>36.0</v>
      </c>
      <c r="M738" s="949">
        <v>50.0</v>
      </c>
      <c r="N738" s="949">
        <v>50.0</v>
      </c>
      <c r="O738" s="949">
        <v>65.0</v>
      </c>
      <c r="P738" s="949">
        <v>60.0</v>
      </c>
      <c r="Q738" s="949">
        <v>44.0</v>
      </c>
      <c r="R738" s="949">
        <v>124.0</v>
      </c>
      <c r="S738" s="949">
        <v>187.0</v>
      </c>
      <c r="T738" s="949">
        <v>205.0</v>
      </c>
      <c r="U738" s="949"/>
      <c r="V738" s="949"/>
      <c r="W738" s="949"/>
      <c r="X738" s="949"/>
      <c r="Y738" s="949"/>
      <c r="Z738" s="949"/>
      <c r="AA738" s="949"/>
      <c r="AB738" s="949"/>
      <c r="AC738" s="949"/>
      <c r="AD738" s="949"/>
      <c r="AE738" s="949"/>
      <c r="AF738" s="949"/>
      <c r="AG738" s="949"/>
      <c r="AH738" s="949"/>
      <c r="AI738" s="949"/>
      <c r="AJ738" s="949"/>
      <c r="AK738" s="949"/>
      <c r="AL738" s="949"/>
      <c r="AM738" s="953" t="s">
        <v>1217</v>
      </c>
      <c r="AN738" s="954" t="s">
        <v>929</v>
      </c>
      <c r="AO738" s="955" t="s">
        <v>1256</v>
      </c>
      <c r="AP738" s="931"/>
      <c r="AQ738" s="956"/>
      <c r="AR738" s="957"/>
      <c r="AS738" s="931"/>
    </row>
    <row r="739" ht="15.75" customHeight="1">
      <c r="A739" s="931"/>
      <c r="B739" s="941" t="s">
        <v>2924</v>
      </c>
      <c r="C739" s="942" t="s">
        <v>2925</v>
      </c>
      <c r="D739" s="942" t="s">
        <v>2925</v>
      </c>
      <c r="E739" s="943" t="s">
        <v>2925</v>
      </c>
      <c r="F739" s="935"/>
      <c r="G739" s="944"/>
      <c r="H739" s="944"/>
      <c r="I739" s="946" t="s">
        <v>2926</v>
      </c>
      <c r="J739" s="977" t="s">
        <v>714</v>
      </c>
      <c r="K739" s="954" t="s">
        <v>158</v>
      </c>
      <c r="L739" s="949">
        <v>51.0</v>
      </c>
      <c r="M739" s="949">
        <v>65.0</v>
      </c>
      <c r="N739" s="949">
        <v>65.0</v>
      </c>
      <c r="O739" s="949">
        <v>80.0</v>
      </c>
      <c r="P739" s="949">
        <v>75.0</v>
      </c>
      <c r="Q739" s="949">
        <v>59.0</v>
      </c>
      <c r="R739" s="949">
        <v>154.0</v>
      </c>
      <c r="S739" s="949">
        <v>217.0</v>
      </c>
      <c r="T739" s="949">
        <v>238.0</v>
      </c>
      <c r="U739" s="949"/>
      <c r="V739" s="949"/>
      <c r="W739" s="949"/>
      <c r="X739" s="949"/>
      <c r="Y739" s="949"/>
      <c r="Z739" s="949"/>
      <c r="AA739" s="949"/>
      <c r="AB739" s="949"/>
      <c r="AC739" s="949"/>
      <c r="AD739" s="949"/>
      <c r="AE739" s="949"/>
      <c r="AF739" s="949"/>
      <c r="AG739" s="949"/>
      <c r="AH739" s="949"/>
      <c r="AI739" s="949"/>
      <c r="AJ739" s="949"/>
      <c r="AK739" s="949"/>
      <c r="AL739" s="949"/>
      <c r="AM739" s="953" t="s">
        <v>1217</v>
      </c>
      <c r="AN739" s="954" t="s">
        <v>929</v>
      </c>
      <c r="AO739" s="955" t="s">
        <v>1256</v>
      </c>
      <c r="AP739" s="931"/>
      <c r="AQ739" s="956"/>
      <c r="AR739" s="957"/>
      <c r="AS739" s="931"/>
    </row>
    <row r="740" ht="15.75" customHeight="1">
      <c r="A740" s="931"/>
      <c r="B740" s="941" t="s">
        <v>2927</v>
      </c>
      <c r="C740" s="942" t="s">
        <v>2928</v>
      </c>
      <c r="D740" s="942" t="s">
        <v>2928</v>
      </c>
      <c r="E740" s="943" t="s">
        <v>2928</v>
      </c>
      <c r="F740" s="935"/>
      <c r="G740" s="944"/>
      <c r="H740" s="944"/>
      <c r="I740" s="959" t="s">
        <v>2929</v>
      </c>
      <c r="J740" s="977" t="s">
        <v>714</v>
      </c>
      <c r="K740" s="954" t="s">
        <v>158</v>
      </c>
      <c r="L740" s="949">
        <v>71.0</v>
      </c>
      <c r="M740" s="949">
        <v>95.0</v>
      </c>
      <c r="N740" s="949">
        <v>85.0</v>
      </c>
      <c r="O740" s="949">
        <v>110.0</v>
      </c>
      <c r="P740" s="949">
        <v>95.0</v>
      </c>
      <c r="Q740" s="949">
        <v>79.0</v>
      </c>
      <c r="R740" s="949">
        <v>194.0</v>
      </c>
      <c r="S740" s="949">
        <v>257.0</v>
      </c>
      <c r="T740" s="949">
        <v>282.0</v>
      </c>
      <c r="U740" s="949"/>
      <c r="V740" s="949"/>
      <c r="W740" s="949"/>
      <c r="X740" s="949"/>
      <c r="Y740" s="949"/>
      <c r="Z740" s="949"/>
      <c r="AA740" s="949"/>
      <c r="AB740" s="949"/>
      <c r="AC740" s="949"/>
      <c r="AD740" s="949"/>
      <c r="AE740" s="949"/>
      <c r="AF740" s="949"/>
      <c r="AG740" s="949"/>
      <c r="AH740" s="949"/>
      <c r="AI740" s="949"/>
      <c r="AJ740" s="949"/>
      <c r="AK740" s="949"/>
      <c r="AL740" s="949"/>
      <c r="AM740" s="953" t="s">
        <v>1217</v>
      </c>
      <c r="AN740" s="954" t="s">
        <v>977</v>
      </c>
      <c r="AO740" s="955" t="s">
        <v>1256</v>
      </c>
      <c r="AP740" s="931"/>
      <c r="AQ740" s="956"/>
      <c r="AR740" s="957"/>
      <c r="AS740" s="931"/>
    </row>
    <row r="741" ht="15.75" customHeight="1">
      <c r="A741" s="931"/>
      <c r="B741" s="941" t="s">
        <v>2930</v>
      </c>
      <c r="C741" s="942" t="s">
        <v>2931</v>
      </c>
      <c r="D741" s="942" t="s">
        <v>2931</v>
      </c>
      <c r="E741" s="943" t="s">
        <v>2931</v>
      </c>
      <c r="F741" s="935"/>
      <c r="G741" s="944"/>
      <c r="H741" s="944"/>
      <c r="I741" s="946" t="s">
        <v>621</v>
      </c>
      <c r="J741" s="968" t="s">
        <v>703</v>
      </c>
      <c r="K741" s="947" t="s">
        <v>708</v>
      </c>
      <c r="L741" s="949">
        <v>60.0</v>
      </c>
      <c r="M741" s="949">
        <v>60.0</v>
      </c>
      <c r="N741" s="949">
        <v>50.0</v>
      </c>
      <c r="O741" s="949">
        <v>40.0</v>
      </c>
      <c r="P741" s="949">
        <v>50.0</v>
      </c>
      <c r="Q741" s="949">
        <v>75.0</v>
      </c>
      <c r="R741" s="949">
        <v>186.0</v>
      </c>
      <c r="S741" s="949">
        <v>249.0</v>
      </c>
      <c r="T741" s="949">
        <v>273.0</v>
      </c>
      <c r="U741" s="949"/>
      <c r="V741" s="949"/>
      <c r="W741" s="949"/>
      <c r="X741" s="949"/>
      <c r="Y741" s="949"/>
      <c r="Z741" s="949"/>
      <c r="AA741" s="949"/>
      <c r="AB741" s="949"/>
      <c r="AC741" s="949"/>
      <c r="AD741" s="949"/>
      <c r="AE741" s="949"/>
      <c r="AF741" s="949"/>
      <c r="AG741" s="949"/>
      <c r="AH741" s="949"/>
      <c r="AI741" s="949"/>
      <c r="AJ741" s="949"/>
      <c r="AK741" s="949"/>
      <c r="AL741" s="949"/>
      <c r="AM741" s="953" t="s">
        <v>736</v>
      </c>
      <c r="AN741" s="954" t="s">
        <v>1603</v>
      </c>
      <c r="AO741" s="955" t="s">
        <v>1334</v>
      </c>
      <c r="AP741" s="931"/>
      <c r="AQ741" s="956"/>
      <c r="AR741" s="957"/>
      <c r="AS741" s="931"/>
    </row>
    <row r="742" ht="15.75" customHeight="1">
      <c r="A742" s="931"/>
      <c r="B742" s="941" t="s">
        <v>2932</v>
      </c>
      <c r="C742" s="942" t="s">
        <v>2933</v>
      </c>
      <c r="D742" s="942" t="s">
        <v>2933</v>
      </c>
      <c r="E742" s="943" t="s">
        <v>2933</v>
      </c>
      <c r="F742" s="935"/>
      <c r="G742" s="944"/>
      <c r="H742" s="944"/>
      <c r="I742" s="946" t="s">
        <v>511</v>
      </c>
      <c r="J742" s="968" t="s">
        <v>703</v>
      </c>
      <c r="K742" s="947" t="s">
        <v>708</v>
      </c>
      <c r="L742" s="949">
        <v>80.0</v>
      </c>
      <c r="M742" s="949">
        <v>100.0</v>
      </c>
      <c r="N742" s="949">
        <v>70.0</v>
      </c>
      <c r="O742" s="949">
        <v>60.0</v>
      </c>
      <c r="P742" s="949">
        <v>70.0</v>
      </c>
      <c r="Q742" s="949">
        <v>95.0</v>
      </c>
      <c r="R742" s="949">
        <v>226.0</v>
      </c>
      <c r="S742" s="949">
        <v>289.0</v>
      </c>
      <c r="T742" s="949">
        <v>317.0</v>
      </c>
      <c r="U742" s="949"/>
      <c r="V742" s="949"/>
      <c r="W742" s="949"/>
      <c r="X742" s="949"/>
      <c r="Y742" s="949"/>
      <c r="Z742" s="949"/>
      <c r="AA742" s="949"/>
      <c r="AB742" s="949"/>
      <c r="AC742" s="949"/>
      <c r="AD742" s="949"/>
      <c r="AE742" s="949"/>
      <c r="AF742" s="949"/>
      <c r="AG742" s="949"/>
      <c r="AH742" s="949"/>
      <c r="AI742" s="949"/>
      <c r="AJ742" s="949"/>
      <c r="AK742" s="949"/>
      <c r="AL742" s="949"/>
      <c r="AM742" s="953" t="s">
        <v>736</v>
      </c>
      <c r="AN742" s="954" t="s">
        <v>1603</v>
      </c>
      <c r="AO742" s="955" t="s">
        <v>1334</v>
      </c>
      <c r="AP742" s="931"/>
      <c r="AQ742" s="956"/>
      <c r="AR742" s="957"/>
      <c r="AS742" s="931"/>
    </row>
    <row r="743" ht="15.75" customHeight="1">
      <c r="A743" s="931"/>
      <c r="B743" s="941" t="s">
        <v>2934</v>
      </c>
      <c r="C743" s="942" t="s">
        <v>2935</v>
      </c>
      <c r="D743" s="942" t="s">
        <v>2935</v>
      </c>
      <c r="E743" s="943" t="s">
        <v>2935</v>
      </c>
      <c r="F743" s="935"/>
      <c r="G743" s="944"/>
      <c r="H743" s="944"/>
      <c r="I743" s="946" t="s">
        <v>2936</v>
      </c>
      <c r="J743" s="970" t="s">
        <v>710</v>
      </c>
      <c r="K743" s="960" t="s">
        <v>707</v>
      </c>
      <c r="L743" s="949">
        <v>55.0</v>
      </c>
      <c r="M743" s="949">
        <v>75.0</v>
      </c>
      <c r="N743" s="949">
        <v>60.0</v>
      </c>
      <c r="O743" s="949">
        <v>75.0</v>
      </c>
      <c r="P743" s="949">
        <v>60.0</v>
      </c>
      <c r="Q743" s="949">
        <v>103.0</v>
      </c>
      <c r="R743" s="949">
        <v>242.0</v>
      </c>
      <c r="S743" s="949">
        <v>305.0</v>
      </c>
      <c r="T743" s="949">
        <v>335.0</v>
      </c>
      <c r="U743" s="949"/>
      <c r="V743" s="949"/>
      <c r="W743" s="949"/>
      <c r="X743" s="949"/>
      <c r="Y743" s="949"/>
      <c r="Z743" s="949"/>
      <c r="AA743" s="949"/>
      <c r="AB743" s="949"/>
      <c r="AC743" s="949"/>
      <c r="AD743" s="949"/>
      <c r="AE743" s="949"/>
      <c r="AF743" s="949"/>
      <c r="AG743" s="949"/>
      <c r="AH743" s="949"/>
      <c r="AI743" s="949"/>
      <c r="AJ743" s="949"/>
      <c r="AK743" s="949"/>
      <c r="AL743" s="949"/>
      <c r="AM743" s="953" t="s">
        <v>861</v>
      </c>
      <c r="AN743" s="954"/>
      <c r="AO743" s="955" t="s">
        <v>2496</v>
      </c>
      <c r="AP743" s="931"/>
      <c r="AQ743" s="956"/>
      <c r="AR743" s="957"/>
      <c r="AS743" s="931"/>
    </row>
    <row r="744" ht="15.75" customHeight="1">
      <c r="A744" s="931"/>
      <c r="B744" s="941" t="s">
        <v>2937</v>
      </c>
      <c r="C744" s="942" t="s">
        <v>2938</v>
      </c>
      <c r="D744" s="942" t="s">
        <v>2938</v>
      </c>
      <c r="E744" s="943" t="s">
        <v>2938</v>
      </c>
      <c r="F744" s="935"/>
      <c r="G744" s="944"/>
      <c r="H744" s="944"/>
      <c r="I744" s="946" t="s">
        <v>2939</v>
      </c>
      <c r="J744" s="967" t="s">
        <v>715</v>
      </c>
      <c r="K744" s="954" t="s">
        <v>158</v>
      </c>
      <c r="L744" s="949">
        <v>50.0</v>
      </c>
      <c r="M744" s="949">
        <v>75.0</v>
      </c>
      <c r="N744" s="949">
        <v>45.0</v>
      </c>
      <c r="O744" s="949">
        <v>40.0</v>
      </c>
      <c r="P744" s="949">
        <v>45.0</v>
      </c>
      <c r="Q744" s="949">
        <v>60.0</v>
      </c>
      <c r="R744" s="949">
        <v>156.0</v>
      </c>
      <c r="S744" s="949">
        <v>219.0</v>
      </c>
      <c r="T744" s="949">
        <v>240.0</v>
      </c>
      <c r="U744" s="949"/>
      <c r="V744" s="949"/>
      <c r="W744" s="949"/>
      <c r="X744" s="949"/>
      <c r="Y744" s="949"/>
      <c r="Z744" s="949"/>
      <c r="AA744" s="949"/>
      <c r="AB744" s="949"/>
      <c r="AC744" s="949"/>
      <c r="AD744" s="949"/>
      <c r="AE744" s="949"/>
      <c r="AF744" s="949"/>
      <c r="AG744" s="949"/>
      <c r="AH744" s="949"/>
      <c r="AI744" s="949"/>
      <c r="AJ744" s="949"/>
      <c r="AK744" s="949"/>
      <c r="AL744" s="949"/>
      <c r="AM744" s="953" t="s">
        <v>806</v>
      </c>
      <c r="AN744" s="954" t="s">
        <v>791</v>
      </c>
      <c r="AO744" s="955" t="s">
        <v>827</v>
      </c>
      <c r="AP744" s="931"/>
      <c r="AQ744" s="956"/>
      <c r="AR744" s="957"/>
      <c r="AS744" s="931"/>
    </row>
    <row r="745" ht="15.75" customHeight="1">
      <c r="A745" s="931"/>
      <c r="B745" s="941" t="s">
        <v>2940</v>
      </c>
      <c r="C745" s="942" t="s">
        <v>2941</v>
      </c>
      <c r="D745" s="942" t="s">
        <v>2941</v>
      </c>
      <c r="E745" s="943" t="s">
        <v>2941</v>
      </c>
      <c r="F745" s="935"/>
      <c r="G745" s="944"/>
      <c r="H745" s="944"/>
      <c r="I745" s="946" t="s">
        <v>2942</v>
      </c>
      <c r="J745" s="967" t="s">
        <v>715</v>
      </c>
      <c r="K745" s="978" t="s">
        <v>719</v>
      </c>
      <c r="L745" s="949">
        <v>70.0</v>
      </c>
      <c r="M745" s="949">
        <v>135.0</v>
      </c>
      <c r="N745" s="949">
        <v>105.0</v>
      </c>
      <c r="O745" s="949">
        <v>60.0</v>
      </c>
      <c r="P745" s="949">
        <v>105.0</v>
      </c>
      <c r="Q745" s="949">
        <v>20.0</v>
      </c>
      <c r="R745" s="949">
        <v>76.0</v>
      </c>
      <c r="S745" s="949">
        <v>139.0</v>
      </c>
      <c r="T745" s="949">
        <v>152.0</v>
      </c>
      <c r="U745" s="949"/>
      <c r="V745" s="949"/>
      <c r="W745" s="949"/>
      <c r="X745" s="949"/>
      <c r="Y745" s="949"/>
      <c r="Z745" s="949"/>
      <c r="AA745" s="949"/>
      <c r="AB745" s="949"/>
      <c r="AC745" s="949"/>
      <c r="AD745" s="949"/>
      <c r="AE745" s="949"/>
      <c r="AF745" s="949"/>
      <c r="AG745" s="949"/>
      <c r="AH745" s="949"/>
      <c r="AI745" s="949"/>
      <c r="AJ745" s="949"/>
      <c r="AK745" s="949"/>
      <c r="AL745" s="949"/>
      <c r="AM745" s="953" t="s">
        <v>806</v>
      </c>
      <c r="AN745" s="954" t="s">
        <v>1192</v>
      </c>
      <c r="AO745" s="955" t="s">
        <v>1239</v>
      </c>
      <c r="AP745" s="931"/>
      <c r="AQ745" s="956"/>
      <c r="AR745" s="957"/>
      <c r="AS745" s="931"/>
    </row>
    <row r="746" ht="15.75" customHeight="1">
      <c r="A746" s="963"/>
      <c r="B746" s="941" t="s">
        <v>2943</v>
      </c>
      <c r="C746" s="971" t="s">
        <v>2944</v>
      </c>
      <c r="D746" s="971" t="s">
        <v>2944</v>
      </c>
      <c r="E746" s="966" t="s">
        <v>2944</v>
      </c>
      <c r="F746" s="935"/>
      <c r="G746" s="944"/>
      <c r="H746" s="944"/>
      <c r="I746" s="959" t="s">
        <v>444</v>
      </c>
      <c r="J746" s="1002" t="s">
        <v>708</v>
      </c>
      <c r="K746" s="983" t="s">
        <v>709</v>
      </c>
      <c r="L746" s="974">
        <v>69.0</v>
      </c>
      <c r="M746" s="974">
        <v>55.0</v>
      </c>
      <c r="N746" s="974">
        <v>45.0</v>
      </c>
      <c r="O746" s="974">
        <v>55.0</v>
      </c>
      <c r="P746" s="974">
        <v>55.0</v>
      </c>
      <c r="Q746" s="974">
        <v>15.0</v>
      </c>
      <c r="R746" s="949">
        <v>66.0</v>
      </c>
      <c r="S746" s="949">
        <v>129.0</v>
      </c>
      <c r="T746" s="949">
        <v>141.0</v>
      </c>
      <c r="U746" s="949"/>
      <c r="V746" s="949"/>
      <c r="W746" s="949"/>
      <c r="X746" s="949"/>
      <c r="Y746" s="949"/>
      <c r="Z746" s="949"/>
      <c r="AA746" s="949"/>
      <c r="AB746" s="949"/>
      <c r="AC746" s="949"/>
      <c r="AD746" s="949"/>
      <c r="AE746" s="949"/>
      <c r="AF746" s="949"/>
      <c r="AG746" s="949"/>
      <c r="AH746" s="949"/>
      <c r="AI746" s="949"/>
      <c r="AJ746" s="949"/>
      <c r="AK746" s="949"/>
      <c r="AL746" s="949"/>
      <c r="AM746" s="964" t="s">
        <v>1009</v>
      </c>
      <c r="AN746" s="973"/>
      <c r="AO746" s="965" t="s">
        <v>1177</v>
      </c>
      <c r="AP746" s="931"/>
      <c r="AQ746" s="956"/>
      <c r="AR746" s="957"/>
      <c r="AS746" s="931"/>
    </row>
    <row r="747" ht="15.75" customHeight="1">
      <c r="A747" s="963"/>
      <c r="B747" s="941" t="s">
        <v>2945</v>
      </c>
      <c r="C747" s="971" t="s">
        <v>239</v>
      </c>
      <c r="D747" s="971" t="s">
        <v>239</v>
      </c>
      <c r="E747" s="966" t="s">
        <v>239</v>
      </c>
      <c r="F747" s="935"/>
      <c r="G747" s="944"/>
      <c r="H747" s="944"/>
      <c r="I747" s="959" t="s">
        <v>72</v>
      </c>
      <c r="J747" s="1002" t="s">
        <v>708</v>
      </c>
      <c r="K747" s="983" t="s">
        <v>709</v>
      </c>
      <c r="L747" s="974">
        <v>114.0</v>
      </c>
      <c r="M747" s="974">
        <v>85.0</v>
      </c>
      <c r="N747" s="974">
        <v>70.0</v>
      </c>
      <c r="O747" s="974">
        <v>85.0</v>
      </c>
      <c r="P747" s="974">
        <v>80.0</v>
      </c>
      <c r="Q747" s="974">
        <v>30.0</v>
      </c>
      <c r="R747" s="949">
        <v>96.0</v>
      </c>
      <c r="S747" s="949">
        <v>159.0</v>
      </c>
      <c r="T747" s="949">
        <v>174.0</v>
      </c>
      <c r="U747" s="949"/>
      <c r="V747" s="949"/>
      <c r="W747" s="949"/>
      <c r="X747" s="949"/>
      <c r="Y747" s="949"/>
      <c r="Z747" s="949"/>
      <c r="AA747" s="949"/>
      <c r="AB747" s="949"/>
      <c r="AC747" s="949"/>
      <c r="AD747" s="949"/>
      <c r="AE747" s="949"/>
      <c r="AF747" s="949"/>
      <c r="AG747" s="949"/>
      <c r="AH747" s="949"/>
      <c r="AI747" s="949"/>
      <c r="AJ747" s="949"/>
      <c r="AK747" s="949"/>
      <c r="AL747" s="949"/>
      <c r="AM747" s="964" t="s">
        <v>1009</v>
      </c>
      <c r="AN747" s="973"/>
      <c r="AO747" s="965" t="s">
        <v>1177</v>
      </c>
      <c r="AP747" s="931"/>
      <c r="AQ747" s="956"/>
      <c r="AR747" s="957"/>
      <c r="AS747" s="931"/>
    </row>
    <row r="748" ht="15.75" customHeight="1">
      <c r="A748" s="931"/>
      <c r="B748" s="941" t="s">
        <v>2946</v>
      </c>
      <c r="C748" s="942" t="s">
        <v>2947</v>
      </c>
      <c r="D748" s="942" t="s">
        <v>2947</v>
      </c>
      <c r="E748" s="943" t="s">
        <v>2947</v>
      </c>
      <c r="F748" s="935"/>
      <c r="G748" s="944"/>
      <c r="H748" s="944"/>
      <c r="I748" s="946" t="s">
        <v>2948</v>
      </c>
      <c r="J748" s="962" t="s">
        <v>706</v>
      </c>
      <c r="K748" s="994" t="s">
        <v>717</v>
      </c>
      <c r="L748" s="949">
        <v>55.0</v>
      </c>
      <c r="M748" s="949">
        <v>40.0</v>
      </c>
      <c r="N748" s="949">
        <v>50.0</v>
      </c>
      <c r="O748" s="949">
        <v>65.0</v>
      </c>
      <c r="P748" s="949">
        <v>85.0</v>
      </c>
      <c r="Q748" s="949">
        <v>40.0</v>
      </c>
      <c r="R748" s="949">
        <v>116.0</v>
      </c>
      <c r="S748" s="949">
        <v>179.0</v>
      </c>
      <c r="T748" s="949">
        <v>196.0</v>
      </c>
      <c r="U748" s="949"/>
      <c r="V748" s="949"/>
      <c r="W748" s="949"/>
      <c r="X748" s="949"/>
      <c r="Y748" s="949"/>
      <c r="Z748" s="949"/>
      <c r="AA748" s="949"/>
      <c r="AB748" s="949"/>
      <c r="AC748" s="949"/>
      <c r="AD748" s="949"/>
      <c r="AE748" s="949"/>
      <c r="AF748" s="949"/>
      <c r="AG748" s="949"/>
      <c r="AH748" s="949"/>
      <c r="AI748" s="949"/>
      <c r="AJ748" s="949"/>
      <c r="AK748" s="949"/>
      <c r="AL748" s="949"/>
      <c r="AM748" s="953" t="s">
        <v>1084</v>
      </c>
      <c r="AN748" s="954" t="s">
        <v>1248</v>
      </c>
      <c r="AO748" s="955" t="s">
        <v>1014</v>
      </c>
      <c r="AP748" s="931"/>
      <c r="AQ748" s="956"/>
      <c r="AR748" s="957"/>
      <c r="AS748" s="931"/>
    </row>
    <row r="749" ht="15.75" customHeight="1">
      <c r="A749" s="931"/>
      <c r="B749" s="941" t="s">
        <v>2949</v>
      </c>
      <c r="C749" s="942" t="s">
        <v>2950</v>
      </c>
      <c r="D749" s="942" t="s">
        <v>2950</v>
      </c>
      <c r="E749" s="943" t="s">
        <v>2950</v>
      </c>
      <c r="F749" s="935"/>
      <c r="G749" s="944"/>
      <c r="H749" s="944"/>
      <c r="I749" s="946" t="s">
        <v>2951</v>
      </c>
      <c r="J749" s="962" t="s">
        <v>706</v>
      </c>
      <c r="K749" s="994" t="s">
        <v>717</v>
      </c>
      <c r="L749" s="949">
        <v>100.0</v>
      </c>
      <c r="M749" s="949">
        <v>60.0</v>
      </c>
      <c r="N749" s="949">
        <v>70.0</v>
      </c>
      <c r="O749" s="949">
        <v>85.0</v>
      </c>
      <c r="P749" s="949">
        <v>105.0</v>
      </c>
      <c r="Q749" s="949">
        <v>60.0</v>
      </c>
      <c r="R749" s="949">
        <v>156.0</v>
      </c>
      <c r="S749" s="949">
        <v>219.0</v>
      </c>
      <c r="T749" s="949">
        <v>240.0</v>
      </c>
      <c r="U749" s="949"/>
      <c r="V749" s="949"/>
      <c r="W749" s="949"/>
      <c r="X749" s="949"/>
      <c r="Y749" s="949"/>
      <c r="Z749" s="949"/>
      <c r="AA749" s="949"/>
      <c r="AB749" s="949"/>
      <c r="AC749" s="949"/>
      <c r="AD749" s="949"/>
      <c r="AE749" s="949"/>
      <c r="AF749" s="949"/>
      <c r="AG749" s="949"/>
      <c r="AH749" s="949"/>
      <c r="AI749" s="949"/>
      <c r="AJ749" s="949"/>
      <c r="AK749" s="949"/>
      <c r="AL749" s="949"/>
      <c r="AM749" s="953" t="s">
        <v>1084</v>
      </c>
      <c r="AN749" s="954" t="s">
        <v>1248</v>
      </c>
      <c r="AO749" s="955" t="s">
        <v>1014</v>
      </c>
      <c r="AP749" s="931"/>
      <c r="AQ749" s="956"/>
      <c r="AR749" s="957"/>
      <c r="AS749" s="931"/>
    </row>
    <row r="750" ht="15.75" customHeight="1">
      <c r="A750" s="931"/>
      <c r="B750" s="941" t="s">
        <v>2952</v>
      </c>
      <c r="C750" s="942" t="s">
        <v>2953</v>
      </c>
      <c r="D750" s="942" t="s">
        <v>2953</v>
      </c>
      <c r="E750" s="943" t="s">
        <v>2953</v>
      </c>
      <c r="F750" s="935"/>
      <c r="G750" s="944"/>
      <c r="H750" s="944"/>
      <c r="I750" s="959" t="s">
        <v>512</v>
      </c>
      <c r="J750" s="962" t="s">
        <v>706</v>
      </c>
      <c r="K750" s="954" t="s">
        <v>158</v>
      </c>
      <c r="L750" s="949">
        <v>165.0</v>
      </c>
      <c r="M750" s="949">
        <v>75.0</v>
      </c>
      <c r="N750" s="949">
        <v>80.0</v>
      </c>
      <c r="O750" s="949">
        <v>40.0</v>
      </c>
      <c r="P750" s="949">
        <v>45.0</v>
      </c>
      <c r="Q750" s="949">
        <v>65.0</v>
      </c>
      <c r="R750" s="949">
        <v>166.0</v>
      </c>
      <c r="S750" s="949">
        <v>229.0</v>
      </c>
      <c r="T750" s="949">
        <v>251.0</v>
      </c>
      <c r="U750" s="949"/>
      <c r="V750" s="949"/>
      <c r="W750" s="949"/>
      <c r="X750" s="949"/>
      <c r="Y750" s="949"/>
      <c r="Z750" s="949"/>
      <c r="AA750" s="949"/>
      <c r="AB750" s="949"/>
      <c r="AC750" s="949"/>
      <c r="AD750" s="949"/>
      <c r="AE750" s="949"/>
      <c r="AF750" s="949"/>
      <c r="AG750" s="949"/>
      <c r="AH750" s="949"/>
      <c r="AI750" s="949"/>
      <c r="AJ750" s="949"/>
      <c r="AK750" s="949"/>
      <c r="AL750" s="949"/>
      <c r="AM750" s="953" t="s">
        <v>1335</v>
      </c>
      <c r="AN750" s="954" t="s">
        <v>1216</v>
      </c>
      <c r="AO750" s="955" t="s">
        <v>1177</v>
      </c>
      <c r="AP750" s="931"/>
      <c r="AQ750" s="956"/>
      <c r="AR750" s="957"/>
      <c r="AS750" s="931"/>
    </row>
    <row r="751" ht="15.75" customHeight="1">
      <c r="A751" s="931"/>
      <c r="B751" s="941" t="s">
        <v>2954</v>
      </c>
      <c r="C751" s="971" t="s">
        <v>2955</v>
      </c>
      <c r="D751" s="942" t="s">
        <v>2955</v>
      </c>
      <c r="E751" s="966" t="s">
        <v>2955</v>
      </c>
      <c r="F751" s="935"/>
      <c r="G751" s="944"/>
      <c r="H751" s="944"/>
      <c r="I751" s="946" t="s">
        <v>2956</v>
      </c>
      <c r="J751" s="967" t="s">
        <v>715</v>
      </c>
      <c r="K751" s="970" t="s">
        <v>710</v>
      </c>
      <c r="L751" s="949">
        <v>50.0</v>
      </c>
      <c r="M751" s="949">
        <v>47.0</v>
      </c>
      <c r="N751" s="949">
        <v>50.0</v>
      </c>
      <c r="O751" s="949">
        <v>57.0</v>
      </c>
      <c r="P751" s="949">
        <v>50.0</v>
      </c>
      <c r="Q751" s="949">
        <v>65.0</v>
      </c>
      <c r="R751" s="949">
        <v>166.0</v>
      </c>
      <c r="S751" s="949">
        <v>229.0</v>
      </c>
      <c r="T751" s="949">
        <v>251.0</v>
      </c>
      <c r="U751" s="949"/>
      <c r="V751" s="949"/>
      <c r="W751" s="949"/>
      <c r="X751" s="949"/>
      <c r="Y751" s="949"/>
      <c r="Z751" s="949"/>
      <c r="AA751" s="949"/>
      <c r="AB751" s="949"/>
      <c r="AC751" s="949"/>
      <c r="AD751" s="949"/>
      <c r="AE751" s="949"/>
      <c r="AF751" s="949"/>
      <c r="AG751" s="949"/>
      <c r="AH751" s="949"/>
      <c r="AI751" s="949"/>
      <c r="AJ751" s="949"/>
      <c r="AK751" s="949"/>
      <c r="AL751" s="949"/>
      <c r="AM751" s="953" t="s">
        <v>795</v>
      </c>
      <c r="AN751" s="954" t="s">
        <v>855</v>
      </c>
      <c r="AO751" s="955" t="s">
        <v>806</v>
      </c>
      <c r="AP751" s="931"/>
      <c r="AQ751" s="956"/>
      <c r="AR751" s="957"/>
      <c r="AS751" s="931"/>
    </row>
    <row r="752" ht="15.75" customHeight="1">
      <c r="A752" s="931"/>
      <c r="B752" s="941" t="s">
        <v>2957</v>
      </c>
      <c r="C752" s="971" t="s">
        <v>2958</v>
      </c>
      <c r="D752" s="942" t="s">
        <v>2958</v>
      </c>
      <c r="E752" s="966" t="s">
        <v>2958</v>
      </c>
      <c r="F752" s="935"/>
      <c r="G752" s="944"/>
      <c r="H752" s="944"/>
      <c r="I752" s="946" t="s">
        <v>2959</v>
      </c>
      <c r="J752" s="967" t="s">
        <v>715</v>
      </c>
      <c r="K752" s="970" t="s">
        <v>710</v>
      </c>
      <c r="L752" s="949">
        <v>70.0</v>
      </c>
      <c r="M752" s="949">
        <v>77.0</v>
      </c>
      <c r="N752" s="949">
        <v>60.0</v>
      </c>
      <c r="O752" s="949">
        <v>97.0</v>
      </c>
      <c r="P752" s="949">
        <v>60.0</v>
      </c>
      <c r="Q752" s="949">
        <v>108.0</v>
      </c>
      <c r="R752" s="949">
        <v>252.0</v>
      </c>
      <c r="S752" s="949">
        <v>315.0</v>
      </c>
      <c r="T752" s="949">
        <v>346.0</v>
      </c>
      <c r="U752" s="949"/>
      <c r="V752" s="949"/>
      <c r="W752" s="949"/>
      <c r="X752" s="949"/>
      <c r="Y752" s="949"/>
      <c r="Z752" s="949"/>
      <c r="AA752" s="949"/>
      <c r="AB752" s="949"/>
      <c r="AC752" s="949"/>
      <c r="AD752" s="949"/>
      <c r="AE752" s="949"/>
      <c r="AF752" s="949"/>
      <c r="AG752" s="949"/>
      <c r="AH752" s="949"/>
      <c r="AI752" s="949"/>
      <c r="AJ752" s="949"/>
      <c r="AK752" s="949"/>
      <c r="AL752" s="949"/>
      <c r="AM752" s="953" t="s">
        <v>795</v>
      </c>
      <c r="AN752" s="954" t="s">
        <v>855</v>
      </c>
      <c r="AO752" s="955" t="s">
        <v>806</v>
      </c>
      <c r="AP752" s="931"/>
      <c r="AQ752" s="956"/>
      <c r="AR752" s="957"/>
      <c r="AS752" s="931"/>
    </row>
    <row r="753" ht="15.75" customHeight="1">
      <c r="A753" s="931"/>
      <c r="B753" s="941" t="s">
        <v>2960</v>
      </c>
      <c r="C753" s="942" t="s">
        <v>2961</v>
      </c>
      <c r="D753" s="942" t="s">
        <v>2961</v>
      </c>
      <c r="E753" s="943" t="s">
        <v>2961</v>
      </c>
      <c r="F753" s="935"/>
      <c r="G753" s="944"/>
      <c r="H753" s="944"/>
      <c r="I753" s="946" t="s">
        <v>2962</v>
      </c>
      <c r="J753" s="947" t="s">
        <v>708</v>
      </c>
      <c r="K753" s="978" t="s">
        <v>719</v>
      </c>
      <c r="L753" s="949">
        <v>44.0</v>
      </c>
      <c r="M753" s="949">
        <v>50.0</v>
      </c>
      <c r="N753" s="949">
        <v>91.0</v>
      </c>
      <c r="O753" s="949">
        <v>24.0</v>
      </c>
      <c r="P753" s="949">
        <v>86.0</v>
      </c>
      <c r="Q753" s="949">
        <v>10.0</v>
      </c>
      <c r="R753" s="949">
        <v>56.0</v>
      </c>
      <c r="S753" s="949">
        <v>119.0</v>
      </c>
      <c r="T753" s="949">
        <v>130.0</v>
      </c>
      <c r="U753" s="949"/>
      <c r="V753" s="949"/>
      <c r="W753" s="949"/>
      <c r="X753" s="949"/>
      <c r="Y753" s="949"/>
      <c r="Z753" s="949"/>
      <c r="AA753" s="949"/>
      <c r="AB753" s="949"/>
      <c r="AC753" s="949"/>
      <c r="AD753" s="949"/>
      <c r="AE753" s="949"/>
      <c r="AF753" s="949"/>
      <c r="AG753" s="949"/>
      <c r="AH753" s="949"/>
      <c r="AI753" s="949"/>
      <c r="AJ753" s="949"/>
      <c r="AK753" s="949"/>
      <c r="AL753" s="949"/>
      <c r="AM753" s="953" t="s">
        <v>2963</v>
      </c>
      <c r="AN753" s="954"/>
      <c r="AO753" s="955"/>
      <c r="AP753" s="931"/>
      <c r="AQ753" s="956"/>
      <c r="AR753" s="957"/>
      <c r="AS753" s="931"/>
    </row>
    <row r="754" ht="15.75" customHeight="1">
      <c r="A754" s="963"/>
      <c r="B754" s="941" t="s">
        <v>2964</v>
      </c>
      <c r="C754" s="942" t="s">
        <v>2965</v>
      </c>
      <c r="D754" s="942" t="s">
        <v>2965</v>
      </c>
      <c r="E754" s="943" t="s">
        <v>2965</v>
      </c>
      <c r="F754" s="935"/>
      <c r="G754" s="944"/>
      <c r="H754" s="944"/>
      <c r="I754" s="946" t="s">
        <v>2966</v>
      </c>
      <c r="J754" s="947" t="s">
        <v>708</v>
      </c>
      <c r="K754" s="978" t="s">
        <v>719</v>
      </c>
      <c r="L754" s="949">
        <v>74.0</v>
      </c>
      <c r="M754" s="949">
        <v>94.0</v>
      </c>
      <c r="N754" s="949">
        <v>131.0</v>
      </c>
      <c r="O754" s="949">
        <v>54.0</v>
      </c>
      <c r="P754" s="949">
        <v>116.0</v>
      </c>
      <c r="Q754" s="949">
        <v>20.0</v>
      </c>
      <c r="R754" s="949">
        <v>76.0</v>
      </c>
      <c r="S754" s="949">
        <v>139.0</v>
      </c>
      <c r="T754" s="949">
        <v>152.0</v>
      </c>
      <c r="U754" s="949"/>
      <c r="V754" s="949"/>
      <c r="W754" s="949"/>
      <c r="X754" s="949"/>
      <c r="Y754" s="949"/>
      <c r="Z754" s="949"/>
      <c r="AA754" s="949"/>
      <c r="AB754" s="949"/>
      <c r="AC754" s="949"/>
      <c r="AD754" s="949"/>
      <c r="AE754" s="949"/>
      <c r="AF754" s="949"/>
      <c r="AG754" s="949"/>
      <c r="AH754" s="949"/>
      <c r="AI754" s="949"/>
      <c r="AJ754" s="949"/>
      <c r="AK754" s="949"/>
      <c r="AL754" s="949"/>
      <c r="AM754" s="964" t="s">
        <v>2963</v>
      </c>
      <c r="AN754" s="973"/>
      <c r="AO754" s="965" t="s">
        <v>1165</v>
      </c>
      <c r="AP754" s="931"/>
      <c r="AQ754" s="956"/>
      <c r="AR754" s="957"/>
      <c r="AS754" s="931"/>
    </row>
    <row r="755" ht="15.75" customHeight="1">
      <c r="A755" s="931"/>
      <c r="B755" s="941" t="s">
        <v>2967</v>
      </c>
      <c r="C755" s="942" t="s">
        <v>2968</v>
      </c>
      <c r="D755" s="942" t="s">
        <v>2968</v>
      </c>
      <c r="E755" s="943" t="s">
        <v>2968</v>
      </c>
      <c r="F755" s="935"/>
      <c r="G755" s="944"/>
      <c r="H755" s="944"/>
      <c r="I755" s="946" t="s">
        <v>2969</v>
      </c>
      <c r="J755" s="978" t="s">
        <v>719</v>
      </c>
      <c r="K755" s="954" t="s">
        <v>158</v>
      </c>
      <c r="L755" s="949">
        <v>40.0</v>
      </c>
      <c r="M755" s="949">
        <v>55.0</v>
      </c>
      <c r="N755" s="949">
        <v>70.0</v>
      </c>
      <c r="O755" s="949">
        <v>45.0</v>
      </c>
      <c r="P755" s="949">
        <v>60.0</v>
      </c>
      <c r="Q755" s="949">
        <v>30.0</v>
      </c>
      <c r="R755" s="949">
        <v>96.0</v>
      </c>
      <c r="S755" s="949">
        <v>159.0</v>
      </c>
      <c r="T755" s="949">
        <v>174.0</v>
      </c>
      <c r="U755" s="949"/>
      <c r="V755" s="949"/>
      <c r="W755" s="949"/>
      <c r="X755" s="949"/>
      <c r="Y755" s="949"/>
      <c r="Z755" s="949"/>
      <c r="AA755" s="949"/>
      <c r="AB755" s="949"/>
      <c r="AC755" s="949"/>
      <c r="AD755" s="949"/>
      <c r="AE755" s="949"/>
      <c r="AF755" s="949"/>
      <c r="AG755" s="949"/>
      <c r="AH755" s="949"/>
      <c r="AI755" s="949"/>
      <c r="AJ755" s="949"/>
      <c r="AK755" s="949"/>
      <c r="AL755" s="949"/>
      <c r="AM755" s="953" t="s">
        <v>1589</v>
      </c>
      <c r="AN755" s="954" t="s">
        <v>2004</v>
      </c>
      <c r="AO755" s="955" t="s">
        <v>1127</v>
      </c>
      <c r="AP755" s="931"/>
      <c r="AQ755" s="956"/>
      <c r="AR755" s="957"/>
      <c r="AS755" s="931"/>
    </row>
    <row r="756" ht="15.75" customHeight="1">
      <c r="A756" s="931"/>
      <c r="B756" s="941" t="s">
        <v>2970</v>
      </c>
      <c r="C756" s="942" t="s">
        <v>2971</v>
      </c>
      <c r="D756" s="942" t="s">
        <v>2971</v>
      </c>
      <c r="E756" s="943" t="s">
        <v>2971</v>
      </c>
      <c r="F756" s="935"/>
      <c r="G756" s="944"/>
      <c r="H756" s="944"/>
      <c r="I756" s="946" t="s">
        <v>2972</v>
      </c>
      <c r="J756" s="978" t="s">
        <v>719</v>
      </c>
      <c r="K756" s="954" t="s">
        <v>158</v>
      </c>
      <c r="L756" s="949">
        <v>60.0</v>
      </c>
      <c r="M756" s="949">
        <v>80.0</v>
      </c>
      <c r="N756" s="949">
        <v>95.0</v>
      </c>
      <c r="O756" s="949">
        <v>70.0</v>
      </c>
      <c r="P756" s="949">
        <v>85.0</v>
      </c>
      <c r="Q756" s="949">
        <v>50.0</v>
      </c>
      <c r="R756" s="949">
        <v>136.0</v>
      </c>
      <c r="S756" s="949">
        <v>199.0</v>
      </c>
      <c r="T756" s="949">
        <v>218.0</v>
      </c>
      <c r="U756" s="949"/>
      <c r="V756" s="949"/>
      <c r="W756" s="949"/>
      <c r="X756" s="949"/>
      <c r="Y756" s="949"/>
      <c r="Z756" s="949"/>
      <c r="AA756" s="949"/>
      <c r="AB756" s="949"/>
      <c r="AC756" s="949"/>
      <c r="AD756" s="949"/>
      <c r="AE756" s="949"/>
      <c r="AF756" s="949"/>
      <c r="AG756" s="949"/>
      <c r="AH756" s="949"/>
      <c r="AI756" s="949"/>
      <c r="AJ756" s="949"/>
      <c r="AK756" s="949"/>
      <c r="AL756" s="949"/>
      <c r="AM756" s="953" t="s">
        <v>1589</v>
      </c>
      <c r="AN756" s="954" t="s">
        <v>2004</v>
      </c>
      <c r="AO756" s="955" t="s">
        <v>1127</v>
      </c>
      <c r="AP756" s="931"/>
      <c r="AQ756" s="956"/>
      <c r="AR756" s="957"/>
      <c r="AS756" s="931"/>
    </row>
    <row r="757" ht="15.75" customHeight="1">
      <c r="A757" s="931"/>
      <c r="B757" s="941" t="s">
        <v>2973</v>
      </c>
      <c r="C757" s="942" t="s">
        <v>2974</v>
      </c>
      <c r="D757" s="942" t="s">
        <v>2974</v>
      </c>
      <c r="E757" s="943" t="s">
        <v>2974</v>
      </c>
      <c r="F757" s="935"/>
      <c r="G757" s="944"/>
      <c r="H757" s="944"/>
      <c r="I757" s="946" t="s">
        <v>2975</v>
      </c>
      <c r="J757" s="978" t="s">
        <v>719</v>
      </c>
      <c r="K757" s="954" t="s">
        <v>158</v>
      </c>
      <c r="L757" s="949">
        <v>60.0</v>
      </c>
      <c r="M757" s="949">
        <v>100.0</v>
      </c>
      <c r="N757" s="949">
        <v>115.0</v>
      </c>
      <c r="O757" s="949">
        <v>70.0</v>
      </c>
      <c r="P757" s="949">
        <v>85.0</v>
      </c>
      <c r="Q757" s="949">
        <v>90.0</v>
      </c>
      <c r="R757" s="949">
        <v>216.0</v>
      </c>
      <c r="S757" s="949">
        <v>279.0</v>
      </c>
      <c r="T757" s="949">
        <v>306.0</v>
      </c>
      <c r="U757" s="949"/>
      <c r="V757" s="949"/>
      <c r="W757" s="949"/>
      <c r="X757" s="949"/>
      <c r="Y757" s="949"/>
      <c r="Z757" s="949"/>
      <c r="AA757" s="949"/>
      <c r="AB757" s="949"/>
      <c r="AC757" s="949"/>
      <c r="AD757" s="949"/>
      <c r="AE757" s="949"/>
      <c r="AF757" s="949"/>
      <c r="AG757" s="949"/>
      <c r="AH757" s="949"/>
      <c r="AI757" s="949"/>
      <c r="AJ757" s="949"/>
      <c r="AK757" s="949"/>
      <c r="AL757" s="949"/>
      <c r="AM757" s="953" t="s">
        <v>1589</v>
      </c>
      <c r="AN757" s="954" t="s">
        <v>2004</v>
      </c>
      <c r="AO757" s="955" t="s">
        <v>1127</v>
      </c>
      <c r="AP757" s="931"/>
      <c r="AQ757" s="956"/>
      <c r="AR757" s="957"/>
      <c r="AS757" s="931"/>
    </row>
    <row r="758" ht="15.75" customHeight="1">
      <c r="A758" s="931"/>
      <c r="B758" s="941" t="s">
        <v>2976</v>
      </c>
      <c r="C758" s="942" t="s">
        <v>2977</v>
      </c>
      <c r="D758" s="942" t="s">
        <v>2977</v>
      </c>
      <c r="E758" s="943" t="s">
        <v>2977</v>
      </c>
      <c r="F758" s="935"/>
      <c r="G758" s="944"/>
      <c r="H758" s="944"/>
      <c r="I758" s="946" t="s">
        <v>622</v>
      </c>
      <c r="J758" s="970" t="s">
        <v>710</v>
      </c>
      <c r="K758" s="954" t="s">
        <v>158</v>
      </c>
      <c r="L758" s="949">
        <v>35.0</v>
      </c>
      <c r="M758" s="949">
        <v>55.0</v>
      </c>
      <c r="N758" s="949">
        <v>40.0</v>
      </c>
      <c r="O758" s="949">
        <v>45.0</v>
      </c>
      <c r="P758" s="949">
        <v>40.0</v>
      </c>
      <c r="Q758" s="949">
        <v>60.0</v>
      </c>
      <c r="R758" s="949">
        <v>156.0</v>
      </c>
      <c r="S758" s="949">
        <v>219.0</v>
      </c>
      <c r="T758" s="949">
        <v>240.0</v>
      </c>
      <c r="U758" s="949"/>
      <c r="V758" s="949"/>
      <c r="W758" s="949"/>
      <c r="X758" s="949"/>
      <c r="Y758" s="949"/>
      <c r="Z758" s="949"/>
      <c r="AA758" s="949"/>
      <c r="AB758" s="949"/>
      <c r="AC758" s="949"/>
      <c r="AD758" s="949"/>
      <c r="AE758" s="949"/>
      <c r="AF758" s="949"/>
      <c r="AG758" s="949"/>
      <c r="AH758" s="949"/>
      <c r="AI758" s="949"/>
      <c r="AJ758" s="949"/>
      <c r="AK758" s="949"/>
      <c r="AL758" s="949"/>
      <c r="AM758" s="953" t="s">
        <v>1244</v>
      </c>
      <c r="AN758" s="954"/>
      <c r="AO758" s="955"/>
      <c r="AP758" s="931"/>
      <c r="AQ758" s="956"/>
      <c r="AR758" s="957"/>
      <c r="AS758" s="931"/>
    </row>
    <row r="759" ht="15.75" customHeight="1">
      <c r="A759" s="931"/>
      <c r="B759" s="941" t="s">
        <v>2978</v>
      </c>
      <c r="C759" s="942" t="s">
        <v>2979</v>
      </c>
      <c r="D759" s="942" t="s">
        <v>2979</v>
      </c>
      <c r="E759" s="943" t="s">
        <v>2979</v>
      </c>
      <c r="F759" s="935"/>
      <c r="G759" s="944"/>
      <c r="H759" s="944"/>
      <c r="I759" s="946" t="s">
        <v>623</v>
      </c>
      <c r="J759" s="970" t="s">
        <v>710</v>
      </c>
      <c r="K759" s="954" t="s">
        <v>158</v>
      </c>
      <c r="L759" s="949">
        <v>65.0</v>
      </c>
      <c r="M759" s="949">
        <v>85.0</v>
      </c>
      <c r="N759" s="949">
        <v>70.0</v>
      </c>
      <c r="O759" s="949">
        <v>75.0</v>
      </c>
      <c r="P759" s="949">
        <v>70.0</v>
      </c>
      <c r="Q759" s="949">
        <v>40.0</v>
      </c>
      <c r="R759" s="949">
        <v>116.0</v>
      </c>
      <c r="S759" s="949">
        <v>179.0</v>
      </c>
      <c r="T759" s="949">
        <v>196.0</v>
      </c>
      <c r="U759" s="949"/>
      <c r="V759" s="949"/>
      <c r="W759" s="949"/>
      <c r="X759" s="949"/>
      <c r="Y759" s="949"/>
      <c r="Z759" s="949"/>
      <c r="AA759" s="949"/>
      <c r="AB759" s="949"/>
      <c r="AC759" s="949"/>
      <c r="AD759" s="949"/>
      <c r="AE759" s="949"/>
      <c r="AF759" s="949"/>
      <c r="AG759" s="949"/>
      <c r="AH759" s="949"/>
      <c r="AI759" s="949"/>
      <c r="AJ759" s="949"/>
      <c r="AK759" s="949"/>
      <c r="AL759" s="949"/>
      <c r="AM759" s="953" t="s">
        <v>1244</v>
      </c>
      <c r="AN759" s="954"/>
      <c r="AO759" s="955"/>
      <c r="AP759" s="931"/>
      <c r="AQ759" s="956"/>
      <c r="AR759" s="957"/>
      <c r="AS759" s="931"/>
    </row>
    <row r="760" ht="15.75" customHeight="1">
      <c r="A760" s="931"/>
      <c r="B760" s="941" t="s">
        <v>2980</v>
      </c>
      <c r="C760" s="942" t="s">
        <v>2981</v>
      </c>
      <c r="D760" s="942" t="s">
        <v>2981</v>
      </c>
      <c r="E760" s="943" t="s">
        <v>2981</v>
      </c>
      <c r="F760" s="935"/>
      <c r="G760" s="944"/>
      <c r="H760" s="944"/>
      <c r="I760" s="946" t="s">
        <v>464</v>
      </c>
      <c r="J760" s="970" t="s">
        <v>710</v>
      </c>
      <c r="K760" s="954" t="s">
        <v>158</v>
      </c>
      <c r="L760" s="949">
        <v>85.0</v>
      </c>
      <c r="M760" s="949">
        <v>115.0</v>
      </c>
      <c r="N760" s="949">
        <v>80.0</v>
      </c>
      <c r="O760" s="949">
        <v>105.0</v>
      </c>
      <c r="P760" s="949">
        <v>80.0</v>
      </c>
      <c r="Q760" s="949">
        <v>50.0</v>
      </c>
      <c r="R760" s="949">
        <v>136.0</v>
      </c>
      <c r="S760" s="949">
        <v>199.0</v>
      </c>
      <c r="T760" s="949">
        <v>218.0</v>
      </c>
      <c r="U760" s="949"/>
      <c r="V760" s="949"/>
      <c r="W760" s="949"/>
      <c r="X760" s="949"/>
      <c r="Y760" s="949"/>
      <c r="Z760" s="949"/>
      <c r="AA760" s="949"/>
      <c r="AB760" s="949"/>
      <c r="AC760" s="949"/>
      <c r="AD760" s="949"/>
      <c r="AE760" s="949"/>
      <c r="AF760" s="949"/>
      <c r="AG760" s="949"/>
      <c r="AH760" s="949"/>
      <c r="AI760" s="949"/>
      <c r="AJ760" s="949"/>
      <c r="AK760" s="949"/>
      <c r="AL760" s="949"/>
      <c r="AM760" s="953" t="s">
        <v>1244</v>
      </c>
      <c r="AN760" s="954"/>
      <c r="AO760" s="955"/>
      <c r="AP760" s="931"/>
      <c r="AQ760" s="956"/>
      <c r="AR760" s="957"/>
      <c r="AS760" s="931"/>
    </row>
    <row r="761" ht="15.75" customHeight="1">
      <c r="A761" s="931"/>
      <c r="B761" s="941" t="s">
        <v>2982</v>
      </c>
      <c r="C761" s="942" t="s">
        <v>2983</v>
      </c>
      <c r="D761" s="942" t="s">
        <v>2983</v>
      </c>
      <c r="E761" s="943" t="s">
        <v>2983</v>
      </c>
      <c r="F761" s="935"/>
      <c r="G761" s="944"/>
      <c r="H761" s="944"/>
      <c r="I761" s="946" t="s">
        <v>2984</v>
      </c>
      <c r="J761" s="975" t="s">
        <v>712</v>
      </c>
      <c r="K761" s="954" t="s">
        <v>158</v>
      </c>
      <c r="L761" s="949">
        <v>55.0</v>
      </c>
      <c r="M761" s="949">
        <v>55.0</v>
      </c>
      <c r="N761" s="949">
        <v>55.0</v>
      </c>
      <c r="O761" s="949">
        <v>85.0</v>
      </c>
      <c r="P761" s="949">
        <v>55.0</v>
      </c>
      <c r="Q761" s="949">
        <v>30.0</v>
      </c>
      <c r="R761" s="949">
        <v>96.0</v>
      </c>
      <c r="S761" s="949">
        <v>159.0</v>
      </c>
      <c r="T761" s="949">
        <v>174.0</v>
      </c>
      <c r="U761" s="949"/>
      <c r="V761" s="949"/>
      <c r="W761" s="949"/>
      <c r="X761" s="949"/>
      <c r="Y761" s="949"/>
      <c r="Z761" s="949"/>
      <c r="AA761" s="949"/>
      <c r="AB761" s="949"/>
      <c r="AC761" s="949"/>
      <c r="AD761" s="949"/>
      <c r="AE761" s="949"/>
      <c r="AF761" s="949"/>
      <c r="AG761" s="949"/>
      <c r="AH761" s="949"/>
      <c r="AI761" s="949"/>
      <c r="AJ761" s="949"/>
      <c r="AK761" s="949"/>
      <c r="AL761" s="949"/>
      <c r="AM761" s="953" t="s">
        <v>1657</v>
      </c>
      <c r="AN761" s="954" t="s">
        <v>1094</v>
      </c>
      <c r="AO761" s="955" t="s">
        <v>1195</v>
      </c>
      <c r="AP761" s="931"/>
      <c r="AQ761" s="956"/>
      <c r="AR761" s="957"/>
      <c r="AS761" s="931"/>
    </row>
    <row r="762" ht="15.75" customHeight="1">
      <c r="A762" s="931"/>
      <c r="B762" s="941" t="s">
        <v>2985</v>
      </c>
      <c r="C762" s="942" t="s">
        <v>2986</v>
      </c>
      <c r="D762" s="942" t="s">
        <v>2986</v>
      </c>
      <c r="E762" s="943" t="s">
        <v>2986</v>
      </c>
      <c r="F762" s="935"/>
      <c r="G762" s="944"/>
      <c r="H762" s="944"/>
      <c r="I762" s="946" t="s">
        <v>2987</v>
      </c>
      <c r="J762" s="975" t="s">
        <v>712</v>
      </c>
      <c r="K762" s="954" t="s">
        <v>158</v>
      </c>
      <c r="L762" s="949">
        <v>75.0</v>
      </c>
      <c r="M762" s="949">
        <v>75.0</v>
      </c>
      <c r="N762" s="949">
        <v>75.0</v>
      </c>
      <c r="O762" s="949">
        <v>125.0</v>
      </c>
      <c r="P762" s="949">
        <v>95.0</v>
      </c>
      <c r="Q762" s="949">
        <v>40.0</v>
      </c>
      <c r="R762" s="949">
        <v>116.0</v>
      </c>
      <c r="S762" s="949">
        <v>179.0</v>
      </c>
      <c r="T762" s="949">
        <v>196.0</v>
      </c>
      <c r="U762" s="949"/>
      <c r="V762" s="949"/>
      <c r="W762" s="949"/>
      <c r="X762" s="949"/>
      <c r="Y762" s="949"/>
      <c r="Z762" s="949"/>
      <c r="AA762" s="949"/>
      <c r="AB762" s="949"/>
      <c r="AC762" s="949"/>
      <c r="AD762" s="949"/>
      <c r="AE762" s="949"/>
      <c r="AF762" s="949"/>
      <c r="AG762" s="949"/>
      <c r="AH762" s="949"/>
      <c r="AI762" s="949"/>
      <c r="AJ762" s="949"/>
      <c r="AK762" s="949"/>
      <c r="AL762" s="949"/>
      <c r="AM762" s="953" t="s">
        <v>1657</v>
      </c>
      <c r="AN762" s="954" t="s">
        <v>1094</v>
      </c>
      <c r="AO762" s="955" t="s">
        <v>1195</v>
      </c>
      <c r="AP762" s="931"/>
      <c r="AQ762" s="956"/>
      <c r="AR762" s="957"/>
      <c r="AS762" s="931"/>
    </row>
    <row r="763" ht="15.75" customHeight="1">
      <c r="A763" s="931"/>
      <c r="B763" s="941" t="s">
        <v>2988</v>
      </c>
      <c r="C763" s="942" t="s">
        <v>2989</v>
      </c>
      <c r="D763" s="942" t="s">
        <v>2989</v>
      </c>
      <c r="E763" s="943" t="s">
        <v>2989</v>
      </c>
      <c r="F763" s="935"/>
      <c r="G763" s="944"/>
      <c r="H763" s="944"/>
      <c r="I763" s="946" t="s">
        <v>2990</v>
      </c>
      <c r="J763" s="994" t="s">
        <v>717</v>
      </c>
      <c r="K763" s="958" t="s">
        <v>704</v>
      </c>
      <c r="L763" s="949">
        <v>50.0</v>
      </c>
      <c r="M763" s="949">
        <v>30.0</v>
      </c>
      <c r="N763" s="949">
        <v>55.0</v>
      </c>
      <c r="O763" s="949">
        <v>65.0</v>
      </c>
      <c r="P763" s="949">
        <v>55.0</v>
      </c>
      <c r="Q763" s="949">
        <v>20.0</v>
      </c>
      <c r="R763" s="949">
        <v>76.0</v>
      </c>
      <c r="S763" s="949">
        <v>139.0</v>
      </c>
      <c r="T763" s="949">
        <v>152.0</v>
      </c>
      <c r="U763" s="949"/>
      <c r="V763" s="949"/>
      <c r="W763" s="949"/>
      <c r="X763" s="949"/>
      <c r="Y763" s="949"/>
      <c r="Z763" s="949"/>
      <c r="AA763" s="949"/>
      <c r="AB763" s="949"/>
      <c r="AC763" s="949"/>
      <c r="AD763" s="949"/>
      <c r="AE763" s="949"/>
      <c r="AF763" s="949"/>
      <c r="AG763" s="949"/>
      <c r="AH763" s="949"/>
      <c r="AI763" s="949"/>
      <c r="AJ763" s="949"/>
      <c r="AK763" s="949"/>
      <c r="AL763" s="949"/>
      <c r="AM763" s="953" t="s">
        <v>972</v>
      </c>
      <c r="AN763" s="954" t="s">
        <v>1159</v>
      </c>
      <c r="AO763" s="955" t="s">
        <v>995</v>
      </c>
      <c r="AP763" s="931"/>
      <c r="AQ763" s="956"/>
      <c r="AR763" s="957"/>
      <c r="AS763" s="931"/>
    </row>
    <row r="764" ht="15.75" customHeight="1">
      <c r="A764" s="931"/>
      <c r="B764" s="941" t="s">
        <v>2991</v>
      </c>
      <c r="C764" s="942" t="s">
        <v>2992</v>
      </c>
      <c r="D764" s="942" t="s">
        <v>2992</v>
      </c>
      <c r="E764" s="943" t="s">
        <v>2992</v>
      </c>
      <c r="F764" s="935"/>
      <c r="G764" s="944"/>
      <c r="H764" s="944"/>
      <c r="I764" s="946" t="s">
        <v>2993</v>
      </c>
      <c r="J764" s="994" t="s">
        <v>717</v>
      </c>
      <c r="K764" s="958" t="s">
        <v>704</v>
      </c>
      <c r="L764" s="949">
        <v>60.0</v>
      </c>
      <c r="M764" s="949">
        <v>40.0</v>
      </c>
      <c r="N764" s="949">
        <v>60.0</v>
      </c>
      <c r="O764" s="949">
        <v>95.0</v>
      </c>
      <c r="P764" s="949">
        <v>60.0</v>
      </c>
      <c r="Q764" s="949">
        <v>55.0</v>
      </c>
      <c r="R764" s="949">
        <v>146.0</v>
      </c>
      <c r="S764" s="949">
        <v>209.0</v>
      </c>
      <c r="T764" s="949">
        <v>229.0</v>
      </c>
      <c r="U764" s="949"/>
      <c r="V764" s="949"/>
      <c r="W764" s="949"/>
      <c r="X764" s="949"/>
      <c r="Y764" s="949"/>
      <c r="Z764" s="949"/>
      <c r="AA764" s="949"/>
      <c r="AB764" s="949"/>
      <c r="AC764" s="949"/>
      <c r="AD764" s="949"/>
      <c r="AE764" s="949"/>
      <c r="AF764" s="949"/>
      <c r="AG764" s="949"/>
      <c r="AH764" s="949"/>
      <c r="AI764" s="949"/>
      <c r="AJ764" s="949"/>
      <c r="AK764" s="949"/>
      <c r="AL764" s="949"/>
      <c r="AM764" s="953" t="s">
        <v>972</v>
      </c>
      <c r="AN764" s="954" t="s">
        <v>1159</v>
      </c>
      <c r="AO764" s="955" t="s">
        <v>995</v>
      </c>
      <c r="AP764" s="931"/>
      <c r="AQ764" s="956"/>
      <c r="AR764" s="957"/>
      <c r="AS764" s="931"/>
    </row>
    <row r="765" ht="15.75" customHeight="1">
      <c r="A765" s="931"/>
      <c r="B765" s="941" t="s">
        <v>2994</v>
      </c>
      <c r="C765" s="942" t="s">
        <v>2995</v>
      </c>
      <c r="D765" s="942" t="s">
        <v>2995</v>
      </c>
      <c r="E765" s="943" t="s">
        <v>2995</v>
      </c>
      <c r="F765" s="935"/>
      <c r="G765" s="944"/>
      <c r="H765" s="944"/>
      <c r="I765" s="946" t="s">
        <v>2996</v>
      </c>
      <c r="J765" s="994" t="s">
        <v>717</v>
      </c>
      <c r="K765" s="958" t="s">
        <v>704</v>
      </c>
      <c r="L765" s="949">
        <v>60.0</v>
      </c>
      <c r="M765" s="949">
        <v>55.0</v>
      </c>
      <c r="N765" s="949">
        <v>90.0</v>
      </c>
      <c r="O765" s="949">
        <v>145.0</v>
      </c>
      <c r="P765" s="949">
        <v>90.0</v>
      </c>
      <c r="Q765" s="949">
        <v>80.0</v>
      </c>
      <c r="R765" s="949">
        <v>196.0</v>
      </c>
      <c r="S765" s="949">
        <v>259.0</v>
      </c>
      <c r="T765" s="949">
        <v>284.0</v>
      </c>
      <c r="U765" s="949"/>
      <c r="V765" s="949"/>
      <c r="W765" s="949"/>
      <c r="X765" s="949"/>
      <c r="Y765" s="949"/>
      <c r="Z765" s="949"/>
      <c r="AA765" s="949"/>
      <c r="AB765" s="949"/>
      <c r="AC765" s="949"/>
      <c r="AD765" s="949"/>
      <c r="AE765" s="949"/>
      <c r="AF765" s="949"/>
      <c r="AG765" s="949"/>
      <c r="AH765" s="949"/>
      <c r="AI765" s="949"/>
      <c r="AJ765" s="949"/>
      <c r="AK765" s="949"/>
      <c r="AL765" s="949"/>
      <c r="AM765" s="953" t="s">
        <v>972</v>
      </c>
      <c r="AN765" s="954" t="s">
        <v>1159</v>
      </c>
      <c r="AO765" s="955" t="s">
        <v>995</v>
      </c>
      <c r="AP765" s="931"/>
      <c r="AQ765" s="956"/>
      <c r="AR765" s="957"/>
      <c r="AS765" s="931"/>
    </row>
    <row r="766" ht="15.75" customHeight="1">
      <c r="A766" s="931"/>
      <c r="B766" s="941" t="s">
        <v>2997</v>
      </c>
      <c r="C766" s="942" t="s">
        <v>2998</v>
      </c>
      <c r="D766" s="942" t="s">
        <v>2998</v>
      </c>
      <c r="E766" s="943" t="s">
        <v>2998</v>
      </c>
      <c r="F766" s="935"/>
      <c r="G766" s="944"/>
      <c r="H766" s="944"/>
      <c r="I766" s="946" t="s">
        <v>624</v>
      </c>
      <c r="J766" s="961" t="s">
        <v>716</v>
      </c>
      <c r="K766" s="954" t="s">
        <v>158</v>
      </c>
      <c r="L766" s="949">
        <v>46.0</v>
      </c>
      <c r="M766" s="949">
        <v>87.0</v>
      </c>
      <c r="N766" s="949">
        <v>60.0</v>
      </c>
      <c r="O766" s="949">
        <v>30.0</v>
      </c>
      <c r="P766" s="949">
        <v>40.0</v>
      </c>
      <c r="Q766" s="949">
        <v>57.0</v>
      </c>
      <c r="R766" s="949">
        <v>150.0</v>
      </c>
      <c r="S766" s="949">
        <v>213.0</v>
      </c>
      <c r="T766" s="949">
        <v>234.0</v>
      </c>
      <c r="U766" s="949"/>
      <c r="V766" s="949"/>
      <c r="W766" s="949"/>
      <c r="X766" s="949"/>
      <c r="Y766" s="949"/>
      <c r="Z766" s="949"/>
      <c r="AA766" s="949"/>
      <c r="AB766" s="949"/>
      <c r="AC766" s="949"/>
      <c r="AD766" s="949"/>
      <c r="AE766" s="949"/>
      <c r="AF766" s="949"/>
      <c r="AG766" s="949"/>
      <c r="AH766" s="949"/>
      <c r="AI766" s="949"/>
      <c r="AJ766" s="949"/>
      <c r="AK766" s="949"/>
      <c r="AL766" s="949"/>
      <c r="AM766" s="953" t="s">
        <v>943</v>
      </c>
      <c r="AN766" s="954" t="s">
        <v>1391</v>
      </c>
      <c r="AO766" s="955" t="s">
        <v>855</v>
      </c>
      <c r="AP766" s="931"/>
      <c r="AQ766" s="956"/>
      <c r="AR766" s="957"/>
      <c r="AS766" s="931"/>
    </row>
    <row r="767" ht="15.75" customHeight="1">
      <c r="A767" s="931"/>
      <c r="B767" s="941" t="s">
        <v>2999</v>
      </c>
      <c r="C767" s="942" t="s">
        <v>3000</v>
      </c>
      <c r="D767" s="942" t="s">
        <v>3000</v>
      </c>
      <c r="E767" s="943" t="s">
        <v>3000</v>
      </c>
      <c r="F767" s="935"/>
      <c r="G767" s="944"/>
      <c r="H767" s="944"/>
      <c r="I767" s="946" t="s">
        <v>513</v>
      </c>
      <c r="J767" s="961" t="s">
        <v>716</v>
      </c>
      <c r="K767" s="954" t="s">
        <v>158</v>
      </c>
      <c r="L767" s="949">
        <v>66.0</v>
      </c>
      <c r="M767" s="949">
        <v>117.0</v>
      </c>
      <c r="N767" s="949">
        <v>70.0</v>
      </c>
      <c r="O767" s="949">
        <v>40.0</v>
      </c>
      <c r="P767" s="949">
        <v>50.0</v>
      </c>
      <c r="Q767" s="949">
        <v>67.0</v>
      </c>
      <c r="R767" s="949">
        <v>170.0</v>
      </c>
      <c r="S767" s="949">
        <v>233.0</v>
      </c>
      <c r="T767" s="949">
        <v>256.0</v>
      </c>
      <c r="U767" s="949"/>
      <c r="V767" s="949"/>
      <c r="W767" s="949"/>
      <c r="X767" s="949"/>
      <c r="Y767" s="949"/>
      <c r="Z767" s="949"/>
      <c r="AA767" s="949"/>
      <c r="AB767" s="949"/>
      <c r="AC767" s="949"/>
      <c r="AD767" s="949"/>
      <c r="AE767" s="949"/>
      <c r="AF767" s="949"/>
      <c r="AG767" s="949"/>
      <c r="AH767" s="949"/>
      <c r="AI767" s="949"/>
      <c r="AJ767" s="949"/>
      <c r="AK767" s="949"/>
      <c r="AL767" s="949"/>
      <c r="AM767" s="953" t="s">
        <v>943</v>
      </c>
      <c r="AN767" s="954" t="s">
        <v>1391</v>
      </c>
      <c r="AO767" s="955" t="s">
        <v>855</v>
      </c>
      <c r="AP767" s="931"/>
      <c r="AQ767" s="956"/>
      <c r="AR767" s="957"/>
      <c r="AS767" s="931"/>
    </row>
    <row r="768" ht="15.75" customHeight="1">
      <c r="A768" s="931"/>
      <c r="B768" s="941" t="s">
        <v>3001</v>
      </c>
      <c r="C768" s="942" t="s">
        <v>3002</v>
      </c>
      <c r="D768" s="942" t="s">
        <v>3002</v>
      </c>
      <c r="E768" s="943" t="s">
        <v>3002</v>
      </c>
      <c r="F768" s="935"/>
      <c r="G768" s="944"/>
      <c r="H768" s="944"/>
      <c r="I768" s="946" t="s">
        <v>421</v>
      </c>
      <c r="J768" s="961" t="s">
        <v>716</v>
      </c>
      <c r="K768" s="954" t="s">
        <v>158</v>
      </c>
      <c r="L768" s="949">
        <v>76.0</v>
      </c>
      <c r="M768" s="949">
        <v>147.0</v>
      </c>
      <c r="N768" s="949">
        <v>90.0</v>
      </c>
      <c r="O768" s="949">
        <v>60.0</v>
      </c>
      <c r="P768" s="949">
        <v>70.0</v>
      </c>
      <c r="Q768" s="949">
        <v>97.0</v>
      </c>
      <c r="R768" s="949">
        <v>230.0</v>
      </c>
      <c r="S768" s="949">
        <v>293.0</v>
      </c>
      <c r="T768" s="949">
        <v>322.0</v>
      </c>
      <c r="U768" s="949"/>
      <c r="V768" s="949"/>
      <c r="W768" s="949"/>
      <c r="X768" s="949"/>
      <c r="Y768" s="949"/>
      <c r="Z768" s="949"/>
      <c r="AA768" s="949"/>
      <c r="AB768" s="949"/>
      <c r="AC768" s="949"/>
      <c r="AD768" s="949"/>
      <c r="AE768" s="949"/>
      <c r="AF768" s="949"/>
      <c r="AG768" s="949"/>
      <c r="AH768" s="949"/>
      <c r="AI768" s="949"/>
      <c r="AJ768" s="949"/>
      <c r="AK768" s="949"/>
      <c r="AL768" s="949"/>
      <c r="AM768" s="953" t="s">
        <v>943</v>
      </c>
      <c r="AN768" s="954" t="s">
        <v>1391</v>
      </c>
      <c r="AO768" s="955" t="s">
        <v>855</v>
      </c>
      <c r="AP768" s="931"/>
      <c r="AQ768" s="956"/>
      <c r="AR768" s="957"/>
      <c r="AS768" s="931"/>
    </row>
    <row r="769" ht="15.75" customHeight="1">
      <c r="A769" s="931"/>
      <c r="B769" s="941" t="s">
        <v>3003</v>
      </c>
      <c r="C769" s="942" t="s">
        <v>3004</v>
      </c>
      <c r="D769" s="942" t="s">
        <v>3004</v>
      </c>
      <c r="E769" s="943" t="s">
        <v>3004</v>
      </c>
      <c r="F769" s="935"/>
      <c r="G769" s="944"/>
      <c r="H769" s="944"/>
      <c r="I769" s="946" t="s">
        <v>625</v>
      </c>
      <c r="J769" s="977" t="s">
        <v>714</v>
      </c>
      <c r="K769" s="954" t="s">
        <v>158</v>
      </c>
      <c r="L769" s="949">
        <v>55.0</v>
      </c>
      <c r="M769" s="949">
        <v>70.0</v>
      </c>
      <c r="N769" s="949">
        <v>40.0</v>
      </c>
      <c r="O769" s="949">
        <v>60.0</v>
      </c>
      <c r="P769" s="949">
        <v>40.0</v>
      </c>
      <c r="Q769" s="949">
        <v>40.0</v>
      </c>
      <c r="R769" s="949">
        <v>116.0</v>
      </c>
      <c r="S769" s="949">
        <v>179.0</v>
      </c>
      <c r="T769" s="949">
        <v>196.0</v>
      </c>
      <c r="U769" s="949"/>
      <c r="V769" s="949"/>
      <c r="W769" s="949"/>
      <c r="X769" s="949"/>
      <c r="Y769" s="949"/>
      <c r="Z769" s="949"/>
      <c r="AA769" s="949"/>
      <c r="AB769" s="949"/>
      <c r="AC769" s="949"/>
      <c r="AD769" s="949"/>
      <c r="AE769" s="949"/>
      <c r="AF769" s="949"/>
      <c r="AG769" s="949"/>
      <c r="AH769" s="949"/>
      <c r="AI769" s="949"/>
      <c r="AJ769" s="949"/>
      <c r="AK769" s="949"/>
      <c r="AL769" s="949"/>
      <c r="AM769" s="953" t="s">
        <v>929</v>
      </c>
      <c r="AN769" s="954" t="s">
        <v>930</v>
      </c>
      <c r="AO769" s="955" t="s">
        <v>1046</v>
      </c>
      <c r="AP769" s="931"/>
      <c r="AQ769" s="956"/>
      <c r="AR769" s="957"/>
      <c r="AS769" s="931"/>
    </row>
    <row r="770" ht="15.75" customHeight="1">
      <c r="A770" s="931"/>
      <c r="B770" s="941" t="s">
        <v>3005</v>
      </c>
      <c r="C770" s="942" t="s">
        <v>3006</v>
      </c>
      <c r="D770" s="942" t="s">
        <v>3006</v>
      </c>
      <c r="E770" s="943" t="s">
        <v>3006</v>
      </c>
      <c r="F770" s="935"/>
      <c r="G770" s="944"/>
      <c r="H770" s="944"/>
      <c r="I770" s="946" t="s">
        <v>413</v>
      </c>
      <c r="J770" s="977" t="s">
        <v>714</v>
      </c>
      <c r="K770" s="954" t="s">
        <v>158</v>
      </c>
      <c r="L770" s="949">
        <v>95.0</v>
      </c>
      <c r="M770" s="949">
        <v>130.0</v>
      </c>
      <c r="N770" s="949">
        <v>80.0</v>
      </c>
      <c r="O770" s="949">
        <v>70.0</v>
      </c>
      <c r="P770" s="949">
        <v>80.0</v>
      </c>
      <c r="Q770" s="949">
        <v>50.0</v>
      </c>
      <c r="R770" s="949">
        <v>136.0</v>
      </c>
      <c r="S770" s="949">
        <v>199.0</v>
      </c>
      <c r="T770" s="949">
        <v>218.0</v>
      </c>
      <c r="U770" s="949"/>
      <c r="V770" s="949"/>
      <c r="W770" s="949"/>
      <c r="X770" s="949"/>
      <c r="Y770" s="949"/>
      <c r="Z770" s="949"/>
      <c r="AA770" s="949"/>
      <c r="AB770" s="949"/>
      <c r="AC770" s="949"/>
      <c r="AD770" s="949"/>
      <c r="AE770" s="949"/>
      <c r="AF770" s="949"/>
      <c r="AG770" s="949"/>
      <c r="AH770" s="949"/>
      <c r="AI770" s="949"/>
      <c r="AJ770" s="949"/>
      <c r="AK770" s="949"/>
      <c r="AL770" s="949"/>
      <c r="AM770" s="953" t="s">
        <v>929</v>
      </c>
      <c r="AN770" s="954" t="s">
        <v>930</v>
      </c>
      <c r="AO770" s="955" t="s">
        <v>1062</v>
      </c>
      <c r="AP770" s="931"/>
      <c r="AQ770" s="956"/>
      <c r="AR770" s="957"/>
      <c r="AS770" s="931"/>
    </row>
    <row r="771" ht="15.75" customHeight="1">
      <c r="A771" s="963"/>
      <c r="B771" s="941" t="s">
        <v>3007</v>
      </c>
      <c r="C771" s="971" t="s">
        <v>3008</v>
      </c>
      <c r="D771" s="971" t="s">
        <v>3008</v>
      </c>
      <c r="E771" s="966" t="s">
        <v>3008</v>
      </c>
      <c r="F771" s="935"/>
      <c r="G771" s="944"/>
      <c r="H771" s="944"/>
      <c r="I771" s="959" t="s">
        <v>376</v>
      </c>
      <c r="J771" s="998" t="s">
        <v>714</v>
      </c>
      <c r="K771" s="973" t="s">
        <v>158</v>
      </c>
      <c r="L771" s="974">
        <v>80.0</v>
      </c>
      <c r="M771" s="974">
        <v>50.0</v>
      </c>
      <c r="N771" s="974">
        <v>50.0</v>
      </c>
      <c r="O771" s="974">
        <v>95.0</v>
      </c>
      <c r="P771" s="974">
        <v>135.0</v>
      </c>
      <c r="Q771" s="974">
        <v>105.0</v>
      </c>
      <c r="R771" s="949">
        <v>246.0</v>
      </c>
      <c r="S771" s="949">
        <v>309.0</v>
      </c>
      <c r="T771" s="949">
        <v>339.0</v>
      </c>
      <c r="U771" s="949"/>
      <c r="V771" s="949"/>
      <c r="W771" s="949"/>
      <c r="X771" s="949"/>
      <c r="Y771" s="949"/>
      <c r="Z771" s="949"/>
      <c r="AA771" s="949"/>
      <c r="AB771" s="949"/>
      <c r="AC771" s="949"/>
      <c r="AD771" s="949"/>
      <c r="AE771" s="949"/>
      <c r="AF771" s="949"/>
      <c r="AG771" s="949"/>
      <c r="AH771" s="949"/>
      <c r="AI771" s="949"/>
      <c r="AJ771" s="949"/>
      <c r="AK771" s="949"/>
      <c r="AL771" s="949"/>
      <c r="AM771" s="964" t="s">
        <v>1244</v>
      </c>
      <c r="AN771" s="954"/>
      <c r="AO771" s="965"/>
      <c r="AP771" s="931"/>
      <c r="AQ771" s="956"/>
      <c r="AR771" s="957"/>
      <c r="AS771" s="931"/>
    </row>
    <row r="772" ht="15.75" customHeight="1">
      <c r="A772" s="963"/>
      <c r="B772" s="941" t="s">
        <v>3009</v>
      </c>
      <c r="C772" s="942" t="s">
        <v>3010</v>
      </c>
      <c r="D772" s="942" t="s">
        <v>3010</v>
      </c>
      <c r="E772" s="943" t="s">
        <v>3010</v>
      </c>
      <c r="F772" s="935"/>
      <c r="G772" s="944"/>
      <c r="H772" s="944"/>
      <c r="I772" s="946" t="s">
        <v>3011</v>
      </c>
      <c r="J772" s="967" t="s">
        <v>715</v>
      </c>
      <c r="K772" s="954" t="s">
        <v>158</v>
      </c>
      <c r="L772" s="949">
        <v>50.0</v>
      </c>
      <c r="M772" s="949">
        <v>40.0</v>
      </c>
      <c r="N772" s="949">
        <v>85.0</v>
      </c>
      <c r="O772" s="949">
        <v>40.0</v>
      </c>
      <c r="P772" s="949">
        <v>65.0</v>
      </c>
      <c r="Q772" s="949">
        <v>25.0</v>
      </c>
      <c r="R772" s="949">
        <v>86.0</v>
      </c>
      <c r="S772" s="949">
        <v>149.0</v>
      </c>
      <c r="T772" s="949">
        <v>163.0</v>
      </c>
      <c r="U772" s="949"/>
      <c r="V772" s="949"/>
      <c r="W772" s="949"/>
      <c r="X772" s="949"/>
      <c r="Y772" s="949"/>
      <c r="Z772" s="949"/>
      <c r="AA772" s="949"/>
      <c r="AB772" s="949"/>
      <c r="AC772" s="949"/>
      <c r="AD772" s="949"/>
      <c r="AE772" s="949"/>
      <c r="AF772" s="949"/>
      <c r="AG772" s="949"/>
      <c r="AH772" s="949"/>
      <c r="AI772" s="949"/>
      <c r="AJ772" s="949"/>
      <c r="AK772" s="949"/>
      <c r="AL772" s="949"/>
      <c r="AM772" s="964" t="s">
        <v>1216</v>
      </c>
      <c r="AN772" s="973" t="s">
        <v>1192</v>
      </c>
      <c r="AO772" s="965" t="s">
        <v>1239</v>
      </c>
      <c r="AP772" s="931"/>
      <c r="AQ772" s="956"/>
      <c r="AR772" s="957"/>
      <c r="AS772" s="931"/>
    </row>
    <row r="773" ht="15.75" customHeight="1">
      <c r="A773" s="931"/>
      <c r="B773" s="941" t="s">
        <v>3012</v>
      </c>
      <c r="C773" s="942" t="s">
        <v>3013</v>
      </c>
      <c r="D773" s="942" t="s">
        <v>3013</v>
      </c>
      <c r="E773" s="943" t="s">
        <v>3013</v>
      </c>
      <c r="F773" s="935"/>
      <c r="G773" s="944"/>
      <c r="H773" s="944"/>
      <c r="I773" s="946" t="s">
        <v>3014</v>
      </c>
      <c r="J773" s="967" t="s">
        <v>715</v>
      </c>
      <c r="K773" s="954" t="s">
        <v>158</v>
      </c>
      <c r="L773" s="949">
        <v>80.0</v>
      </c>
      <c r="M773" s="949">
        <v>70.0</v>
      </c>
      <c r="N773" s="949">
        <v>40.0</v>
      </c>
      <c r="O773" s="949">
        <v>100.0</v>
      </c>
      <c r="P773" s="949">
        <v>60.0</v>
      </c>
      <c r="Q773" s="949">
        <v>145.0</v>
      </c>
      <c r="R773" s="949">
        <v>326.0</v>
      </c>
      <c r="S773" s="949">
        <v>389.0</v>
      </c>
      <c r="T773" s="949">
        <v>427.0</v>
      </c>
      <c r="U773" s="949"/>
      <c r="V773" s="949"/>
      <c r="W773" s="949"/>
      <c r="X773" s="949"/>
      <c r="Y773" s="949"/>
      <c r="Z773" s="949"/>
      <c r="AA773" s="949"/>
      <c r="AB773" s="949"/>
      <c r="AC773" s="949"/>
      <c r="AD773" s="949"/>
      <c r="AE773" s="949"/>
      <c r="AF773" s="949"/>
      <c r="AG773" s="949"/>
      <c r="AH773" s="949"/>
      <c r="AI773" s="949"/>
      <c r="AJ773" s="949"/>
      <c r="AK773" s="949"/>
      <c r="AL773" s="949"/>
      <c r="AM773" s="953" t="s">
        <v>1216</v>
      </c>
      <c r="AN773" s="954" t="s">
        <v>1223</v>
      </c>
      <c r="AO773" s="955" t="s">
        <v>1306</v>
      </c>
      <c r="AP773" s="931"/>
      <c r="AQ773" s="956"/>
      <c r="AR773" s="957"/>
      <c r="AS773" s="931"/>
    </row>
    <row r="774" ht="15.75" customHeight="1">
      <c r="A774" s="931"/>
      <c r="B774" s="941" t="s">
        <v>3015</v>
      </c>
      <c r="C774" s="942" t="s">
        <v>3016</v>
      </c>
      <c r="D774" s="942" t="s">
        <v>3016</v>
      </c>
      <c r="E774" s="943" t="s">
        <v>3016</v>
      </c>
      <c r="F774" s="935"/>
      <c r="G774" s="944"/>
      <c r="H774" s="944"/>
      <c r="I774" s="946" t="s">
        <v>3017</v>
      </c>
      <c r="J774" s="976" t="s">
        <v>711</v>
      </c>
      <c r="K774" s="970" t="s">
        <v>710</v>
      </c>
      <c r="L774" s="949">
        <v>109.0</v>
      </c>
      <c r="M774" s="949">
        <v>66.0</v>
      </c>
      <c r="N774" s="949">
        <v>84.0</v>
      </c>
      <c r="O774" s="949">
        <v>81.0</v>
      </c>
      <c r="P774" s="949">
        <v>99.0</v>
      </c>
      <c r="Q774" s="949">
        <v>32.0</v>
      </c>
      <c r="R774" s="949">
        <v>100.0</v>
      </c>
      <c r="S774" s="949">
        <v>163.0</v>
      </c>
      <c r="T774" s="949">
        <v>179.0</v>
      </c>
      <c r="U774" s="949"/>
      <c r="V774" s="949"/>
      <c r="W774" s="949"/>
      <c r="X774" s="949"/>
      <c r="Y774" s="949"/>
      <c r="Z774" s="949"/>
      <c r="AA774" s="949"/>
      <c r="AB774" s="949"/>
      <c r="AC774" s="949"/>
      <c r="AD774" s="949"/>
      <c r="AE774" s="949"/>
      <c r="AF774" s="949"/>
      <c r="AG774" s="949"/>
      <c r="AH774" s="949"/>
      <c r="AI774" s="949"/>
      <c r="AJ774" s="949"/>
      <c r="AK774" s="949"/>
      <c r="AL774" s="949"/>
      <c r="AM774" s="953" t="s">
        <v>861</v>
      </c>
      <c r="AN774" s="954" t="s">
        <v>1053</v>
      </c>
      <c r="AO774" s="955" t="s">
        <v>923</v>
      </c>
      <c r="AP774" s="931"/>
      <c r="AQ774" s="956"/>
      <c r="AR774" s="957"/>
      <c r="AS774" s="931"/>
    </row>
    <row r="775" ht="15.75" customHeight="1">
      <c r="A775" s="963"/>
      <c r="B775" s="941" t="s">
        <v>3018</v>
      </c>
      <c r="C775" s="971" t="s">
        <v>3019</v>
      </c>
      <c r="D775" s="971" t="s">
        <v>3019</v>
      </c>
      <c r="E775" s="966" t="s">
        <v>3020</v>
      </c>
      <c r="F775" s="935"/>
      <c r="G775" s="944"/>
      <c r="H775" s="944"/>
      <c r="I775" s="959" t="s">
        <v>3021</v>
      </c>
      <c r="J775" s="997" t="s">
        <v>711</v>
      </c>
      <c r="K775" s="1007" t="s">
        <v>719</v>
      </c>
      <c r="L775" s="974">
        <v>109.0</v>
      </c>
      <c r="M775" s="974">
        <v>81.0</v>
      </c>
      <c r="N775" s="974">
        <v>99.0</v>
      </c>
      <c r="O775" s="974">
        <v>66.0</v>
      </c>
      <c r="P775" s="974">
        <v>84.0</v>
      </c>
      <c r="Q775" s="974">
        <v>32.0</v>
      </c>
      <c r="R775" s="949">
        <v>100.0</v>
      </c>
      <c r="S775" s="949">
        <v>163.0</v>
      </c>
      <c r="T775" s="949">
        <v>179.0</v>
      </c>
      <c r="U775" s="949"/>
      <c r="V775" s="949"/>
      <c r="W775" s="949"/>
      <c r="X775" s="949"/>
      <c r="Y775" s="949"/>
      <c r="Z775" s="949"/>
      <c r="AA775" s="949"/>
      <c r="AB775" s="949"/>
      <c r="AC775" s="949"/>
      <c r="AD775" s="949"/>
      <c r="AE775" s="949"/>
      <c r="AF775" s="949"/>
      <c r="AG775" s="949"/>
      <c r="AH775" s="949"/>
      <c r="AI775" s="949"/>
      <c r="AJ775" s="949"/>
      <c r="AK775" s="949"/>
      <c r="AL775" s="949"/>
      <c r="AM775" s="964" t="s">
        <v>3022</v>
      </c>
      <c r="AN775" s="973"/>
      <c r="AO775" s="965"/>
      <c r="AP775" s="931"/>
      <c r="AQ775" s="956"/>
      <c r="AR775" s="957"/>
      <c r="AS775" s="931"/>
    </row>
    <row r="776" ht="15.75" customHeight="1">
      <c r="A776" s="963"/>
      <c r="B776" s="941" t="s">
        <v>3023</v>
      </c>
      <c r="C776" s="971" t="s">
        <v>3024</v>
      </c>
      <c r="D776" s="971" t="s">
        <v>3024</v>
      </c>
      <c r="E776" s="966" t="s">
        <v>3024</v>
      </c>
      <c r="F776" s="935"/>
      <c r="G776" s="944"/>
      <c r="H776" s="944"/>
      <c r="I776" s="959" t="s">
        <v>3025</v>
      </c>
      <c r="J776" s="987" t="s">
        <v>705</v>
      </c>
      <c r="K776" s="973" t="s">
        <v>158</v>
      </c>
      <c r="L776" s="974">
        <v>45.0</v>
      </c>
      <c r="M776" s="974">
        <v>85.0</v>
      </c>
      <c r="N776" s="974">
        <v>50.0</v>
      </c>
      <c r="O776" s="974">
        <v>55.0</v>
      </c>
      <c r="P776" s="974">
        <v>50.0</v>
      </c>
      <c r="Q776" s="974">
        <v>65.0</v>
      </c>
      <c r="R776" s="949">
        <v>166.0</v>
      </c>
      <c r="S776" s="949">
        <v>229.0</v>
      </c>
      <c r="T776" s="949">
        <v>251.0</v>
      </c>
      <c r="U776" s="949"/>
      <c r="V776" s="949"/>
      <c r="W776" s="949"/>
      <c r="X776" s="949"/>
      <c r="Y776" s="949"/>
      <c r="Z776" s="949"/>
      <c r="AA776" s="949"/>
      <c r="AB776" s="949"/>
      <c r="AC776" s="949"/>
      <c r="AD776" s="949"/>
      <c r="AE776" s="949"/>
      <c r="AF776" s="949"/>
      <c r="AG776" s="949"/>
      <c r="AH776" s="949"/>
      <c r="AI776" s="949"/>
      <c r="AJ776" s="949"/>
      <c r="AK776" s="949"/>
      <c r="AL776" s="949"/>
      <c r="AM776" s="964" t="s">
        <v>994</v>
      </c>
      <c r="AN776" s="973" t="s">
        <v>1177</v>
      </c>
      <c r="AO776" s="965" t="s">
        <v>1305</v>
      </c>
      <c r="AP776" s="931"/>
      <c r="AQ776" s="956"/>
      <c r="AR776" s="957"/>
      <c r="AS776" s="931"/>
    </row>
    <row r="777" ht="15.75" customHeight="1">
      <c r="A777" s="931"/>
      <c r="B777" s="941" t="s">
        <v>3026</v>
      </c>
      <c r="C777" s="942" t="s">
        <v>3027</v>
      </c>
      <c r="D777" s="942" t="s">
        <v>3027</v>
      </c>
      <c r="E777" s="943" t="s">
        <v>3027</v>
      </c>
      <c r="F777" s="935"/>
      <c r="G777" s="944"/>
      <c r="H777" s="944"/>
      <c r="I777" s="946" t="s">
        <v>3028</v>
      </c>
      <c r="J777" s="988" t="s">
        <v>705</v>
      </c>
      <c r="K777" s="954" t="s">
        <v>158</v>
      </c>
      <c r="L777" s="949">
        <v>65.0</v>
      </c>
      <c r="M777" s="949">
        <v>125.0</v>
      </c>
      <c r="N777" s="949">
        <v>60.0</v>
      </c>
      <c r="O777" s="949">
        <v>95.0</v>
      </c>
      <c r="P777" s="949">
        <v>60.0</v>
      </c>
      <c r="Q777" s="949">
        <v>105.0</v>
      </c>
      <c r="R777" s="949">
        <v>246.0</v>
      </c>
      <c r="S777" s="949">
        <v>309.0</v>
      </c>
      <c r="T777" s="949">
        <v>339.0</v>
      </c>
      <c r="U777" s="949"/>
      <c r="V777" s="949"/>
      <c r="W777" s="949"/>
      <c r="X777" s="949"/>
      <c r="Y777" s="949"/>
      <c r="Z777" s="949"/>
      <c r="AA777" s="949"/>
      <c r="AB777" s="949"/>
      <c r="AC777" s="949"/>
      <c r="AD777" s="949"/>
      <c r="AE777" s="949"/>
      <c r="AF777" s="949"/>
      <c r="AG777" s="949"/>
      <c r="AH777" s="949"/>
      <c r="AI777" s="949"/>
      <c r="AJ777" s="949"/>
      <c r="AK777" s="949"/>
      <c r="AL777" s="949"/>
      <c r="AM777" s="953" t="s">
        <v>994</v>
      </c>
      <c r="AN777" s="954" t="s">
        <v>1177</v>
      </c>
      <c r="AO777" s="955" t="s">
        <v>1305</v>
      </c>
      <c r="AP777" s="931"/>
      <c r="AQ777" s="956"/>
      <c r="AR777" s="957"/>
      <c r="AS777" s="931"/>
    </row>
    <row r="778" ht="15.75" customHeight="1">
      <c r="A778" s="931"/>
      <c r="B778" s="941" t="s">
        <v>3029</v>
      </c>
      <c r="C778" s="942" t="s">
        <v>3030</v>
      </c>
      <c r="D778" s="942" t="s">
        <v>3030</v>
      </c>
      <c r="E778" s="943" t="s">
        <v>3030</v>
      </c>
      <c r="F778" s="935"/>
      <c r="G778" s="944"/>
      <c r="H778" s="944"/>
      <c r="I778" s="946" t="s">
        <v>3031</v>
      </c>
      <c r="J778" s="961" t="s">
        <v>716</v>
      </c>
      <c r="K778" s="954" t="s">
        <v>158</v>
      </c>
      <c r="L778" s="949">
        <v>77.0</v>
      </c>
      <c r="M778" s="949">
        <v>120.0</v>
      </c>
      <c r="N778" s="949">
        <v>90.0</v>
      </c>
      <c r="O778" s="949">
        <v>60.0</v>
      </c>
      <c r="P778" s="949">
        <v>90.0</v>
      </c>
      <c r="Q778" s="949">
        <v>48.0</v>
      </c>
      <c r="R778" s="949">
        <v>132.0</v>
      </c>
      <c r="S778" s="949">
        <v>195.0</v>
      </c>
      <c r="T778" s="949">
        <v>214.0</v>
      </c>
      <c r="U778" s="949"/>
      <c r="V778" s="949"/>
      <c r="W778" s="949"/>
      <c r="X778" s="949"/>
      <c r="Y778" s="949"/>
      <c r="Z778" s="949"/>
      <c r="AA778" s="949"/>
      <c r="AB778" s="949"/>
      <c r="AC778" s="949"/>
      <c r="AD778" s="949"/>
      <c r="AE778" s="949"/>
      <c r="AF778" s="949"/>
      <c r="AG778" s="949"/>
      <c r="AH778" s="949"/>
      <c r="AI778" s="949"/>
      <c r="AJ778" s="949"/>
      <c r="AK778" s="949"/>
      <c r="AL778" s="949"/>
      <c r="AM778" s="953" t="s">
        <v>2032</v>
      </c>
      <c r="AN778" s="954" t="s">
        <v>949</v>
      </c>
      <c r="AO778" s="955" t="s">
        <v>1391</v>
      </c>
      <c r="AP778" s="931"/>
      <c r="AQ778" s="956"/>
      <c r="AR778" s="957"/>
      <c r="AS778" s="931"/>
    </row>
    <row r="779" ht="15.75" customHeight="1">
      <c r="A779" s="931"/>
      <c r="B779" s="941" t="s">
        <v>3032</v>
      </c>
      <c r="C779" s="942" t="s">
        <v>3033</v>
      </c>
      <c r="D779" s="942" t="s">
        <v>3033</v>
      </c>
      <c r="E779" s="943" t="s">
        <v>3033</v>
      </c>
      <c r="F779" s="935"/>
      <c r="G779" s="944"/>
      <c r="H779" s="944"/>
      <c r="I779" s="946" t="s">
        <v>3034</v>
      </c>
      <c r="J779" s="976" t="s">
        <v>711</v>
      </c>
      <c r="K779" s="994" t="s">
        <v>717</v>
      </c>
      <c r="L779" s="949">
        <v>59.0</v>
      </c>
      <c r="M779" s="949">
        <v>74.0</v>
      </c>
      <c r="N779" s="949">
        <v>50.0</v>
      </c>
      <c r="O779" s="949">
        <v>35.0</v>
      </c>
      <c r="P779" s="949">
        <v>50.0</v>
      </c>
      <c r="Q779" s="949">
        <v>35.0</v>
      </c>
      <c r="R779" s="949">
        <v>106.0</v>
      </c>
      <c r="S779" s="949">
        <v>169.0</v>
      </c>
      <c r="T779" s="949">
        <v>185.0</v>
      </c>
      <c r="U779" s="949"/>
      <c r="V779" s="949"/>
      <c r="W779" s="949"/>
      <c r="X779" s="949"/>
      <c r="Y779" s="949"/>
      <c r="Z779" s="949"/>
      <c r="AA779" s="949"/>
      <c r="AB779" s="949"/>
      <c r="AC779" s="949"/>
      <c r="AD779" s="949"/>
      <c r="AE779" s="949"/>
      <c r="AF779" s="949"/>
      <c r="AG779" s="949"/>
      <c r="AH779" s="949"/>
      <c r="AI779" s="949"/>
      <c r="AJ779" s="949"/>
      <c r="AK779" s="949"/>
      <c r="AL779" s="949"/>
      <c r="AM779" s="953" t="s">
        <v>1310</v>
      </c>
      <c r="AN779" s="954" t="s">
        <v>2390</v>
      </c>
      <c r="AO779" s="955" t="s">
        <v>827</v>
      </c>
      <c r="AP779" s="931"/>
      <c r="AQ779" s="956"/>
      <c r="AR779" s="957"/>
      <c r="AS779" s="931"/>
    </row>
    <row r="780" ht="15.75" customHeight="1">
      <c r="A780" s="931"/>
      <c r="B780" s="941" t="s">
        <v>3035</v>
      </c>
      <c r="C780" s="942" t="s">
        <v>3036</v>
      </c>
      <c r="D780" s="942" t="s">
        <v>3036</v>
      </c>
      <c r="E780" s="943" t="s">
        <v>3036</v>
      </c>
      <c r="F780" s="935"/>
      <c r="G780" s="944"/>
      <c r="H780" s="944"/>
      <c r="I780" s="946" t="s">
        <v>3037</v>
      </c>
      <c r="J780" s="976" t="s">
        <v>711</v>
      </c>
      <c r="K780" s="994" t="s">
        <v>717</v>
      </c>
      <c r="L780" s="949">
        <v>89.0</v>
      </c>
      <c r="M780" s="949">
        <v>124.0</v>
      </c>
      <c r="N780" s="949">
        <v>80.0</v>
      </c>
      <c r="O780" s="949">
        <v>55.0</v>
      </c>
      <c r="P780" s="949">
        <v>80.0</v>
      </c>
      <c r="Q780" s="949">
        <v>55.0</v>
      </c>
      <c r="R780" s="949">
        <v>146.0</v>
      </c>
      <c r="S780" s="949">
        <v>209.0</v>
      </c>
      <c r="T780" s="949">
        <v>229.0</v>
      </c>
      <c r="U780" s="949"/>
      <c r="V780" s="949"/>
      <c r="W780" s="949"/>
      <c r="X780" s="949"/>
      <c r="Y780" s="949"/>
      <c r="Z780" s="949"/>
      <c r="AA780" s="949"/>
      <c r="AB780" s="949"/>
      <c r="AC780" s="949"/>
      <c r="AD780" s="949"/>
      <c r="AE780" s="949"/>
      <c r="AF780" s="949"/>
      <c r="AG780" s="949"/>
      <c r="AH780" s="949"/>
      <c r="AI780" s="949"/>
      <c r="AJ780" s="949"/>
      <c r="AK780" s="949"/>
      <c r="AL780" s="949"/>
      <c r="AM780" s="953" t="s">
        <v>1310</v>
      </c>
      <c r="AN780" s="954" t="s">
        <v>2390</v>
      </c>
      <c r="AO780" s="955" t="s">
        <v>827</v>
      </c>
      <c r="AP780" s="931"/>
      <c r="AQ780" s="956"/>
      <c r="AR780" s="957"/>
      <c r="AS780" s="931"/>
    </row>
    <row r="781" ht="15.75" customHeight="1">
      <c r="A781" s="963"/>
      <c r="B781" s="941" t="s">
        <v>3038</v>
      </c>
      <c r="C781" s="942" t="s">
        <v>3039</v>
      </c>
      <c r="D781" s="942" t="s">
        <v>3039</v>
      </c>
      <c r="E781" s="943" t="s">
        <v>3039</v>
      </c>
      <c r="F781" s="935"/>
      <c r="G781" s="944"/>
      <c r="H781" s="944"/>
      <c r="I781" s="946" t="s">
        <v>626</v>
      </c>
      <c r="J781" s="969" t="s">
        <v>718</v>
      </c>
      <c r="K781" s="978" t="s">
        <v>719</v>
      </c>
      <c r="L781" s="949">
        <v>45.0</v>
      </c>
      <c r="M781" s="949">
        <v>85.0</v>
      </c>
      <c r="N781" s="949">
        <v>70.0</v>
      </c>
      <c r="O781" s="949">
        <v>40.0</v>
      </c>
      <c r="P781" s="949">
        <v>40.0</v>
      </c>
      <c r="Q781" s="949">
        <v>60.0</v>
      </c>
      <c r="R781" s="949">
        <v>156.0</v>
      </c>
      <c r="S781" s="949">
        <v>219.0</v>
      </c>
      <c r="T781" s="949">
        <v>240.0</v>
      </c>
      <c r="U781" s="949"/>
      <c r="V781" s="949"/>
      <c r="W781" s="949"/>
      <c r="X781" s="949"/>
      <c r="Y781" s="949"/>
      <c r="Z781" s="949"/>
      <c r="AA781" s="949"/>
      <c r="AB781" s="949"/>
      <c r="AC781" s="949"/>
      <c r="AD781" s="949"/>
      <c r="AE781" s="949"/>
      <c r="AF781" s="949"/>
      <c r="AG781" s="949"/>
      <c r="AH781" s="949"/>
      <c r="AI781" s="949"/>
      <c r="AJ781" s="949"/>
      <c r="AK781" s="949"/>
      <c r="AL781" s="949"/>
      <c r="AM781" s="964" t="s">
        <v>1069</v>
      </c>
      <c r="AN781" s="973" t="s">
        <v>994</v>
      </c>
      <c r="AO781" s="965" t="s">
        <v>1451</v>
      </c>
      <c r="AP781" s="931"/>
      <c r="AQ781" s="956"/>
      <c r="AR781" s="957"/>
      <c r="AS781" s="931"/>
    </row>
    <row r="782" ht="15.75" customHeight="1">
      <c r="A782" s="931"/>
      <c r="B782" s="941" t="s">
        <v>3040</v>
      </c>
      <c r="C782" s="942" t="s">
        <v>3041</v>
      </c>
      <c r="D782" s="942" t="s">
        <v>3041</v>
      </c>
      <c r="E782" s="943" t="s">
        <v>3041</v>
      </c>
      <c r="F782" s="935"/>
      <c r="G782" s="944"/>
      <c r="H782" s="944"/>
      <c r="I782" s="959" t="s">
        <v>417</v>
      </c>
      <c r="J782" s="969" t="s">
        <v>718</v>
      </c>
      <c r="K782" s="978" t="s">
        <v>719</v>
      </c>
      <c r="L782" s="949">
        <v>65.0</v>
      </c>
      <c r="M782" s="949">
        <v>125.0</v>
      </c>
      <c r="N782" s="949">
        <v>100.0</v>
      </c>
      <c r="O782" s="949">
        <v>60.0</v>
      </c>
      <c r="P782" s="949">
        <v>70.0</v>
      </c>
      <c r="Q782" s="949">
        <v>70.0</v>
      </c>
      <c r="R782" s="949">
        <v>176.0</v>
      </c>
      <c r="S782" s="949">
        <v>239.0</v>
      </c>
      <c r="T782" s="949">
        <v>262.0</v>
      </c>
      <c r="U782" s="949"/>
      <c r="V782" s="949"/>
      <c r="W782" s="949"/>
      <c r="X782" s="949"/>
      <c r="Y782" s="949"/>
      <c r="Z782" s="949"/>
      <c r="AA782" s="949"/>
      <c r="AB782" s="949"/>
      <c r="AC782" s="949"/>
      <c r="AD782" s="949"/>
      <c r="AE782" s="949"/>
      <c r="AF782" s="949"/>
      <c r="AG782" s="949"/>
      <c r="AH782" s="949"/>
      <c r="AI782" s="949"/>
      <c r="AJ782" s="949"/>
      <c r="AK782" s="949"/>
      <c r="AL782" s="949"/>
      <c r="AM782" s="953" t="s">
        <v>1069</v>
      </c>
      <c r="AN782" s="954" t="s">
        <v>994</v>
      </c>
      <c r="AO782" s="955" t="s">
        <v>1451</v>
      </c>
      <c r="AP782" s="931"/>
      <c r="AQ782" s="956"/>
      <c r="AR782" s="957"/>
      <c r="AS782" s="931"/>
    </row>
    <row r="783" ht="15.75" customHeight="1">
      <c r="A783" s="931"/>
      <c r="B783" s="941" t="s">
        <v>3042</v>
      </c>
      <c r="C783" s="942" t="s">
        <v>3043</v>
      </c>
      <c r="D783" s="942" t="s">
        <v>3043</v>
      </c>
      <c r="E783" s="943" t="s">
        <v>3043</v>
      </c>
      <c r="F783" s="935"/>
      <c r="G783" s="944"/>
      <c r="H783" s="944"/>
      <c r="I783" s="959" t="s">
        <v>3044</v>
      </c>
      <c r="J783" s="968" t="s">
        <v>703</v>
      </c>
      <c r="K783" s="954" t="s">
        <v>158</v>
      </c>
      <c r="L783" s="949">
        <v>95.0</v>
      </c>
      <c r="M783" s="949">
        <v>110.0</v>
      </c>
      <c r="N783" s="949">
        <v>95.0</v>
      </c>
      <c r="O783" s="949">
        <v>40.0</v>
      </c>
      <c r="P783" s="949">
        <v>95.0</v>
      </c>
      <c r="Q783" s="949">
        <v>55.0</v>
      </c>
      <c r="R783" s="949">
        <v>146.0</v>
      </c>
      <c r="S783" s="949">
        <v>209.0</v>
      </c>
      <c r="T783" s="949">
        <v>229.0</v>
      </c>
      <c r="U783" s="949"/>
      <c r="V783" s="949"/>
      <c r="W783" s="949"/>
      <c r="X783" s="949"/>
      <c r="Y783" s="949"/>
      <c r="Z783" s="949"/>
      <c r="AA783" s="949"/>
      <c r="AB783" s="949"/>
      <c r="AC783" s="949"/>
      <c r="AD783" s="949"/>
      <c r="AE783" s="949"/>
      <c r="AF783" s="949"/>
      <c r="AG783" s="949"/>
      <c r="AH783" s="949"/>
      <c r="AI783" s="949"/>
      <c r="AJ783" s="949"/>
      <c r="AK783" s="949"/>
      <c r="AL783" s="949"/>
      <c r="AM783" s="953" t="s">
        <v>1305</v>
      </c>
      <c r="AN783" s="954" t="s">
        <v>1603</v>
      </c>
      <c r="AO783" s="955" t="s">
        <v>1272</v>
      </c>
      <c r="AP783" s="931"/>
      <c r="AQ783" s="956"/>
      <c r="AR783" s="957"/>
      <c r="AS783" s="931"/>
    </row>
    <row r="784" ht="15.75" customHeight="1">
      <c r="A784" s="931"/>
      <c r="B784" s="941" t="s">
        <v>3045</v>
      </c>
      <c r="C784" s="942" t="s">
        <v>3046</v>
      </c>
      <c r="D784" s="942" t="s">
        <v>3046</v>
      </c>
      <c r="E784" s="943" t="s">
        <v>3046</v>
      </c>
      <c r="F784" s="935"/>
      <c r="G784" s="944"/>
      <c r="H784" s="944"/>
      <c r="I784" s="959" t="s">
        <v>627</v>
      </c>
      <c r="J784" s="968" t="s">
        <v>703</v>
      </c>
      <c r="K784" s="960" t="s">
        <v>707</v>
      </c>
      <c r="L784" s="949">
        <v>70.0</v>
      </c>
      <c r="M784" s="949">
        <v>83.0</v>
      </c>
      <c r="N784" s="949">
        <v>50.0</v>
      </c>
      <c r="O784" s="949">
        <v>37.0</v>
      </c>
      <c r="P784" s="949">
        <v>50.0</v>
      </c>
      <c r="Q784" s="949">
        <v>60.0</v>
      </c>
      <c r="R784" s="949">
        <v>156.0</v>
      </c>
      <c r="S784" s="949">
        <v>219.0</v>
      </c>
      <c r="T784" s="949">
        <v>240.0</v>
      </c>
      <c r="U784" s="949"/>
      <c r="V784" s="949"/>
      <c r="W784" s="949"/>
      <c r="X784" s="949"/>
      <c r="Y784" s="949"/>
      <c r="Z784" s="949"/>
      <c r="AA784" s="949"/>
      <c r="AB784" s="949"/>
      <c r="AC784" s="949"/>
      <c r="AD784" s="949"/>
      <c r="AE784" s="949"/>
      <c r="AF784" s="949"/>
      <c r="AG784" s="949"/>
      <c r="AH784" s="949"/>
      <c r="AI784" s="949"/>
      <c r="AJ784" s="949"/>
      <c r="AK784" s="949"/>
      <c r="AL784" s="949"/>
      <c r="AM784" s="953" t="s">
        <v>815</v>
      </c>
      <c r="AN784" s="954" t="s">
        <v>949</v>
      </c>
      <c r="AO784" s="955" t="s">
        <v>832</v>
      </c>
      <c r="AP784" s="931"/>
      <c r="AQ784" s="956"/>
      <c r="AR784" s="957"/>
      <c r="AS784" s="931"/>
    </row>
    <row r="785" ht="15.75" customHeight="1">
      <c r="A785" s="931"/>
      <c r="B785" s="941" t="s">
        <v>3047</v>
      </c>
      <c r="C785" s="942" t="s">
        <v>3048</v>
      </c>
      <c r="D785" s="942" t="s">
        <v>3048</v>
      </c>
      <c r="E785" s="943" t="s">
        <v>3048</v>
      </c>
      <c r="F785" s="935"/>
      <c r="G785" s="944"/>
      <c r="H785" s="944"/>
      <c r="I785" s="959" t="s">
        <v>425</v>
      </c>
      <c r="J785" s="968" t="s">
        <v>703</v>
      </c>
      <c r="K785" s="960" t="s">
        <v>707</v>
      </c>
      <c r="L785" s="949">
        <v>100.0</v>
      </c>
      <c r="M785" s="949">
        <v>123.0</v>
      </c>
      <c r="N785" s="949">
        <v>75.0</v>
      </c>
      <c r="O785" s="949">
        <v>57.0</v>
      </c>
      <c r="P785" s="949">
        <v>75.0</v>
      </c>
      <c r="Q785" s="949">
        <v>80.0</v>
      </c>
      <c r="R785" s="949">
        <v>196.0</v>
      </c>
      <c r="S785" s="949">
        <v>259.0</v>
      </c>
      <c r="T785" s="949">
        <v>284.0</v>
      </c>
      <c r="U785" s="949"/>
      <c r="V785" s="949"/>
      <c r="W785" s="949"/>
      <c r="X785" s="949"/>
      <c r="Y785" s="949"/>
      <c r="Z785" s="949"/>
      <c r="AA785" s="949"/>
      <c r="AB785" s="949"/>
      <c r="AC785" s="949"/>
      <c r="AD785" s="949"/>
      <c r="AE785" s="949"/>
      <c r="AF785" s="949"/>
      <c r="AG785" s="949"/>
      <c r="AH785" s="949"/>
      <c r="AI785" s="949"/>
      <c r="AJ785" s="949"/>
      <c r="AK785" s="949"/>
      <c r="AL785" s="949"/>
      <c r="AM785" s="953" t="s">
        <v>815</v>
      </c>
      <c r="AN785" s="954" t="s">
        <v>949</v>
      </c>
      <c r="AO785" s="955" t="s">
        <v>1069</v>
      </c>
      <c r="AP785" s="931"/>
      <c r="AQ785" s="956"/>
      <c r="AR785" s="957"/>
      <c r="AS785" s="931"/>
    </row>
    <row r="786" ht="15.75" customHeight="1">
      <c r="A786" s="963"/>
      <c r="B786" s="941" t="s">
        <v>3049</v>
      </c>
      <c r="C786" s="971" t="str">
        <f t="shared" ref="C786:E786" si="13">C785&amp;"-hisui"</f>
        <v>braviary-hisui</v>
      </c>
      <c r="D786" s="971" t="str">
        <f t="shared" si="13"/>
        <v>braviary-hisui</v>
      </c>
      <c r="E786" s="966" t="str">
        <f t="shared" si="13"/>
        <v>braviary-hisui</v>
      </c>
      <c r="F786" s="935"/>
      <c r="G786" s="944"/>
      <c r="H786" s="944"/>
      <c r="I786" s="959" t="s">
        <v>3050</v>
      </c>
      <c r="J786" s="990" t="s">
        <v>712</v>
      </c>
      <c r="K786" s="984" t="s">
        <v>707</v>
      </c>
      <c r="L786" s="974">
        <v>110.0</v>
      </c>
      <c r="M786" s="974">
        <v>83.0</v>
      </c>
      <c r="N786" s="974">
        <v>70.0</v>
      </c>
      <c r="O786" s="974">
        <v>112.0</v>
      </c>
      <c r="P786" s="974">
        <v>70.0</v>
      </c>
      <c r="Q786" s="974">
        <v>65.0</v>
      </c>
      <c r="R786" s="949">
        <v>166.0</v>
      </c>
      <c r="S786" s="949">
        <v>229.0</v>
      </c>
      <c r="T786" s="949">
        <v>251.0</v>
      </c>
      <c r="U786" s="949"/>
      <c r="V786" s="949"/>
      <c r="W786" s="949"/>
      <c r="X786" s="949"/>
      <c r="Y786" s="949"/>
      <c r="Z786" s="949"/>
      <c r="AA786" s="949"/>
      <c r="AB786" s="949"/>
      <c r="AC786" s="949"/>
      <c r="AD786" s="949"/>
      <c r="AE786" s="949"/>
      <c r="AF786" s="949"/>
      <c r="AG786" s="949"/>
      <c r="AH786" s="949"/>
      <c r="AI786" s="949"/>
      <c r="AJ786" s="949"/>
      <c r="AK786" s="949"/>
      <c r="AL786" s="949"/>
      <c r="AM786" s="964" t="s">
        <v>815</v>
      </c>
      <c r="AN786" s="954" t="s">
        <v>949</v>
      </c>
      <c r="AO786" s="965" t="s">
        <v>796</v>
      </c>
      <c r="AP786" s="931"/>
      <c r="AQ786" s="956"/>
      <c r="AR786" s="957"/>
      <c r="AS786" s="931"/>
    </row>
    <row r="787" ht="15.75" customHeight="1">
      <c r="A787" s="931"/>
      <c r="B787" s="941" t="s">
        <v>3051</v>
      </c>
      <c r="C787" s="942" t="s">
        <v>3052</v>
      </c>
      <c r="D787" s="942" t="s">
        <v>3052</v>
      </c>
      <c r="E787" s="943" t="s">
        <v>3052</v>
      </c>
      <c r="F787" s="935"/>
      <c r="G787" s="944"/>
      <c r="H787" s="944"/>
      <c r="I787" s="946" t="s">
        <v>3053</v>
      </c>
      <c r="J787" s="969" t="s">
        <v>718</v>
      </c>
      <c r="K787" s="960" t="s">
        <v>707</v>
      </c>
      <c r="L787" s="949">
        <v>70.0</v>
      </c>
      <c r="M787" s="949">
        <v>55.0</v>
      </c>
      <c r="N787" s="949">
        <v>75.0</v>
      </c>
      <c r="O787" s="949">
        <v>45.0</v>
      </c>
      <c r="P787" s="949">
        <v>65.0</v>
      </c>
      <c r="Q787" s="949">
        <v>60.0</v>
      </c>
      <c r="R787" s="949">
        <v>156.0</v>
      </c>
      <c r="S787" s="949">
        <v>219.0</v>
      </c>
      <c r="T787" s="949">
        <v>240.0</v>
      </c>
      <c r="U787" s="949"/>
      <c r="V787" s="949"/>
      <c r="W787" s="949"/>
      <c r="X787" s="949"/>
      <c r="Y787" s="949"/>
      <c r="Z787" s="949"/>
      <c r="AA787" s="949"/>
      <c r="AB787" s="949"/>
      <c r="AC787" s="949"/>
      <c r="AD787" s="949"/>
      <c r="AE787" s="949"/>
      <c r="AF787" s="949"/>
      <c r="AG787" s="949"/>
      <c r="AH787" s="949"/>
      <c r="AI787" s="949"/>
      <c r="AJ787" s="949"/>
      <c r="AK787" s="949"/>
      <c r="AL787" s="949"/>
      <c r="AM787" s="953" t="s">
        <v>817</v>
      </c>
      <c r="AN787" s="954" t="s">
        <v>1239</v>
      </c>
      <c r="AO787" s="955" t="s">
        <v>1256</v>
      </c>
      <c r="AP787" s="931"/>
      <c r="AQ787" s="956"/>
      <c r="AR787" s="957"/>
      <c r="AS787" s="931"/>
    </row>
    <row r="788" ht="15.75" customHeight="1">
      <c r="A788" s="963"/>
      <c r="B788" s="941" t="s">
        <v>3054</v>
      </c>
      <c r="C788" s="971" t="s">
        <v>3055</v>
      </c>
      <c r="D788" s="971" t="s">
        <v>3055</v>
      </c>
      <c r="E788" s="966" t="s">
        <v>3055</v>
      </c>
      <c r="F788" s="935"/>
      <c r="G788" s="944"/>
      <c r="H788" s="944"/>
      <c r="I788" s="959" t="s">
        <v>3056</v>
      </c>
      <c r="J788" s="1003" t="s">
        <v>718</v>
      </c>
      <c r="K788" s="984" t="s">
        <v>707</v>
      </c>
      <c r="L788" s="974">
        <v>110.0</v>
      </c>
      <c r="M788" s="974">
        <v>65.0</v>
      </c>
      <c r="N788" s="974">
        <v>105.0</v>
      </c>
      <c r="O788" s="974">
        <v>55.0</v>
      </c>
      <c r="P788" s="974">
        <v>95.0</v>
      </c>
      <c r="Q788" s="974">
        <v>80.0</v>
      </c>
      <c r="R788" s="949">
        <v>196.0</v>
      </c>
      <c r="S788" s="949">
        <v>259.0</v>
      </c>
      <c r="T788" s="949">
        <v>284.0</v>
      </c>
      <c r="U788" s="949"/>
      <c r="V788" s="949"/>
      <c r="W788" s="949"/>
      <c r="X788" s="949"/>
      <c r="Y788" s="949"/>
      <c r="Z788" s="949"/>
      <c r="AA788" s="949"/>
      <c r="AB788" s="949"/>
      <c r="AC788" s="949"/>
      <c r="AD788" s="949"/>
      <c r="AE788" s="949"/>
      <c r="AF788" s="949"/>
      <c r="AG788" s="949"/>
      <c r="AH788" s="949"/>
      <c r="AI788" s="949"/>
      <c r="AJ788" s="949"/>
      <c r="AK788" s="949"/>
      <c r="AL788" s="949"/>
      <c r="AM788" s="964" t="s">
        <v>817</v>
      </c>
      <c r="AN788" s="973" t="s">
        <v>1239</v>
      </c>
      <c r="AO788" s="965" t="s">
        <v>1256</v>
      </c>
      <c r="AP788" s="931"/>
      <c r="AQ788" s="956"/>
      <c r="AR788" s="957"/>
      <c r="AS788" s="931"/>
    </row>
    <row r="789" ht="15.75" customHeight="1">
      <c r="A789" s="931"/>
      <c r="B789" s="941" t="s">
        <v>3057</v>
      </c>
      <c r="C789" s="942" t="s">
        <v>3058</v>
      </c>
      <c r="D789" s="942" t="s">
        <v>3058</v>
      </c>
      <c r="E789" s="943" t="s">
        <v>3058</v>
      </c>
      <c r="F789" s="935"/>
      <c r="G789" s="944"/>
      <c r="H789" s="944"/>
      <c r="I789" s="946" t="s">
        <v>3059</v>
      </c>
      <c r="J789" s="958" t="s">
        <v>704</v>
      </c>
      <c r="K789" s="954" t="s">
        <v>158</v>
      </c>
      <c r="L789" s="949">
        <v>85.0</v>
      </c>
      <c r="M789" s="949">
        <v>97.0</v>
      </c>
      <c r="N789" s="949">
        <v>66.0</v>
      </c>
      <c r="O789" s="949">
        <v>105.0</v>
      </c>
      <c r="P789" s="949">
        <v>66.0</v>
      </c>
      <c r="Q789" s="949">
        <v>65.0</v>
      </c>
      <c r="R789" s="949">
        <v>166.0</v>
      </c>
      <c r="S789" s="949">
        <v>229.0</v>
      </c>
      <c r="T789" s="949">
        <v>251.0</v>
      </c>
      <c r="U789" s="949"/>
      <c r="V789" s="949"/>
      <c r="W789" s="949"/>
      <c r="X789" s="949"/>
      <c r="Y789" s="949"/>
      <c r="Z789" s="949"/>
      <c r="AA789" s="949"/>
      <c r="AB789" s="949"/>
      <c r="AC789" s="949"/>
      <c r="AD789" s="949"/>
      <c r="AE789" s="949"/>
      <c r="AF789" s="949"/>
      <c r="AG789" s="949"/>
      <c r="AH789" s="949"/>
      <c r="AI789" s="949"/>
      <c r="AJ789" s="949"/>
      <c r="AK789" s="949"/>
      <c r="AL789" s="949"/>
      <c r="AM789" s="953" t="s">
        <v>837</v>
      </c>
      <c r="AN789" s="954" t="s">
        <v>972</v>
      </c>
      <c r="AO789" s="955" t="s">
        <v>2055</v>
      </c>
      <c r="AP789" s="931"/>
      <c r="AQ789" s="956"/>
      <c r="AR789" s="957"/>
      <c r="AS789" s="931"/>
    </row>
    <row r="790" ht="15.75" customHeight="1">
      <c r="A790" s="963"/>
      <c r="B790" s="941" t="s">
        <v>3060</v>
      </c>
      <c r="C790" s="971" t="s">
        <v>3061</v>
      </c>
      <c r="D790" s="971" t="s">
        <v>3061</v>
      </c>
      <c r="E790" s="966" t="s">
        <v>3061</v>
      </c>
      <c r="F790" s="935"/>
      <c r="G790" s="944"/>
      <c r="H790" s="944"/>
      <c r="I790" s="959" t="s">
        <v>3062</v>
      </c>
      <c r="J790" s="999" t="s">
        <v>715</v>
      </c>
      <c r="K790" s="1007" t="s">
        <v>719</v>
      </c>
      <c r="L790" s="974">
        <v>58.0</v>
      </c>
      <c r="M790" s="974">
        <v>109.0</v>
      </c>
      <c r="N790" s="974">
        <v>112.0</v>
      </c>
      <c r="O790" s="974">
        <v>48.0</v>
      </c>
      <c r="P790" s="974">
        <v>48.0</v>
      </c>
      <c r="Q790" s="974">
        <v>109.0</v>
      </c>
      <c r="R790" s="949">
        <v>254.0</v>
      </c>
      <c r="S790" s="949">
        <v>317.0</v>
      </c>
      <c r="T790" s="949">
        <v>348.0</v>
      </c>
      <c r="U790" s="949"/>
      <c r="V790" s="949"/>
      <c r="W790" s="949"/>
      <c r="X790" s="949"/>
      <c r="Y790" s="949"/>
      <c r="Z790" s="949"/>
      <c r="AA790" s="949"/>
      <c r="AB790" s="949"/>
      <c r="AC790" s="949"/>
      <c r="AD790" s="949"/>
      <c r="AE790" s="949"/>
      <c r="AF790" s="949"/>
      <c r="AG790" s="949"/>
      <c r="AH790" s="949"/>
      <c r="AI790" s="949"/>
      <c r="AJ790" s="949"/>
      <c r="AK790" s="949"/>
      <c r="AL790" s="949"/>
      <c r="AM790" s="964" t="s">
        <v>806</v>
      </c>
      <c r="AN790" s="954" t="s">
        <v>832</v>
      </c>
      <c r="AO790" s="965" t="s">
        <v>1931</v>
      </c>
      <c r="AP790" s="931"/>
      <c r="AQ790" s="956"/>
      <c r="AR790" s="957"/>
      <c r="AS790" s="931"/>
    </row>
    <row r="791" ht="15.75" customHeight="1">
      <c r="A791" s="963"/>
      <c r="B791" s="941" t="s">
        <v>3063</v>
      </c>
      <c r="C791" s="971" t="s">
        <v>3064</v>
      </c>
      <c r="D791" s="971" t="s">
        <v>3064</v>
      </c>
      <c r="E791" s="966" t="s">
        <v>3064</v>
      </c>
      <c r="F791" s="935"/>
      <c r="G791" s="944"/>
      <c r="H791" s="944"/>
      <c r="I791" s="959" t="s">
        <v>628</v>
      </c>
      <c r="J791" s="1003" t="s">
        <v>718</v>
      </c>
      <c r="K791" s="1005" t="s">
        <v>716</v>
      </c>
      <c r="L791" s="974">
        <v>52.0</v>
      </c>
      <c r="M791" s="974">
        <v>65.0</v>
      </c>
      <c r="N791" s="974">
        <v>50.0</v>
      </c>
      <c r="O791" s="974">
        <v>45.0</v>
      </c>
      <c r="P791" s="974">
        <v>50.0</v>
      </c>
      <c r="Q791" s="974">
        <v>38.0</v>
      </c>
      <c r="R791" s="949">
        <v>112.0</v>
      </c>
      <c r="S791" s="949">
        <v>175.0</v>
      </c>
      <c r="T791" s="949">
        <v>192.0</v>
      </c>
      <c r="U791" s="949"/>
      <c r="V791" s="949"/>
      <c r="W791" s="949"/>
      <c r="X791" s="949"/>
      <c r="Y791" s="949"/>
      <c r="Z791" s="949"/>
      <c r="AA791" s="949"/>
      <c r="AB791" s="949"/>
      <c r="AC791" s="949"/>
      <c r="AD791" s="949"/>
      <c r="AE791" s="949"/>
      <c r="AF791" s="949"/>
      <c r="AG791" s="949"/>
      <c r="AH791" s="949"/>
      <c r="AI791" s="949"/>
      <c r="AJ791" s="949"/>
      <c r="AK791" s="949"/>
      <c r="AL791" s="949"/>
      <c r="AM791" s="964" t="s">
        <v>832</v>
      </c>
      <c r="AN791" s="954"/>
      <c r="AO791" s="955"/>
      <c r="AP791" s="931"/>
      <c r="AQ791" s="956"/>
      <c r="AR791" s="957"/>
      <c r="AS791" s="931"/>
    </row>
    <row r="792" ht="15.75" customHeight="1">
      <c r="A792" s="931"/>
      <c r="B792" s="941" t="s">
        <v>3065</v>
      </c>
      <c r="C792" s="971" t="s">
        <v>3066</v>
      </c>
      <c r="D792" s="971" t="s">
        <v>3066</v>
      </c>
      <c r="E792" s="943" t="s">
        <v>3066</v>
      </c>
      <c r="F792" s="935"/>
      <c r="G792" s="944"/>
      <c r="H792" s="944"/>
      <c r="I792" s="959" t="s">
        <v>544</v>
      </c>
      <c r="J792" s="1003" t="s">
        <v>718</v>
      </c>
      <c r="K792" s="961" t="s">
        <v>716</v>
      </c>
      <c r="L792" s="974">
        <v>72.0</v>
      </c>
      <c r="M792" s="974">
        <v>85.0</v>
      </c>
      <c r="N792" s="974">
        <v>70.0</v>
      </c>
      <c r="O792" s="974">
        <v>65.0</v>
      </c>
      <c r="P792" s="974">
        <v>70.0</v>
      </c>
      <c r="Q792" s="974">
        <v>58.0</v>
      </c>
      <c r="R792" s="949">
        <v>152.0</v>
      </c>
      <c r="S792" s="949">
        <v>215.0</v>
      </c>
      <c r="T792" s="949">
        <v>236.0</v>
      </c>
      <c r="U792" s="949"/>
      <c r="V792" s="949"/>
      <c r="W792" s="949"/>
      <c r="X792" s="949"/>
      <c r="Y792" s="949"/>
      <c r="Z792" s="949"/>
      <c r="AA792" s="949"/>
      <c r="AB792" s="949"/>
      <c r="AC792" s="949"/>
      <c r="AD792" s="949"/>
      <c r="AE792" s="949"/>
      <c r="AF792" s="949"/>
      <c r="AG792" s="949"/>
      <c r="AH792" s="949"/>
      <c r="AI792" s="949"/>
      <c r="AJ792" s="949"/>
      <c r="AK792" s="949"/>
      <c r="AL792" s="949"/>
      <c r="AM792" s="953" t="s">
        <v>832</v>
      </c>
      <c r="AN792" s="954"/>
      <c r="AO792" s="955"/>
      <c r="AP792" s="931"/>
      <c r="AQ792" s="956"/>
      <c r="AR792" s="957"/>
      <c r="AS792" s="931"/>
    </row>
    <row r="793" ht="15.75" customHeight="1">
      <c r="A793" s="931"/>
      <c r="B793" s="941" t="s">
        <v>3067</v>
      </c>
      <c r="C793" s="971" t="s">
        <v>238</v>
      </c>
      <c r="D793" s="971" t="s">
        <v>238</v>
      </c>
      <c r="E793" s="943" t="s">
        <v>238</v>
      </c>
      <c r="F793" s="935"/>
      <c r="G793" s="944"/>
      <c r="H793" s="944"/>
      <c r="I793" s="959" t="s">
        <v>63</v>
      </c>
      <c r="J793" s="1003" t="s">
        <v>718</v>
      </c>
      <c r="K793" s="1005" t="s">
        <v>716</v>
      </c>
      <c r="L793" s="974">
        <v>92.0</v>
      </c>
      <c r="M793" s="974">
        <v>105.0</v>
      </c>
      <c r="N793" s="974">
        <v>90.0</v>
      </c>
      <c r="O793" s="974">
        <v>125.0</v>
      </c>
      <c r="P793" s="974">
        <v>90.0</v>
      </c>
      <c r="Q793" s="974">
        <v>98.0</v>
      </c>
      <c r="R793" s="949">
        <v>232.0</v>
      </c>
      <c r="S793" s="949">
        <v>295.0</v>
      </c>
      <c r="T793" s="949">
        <v>324.0</v>
      </c>
      <c r="U793" s="949"/>
      <c r="V793" s="949"/>
      <c r="W793" s="949"/>
      <c r="X793" s="949"/>
      <c r="Y793" s="949"/>
      <c r="Z793" s="949"/>
      <c r="AA793" s="949"/>
      <c r="AB793" s="949"/>
      <c r="AC793" s="949"/>
      <c r="AD793" s="949"/>
      <c r="AE793" s="949"/>
      <c r="AF793" s="949"/>
      <c r="AG793" s="949"/>
      <c r="AH793" s="949"/>
      <c r="AI793" s="949"/>
      <c r="AJ793" s="949"/>
      <c r="AK793" s="949"/>
      <c r="AL793" s="949"/>
      <c r="AM793" s="953" t="s">
        <v>1244</v>
      </c>
      <c r="AN793" s="954"/>
      <c r="AO793" s="955"/>
      <c r="AP793" s="931"/>
      <c r="AQ793" s="956"/>
      <c r="AR793" s="957"/>
      <c r="AS793" s="931"/>
    </row>
    <row r="794" ht="15.75" customHeight="1">
      <c r="A794" s="931"/>
      <c r="B794" s="941" t="s">
        <v>3068</v>
      </c>
      <c r="C794" s="971" t="s">
        <v>3069</v>
      </c>
      <c r="D794" s="971" t="s">
        <v>3069</v>
      </c>
      <c r="E794" s="943" t="s">
        <v>3069</v>
      </c>
      <c r="F794" s="935"/>
      <c r="G794" s="944"/>
      <c r="H794" s="944"/>
      <c r="I794" s="959" t="s">
        <v>629</v>
      </c>
      <c r="J794" s="999" t="s">
        <v>715</v>
      </c>
      <c r="K794" s="981" t="s">
        <v>704</v>
      </c>
      <c r="L794" s="974">
        <v>55.0</v>
      </c>
      <c r="M794" s="974">
        <v>85.0</v>
      </c>
      <c r="N794" s="974">
        <v>55.0</v>
      </c>
      <c r="O794" s="974">
        <v>50.0</v>
      </c>
      <c r="P794" s="974">
        <v>55.0</v>
      </c>
      <c r="Q794" s="974">
        <v>60.0</v>
      </c>
      <c r="R794" s="949">
        <v>156.0</v>
      </c>
      <c r="S794" s="949">
        <v>219.0</v>
      </c>
      <c r="T794" s="949">
        <v>240.0</v>
      </c>
      <c r="U794" s="949"/>
      <c r="V794" s="949"/>
      <c r="W794" s="949"/>
      <c r="X794" s="949"/>
      <c r="Y794" s="949"/>
      <c r="Z794" s="949"/>
      <c r="AA794" s="949"/>
      <c r="AB794" s="949"/>
      <c r="AC794" s="949"/>
      <c r="AD794" s="949"/>
      <c r="AE794" s="949"/>
      <c r="AF794" s="949"/>
      <c r="AG794" s="949"/>
      <c r="AH794" s="949"/>
      <c r="AI794" s="949"/>
      <c r="AJ794" s="949"/>
      <c r="AK794" s="949"/>
      <c r="AL794" s="949"/>
      <c r="AM794" s="953" t="s">
        <v>1159</v>
      </c>
      <c r="AN794" s="954"/>
      <c r="AO794" s="955" t="s">
        <v>806</v>
      </c>
      <c r="AP794" s="931"/>
      <c r="AQ794" s="956"/>
      <c r="AR794" s="957"/>
      <c r="AS794" s="931"/>
    </row>
    <row r="795" ht="15.75" customHeight="1">
      <c r="A795" s="931"/>
      <c r="B795" s="941" t="s">
        <v>3070</v>
      </c>
      <c r="C795" s="942" t="s">
        <v>203</v>
      </c>
      <c r="D795" s="942" t="s">
        <v>203</v>
      </c>
      <c r="E795" s="943" t="s">
        <v>203</v>
      </c>
      <c r="F795" s="935"/>
      <c r="G795" s="944"/>
      <c r="H795" s="944"/>
      <c r="I795" s="959" t="s">
        <v>77</v>
      </c>
      <c r="J795" s="999" t="s">
        <v>715</v>
      </c>
      <c r="K795" s="981" t="s">
        <v>704</v>
      </c>
      <c r="L795" s="974">
        <v>85.0</v>
      </c>
      <c r="M795" s="974">
        <v>60.0</v>
      </c>
      <c r="N795" s="974">
        <v>65.0</v>
      </c>
      <c r="O795" s="974">
        <v>135.0</v>
      </c>
      <c r="P795" s="974">
        <v>105.0</v>
      </c>
      <c r="Q795" s="974">
        <v>100.0</v>
      </c>
      <c r="R795" s="949">
        <v>236.0</v>
      </c>
      <c r="S795" s="949">
        <v>299.0</v>
      </c>
      <c r="T795" s="949">
        <v>328.0</v>
      </c>
      <c r="U795" s="949"/>
      <c r="V795" s="949"/>
      <c r="W795" s="949"/>
      <c r="X795" s="949"/>
      <c r="Y795" s="949"/>
      <c r="Z795" s="949"/>
      <c r="AA795" s="949"/>
      <c r="AB795" s="949"/>
      <c r="AC795" s="949"/>
      <c r="AD795" s="949"/>
      <c r="AE795" s="949"/>
      <c r="AF795" s="949"/>
      <c r="AG795" s="949"/>
      <c r="AH795" s="949"/>
      <c r="AI795" s="949"/>
      <c r="AJ795" s="949"/>
      <c r="AK795" s="949"/>
      <c r="AL795" s="949"/>
      <c r="AM795" s="964" t="s">
        <v>1159</v>
      </c>
      <c r="AN795" s="954"/>
      <c r="AO795" s="955" t="s">
        <v>806</v>
      </c>
      <c r="AP795" s="931"/>
      <c r="AQ795" s="956"/>
      <c r="AR795" s="957"/>
      <c r="AS795" s="931"/>
    </row>
    <row r="796" ht="15.75" customHeight="1">
      <c r="A796" s="931"/>
      <c r="B796" s="941" t="s">
        <v>3071</v>
      </c>
      <c r="C796" s="942" t="s">
        <v>3072</v>
      </c>
      <c r="D796" s="942" t="s">
        <v>3072</v>
      </c>
      <c r="E796" s="943" t="s">
        <v>3072</v>
      </c>
      <c r="F796" s="935"/>
      <c r="G796" s="944"/>
      <c r="H796" s="944"/>
      <c r="I796" s="946" t="s">
        <v>3073</v>
      </c>
      <c r="J796" s="978" t="s">
        <v>719</v>
      </c>
      <c r="K796" s="988" t="s">
        <v>705</v>
      </c>
      <c r="L796" s="949">
        <v>91.0</v>
      </c>
      <c r="M796" s="949">
        <v>90.0</v>
      </c>
      <c r="N796" s="949">
        <v>129.0</v>
      </c>
      <c r="O796" s="949">
        <v>90.0</v>
      </c>
      <c r="P796" s="949">
        <v>72.0</v>
      </c>
      <c r="Q796" s="949">
        <v>108.0</v>
      </c>
      <c r="R796" s="949">
        <v>252.0</v>
      </c>
      <c r="S796" s="949">
        <v>315.0</v>
      </c>
      <c r="T796" s="949">
        <v>346.0</v>
      </c>
      <c r="U796" s="949"/>
      <c r="V796" s="949"/>
      <c r="W796" s="949"/>
      <c r="X796" s="949"/>
      <c r="Y796" s="949"/>
      <c r="Z796" s="949"/>
      <c r="AA796" s="949"/>
      <c r="AB796" s="949"/>
      <c r="AC796" s="949"/>
      <c r="AD796" s="949"/>
      <c r="AE796" s="949"/>
      <c r="AF796" s="949"/>
      <c r="AG796" s="949"/>
      <c r="AH796" s="949"/>
      <c r="AI796" s="949"/>
      <c r="AJ796" s="949"/>
      <c r="AK796" s="949"/>
      <c r="AL796" s="949"/>
      <c r="AM796" s="953" t="s">
        <v>1074</v>
      </c>
      <c r="AN796" s="954"/>
      <c r="AO796" s="955"/>
      <c r="AP796" s="931"/>
      <c r="AQ796" s="956"/>
      <c r="AR796" s="957"/>
      <c r="AS796" s="931"/>
    </row>
    <row r="797" ht="15.75" customHeight="1">
      <c r="A797" s="931"/>
      <c r="B797" s="941" t="s">
        <v>3074</v>
      </c>
      <c r="C797" s="942" t="s">
        <v>3075</v>
      </c>
      <c r="D797" s="942" t="s">
        <v>3075</v>
      </c>
      <c r="E797" s="943" t="s">
        <v>3075</v>
      </c>
      <c r="F797" s="935"/>
      <c r="G797" s="944"/>
      <c r="H797" s="944"/>
      <c r="I797" s="959" t="s">
        <v>3076</v>
      </c>
      <c r="J797" s="989" t="s">
        <v>713</v>
      </c>
      <c r="K797" s="988" t="s">
        <v>705</v>
      </c>
      <c r="L797" s="974">
        <v>91.0</v>
      </c>
      <c r="M797" s="974">
        <v>129.0</v>
      </c>
      <c r="N797" s="974">
        <v>90.0</v>
      </c>
      <c r="O797" s="974">
        <v>72.0</v>
      </c>
      <c r="P797" s="974">
        <v>90.0</v>
      </c>
      <c r="Q797" s="974">
        <v>108.0</v>
      </c>
      <c r="R797" s="949">
        <v>252.0</v>
      </c>
      <c r="S797" s="949">
        <v>315.0</v>
      </c>
      <c r="T797" s="949">
        <v>346.0</v>
      </c>
      <c r="U797" s="949"/>
      <c r="V797" s="949"/>
      <c r="W797" s="949"/>
      <c r="X797" s="949"/>
      <c r="Y797" s="949"/>
      <c r="Z797" s="949"/>
      <c r="AA797" s="949"/>
      <c r="AB797" s="949"/>
      <c r="AC797" s="949"/>
      <c r="AD797" s="949"/>
      <c r="AE797" s="949"/>
      <c r="AF797" s="949"/>
      <c r="AG797" s="949"/>
      <c r="AH797" s="949"/>
      <c r="AI797" s="949"/>
      <c r="AJ797" s="949"/>
      <c r="AK797" s="949"/>
      <c r="AL797" s="949"/>
      <c r="AM797" s="953" t="s">
        <v>1074</v>
      </c>
      <c r="AN797" s="954"/>
      <c r="AO797" s="955"/>
      <c r="AP797" s="931"/>
      <c r="AQ797" s="956"/>
      <c r="AR797" s="957"/>
      <c r="AS797" s="931"/>
    </row>
    <row r="798" ht="15.75" customHeight="1">
      <c r="A798" s="931"/>
      <c r="B798" s="941" t="s">
        <v>3077</v>
      </c>
      <c r="C798" s="942" t="s">
        <v>3078</v>
      </c>
      <c r="D798" s="942" t="s">
        <v>3078</v>
      </c>
      <c r="E798" s="943" t="s">
        <v>3078</v>
      </c>
      <c r="F798" s="935"/>
      <c r="G798" s="944"/>
      <c r="H798" s="944"/>
      <c r="I798" s="946" t="s">
        <v>3079</v>
      </c>
      <c r="J798" s="947" t="s">
        <v>708</v>
      </c>
      <c r="K798" s="988" t="s">
        <v>705</v>
      </c>
      <c r="L798" s="949">
        <v>91.0</v>
      </c>
      <c r="M798" s="949">
        <v>90.0</v>
      </c>
      <c r="N798" s="949">
        <v>72.0</v>
      </c>
      <c r="O798" s="949">
        <v>90.0</v>
      </c>
      <c r="P798" s="949">
        <v>129.0</v>
      </c>
      <c r="Q798" s="949">
        <v>108.0</v>
      </c>
      <c r="R798" s="949">
        <v>252.0</v>
      </c>
      <c r="S798" s="949">
        <v>315.0</v>
      </c>
      <c r="T798" s="949">
        <v>346.0</v>
      </c>
      <c r="U798" s="949"/>
      <c r="V798" s="949"/>
      <c r="W798" s="949"/>
      <c r="X798" s="949"/>
      <c r="Y798" s="949"/>
      <c r="Z798" s="949"/>
      <c r="AA798" s="949"/>
      <c r="AB798" s="949"/>
      <c r="AC798" s="949"/>
      <c r="AD798" s="949"/>
      <c r="AE798" s="949"/>
      <c r="AF798" s="949"/>
      <c r="AG798" s="949"/>
      <c r="AH798" s="949"/>
      <c r="AI798" s="949"/>
      <c r="AJ798" s="949"/>
      <c r="AK798" s="949"/>
      <c r="AL798" s="949"/>
      <c r="AM798" s="953" t="s">
        <v>1074</v>
      </c>
      <c r="AN798" s="954"/>
      <c r="AO798" s="955"/>
      <c r="AP798" s="931"/>
      <c r="AQ798" s="956"/>
      <c r="AR798" s="957"/>
      <c r="AS798" s="931"/>
    </row>
    <row r="799" ht="15.75" customHeight="1">
      <c r="A799" s="931"/>
      <c r="B799" s="941" t="s">
        <v>3080</v>
      </c>
      <c r="C799" s="942" t="s">
        <v>3081</v>
      </c>
      <c r="D799" s="942" t="s">
        <v>3081</v>
      </c>
      <c r="E799" s="943" t="s">
        <v>3081</v>
      </c>
      <c r="F799" s="935"/>
      <c r="G799" s="944"/>
      <c r="H799" s="944"/>
      <c r="I799" s="946" t="s">
        <v>3082</v>
      </c>
      <c r="J799" s="960" t="s">
        <v>707</v>
      </c>
      <c r="K799" s="954" t="s">
        <v>158</v>
      </c>
      <c r="L799" s="949">
        <v>79.0</v>
      </c>
      <c r="M799" s="949">
        <v>115.0</v>
      </c>
      <c r="N799" s="949">
        <v>70.0</v>
      </c>
      <c r="O799" s="949">
        <v>125.0</v>
      </c>
      <c r="P799" s="949">
        <v>80.0</v>
      </c>
      <c r="Q799" s="949">
        <v>111.0</v>
      </c>
      <c r="R799" s="949">
        <v>258.0</v>
      </c>
      <c r="S799" s="949">
        <v>321.0</v>
      </c>
      <c r="T799" s="949">
        <v>353.0</v>
      </c>
      <c r="U799" s="949"/>
      <c r="V799" s="949"/>
      <c r="W799" s="949"/>
      <c r="X799" s="949"/>
      <c r="Y799" s="949"/>
      <c r="Z799" s="949"/>
      <c r="AA799" s="949"/>
      <c r="AB799" s="949"/>
      <c r="AC799" s="949"/>
      <c r="AD799" s="949"/>
      <c r="AE799" s="949"/>
      <c r="AF799" s="949"/>
      <c r="AG799" s="949"/>
      <c r="AH799" s="949"/>
      <c r="AI799" s="949"/>
      <c r="AJ799" s="949"/>
      <c r="AK799" s="949"/>
      <c r="AL799" s="949"/>
      <c r="AM799" s="953" t="s">
        <v>1641</v>
      </c>
      <c r="AN799" s="954"/>
      <c r="AO799" s="955" t="s">
        <v>1069</v>
      </c>
      <c r="AP799" s="931"/>
      <c r="AQ799" s="956"/>
      <c r="AR799" s="957"/>
      <c r="AS799" s="931"/>
    </row>
    <row r="800" ht="15.75" customHeight="1">
      <c r="A800" s="931"/>
      <c r="B800" s="941" t="s">
        <v>3083</v>
      </c>
      <c r="C800" s="942" t="s">
        <v>3084</v>
      </c>
      <c r="D800" s="942" t="s">
        <v>3084</v>
      </c>
      <c r="E800" s="943" t="s">
        <v>3084</v>
      </c>
      <c r="F800" s="935"/>
      <c r="G800" s="944"/>
      <c r="H800" s="944"/>
      <c r="I800" s="946" t="s">
        <v>3085</v>
      </c>
      <c r="J800" s="960" t="s">
        <v>707</v>
      </c>
      <c r="K800" s="954" t="s">
        <v>158</v>
      </c>
      <c r="L800" s="949">
        <v>79.0</v>
      </c>
      <c r="M800" s="949">
        <v>100.0</v>
      </c>
      <c r="N800" s="949">
        <v>80.0</v>
      </c>
      <c r="O800" s="949">
        <v>110.0</v>
      </c>
      <c r="P800" s="949">
        <v>90.0</v>
      </c>
      <c r="Q800" s="949">
        <v>121.0</v>
      </c>
      <c r="R800" s="949">
        <v>278.0</v>
      </c>
      <c r="S800" s="949">
        <v>341.0</v>
      </c>
      <c r="T800" s="949">
        <v>375.0</v>
      </c>
      <c r="U800" s="949"/>
      <c r="V800" s="949"/>
      <c r="W800" s="949"/>
      <c r="X800" s="949"/>
      <c r="Y800" s="949"/>
      <c r="Z800" s="949"/>
      <c r="AA800" s="949"/>
      <c r="AB800" s="949"/>
      <c r="AC800" s="949"/>
      <c r="AD800" s="949"/>
      <c r="AE800" s="949"/>
      <c r="AF800" s="949"/>
      <c r="AG800" s="949"/>
      <c r="AH800" s="949"/>
      <c r="AI800" s="949"/>
      <c r="AJ800" s="949"/>
      <c r="AK800" s="949"/>
      <c r="AL800" s="949"/>
      <c r="AM800" s="953" t="s">
        <v>1177</v>
      </c>
      <c r="AN800" s="954"/>
      <c r="AO800" s="955"/>
      <c r="AP800" s="931"/>
      <c r="AQ800" s="956"/>
      <c r="AR800" s="957"/>
      <c r="AS800" s="931"/>
    </row>
    <row r="801" ht="15.75" customHeight="1">
      <c r="A801" s="931"/>
      <c r="B801" s="941" t="s">
        <v>3086</v>
      </c>
      <c r="C801" s="942" t="s">
        <v>3087</v>
      </c>
      <c r="D801" s="942" t="s">
        <v>3087</v>
      </c>
      <c r="E801" s="943" t="s">
        <v>3087</v>
      </c>
      <c r="F801" s="935"/>
      <c r="G801" s="944"/>
      <c r="H801" s="944"/>
      <c r="I801" s="946" t="s">
        <v>3088</v>
      </c>
      <c r="J801" s="970" t="s">
        <v>710</v>
      </c>
      <c r="K801" s="960" t="s">
        <v>707</v>
      </c>
      <c r="L801" s="949">
        <v>79.0</v>
      </c>
      <c r="M801" s="949">
        <v>115.0</v>
      </c>
      <c r="N801" s="949">
        <v>70.0</v>
      </c>
      <c r="O801" s="949">
        <v>125.0</v>
      </c>
      <c r="P801" s="949">
        <v>80.0</v>
      </c>
      <c r="Q801" s="949">
        <v>111.0</v>
      </c>
      <c r="R801" s="949">
        <v>258.0</v>
      </c>
      <c r="S801" s="949">
        <v>321.0</v>
      </c>
      <c r="T801" s="949">
        <v>353.0</v>
      </c>
      <c r="U801" s="949"/>
      <c r="V801" s="949"/>
      <c r="W801" s="949"/>
      <c r="X801" s="949"/>
      <c r="Y801" s="949"/>
      <c r="Z801" s="949"/>
      <c r="AA801" s="949"/>
      <c r="AB801" s="949"/>
      <c r="AC801" s="949"/>
      <c r="AD801" s="949"/>
      <c r="AE801" s="949"/>
      <c r="AF801" s="949"/>
      <c r="AG801" s="949"/>
      <c r="AH801" s="949"/>
      <c r="AI801" s="949"/>
      <c r="AJ801" s="949"/>
      <c r="AK801" s="949"/>
      <c r="AL801" s="949"/>
      <c r="AM801" s="953" t="s">
        <v>1641</v>
      </c>
      <c r="AN801" s="954"/>
      <c r="AO801" s="955" t="s">
        <v>1069</v>
      </c>
      <c r="AP801" s="931"/>
      <c r="AQ801" s="956"/>
      <c r="AR801" s="957"/>
      <c r="AS801" s="931"/>
    </row>
    <row r="802" ht="15.75" customHeight="1">
      <c r="A802" s="931"/>
      <c r="B802" s="941" t="s">
        <v>3089</v>
      </c>
      <c r="C802" s="942" t="s">
        <v>3090</v>
      </c>
      <c r="D802" s="942" t="s">
        <v>3090</v>
      </c>
      <c r="E802" s="943" t="s">
        <v>3090</v>
      </c>
      <c r="F802" s="935"/>
      <c r="G802" s="944"/>
      <c r="H802" s="944"/>
      <c r="I802" s="946" t="s">
        <v>3091</v>
      </c>
      <c r="J802" s="970" t="s">
        <v>710</v>
      </c>
      <c r="K802" s="960" t="s">
        <v>707</v>
      </c>
      <c r="L802" s="949">
        <v>79.0</v>
      </c>
      <c r="M802" s="949">
        <v>105.0</v>
      </c>
      <c r="N802" s="949">
        <v>70.0</v>
      </c>
      <c r="O802" s="949">
        <v>145.0</v>
      </c>
      <c r="P802" s="949">
        <v>80.0</v>
      </c>
      <c r="Q802" s="949">
        <v>101.0</v>
      </c>
      <c r="R802" s="949">
        <v>238.0</v>
      </c>
      <c r="S802" s="949">
        <v>301.0</v>
      </c>
      <c r="T802" s="949">
        <v>331.0</v>
      </c>
      <c r="U802" s="949"/>
      <c r="V802" s="949"/>
      <c r="W802" s="949"/>
      <c r="X802" s="949"/>
      <c r="Y802" s="949"/>
      <c r="Z802" s="949"/>
      <c r="AA802" s="949"/>
      <c r="AB802" s="949"/>
      <c r="AC802" s="949"/>
      <c r="AD802" s="949"/>
      <c r="AE802" s="949"/>
      <c r="AF802" s="949"/>
      <c r="AG802" s="949"/>
      <c r="AH802" s="949"/>
      <c r="AI802" s="949"/>
      <c r="AJ802" s="949"/>
      <c r="AK802" s="949"/>
      <c r="AL802" s="949"/>
      <c r="AM802" s="953" t="s">
        <v>1428</v>
      </c>
      <c r="AN802" s="954"/>
      <c r="AO802" s="955"/>
      <c r="AP802" s="931"/>
      <c r="AQ802" s="956"/>
      <c r="AR802" s="957"/>
      <c r="AS802" s="931"/>
    </row>
    <row r="803" ht="15.75" customHeight="1">
      <c r="A803" s="931"/>
      <c r="B803" s="941" t="s">
        <v>3092</v>
      </c>
      <c r="C803" s="942" t="s">
        <v>284</v>
      </c>
      <c r="D803" s="942" t="s">
        <v>284</v>
      </c>
      <c r="E803" s="943" t="s">
        <v>284</v>
      </c>
      <c r="F803" s="935"/>
      <c r="G803" s="944"/>
      <c r="H803" s="944"/>
      <c r="I803" s="946" t="s">
        <v>285</v>
      </c>
      <c r="J803" s="961" t="s">
        <v>716</v>
      </c>
      <c r="K803" s="958" t="s">
        <v>704</v>
      </c>
      <c r="L803" s="949">
        <v>100.0</v>
      </c>
      <c r="M803" s="949">
        <v>120.0</v>
      </c>
      <c r="N803" s="949">
        <v>100.0</v>
      </c>
      <c r="O803" s="949">
        <v>150.0</v>
      </c>
      <c r="P803" s="949">
        <v>120.0</v>
      </c>
      <c r="Q803" s="949">
        <v>90.0</v>
      </c>
      <c r="R803" s="949">
        <v>216.0</v>
      </c>
      <c r="S803" s="949">
        <v>279.0</v>
      </c>
      <c r="T803" s="949">
        <v>306.0</v>
      </c>
      <c r="U803" s="949"/>
      <c r="V803" s="949"/>
      <c r="W803" s="949"/>
      <c r="X803" s="949"/>
      <c r="Y803" s="949"/>
      <c r="Z803" s="949"/>
      <c r="AA803" s="949"/>
      <c r="AB803" s="949"/>
      <c r="AC803" s="949"/>
      <c r="AD803" s="949"/>
      <c r="AE803" s="949"/>
      <c r="AF803" s="949"/>
      <c r="AG803" s="949"/>
      <c r="AH803" s="949"/>
      <c r="AI803" s="949"/>
      <c r="AJ803" s="949"/>
      <c r="AK803" s="949"/>
      <c r="AL803" s="949"/>
      <c r="AM803" s="953" t="s">
        <v>3093</v>
      </c>
      <c r="AN803" s="954"/>
      <c r="AO803" s="955"/>
      <c r="AP803" s="931"/>
      <c r="AQ803" s="956"/>
      <c r="AR803" s="957"/>
      <c r="AS803" s="931"/>
    </row>
    <row r="804" ht="15.75" customHeight="1">
      <c r="A804" s="931"/>
      <c r="B804" s="941" t="s">
        <v>3094</v>
      </c>
      <c r="C804" s="942" t="s">
        <v>298</v>
      </c>
      <c r="D804" s="942" t="s">
        <v>298</v>
      </c>
      <c r="E804" s="943" t="s">
        <v>298</v>
      </c>
      <c r="F804" s="935"/>
      <c r="G804" s="944"/>
      <c r="H804" s="944"/>
      <c r="I804" s="946" t="s">
        <v>299</v>
      </c>
      <c r="J804" s="961" t="s">
        <v>716</v>
      </c>
      <c r="K804" s="970" t="s">
        <v>710</v>
      </c>
      <c r="L804" s="949">
        <v>100.0</v>
      </c>
      <c r="M804" s="949">
        <v>150.0</v>
      </c>
      <c r="N804" s="949">
        <v>120.0</v>
      </c>
      <c r="O804" s="949">
        <v>120.0</v>
      </c>
      <c r="P804" s="949">
        <v>100.0</v>
      </c>
      <c r="Q804" s="949">
        <v>90.0</v>
      </c>
      <c r="R804" s="949">
        <v>216.0</v>
      </c>
      <c r="S804" s="949">
        <v>279.0</v>
      </c>
      <c r="T804" s="949">
        <v>306.0</v>
      </c>
      <c r="U804" s="949"/>
      <c r="V804" s="949"/>
      <c r="W804" s="949"/>
      <c r="X804" s="949"/>
      <c r="Y804" s="949"/>
      <c r="Z804" s="949"/>
      <c r="AA804" s="949"/>
      <c r="AB804" s="949"/>
      <c r="AC804" s="949"/>
      <c r="AD804" s="949"/>
      <c r="AE804" s="949"/>
      <c r="AF804" s="949"/>
      <c r="AG804" s="949"/>
      <c r="AH804" s="949"/>
      <c r="AI804" s="949"/>
      <c r="AJ804" s="949"/>
      <c r="AK804" s="949"/>
      <c r="AL804" s="949"/>
      <c r="AM804" s="953" t="s">
        <v>3095</v>
      </c>
      <c r="AN804" s="954"/>
      <c r="AO804" s="955"/>
      <c r="AP804" s="931"/>
      <c r="AQ804" s="956"/>
      <c r="AR804" s="957"/>
      <c r="AS804" s="931"/>
    </row>
    <row r="805" ht="15.75" customHeight="1">
      <c r="A805" s="931"/>
      <c r="B805" s="941" t="s">
        <v>3096</v>
      </c>
      <c r="C805" s="942" t="s">
        <v>3097</v>
      </c>
      <c r="D805" s="942" t="s">
        <v>3097</v>
      </c>
      <c r="E805" s="943" t="s">
        <v>3097</v>
      </c>
      <c r="F805" s="935"/>
      <c r="G805" s="944"/>
      <c r="H805" s="944"/>
      <c r="I805" s="946" t="s">
        <v>3098</v>
      </c>
      <c r="J805" s="976" t="s">
        <v>711</v>
      </c>
      <c r="K805" s="960" t="s">
        <v>707</v>
      </c>
      <c r="L805" s="949">
        <v>89.0</v>
      </c>
      <c r="M805" s="949">
        <v>125.0</v>
      </c>
      <c r="N805" s="949">
        <v>90.0</v>
      </c>
      <c r="O805" s="949">
        <v>115.0</v>
      </c>
      <c r="P805" s="949">
        <v>80.0</v>
      </c>
      <c r="Q805" s="949">
        <v>101.0</v>
      </c>
      <c r="R805" s="949">
        <v>238.0</v>
      </c>
      <c r="S805" s="949">
        <v>301.0</v>
      </c>
      <c r="T805" s="949">
        <v>331.0</v>
      </c>
      <c r="U805" s="949"/>
      <c r="V805" s="949"/>
      <c r="W805" s="949"/>
      <c r="X805" s="949"/>
      <c r="Y805" s="949"/>
      <c r="Z805" s="949"/>
      <c r="AA805" s="949"/>
      <c r="AB805" s="949"/>
      <c r="AC805" s="949"/>
      <c r="AD805" s="949"/>
      <c r="AE805" s="949"/>
      <c r="AF805" s="949"/>
      <c r="AG805" s="949"/>
      <c r="AH805" s="949"/>
      <c r="AI805" s="949"/>
      <c r="AJ805" s="949"/>
      <c r="AK805" s="949"/>
      <c r="AL805" s="949"/>
      <c r="AM805" s="953" t="s">
        <v>1026</v>
      </c>
      <c r="AN805" s="954"/>
      <c r="AO805" s="955" t="s">
        <v>949</v>
      </c>
      <c r="AP805" s="931"/>
      <c r="AQ805" s="956"/>
      <c r="AR805" s="957"/>
      <c r="AS805" s="931"/>
    </row>
    <row r="806" ht="15.75" customHeight="1">
      <c r="A806" s="931"/>
      <c r="B806" s="941" t="s">
        <v>3099</v>
      </c>
      <c r="C806" s="942" t="s">
        <v>3100</v>
      </c>
      <c r="D806" s="942" t="s">
        <v>3100</v>
      </c>
      <c r="E806" s="943" t="s">
        <v>3100</v>
      </c>
      <c r="F806" s="935"/>
      <c r="G806" s="944"/>
      <c r="H806" s="944"/>
      <c r="I806" s="946" t="s">
        <v>3101</v>
      </c>
      <c r="J806" s="976" t="s">
        <v>711</v>
      </c>
      <c r="K806" s="960" t="s">
        <v>707</v>
      </c>
      <c r="L806" s="949">
        <v>89.0</v>
      </c>
      <c r="M806" s="949">
        <v>145.0</v>
      </c>
      <c r="N806" s="949">
        <v>90.0</v>
      </c>
      <c r="O806" s="949">
        <v>105.0</v>
      </c>
      <c r="P806" s="949">
        <v>80.0</v>
      </c>
      <c r="Q806" s="949">
        <v>91.0</v>
      </c>
      <c r="R806" s="949">
        <v>218.0</v>
      </c>
      <c r="S806" s="949">
        <v>281.0</v>
      </c>
      <c r="T806" s="949">
        <v>309.0</v>
      </c>
      <c r="U806" s="949"/>
      <c r="V806" s="949"/>
      <c r="W806" s="949"/>
      <c r="X806" s="949"/>
      <c r="Y806" s="949"/>
      <c r="Z806" s="949"/>
      <c r="AA806" s="949"/>
      <c r="AB806" s="949"/>
      <c r="AC806" s="949"/>
      <c r="AD806" s="949"/>
      <c r="AE806" s="949"/>
      <c r="AF806" s="949"/>
      <c r="AG806" s="949"/>
      <c r="AH806" s="949"/>
      <c r="AI806" s="949"/>
      <c r="AJ806" s="949"/>
      <c r="AK806" s="949"/>
      <c r="AL806" s="949"/>
      <c r="AM806" s="953" t="s">
        <v>854</v>
      </c>
      <c r="AN806" s="954"/>
      <c r="AO806" s="955"/>
      <c r="AP806" s="931"/>
      <c r="AQ806" s="956"/>
      <c r="AR806" s="957"/>
      <c r="AS806" s="931"/>
    </row>
    <row r="807" ht="15.75" customHeight="1">
      <c r="A807" s="931"/>
      <c r="B807" s="941" t="s">
        <v>3102</v>
      </c>
      <c r="C807" s="942" t="s">
        <v>3103</v>
      </c>
      <c r="D807" s="942" t="s">
        <v>3103</v>
      </c>
      <c r="E807" s="943" t="s">
        <v>3103</v>
      </c>
      <c r="F807" s="935"/>
      <c r="G807" s="944"/>
      <c r="H807" s="944"/>
      <c r="I807" s="946" t="s">
        <v>3104</v>
      </c>
      <c r="J807" s="961" t="s">
        <v>716</v>
      </c>
      <c r="K807" s="977" t="s">
        <v>714</v>
      </c>
      <c r="L807" s="949">
        <v>125.0</v>
      </c>
      <c r="M807" s="949">
        <v>130.0</v>
      </c>
      <c r="N807" s="949">
        <v>90.0</v>
      </c>
      <c r="O807" s="949">
        <v>130.0</v>
      </c>
      <c r="P807" s="949">
        <v>90.0</v>
      </c>
      <c r="Q807" s="949">
        <v>95.0</v>
      </c>
      <c r="R807" s="949">
        <v>226.0</v>
      </c>
      <c r="S807" s="949">
        <v>289.0</v>
      </c>
      <c r="T807" s="949">
        <v>317.0</v>
      </c>
      <c r="U807" s="949"/>
      <c r="V807" s="949"/>
      <c r="W807" s="949"/>
      <c r="X807" s="949"/>
      <c r="Y807" s="949"/>
      <c r="Z807" s="949"/>
      <c r="AA807" s="949"/>
      <c r="AB807" s="949"/>
      <c r="AC807" s="949"/>
      <c r="AD807" s="949"/>
      <c r="AE807" s="949"/>
      <c r="AF807" s="949"/>
      <c r="AG807" s="949"/>
      <c r="AH807" s="949"/>
      <c r="AI807" s="949"/>
      <c r="AJ807" s="949"/>
      <c r="AK807" s="949"/>
      <c r="AL807" s="949"/>
      <c r="AM807" s="953" t="s">
        <v>1451</v>
      </c>
      <c r="AN807" s="954"/>
      <c r="AO807" s="955"/>
      <c r="AP807" s="931"/>
      <c r="AQ807" s="956"/>
      <c r="AR807" s="957"/>
      <c r="AS807" s="931"/>
    </row>
    <row r="808" ht="15.75" customHeight="1">
      <c r="A808" s="931"/>
      <c r="B808" s="941" t="s">
        <v>3105</v>
      </c>
      <c r="C808" s="942" t="s">
        <v>242</v>
      </c>
      <c r="D808" s="942" t="s">
        <v>242</v>
      </c>
      <c r="E808" s="943" t="s">
        <v>242</v>
      </c>
      <c r="F808" s="935"/>
      <c r="G808" s="944"/>
      <c r="H808" s="944"/>
      <c r="I808" s="946" t="s">
        <v>243</v>
      </c>
      <c r="J808" s="961" t="s">
        <v>716</v>
      </c>
      <c r="K808" s="977" t="s">
        <v>714</v>
      </c>
      <c r="L808" s="949">
        <v>125.0</v>
      </c>
      <c r="M808" s="949">
        <v>170.0</v>
      </c>
      <c r="N808" s="949">
        <v>100.0</v>
      </c>
      <c r="O808" s="949">
        <v>120.0</v>
      </c>
      <c r="P808" s="949">
        <v>90.0</v>
      </c>
      <c r="Q808" s="949">
        <v>95.0</v>
      </c>
      <c r="R808" s="949">
        <v>226.0</v>
      </c>
      <c r="S808" s="949">
        <v>289.0</v>
      </c>
      <c r="T808" s="949">
        <v>317.0</v>
      </c>
      <c r="U808" s="949"/>
      <c r="V808" s="949"/>
      <c r="W808" s="949"/>
      <c r="X808" s="949"/>
      <c r="Y808" s="949"/>
      <c r="Z808" s="949"/>
      <c r="AA808" s="949"/>
      <c r="AB808" s="949"/>
      <c r="AC808" s="949"/>
      <c r="AD808" s="949"/>
      <c r="AE808" s="949"/>
      <c r="AF808" s="949"/>
      <c r="AG808" s="949"/>
      <c r="AH808" s="949"/>
      <c r="AI808" s="949"/>
      <c r="AJ808" s="949"/>
      <c r="AK808" s="949"/>
      <c r="AL808" s="949"/>
      <c r="AM808" s="953" t="s">
        <v>3095</v>
      </c>
      <c r="AN808" s="954"/>
      <c r="AO808" s="955"/>
      <c r="AP808" s="931"/>
      <c r="AQ808" s="956"/>
      <c r="AR808" s="957"/>
      <c r="AS808" s="931"/>
    </row>
    <row r="809" ht="15.75" customHeight="1">
      <c r="A809" s="963"/>
      <c r="B809" s="941" t="s">
        <v>3106</v>
      </c>
      <c r="C809" s="971" t="s">
        <v>247</v>
      </c>
      <c r="D809" s="971" t="s">
        <v>247</v>
      </c>
      <c r="E809" s="966" t="s">
        <v>247</v>
      </c>
      <c r="F809" s="935"/>
      <c r="G809" s="944"/>
      <c r="H809" s="944"/>
      <c r="I809" s="959" t="s">
        <v>248</v>
      </c>
      <c r="J809" s="1005" t="s">
        <v>716</v>
      </c>
      <c r="K809" s="998" t="s">
        <v>714</v>
      </c>
      <c r="L809" s="974">
        <v>125.0</v>
      </c>
      <c r="M809" s="974">
        <v>120.0</v>
      </c>
      <c r="N809" s="974">
        <v>90.0</v>
      </c>
      <c r="O809" s="974">
        <v>170.0</v>
      </c>
      <c r="P809" s="974">
        <v>100.0</v>
      </c>
      <c r="Q809" s="974">
        <v>95.0</v>
      </c>
      <c r="R809" s="949">
        <v>226.0</v>
      </c>
      <c r="S809" s="949">
        <v>289.0</v>
      </c>
      <c r="T809" s="949">
        <v>317.0</v>
      </c>
      <c r="U809" s="949"/>
      <c r="V809" s="949"/>
      <c r="W809" s="949"/>
      <c r="X809" s="949"/>
      <c r="Y809" s="949"/>
      <c r="Z809" s="949"/>
      <c r="AA809" s="949"/>
      <c r="AB809" s="949"/>
      <c r="AC809" s="949"/>
      <c r="AD809" s="949"/>
      <c r="AE809" s="949"/>
      <c r="AF809" s="949"/>
      <c r="AG809" s="949"/>
      <c r="AH809" s="949"/>
      <c r="AI809" s="949"/>
      <c r="AJ809" s="949"/>
      <c r="AK809" s="949"/>
      <c r="AL809" s="949"/>
      <c r="AM809" s="964" t="s">
        <v>3093</v>
      </c>
      <c r="AN809" s="973"/>
      <c r="AO809" s="965"/>
      <c r="AP809" s="931"/>
      <c r="AQ809" s="956"/>
      <c r="AR809" s="957"/>
      <c r="AS809" s="931"/>
    </row>
    <row r="810" ht="15.75" customHeight="1">
      <c r="A810" s="963"/>
      <c r="B810" s="941" t="s">
        <v>3107</v>
      </c>
      <c r="C810" s="971" t="s">
        <v>3108</v>
      </c>
      <c r="D810" s="971" t="s">
        <v>3108</v>
      </c>
      <c r="E810" s="966" t="s">
        <v>3108</v>
      </c>
      <c r="F810" s="935"/>
      <c r="G810" s="944"/>
      <c r="H810" s="944"/>
      <c r="I810" s="959" t="s">
        <v>3109</v>
      </c>
      <c r="J810" s="986" t="s">
        <v>706</v>
      </c>
      <c r="K810" s="987" t="s">
        <v>705</v>
      </c>
      <c r="L810" s="974">
        <v>91.0</v>
      </c>
      <c r="M810" s="974">
        <v>72.0</v>
      </c>
      <c r="N810" s="974">
        <v>90.0</v>
      </c>
      <c r="O810" s="974">
        <v>129.0</v>
      </c>
      <c r="P810" s="974">
        <v>90.0</v>
      </c>
      <c r="Q810" s="974">
        <v>108.0</v>
      </c>
      <c r="R810" s="949">
        <v>252.0</v>
      </c>
      <c r="S810" s="949">
        <v>315.0</v>
      </c>
      <c r="T810" s="949">
        <v>346.0</v>
      </c>
      <c r="U810" s="949"/>
      <c r="V810" s="949"/>
      <c r="W810" s="949"/>
      <c r="X810" s="949"/>
      <c r="Y810" s="949"/>
      <c r="Z810" s="949"/>
      <c r="AA810" s="949"/>
      <c r="AB810" s="949"/>
      <c r="AC810" s="949"/>
      <c r="AD810" s="949"/>
      <c r="AE810" s="949"/>
      <c r="AF810" s="949"/>
      <c r="AG810" s="949"/>
      <c r="AH810" s="949"/>
      <c r="AI810" s="949"/>
      <c r="AJ810" s="949"/>
      <c r="AK810" s="949"/>
      <c r="AL810" s="949"/>
      <c r="AM810" s="964" t="s">
        <v>1074</v>
      </c>
      <c r="AN810" s="973"/>
      <c r="AO810" s="965"/>
      <c r="AP810" s="931"/>
      <c r="AQ810" s="956"/>
      <c r="AR810" s="957"/>
      <c r="AS810" s="931"/>
    </row>
    <row r="811" ht="15.75" customHeight="1">
      <c r="A811" s="963"/>
      <c r="B811" s="941" t="s">
        <v>3110</v>
      </c>
      <c r="C811" s="971" t="s">
        <v>3111</v>
      </c>
      <c r="D811" s="971" t="s">
        <v>3111</v>
      </c>
      <c r="E811" s="966" t="s">
        <v>3111</v>
      </c>
      <c r="F811" s="935"/>
      <c r="G811" s="944"/>
      <c r="H811" s="944"/>
      <c r="I811" s="959" t="s">
        <v>3112</v>
      </c>
      <c r="J811" s="986" t="s">
        <v>706</v>
      </c>
      <c r="K811" s="987" t="s">
        <v>705</v>
      </c>
      <c r="L811" s="974">
        <v>91.0</v>
      </c>
      <c r="M811" s="974">
        <v>72.0</v>
      </c>
      <c r="N811" s="974">
        <v>90.0</v>
      </c>
      <c r="O811" s="974">
        <v>129.0</v>
      </c>
      <c r="P811" s="974">
        <v>90.0</v>
      </c>
      <c r="Q811" s="974">
        <v>108.0</v>
      </c>
      <c r="R811" s="949">
        <v>252.0</v>
      </c>
      <c r="S811" s="949">
        <v>315.0</v>
      </c>
      <c r="T811" s="949">
        <v>346.0</v>
      </c>
      <c r="U811" s="949"/>
      <c r="V811" s="949"/>
      <c r="W811" s="949"/>
      <c r="X811" s="949"/>
      <c r="Y811" s="949"/>
      <c r="Z811" s="949"/>
      <c r="AA811" s="949"/>
      <c r="AB811" s="949"/>
      <c r="AC811" s="949"/>
      <c r="AD811" s="949"/>
      <c r="AE811" s="949"/>
      <c r="AF811" s="949"/>
      <c r="AG811" s="949"/>
      <c r="AH811" s="949"/>
      <c r="AI811" s="949"/>
      <c r="AJ811" s="949"/>
      <c r="AK811" s="949"/>
      <c r="AL811" s="949"/>
      <c r="AM811" s="964" t="s">
        <v>1074</v>
      </c>
      <c r="AN811" s="973"/>
      <c r="AO811" s="965"/>
      <c r="AP811" s="931"/>
      <c r="AQ811" s="956"/>
      <c r="AR811" s="957"/>
      <c r="AS811" s="931"/>
    </row>
    <row r="812" ht="15.75" customHeight="1">
      <c r="A812" s="931"/>
      <c r="B812" s="941" t="s">
        <v>3113</v>
      </c>
      <c r="C812" s="942" t="s">
        <v>3114</v>
      </c>
      <c r="D812" s="942" t="s">
        <v>3114</v>
      </c>
      <c r="E812" s="943" t="s">
        <v>3114</v>
      </c>
      <c r="F812" s="935"/>
      <c r="G812" s="944"/>
      <c r="H812" s="944"/>
      <c r="I812" s="946" t="s">
        <v>3115</v>
      </c>
      <c r="J812" s="968" t="s">
        <v>703</v>
      </c>
      <c r="K812" s="975" t="s">
        <v>712</v>
      </c>
      <c r="L812" s="949">
        <v>100.0</v>
      </c>
      <c r="M812" s="949">
        <v>77.0</v>
      </c>
      <c r="N812" s="949">
        <v>77.0</v>
      </c>
      <c r="O812" s="949">
        <v>128.0</v>
      </c>
      <c r="P812" s="949">
        <v>128.0</v>
      </c>
      <c r="Q812" s="949">
        <v>90.0</v>
      </c>
      <c r="R812" s="949">
        <v>216.0</v>
      </c>
      <c r="S812" s="949">
        <v>279.0</v>
      </c>
      <c r="T812" s="949">
        <v>306.0</v>
      </c>
      <c r="U812" s="949"/>
      <c r="V812" s="949"/>
      <c r="W812" s="949"/>
      <c r="X812" s="949"/>
      <c r="Y812" s="949"/>
      <c r="Z812" s="949"/>
      <c r="AA812" s="949"/>
      <c r="AB812" s="949"/>
      <c r="AC812" s="949"/>
      <c r="AD812" s="949"/>
      <c r="AE812" s="949"/>
      <c r="AF812" s="949"/>
      <c r="AG812" s="949"/>
      <c r="AH812" s="949"/>
      <c r="AI812" s="949"/>
      <c r="AJ812" s="949"/>
      <c r="AK812" s="949"/>
      <c r="AL812" s="949"/>
      <c r="AM812" s="953" t="s">
        <v>1334</v>
      </c>
      <c r="AN812" s="954"/>
      <c r="AO812" s="955"/>
      <c r="AP812" s="931"/>
      <c r="AQ812" s="956"/>
      <c r="AR812" s="957"/>
      <c r="AS812" s="931"/>
    </row>
    <row r="813" ht="15.75" customHeight="1">
      <c r="A813" s="931"/>
      <c r="B813" s="941" t="s">
        <v>3116</v>
      </c>
      <c r="C813" s="942" t="s">
        <v>3117</v>
      </c>
      <c r="D813" s="942" t="s">
        <v>3117</v>
      </c>
      <c r="E813" s="943" t="s">
        <v>3117</v>
      </c>
      <c r="F813" s="935"/>
      <c r="G813" s="944"/>
      <c r="H813" s="944"/>
      <c r="I813" s="946" t="s">
        <v>3118</v>
      </c>
      <c r="J813" s="968" t="s">
        <v>703</v>
      </c>
      <c r="K813" s="988" t="s">
        <v>705</v>
      </c>
      <c r="L813" s="949">
        <v>100.0</v>
      </c>
      <c r="M813" s="949">
        <v>128.0</v>
      </c>
      <c r="N813" s="949">
        <v>90.0</v>
      </c>
      <c r="O813" s="949">
        <v>77.0</v>
      </c>
      <c r="P813" s="949">
        <v>77.0</v>
      </c>
      <c r="Q813" s="949">
        <v>128.0</v>
      </c>
      <c r="R813" s="949">
        <v>292.0</v>
      </c>
      <c r="S813" s="949">
        <v>355.0</v>
      </c>
      <c r="T813" s="949">
        <v>390.0</v>
      </c>
      <c r="U813" s="949"/>
      <c r="V813" s="949"/>
      <c r="W813" s="949"/>
      <c r="X813" s="949"/>
      <c r="Y813" s="949"/>
      <c r="Z813" s="949"/>
      <c r="AA813" s="949"/>
      <c r="AB813" s="949"/>
      <c r="AC813" s="949"/>
      <c r="AD813" s="949"/>
      <c r="AE813" s="949"/>
      <c r="AF813" s="949"/>
      <c r="AG813" s="949"/>
      <c r="AH813" s="949"/>
      <c r="AI813" s="949"/>
      <c r="AJ813" s="949"/>
      <c r="AK813" s="949"/>
      <c r="AL813" s="949"/>
      <c r="AM813" s="953" t="s">
        <v>1334</v>
      </c>
      <c r="AN813" s="954"/>
      <c r="AO813" s="955"/>
      <c r="AP813" s="931"/>
      <c r="AQ813" s="956"/>
      <c r="AR813" s="957"/>
      <c r="AS813" s="931"/>
    </row>
    <row r="814" ht="15.75" customHeight="1">
      <c r="A814" s="963"/>
      <c r="B814" s="941" t="s">
        <v>3119</v>
      </c>
      <c r="C814" s="942" t="s">
        <v>3120</v>
      </c>
      <c r="D814" s="942" t="s">
        <v>3120</v>
      </c>
      <c r="E814" s="943" t="s">
        <v>3120</v>
      </c>
      <c r="F814" s="935"/>
      <c r="G814" s="944"/>
      <c r="H814" s="944"/>
      <c r="I814" s="946" t="s">
        <v>3121</v>
      </c>
      <c r="J814" s="967" t="s">
        <v>715</v>
      </c>
      <c r="K814" s="978" t="s">
        <v>719</v>
      </c>
      <c r="L814" s="949">
        <v>71.0</v>
      </c>
      <c r="M814" s="949">
        <v>120.0</v>
      </c>
      <c r="N814" s="949">
        <v>95.0</v>
      </c>
      <c r="O814" s="949">
        <v>120.0</v>
      </c>
      <c r="P814" s="949">
        <v>95.0</v>
      </c>
      <c r="Q814" s="949">
        <v>99.0</v>
      </c>
      <c r="R814" s="949">
        <v>234.0</v>
      </c>
      <c r="S814" s="949">
        <v>297.0</v>
      </c>
      <c r="T814" s="949">
        <v>326.0</v>
      </c>
      <c r="U814" s="949"/>
      <c r="V814" s="949"/>
      <c r="W814" s="949"/>
      <c r="X814" s="949"/>
      <c r="Y814" s="949"/>
      <c r="Z814" s="949"/>
      <c r="AA814" s="949"/>
      <c r="AB814" s="949"/>
      <c r="AC814" s="949"/>
      <c r="AD814" s="949"/>
      <c r="AE814" s="949"/>
      <c r="AF814" s="949"/>
      <c r="AG814" s="949"/>
      <c r="AH814" s="949"/>
      <c r="AI814" s="949"/>
      <c r="AJ814" s="949"/>
      <c r="AK814" s="949"/>
      <c r="AL814" s="949"/>
      <c r="AM814" s="964" t="s">
        <v>1435</v>
      </c>
      <c r="AN814" s="973"/>
      <c r="AO814" s="965"/>
      <c r="AP814" s="931"/>
      <c r="AQ814" s="956"/>
      <c r="AR814" s="957"/>
      <c r="AS814" s="931"/>
    </row>
    <row r="815" ht="15.75" customHeight="1">
      <c r="A815" s="931"/>
      <c r="B815" s="941" t="s">
        <v>3119</v>
      </c>
      <c r="C815" s="942" t="s">
        <v>3122</v>
      </c>
      <c r="D815" s="942" t="s">
        <v>3122</v>
      </c>
      <c r="E815" s="943" t="s">
        <v>3122</v>
      </c>
      <c r="F815" s="935"/>
      <c r="G815" s="944"/>
      <c r="H815" s="944"/>
      <c r="I815" s="946" t="s">
        <v>3123</v>
      </c>
      <c r="J815" s="967" t="s">
        <v>715</v>
      </c>
      <c r="K815" s="978" t="s">
        <v>719</v>
      </c>
      <c r="L815" s="949">
        <v>71.0</v>
      </c>
      <c r="M815" s="949">
        <v>120.0</v>
      </c>
      <c r="N815" s="949">
        <v>95.0</v>
      </c>
      <c r="O815" s="949">
        <v>120.0</v>
      </c>
      <c r="P815" s="949">
        <v>95.0</v>
      </c>
      <c r="Q815" s="949">
        <v>99.0</v>
      </c>
      <c r="R815" s="949">
        <v>234.0</v>
      </c>
      <c r="S815" s="949">
        <v>297.0</v>
      </c>
      <c r="T815" s="949">
        <v>326.0</v>
      </c>
      <c r="U815" s="949"/>
      <c r="V815" s="949"/>
      <c r="W815" s="949"/>
      <c r="X815" s="949"/>
      <c r="Y815" s="949"/>
      <c r="Z815" s="949"/>
      <c r="AA815" s="949"/>
      <c r="AB815" s="949"/>
      <c r="AC815" s="949"/>
      <c r="AD815" s="949"/>
      <c r="AE815" s="949"/>
      <c r="AF815" s="949"/>
      <c r="AG815" s="949"/>
      <c r="AH815" s="949"/>
      <c r="AI815" s="949"/>
      <c r="AJ815" s="949"/>
      <c r="AK815" s="949"/>
      <c r="AL815" s="949"/>
      <c r="AM815" s="953" t="s">
        <v>1435</v>
      </c>
      <c r="AN815" s="954"/>
      <c r="AO815" s="955"/>
      <c r="AP815" s="931"/>
      <c r="AQ815" s="956"/>
      <c r="AR815" s="957"/>
      <c r="AS815" s="931"/>
    </row>
    <row r="816" ht="15.75" customHeight="1">
      <c r="A816" s="931"/>
      <c r="B816" s="941" t="s">
        <v>3119</v>
      </c>
      <c r="C816" s="942" t="s">
        <v>3124</v>
      </c>
      <c r="D816" s="942" t="s">
        <v>3124</v>
      </c>
      <c r="E816" s="943" t="s">
        <v>3124</v>
      </c>
      <c r="F816" s="935"/>
      <c r="G816" s="944"/>
      <c r="H816" s="944"/>
      <c r="I816" s="946" t="s">
        <v>3125</v>
      </c>
      <c r="J816" s="967" t="s">
        <v>715</v>
      </c>
      <c r="K816" s="978" t="s">
        <v>719</v>
      </c>
      <c r="L816" s="949">
        <v>71.0</v>
      </c>
      <c r="M816" s="949">
        <v>120.0</v>
      </c>
      <c r="N816" s="949">
        <v>95.0</v>
      </c>
      <c r="O816" s="949">
        <v>120.0</v>
      </c>
      <c r="P816" s="949">
        <v>95.0</v>
      </c>
      <c r="Q816" s="949">
        <v>99.0</v>
      </c>
      <c r="R816" s="949">
        <v>234.0</v>
      </c>
      <c r="S816" s="949">
        <v>297.0</v>
      </c>
      <c r="T816" s="949">
        <v>326.0</v>
      </c>
      <c r="U816" s="949"/>
      <c r="V816" s="949"/>
      <c r="W816" s="949"/>
      <c r="X816" s="949"/>
      <c r="Y816" s="949"/>
      <c r="Z816" s="949"/>
      <c r="AA816" s="949"/>
      <c r="AB816" s="949"/>
      <c r="AC816" s="949"/>
      <c r="AD816" s="949"/>
      <c r="AE816" s="949"/>
      <c r="AF816" s="949"/>
      <c r="AG816" s="949"/>
      <c r="AH816" s="949"/>
      <c r="AI816" s="949"/>
      <c r="AJ816" s="949"/>
      <c r="AK816" s="949"/>
      <c r="AL816" s="949"/>
      <c r="AM816" s="953" t="s">
        <v>1435</v>
      </c>
      <c r="AN816" s="954"/>
      <c r="AO816" s="955"/>
      <c r="AP816" s="931"/>
      <c r="AQ816" s="956"/>
      <c r="AR816" s="957"/>
      <c r="AS816" s="931"/>
    </row>
    <row r="817" ht="15.75" customHeight="1">
      <c r="A817" s="931"/>
      <c r="B817" s="941" t="s">
        <v>3119</v>
      </c>
      <c r="C817" s="942" t="s">
        <v>3126</v>
      </c>
      <c r="D817" s="942" t="s">
        <v>3126</v>
      </c>
      <c r="E817" s="943" t="s">
        <v>3126</v>
      </c>
      <c r="F817" s="935"/>
      <c r="G817" s="944"/>
      <c r="H817" s="944"/>
      <c r="I817" s="946" t="s">
        <v>3127</v>
      </c>
      <c r="J817" s="967" t="s">
        <v>715</v>
      </c>
      <c r="K817" s="978" t="s">
        <v>719</v>
      </c>
      <c r="L817" s="949">
        <v>71.0</v>
      </c>
      <c r="M817" s="949">
        <v>120.0</v>
      </c>
      <c r="N817" s="949">
        <v>95.0</v>
      </c>
      <c r="O817" s="949">
        <v>120.0</v>
      </c>
      <c r="P817" s="949">
        <v>95.0</v>
      </c>
      <c r="Q817" s="949">
        <v>99.0</v>
      </c>
      <c r="R817" s="949">
        <v>234.0</v>
      </c>
      <c r="S817" s="949">
        <v>297.0</v>
      </c>
      <c r="T817" s="949">
        <v>326.0</v>
      </c>
      <c r="U817" s="949"/>
      <c r="V817" s="949"/>
      <c r="W817" s="949"/>
      <c r="X817" s="949"/>
      <c r="Y817" s="949"/>
      <c r="Z817" s="949"/>
      <c r="AA817" s="949"/>
      <c r="AB817" s="949"/>
      <c r="AC817" s="949"/>
      <c r="AD817" s="949"/>
      <c r="AE817" s="949"/>
      <c r="AF817" s="949"/>
      <c r="AG817" s="949"/>
      <c r="AH817" s="949"/>
      <c r="AI817" s="949"/>
      <c r="AJ817" s="949"/>
      <c r="AK817" s="949"/>
      <c r="AL817" s="949"/>
      <c r="AM817" s="953" t="s">
        <v>1435</v>
      </c>
      <c r="AN817" s="954"/>
      <c r="AO817" s="955"/>
      <c r="AP817" s="931"/>
      <c r="AQ817" s="956"/>
      <c r="AR817" s="957"/>
      <c r="AS817" s="931"/>
    </row>
    <row r="818" ht="15.75" customHeight="1">
      <c r="A818" s="931"/>
      <c r="B818" s="941" t="s">
        <v>3119</v>
      </c>
      <c r="C818" s="942" t="s">
        <v>3128</v>
      </c>
      <c r="D818" s="942" t="s">
        <v>3128</v>
      </c>
      <c r="E818" s="943" t="s">
        <v>3128</v>
      </c>
      <c r="F818" s="935"/>
      <c r="G818" s="944"/>
      <c r="H818" s="944"/>
      <c r="I818" s="946" t="s">
        <v>3129</v>
      </c>
      <c r="J818" s="967" t="s">
        <v>715</v>
      </c>
      <c r="K818" s="978" t="s">
        <v>719</v>
      </c>
      <c r="L818" s="949">
        <v>71.0</v>
      </c>
      <c r="M818" s="949">
        <v>120.0</v>
      </c>
      <c r="N818" s="949">
        <v>95.0</v>
      </c>
      <c r="O818" s="949">
        <v>120.0</v>
      </c>
      <c r="P818" s="949">
        <v>95.0</v>
      </c>
      <c r="Q818" s="949">
        <v>99.0</v>
      </c>
      <c r="R818" s="949">
        <v>234.0</v>
      </c>
      <c r="S818" s="949">
        <v>297.0</v>
      </c>
      <c r="T818" s="949">
        <v>326.0</v>
      </c>
      <c r="U818" s="949"/>
      <c r="V818" s="949"/>
      <c r="W818" s="949"/>
      <c r="X818" s="949"/>
      <c r="Y818" s="949"/>
      <c r="Z818" s="949"/>
      <c r="AA818" s="949"/>
      <c r="AB818" s="949"/>
      <c r="AC818" s="949"/>
      <c r="AD818" s="949"/>
      <c r="AE818" s="949"/>
      <c r="AF818" s="949"/>
      <c r="AG818" s="949"/>
      <c r="AH818" s="949"/>
      <c r="AI818" s="949"/>
      <c r="AJ818" s="949"/>
      <c r="AK818" s="949"/>
      <c r="AL818" s="949"/>
      <c r="AM818" s="953" t="s">
        <v>1435</v>
      </c>
      <c r="AN818" s="954"/>
      <c r="AO818" s="955"/>
      <c r="AP818" s="931"/>
      <c r="AQ818" s="956"/>
      <c r="AR818" s="957"/>
      <c r="AS818" s="931"/>
    </row>
    <row r="819" ht="15.75" customHeight="1">
      <c r="A819" s="931"/>
      <c r="B819" s="941" t="s">
        <v>3130</v>
      </c>
      <c r="C819" s="942" t="s">
        <v>3131</v>
      </c>
      <c r="D819" s="942" t="s">
        <v>3131</v>
      </c>
      <c r="E819" s="943" t="s">
        <v>3131</v>
      </c>
      <c r="F819" s="935"/>
      <c r="G819" s="944"/>
      <c r="H819" s="944"/>
      <c r="I819" s="946" t="s">
        <v>3132</v>
      </c>
      <c r="J819" s="947" t="s">
        <v>708</v>
      </c>
      <c r="K819" s="954" t="s">
        <v>158</v>
      </c>
      <c r="L819" s="949">
        <v>56.0</v>
      </c>
      <c r="M819" s="949">
        <v>61.0</v>
      </c>
      <c r="N819" s="949">
        <v>65.0</v>
      </c>
      <c r="O819" s="949">
        <v>48.0</v>
      </c>
      <c r="P819" s="949">
        <v>45.0</v>
      </c>
      <c r="Q819" s="949">
        <v>38.0</v>
      </c>
      <c r="R819" s="949">
        <v>112.0</v>
      </c>
      <c r="S819" s="949">
        <v>175.0</v>
      </c>
      <c r="T819" s="949">
        <v>192.0</v>
      </c>
      <c r="U819" s="949"/>
      <c r="V819" s="949"/>
      <c r="W819" s="949"/>
      <c r="X819" s="949"/>
      <c r="Y819" s="949"/>
      <c r="Z819" s="949"/>
      <c r="AA819" s="949"/>
      <c r="AB819" s="949"/>
      <c r="AC819" s="949"/>
      <c r="AD819" s="949"/>
      <c r="AE819" s="949"/>
      <c r="AF819" s="949"/>
      <c r="AG819" s="949"/>
      <c r="AH819" s="949"/>
      <c r="AI819" s="949"/>
      <c r="AJ819" s="949"/>
      <c r="AK819" s="949"/>
      <c r="AL819" s="949"/>
      <c r="AM819" s="953" t="s">
        <v>735</v>
      </c>
      <c r="AN819" s="954"/>
      <c r="AO819" s="955" t="s">
        <v>3133</v>
      </c>
      <c r="AP819" s="931"/>
      <c r="AQ819" s="956"/>
      <c r="AR819" s="957"/>
      <c r="AS819" s="931"/>
    </row>
    <row r="820" ht="15.75" customHeight="1">
      <c r="A820" s="931"/>
      <c r="B820" s="941" t="s">
        <v>3134</v>
      </c>
      <c r="C820" s="942" t="s">
        <v>3135</v>
      </c>
      <c r="D820" s="942" t="s">
        <v>3135</v>
      </c>
      <c r="E820" s="943" t="s">
        <v>3135</v>
      </c>
      <c r="F820" s="935"/>
      <c r="G820" s="944"/>
      <c r="H820" s="944"/>
      <c r="I820" s="946" t="s">
        <v>3136</v>
      </c>
      <c r="J820" s="947" t="s">
        <v>708</v>
      </c>
      <c r="K820" s="954" t="s">
        <v>158</v>
      </c>
      <c r="L820" s="949">
        <v>61.0</v>
      </c>
      <c r="M820" s="949">
        <v>78.0</v>
      </c>
      <c r="N820" s="949">
        <v>95.0</v>
      </c>
      <c r="O820" s="949">
        <v>56.0</v>
      </c>
      <c r="P820" s="949">
        <v>58.0</v>
      </c>
      <c r="Q820" s="949">
        <v>57.0</v>
      </c>
      <c r="R820" s="949">
        <v>150.0</v>
      </c>
      <c r="S820" s="949">
        <v>213.0</v>
      </c>
      <c r="T820" s="949">
        <v>234.0</v>
      </c>
      <c r="U820" s="949"/>
      <c r="V820" s="949"/>
      <c r="W820" s="949"/>
      <c r="X820" s="949"/>
      <c r="Y820" s="949"/>
      <c r="Z820" s="949"/>
      <c r="AA820" s="949"/>
      <c r="AB820" s="949"/>
      <c r="AC820" s="949"/>
      <c r="AD820" s="949"/>
      <c r="AE820" s="949"/>
      <c r="AF820" s="949"/>
      <c r="AG820" s="949"/>
      <c r="AH820" s="949"/>
      <c r="AI820" s="949"/>
      <c r="AJ820" s="949"/>
      <c r="AK820" s="949"/>
      <c r="AL820" s="949"/>
      <c r="AM820" s="953" t="s">
        <v>735</v>
      </c>
      <c r="AN820" s="954"/>
      <c r="AO820" s="955" t="s">
        <v>3133</v>
      </c>
      <c r="AP820" s="931"/>
      <c r="AQ820" s="956"/>
      <c r="AR820" s="957"/>
      <c r="AS820" s="931"/>
    </row>
    <row r="821" ht="15.75" customHeight="1">
      <c r="A821" s="931"/>
      <c r="B821" s="941" t="s">
        <v>3137</v>
      </c>
      <c r="C821" s="942" t="s">
        <v>3138</v>
      </c>
      <c r="D821" s="942" t="s">
        <v>3138</v>
      </c>
      <c r="E821" s="943" t="s">
        <v>3138</v>
      </c>
      <c r="F821" s="935"/>
      <c r="G821" s="944"/>
      <c r="H821" s="944"/>
      <c r="I821" s="959" t="s">
        <v>3139</v>
      </c>
      <c r="J821" s="947" t="s">
        <v>708</v>
      </c>
      <c r="K821" s="988" t="s">
        <v>705</v>
      </c>
      <c r="L821" s="949">
        <v>88.0</v>
      </c>
      <c r="M821" s="949">
        <v>107.0</v>
      </c>
      <c r="N821" s="949">
        <v>122.0</v>
      </c>
      <c r="O821" s="949">
        <v>74.0</v>
      </c>
      <c r="P821" s="949">
        <v>75.0</v>
      </c>
      <c r="Q821" s="949">
        <v>64.0</v>
      </c>
      <c r="R821" s="949">
        <v>164.0</v>
      </c>
      <c r="S821" s="949">
        <v>227.0</v>
      </c>
      <c r="T821" s="949">
        <v>249.0</v>
      </c>
      <c r="U821" s="949"/>
      <c r="V821" s="949"/>
      <c r="W821" s="949"/>
      <c r="X821" s="949"/>
      <c r="Y821" s="949"/>
      <c r="Z821" s="949"/>
      <c r="AA821" s="949"/>
      <c r="AB821" s="949"/>
      <c r="AC821" s="949"/>
      <c r="AD821" s="949"/>
      <c r="AE821" s="949"/>
      <c r="AF821" s="949"/>
      <c r="AG821" s="949"/>
      <c r="AH821" s="949"/>
      <c r="AI821" s="949"/>
      <c r="AJ821" s="949"/>
      <c r="AK821" s="949"/>
      <c r="AL821" s="949"/>
      <c r="AM821" s="964" t="s">
        <v>735</v>
      </c>
      <c r="AN821" s="954"/>
      <c r="AO821" s="965" t="s">
        <v>3133</v>
      </c>
      <c r="AP821" s="931"/>
      <c r="AQ821" s="956"/>
      <c r="AR821" s="957"/>
      <c r="AS821" s="931"/>
    </row>
    <row r="822" ht="15.75" customHeight="1">
      <c r="A822" s="931"/>
      <c r="B822" s="941" t="s">
        <v>3140</v>
      </c>
      <c r="C822" s="942" t="s">
        <v>3141</v>
      </c>
      <c r="D822" s="942" t="s">
        <v>3141</v>
      </c>
      <c r="E822" s="966" t="s">
        <v>3141</v>
      </c>
      <c r="F822" s="935"/>
      <c r="G822" s="944"/>
      <c r="H822" s="944"/>
      <c r="I822" s="959" t="s">
        <v>733</v>
      </c>
      <c r="J822" s="958" t="s">
        <v>704</v>
      </c>
      <c r="K822" s="954" t="s">
        <v>158</v>
      </c>
      <c r="L822" s="949">
        <v>40.0</v>
      </c>
      <c r="M822" s="949">
        <v>45.0</v>
      </c>
      <c r="N822" s="949">
        <v>40.0</v>
      </c>
      <c r="O822" s="949">
        <v>62.0</v>
      </c>
      <c r="P822" s="949">
        <v>60.0</v>
      </c>
      <c r="Q822" s="949">
        <v>60.0</v>
      </c>
      <c r="R822" s="949">
        <v>156.0</v>
      </c>
      <c r="S822" s="949">
        <v>219.0</v>
      </c>
      <c r="T822" s="949">
        <v>240.0</v>
      </c>
      <c r="U822" s="949"/>
      <c r="V822" s="949"/>
      <c r="W822" s="949"/>
      <c r="X822" s="949"/>
      <c r="Y822" s="949"/>
      <c r="Z822" s="949"/>
      <c r="AA822" s="949"/>
      <c r="AB822" s="949"/>
      <c r="AC822" s="949"/>
      <c r="AD822" s="949"/>
      <c r="AE822" s="949"/>
      <c r="AF822" s="949"/>
      <c r="AG822" s="949"/>
      <c r="AH822" s="949"/>
      <c r="AI822" s="949"/>
      <c r="AJ822" s="949"/>
      <c r="AK822" s="949"/>
      <c r="AL822" s="949"/>
      <c r="AM822" s="964" t="s">
        <v>750</v>
      </c>
      <c r="AN822" s="954"/>
      <c r="AO822" s="965" t="s">
        <v>3142</v>
      </c>
      <c r="AP822" s="931"/>
      <c r="AQ822" s="956"/>
      <c r="AR822" s="957"/>
      <c r="AS822" s="931"/>
    </row>
    <row r="823" ht="15.75" customHeight="1">
      <c r="A823" s="931"/>
      <c r="B823" s="941" t="s">
        <v>3143</v>
      </c>
      <c r="C823" s="942" t="s">
        <v>3144</v>
      </c>
      <c r="D823" s="942" t="s">
        <v>3144</v>
      </c>
      <c r="E823" s="943" t="s">
        <v>3144</v>
      </c>
      <c r="F823" s="935"/>
      <c r="G823" s="944"/>
      <c r="H823" s="944"/>
      <c r="I823" s="946" t="s">
        <v>3145</v>
      </c>
      <c r="J823" s="958" t="s">
        <v>704</v>
      </c>
      <c r="K823" s="954" t="s">
        <v>158</v>
      </c>
      <c r="L823" s="949">
        <v>59.0</v>
      </c>
      <c r="M823" s="949">
        <v>59.0</v>
      </c>
      <c r="N823" s="949">
        <v>58.0</v>
      </c>
      <c r="O823" s="949">
        <v>90.0</v>
      </c>
      <c r="P823" s="949">
        <v>70.0</v>
      </c>
      <c r="Q823" s="949">
        <v>73.0</v>
      </c>
      <c r="R823" s="949">
        <v>182.0</v>
      </c>
      <c r="S823" s="949">
        <v>245.0</v>
      </c>
      <c r="T823" s="949">
        <v>269.0</v>
      </c>
      <c r="U823" s="949"/>
      <c r="V823" s="949"/>
      <c r="W823" s="949"/>
      <c r="X823" s="949"/>
      <c r="Y823" s="949"/>
      <c r="Z823" s="949"/>
      <c r="AA823" s="949"/>
      <c r="AB823" s="949"/>
      <c r="AC823" s="949"/>
      <c r="AD823" s="949"/>
      <c r="AE823" s="949"/>
      <c r="AF823" s="949"/>
      <c r="AG823" s="949"/>
      <c r="AH823" s="949"/>
      <c r="AI823" s="949"/>
      <c r="AJ823" s="949"/>
      <c r="AK823" s="949"/>
      <c r="AL823" s="949"/>
      <c r="AM823" s="953" t="s">
        <v>750</v>
      </c>
      <c r="AN823" s="954"/>
      <c r="AO823" s="955" t="s">
        <v>3142</v>
      </c>
      <c r="AP823" s="931"/>
      <c r="AQ823" s="956"/>
      <c r="AR823" s="957"/>
      <c r="AS823" s="931"/>
    </row>
    <row r="824" ht="15.75" customHeight="1">
      <c r="A824" s="931"/>
      <c r="B824" s="941" t="s">
        <v>3146</v>
      </c>
      <c r="C824" s="942" t="s">
        <v>3147</v>
      </c>
      <c r="D824" s="942" t="s">
        <v>3147</v>
      </c>
      <c r="E824" s="943" t="s">
        <v>3147</v>
      </c>
      <c r="F824" s="935"/>
      <c r="G824" s="944"/>
      <c r="H824" s="944"/>
      <c r="I824" s="946" t="s">
        <v>3148</v>
      </c>
      <c r="J824" s="958" t="s">
        <v>704</v>
      </c>
      <c r="K824" s="975" t="s">
        <v>712</v>
      </c>
      <c r="L824" s="949">
        <v>75.0</v>
      </c>
      <c r="M824" s="949">
        <v>69.0</v>
      </c>
      <c r="N824" s="949">
        <v>72.0</v>
      </c>
      <c r="O824" s="949">
        <v>114.0</v>
      </c>
      <c r="P824" s="949">
        <v>100.0</v>
      </c>
      <c r="Q824" s="949">
        <v>104.0</v>
      </c>
      <c r="R824" s="949">
        <v>244.0</v>
      </c>
      <c r="S824" s="949">
        <v>307.0</v>
      </c>
      <c r="T824" s="949">
        <v>337.0</v>
      </c>
      <c r="U824" s="949"/>
      <c r="V824" s="949"/>
      <c r="W824" s="949"/>
      <c r="X824" s="949"/>
      <c r="Y824" s="949"/>
      <c r="Z824" s="949"/>
      <c r="AA824" s="949"/>
      <c r="AB824" s="949"/>
      <c r="AC824" s="949"/>
      <c r="AD824" s="949"/>
      <c r="AE824" s="949"/>
      <c r="AF824" s="949"/>
      <c r="AG824" s="949"/>
      <c r="AH824" s="949"/>
      <c r="AI824" s="949"/>
      <c r="AJ824" s="949"/>
      <c r="AK824" s="949"/>
      <c r="AL824" s="949"/>
      <c r="AM824" s="953" t="s">
        <v>750</v>
      </c>
      <c r="AN824" s="954"/>
      <c r="AO824" s="955" t="s">
        <v>3142</v>
      </c>
      <c r="AP824" s="931"/>
      <c r="AQ824" s="956"/>
      <c r="AR824" s="957"/>
      <c r="AS824" s="931"/>
    </row>
    <row r="825" ht="15.75" customHeight="1">
      <c r="A825" s="931"/>
      <c r="B825" s="941" t="s">
        <v>3149</v>
      </c>
      <c r="C825" s="942" t="s">
        <v>3150</v>
      </c>
      <c r="D825" s="942" t="s">
        <v>3150</v>
      </c>
      <c r="E825" s="943" t="s">
        <v>3150</v>
      </c>
      <c r="F825" s="935"/>
      <c r="G825" s="944"/>
      <c r="H825" s="944"/>
      <c r="I825" s="946" t="s">
        <v>3151</v>
      </c>
      <c r="J825" s="962" t="s">
        <v>706</v>
      </c>
      <c r="K825" s="954" t="s">
        <v>158</v>
      </c>
      <c r="L825" s="949">
        <v>41.0</v>
      </c>
      <c r="M825" s="949">
        <v>56.0</v>
      </c>
      <c r="N825" s="949">
        <v>40.0</v>
      </c>
      <c r="O825" s="949">
        <v>62.0</v>
      </c>
      <c r="P825" s="949">
        <v>44.0</v>
      </c>
      <c r="Q825" s="949">
        <v>71.0</v>
      </c>
      <c r="R825" s="949">
        <v>178.0</v>
      </c>
      <c r="S825" s="949">
        <v>241.0</v>
      </c>
      <c r="T825" s="949">
        <v>265.0</v>
      </c>
      <c r="U825" s="949"/>
      <c r="V825" s="949"/>
      <c r="W825" s="949"/>
      <c r="X825" s="949"/>
      <c r="Y825" s="949"/>
      <c r="Z825" s="949"/>
      <c r="AA825" s="949"/>
      <c r="AB825" s="949"/>
      <c r="AC825" s="949"/>
      <c r="AD825" s="949"/>
      <c r="AE825" s="949"/>
      <c r="AF825" s="949"/>
      <c r="AG825" s="949"/>
      <c r="AH825" s="949"/>
      <c r="AI825" s="949"/>
      <c r="AJ825" s="949"/>
      <c r="AK825" s="949"/>
      <c r="AL825" s="949"/>
      <c r="AM825" s="953" t="s">
        <v>771</v>
      </c>
      <c r="AN825" s="954"/>
      <c r="AO825" s="955" t="s">
        <v>2146</v>
      </c>
      <c r="AP825" s="931"/>
      <c r="AQ825" s="956"/>
      <c r="AR825" s="957"/>
      <c r="AS825" s="931"/>
    </row>
    <row r="826" ht="15.75" customHeight="1">
      <c r="A826" s="931"/>
      <c r="B826" s="941" t="s">
        <v>3152</v>
      </c>
      <c r="C826" s="942" t="s">
        <v>3153</v>
      </c>
      <c r="D826" s="942" t="s">
        <v>3153</v>
      </c>
      <c r="E826" s="943" t="s">
        <v>3153</v>
      </c>
      <c r="F826" s="935"/>
      <c r="G826" s="944"/>
      <c r="H826" s="944"/>
      <c r="I826" s="946" t="s">
        <v>3154</v>
      </c>
      <c r="J826" s="962" t="s">
        <v>706</v>
      </c>
      <c r="K826" s="954" t="s">
        <v>158</v>
      </c>
      <c r="L826" s="949">
        <v>54.0</v>
      </c>
      <c r="M826" s="949">
        <v>63.0</v>
      </c>
      <c r="N826" s="949">
        <v>52.0</v>
      </c>
      <c r="O826" s="949">
        <v>83.0</v>
      </c>
      <c r="P826" s="949">
        <v>56.0</v>
      </c>
      <c r="Q826" s="949">
        <v>97.0</v>
      </c>
      <c r="R826" s="949">
        <v>230.0</v>
      </c>
      <c r="S826" s="949">
        <v>293.0</v>
      </c>
      <c r="T826" s="949">
        <v>322.0</v>
      </c>
      <c r="U826" s="949"/>
      <c r="V826" s="949"/>
      <c r="W826" s="949"/>
      <c r="X826" s="949"/>
      <c r="Y826" s="949"/>
      <c r="Z826" s="949"/>
      <c r="AA826" s="949"/>
      <c r="AB826" s="949"/>
      <c r="AC826" s="949"/>
      <c r="AD826" s="949"/>
      <c r="AE826" s="949"/>
      <c r="AF826" s="949"/>
      <c r="AG826" s="949"/>
      <c r="AH826" s="949"/>
      <c r="AI826" s="949"/>
      <c r="AJ826" s="949"/>
      <c r="AK826" s="949"/>
      <c r="AL826" s="949"/>
      <c r="AM826" s="953" t="s">
        <v>771</v>
      </c>
      <c r="AN826" s="954"/>
      <c r="AO826" s="955" t="s">
        <v>2146</v>
      </c>
      <c r="AP826" s="931"/>
      <c r="AQ826" s="956"/>
      <c r="AR826" s="957"/>
      <c r="AS826" s="931"/>
    </row>
    <row r="827" ht="15.75" customHeight="1">
      <c r="A827" s="931"/>
      <c r="B827" s="941" t="s">
        <v>3155</v>
      </c>
      <c r="C827" s="942" t="s">
        <v>3156</v>
      </c>
      <c r="D827" s="942" t="s">
        <v>3156</v>
      </c>
      <c r="E827" s="943" t="s">
        <v>3156</v>
      </c>
      <c r="F827" s="935"/>
      <c r="G827" s="944"/>
      <c r="H827" s="944"/>
      <c r="I827" s="946" t="s">
        <v>3157</v>
      </c>
      <c r="J827" s="962" t="s">
        <v>706</v>
      </c>
      <c r="K827" s="969" t="s">
        <v>718</v>
      </c>
      <c r="L827" s="949">
        <v>72.0</v>
      </c>
      <c r="M827" s="949">
        <v>95.0</v>
      </c>
      <c r="N827" s="949">
        <v>67.0</v>
      </c>
      <c r="O827" s="949">
        <v>103.0</v>
      </c>
      <c r="P827" s="949">
        <v>71.0</v>
      </c>
      <c r="Q827" s="949">
        <v>122.0</v>
      </c>
      <c r="R827" s="949">
        <v>280.0</v>
      </c>
      <c r="S827" s="949">
        <v>343.0</v>
      </c>
      <c r="T827" s="949">
        <v>377.0</v>
      </c>
      <c r="U827" s="949"/>
      <c r="V827" s="949"/>
      <c r="W827" s="949"/>
      <c r="X827" s="949"/>
      <c r="Y827" s="949"/>
      <c r="Z827" s="949"/>
      <c r="AA827" s="949"/>
      <c r="AB827" s="949"/>
      <c r="AC827" s="949"/>
      <c r="AD827" s="949"/>
      <c r="AE827" s="949"/>
      <c r="AF827" s="949"/>
      <c r="AG827" s="949"/>
      <c r="AH827" s="949"/>
      <c r="AI827" s="949"/>
      <c r="AJ827" s="949"/>
      <c r="AK827" s="949"/>
      <c r="AL827" s="949"/>
      <c r="AM827" s="953" t="s">
        <v>771</v>
      </c>
      <c r="AN827" s="954"/>
      <c r="AO827" s="955" t="s">
        <v>2146</v>
      </c>
      <c r="AP827" s="931"/>
      <c r="AQ827" s="956"/>
      <c r="AR827" s="957"/>
      <c r="AS827" s="931"/>
    </row>
    <row r="828" ht="15.75" customHeight="1">
      <c r="A828" s="931"/>
      <c r="B828" s="941" t="s">
        <v>3158</v>
      </c>
      <c r="C828" s="942" t="s">
        <v>3159</v>
      </c>
      <c r="D828" s="942" t="s">
        <v>3159</v>
      </c>
      <c r="E828" s="943" t="s">
        <v>3159</v>
      </c>
      <c r="F828" s="935"/>
      <c r="G828" s="944"/>
      <c r="H828" s="944"/>
      <c r="I828" s="959" t="s">
        <v>3160</v>
      </c>
      <c r="J828" s="962" t="s">
        <v>706</v>
      </c>
      <c r="K828" s="969" t="s">
        <v>718</v>
      </c>
      <c r="L828" s="949">
        <v>72.0</v>
      </c>
      <c r="M828" s="949">
        <v>145.0</v>
      </c>
      <c r="N828" s="949">
        <v>67.0</v>
      </c>
      <c r="O828" s="949">
        <v>153.0</v>
      </c>
      <c r="P828" s="949">
        <v>71.0</v>
      </c>
      <c r="Q828" s="949">
        <v>132.0</v>
      </c>
      <c r="R828" s="949">
        <v>300.0</v>
      </c>
      <c r="S828" s="949">
        <v>363.0</v>
      </c>
      <c r="T828" s="949">
        <v>399.0</v>
      </c>
      <c r="U828" s="949"/>
      <c r="V828" s="949"/>
      <c r="W828" s="949"/>
      <c r="X828" s="949"/>
      <c r="Y828" s="949"/>
      <c r="Z828" s="949"/>
      <c r="AA828" s="949"/>
      <c r="AB828" s="949"/>
      <c r="AC828" s="949"/>
      <c r="AD828" s="949"/>
      <c r="AE828" s="949"/>
      <c r="AF828" s="949"/>
      <c r="AG828" s="949"/>
      <c r="AH828" s="949"/>
      <c r="AI828" s="949"/>
      <c r="AJ828" s="949"/>
      <c r="AK828" s="949"/>
      <c r="AL828" s="949"/>
      <c r="AM828" s="953" t="s">
        <v>3161</v>
      </c>
      <c r="AN828" s="954"/>
      <c r="AO828" s="955"/>
      <c r="AP828" s="931"/>
      <c r="AQ828" s="956"/>
      <c r="AR828" s="957"/>
      <c r="AS828" s="931"/>
    </row>
    <row r="829" ht="15.75" customHeight="1">
      <c r="A829" s="931"/>
      <c r="B829" s="941" t="s">
        <v>3162</v>
      </c>
      <c r="C829" s="942" t="s">
        <v>3163</v>
      </c>
      <c r="D829" s="942" t="s">
        <v>3163</v>
      </c>
      <c r="E829" s="966" t="s">
        <v>3163</v>
      </c>
      <c r="F829" s="992"/>
      <c r="G829" s="944"/>
      <c r="H829" s="944"/>
      <c r="I829" s="959" t="s">
        <v>3164</v>
      </c>
      <c r="J829" s="968" t="s">
        <v>703</v>
      </c>
      <c r="K829" s="954" t="s">
        <v>158</v>
      </c>
      <c r="L829" s="949">
        <v>38.0</v>
      </c>
      <c r="M829" s="949">
        <v>36.0</v>
      </c>
      <c r="N829" s="949">
        <v>38.0</v>
      </c>
      <c r="O829" s="949">
        <v>32.0</v>
      </c>
      <c r="P829" s="949">
        <v>36.0</v>
      </c>
      <c r="Q829" s="949">
        <v>57.0</v>
      </c>
      <c r="R829" s="949">
        <v>150.0</v>
      </c>
      <c r="S829" s="949">
        <v>213.0</v>
      </c>
      <c r="T829" s="949">
        <v>234.0</v>
      </c>
      <c r="U829" s="949"/>
      <c r="V829" s="949"/>
      <c r="W829" s="949"/>
      <c r="X829" s="949"/>
      <c r="Y829" s="949"/>
      <c r="Z829" s="949"/>
      <c r="AA829" s="949"/>
      <c r="AB829" s="949"/>
      <c r="AC829" s="949"/>
      <c r="AD829" s="949"/>
      <c r="AE829" s="949"/>
      <c r="AF829" s="949"/>
      <c r="AG829" s="949"/>
      <c r="AH829" s="949"/>
      <c r="AI829" s="949"/>
      <c r="AJ829" s="949"/>
      <c r="AK829" s="949"/>
      <c r="AL829" s="949"/>
      <c r="AM829" s="953" t="s">
        <v>1040</v>
      </c>
      <c r="AN829" s="954" t="s">
        <v>3165</v>
      </c>
      <c r="AO829" s="955" t="s">
        <v>1602</v>
      </c>
      <c r="AP829" s="931"/>
      <c r="AQ829" s="956"/>
      <c r="AR829" s="957"/>
      <c r="AS829" s="931"/>
    </row>
    <row r="830" ht="15.75" customHeight="1">
      <c r="A830" s="931"/>
      <c r="B830" s="941" t="s">
        <v>3166</v>
      </c>
      <c r="C830" s="942" t="s">
        <v>3167</v>
      </c>
      <c r="D830" s="942" t="s">
        <v>3167</v>
      </c>
      <c r="E830" s="943" t="s">
        <v>3167</v>
      </c>
      <c r="F830" s="935"/>
      <c r="G830" s="944"/>
      <c r="H830" s="944"/>
      <c r="I830" s="959" t="s">
        <v>3168</v>
      </c>
      <c r="J830" s="968" t="s">
        <v>703</v>
      </c>
      <c r="K830" s="976" t="s">
        <v>711</v>
      </c>
      <c r="L830" s="949">
        <v>85.0</v>
      </c>
      <c r="M830" s="949">
        <v>56.0</v>
      </c>
      <c r="N830" s="949">
        <v>77.0</v>
      </c>
      <c r="O830" s="949">
        <v>50.0</v>
      </c>
      <c r="P830" s="949">
        <v>77.0</v>
      </c>
      <c r="Q830" s="949">
        <v>78.0</v>
      </c>
      <c r="R830" s="949">
        <v>192.0</v>
      </c>
      <c r="S830" s="949">
        <v>255.0</v>
      </c>
      <c r="T830" s="949">
        <v>280.0</v>
      </c>
      <c r="U830" s="949"/>
      <c r="V830" s="949"/>
      <c r="W830" s="949"/>
      <c r="X830" s="949"/>
      <c r="Y830" s="949"/>
      <c r="Z830" s="949"/>
      <c r="AA830" s="949"/>
      <c r="AB830" s="949"/>
      <c r="AC830" s="949"/>
      <c r="AD830" s="949"/>
      <c r="AE830" s="949"/>
      <c r="AF830" s="949"/>
      <c r="AG830" s="949"/>
      <c r="AH830" s="949"/>
      <c r="AI830" s="949"/>
      <c r="AJ830" s="949"/>
      <c r="AK830" s="949"/>
      <c r="AL830" s="949"/>
      <c r="AM830" s="953" t="s">
        <v>1040</v>
      </c>
      <c r="AN830" s="954" t="s">
        <v>3165</v>
      </c>
      <c r="AO830" s="955" t="s">
        <v>1602</v>
      </c>
      <c r="AP830" s="931"/>
      <c r="AQ830" s="956"/>
      <c r="AR830" s="957"/>
      <c r="AS830" s="931"/>
    </row>
    <row r="831" ht="15.75" customHeight="1">
      <c r="A831" s="931"/>
      <c r="B831" s="941" t="s">
        <v>3169</v>
      </c>
      <c r="C831" s="942" t="s">
        <v>3170</v>
      </c>
      <c r="D831" s="942" t="s">
        <v>3170</v>
      </c>
      <c r="E831" s="943" t="s">
        <v>3170</v>
      </c>
      <c r="F831" s="935"/>
      <c r="G831" s="944"/>
      <c r="H831" s="944"/>
      <c r="I831" s="959" t="s">
        <v>490</v>
      </c>
      <c r="J831" s="968" t="s">
        <v>703</v>
      </c>
      <c r="K831" s="960" t="s">
        <v>707</v>
      </c>
      <c r="L831" s="949">
        <v>45.0</v>
      </c>
      <c r="M831" s="949">
        <v>50.0</v>
      </c>
      <c r="N831" s="949">
        <v>43.0</v>
      </c>
      <c r="O831" s="949">
        <v>40.0</v>
      </c>
      <c r="P831" s="949">
        <v>38.0</v>
      </c>
      <c r="Q831" s="949">
        <v>62.0</v>
      </c>
      <c r="R831" s="949">
        <v>160.0</v>
      </c>
      <c r="S831" s="949">
        <v>223.0</v>
      </c>
      <c r="T831" s="949">
        <v>245.0</v>
      </c>
      <c r="U831" s="949"/>
      <c r="V831" s="949"/>
      <c r="W831" s="949"/>
      <c r="X831" s="949"/>
      <c r="Y831" s="949"/>
      <c r="Z831" s="949"/>
      <c r="AA831" s="949"/>
      <c r="AB831" s="949"/>
      <c r="AC831" s="949"/>
      <c r="AD831" s="949"/>
      <c r="AE831" s="949"/>
      <c r="AF831" s="949"/>
      <c r="AG831" s="949"/>
      <c r="AH831" s="949"/>
      <c r="AI831" s="949"/>
      <c r="AJ831" s="949"/>
      <c r="AK831" s="949"/>
      <c r="AL831" s="949"/>
      <c r="AM831" s="953" t="s">
        <v>817</v>
      </c>
      <c r="AN831" s="954"/>
      <c r="AO831" s="955" t="s">
        <v>3171</v>
      </c>
      <c r="AP831" s="931"/>
      <c r="AQ831" s="956"/>
      <c r="AR831" s="957"/>
      <c r="AS831" s="931"/>
    </row>
    <row r="832" ht="15.75" customHeight="1">
      <c r="A832" s="931"/>
      <c r="B832" s="941" t="s">
        <v>3172</v>
      </c>
      <c r="C832" s="942" t="s">
        <v>3173</v>
      </c>
      <c r="D832" s="942" t="s">
        <v>3173</v>
      </c>
      <c r="E832" s="943" t="s">
        <v>3173</v>
      </c>
      <c r="F832" s="935"/>
      <c r="G832" s="944"/>
      <c r="H832" s="944"/>
      <c r="I832" s="959" t="s">
        <v>445</v>
      </c>
      <c r="J832" s="958" t="s">
        <v>704</v>
      </c>
      <c r="K832" s="960" t="s">
        <v>707</v>
      </c>
      <c r="L832" s="949">
        <v>62.0</v>
      </c>
      <c r="M832" s="949">
        <v>73.0</v>
      </c>
      <c r="N832" s="949">
        <v>55.0</v>
      </c>
      <c r="O832" s="949">
        <v>56.0</v>
      </c>
      <c r="P832" s="949">
        <v>52.0</v>
      </c>
      <c r="Q832" s="949">
        <v>84.0</v>
      </c>
      <c r="R832" s="949">
        <v>204.0</v>
      </c>
      <c r="S832" s="949">
        <v>267.0</v>
      </c>
      <c r="T832" s="949">
        <v>293.0</v>
      </c>
      <c r="U832" s="949"/>
      <c r="V832" s="949"/>
      <c r="W832" s="949"/>
      <c r="X832" s="949"/>
      <c r="Y832" s="949"/>
      <c r="Z832" s="949"/>
      <c r="AA832" s="949"/>
      <c r="AB832" s="949"/>
      <c r="AC832" s="949"/>
      <c r="AD832" s="949"/>
      <c r="AE832" s="949"/>
      <c r="AF832" s="949"/>
      <c r="AG832" s="949"/>
      <c r="AH832" s="949"/>
      <c r="AI832" s="949"/>
      <c r="AJ832" s="949"/>
      <c r="AK832" s="949"/>
      <c r="AL832" s="949"/>
      <c r="AM832" s="953" t="s">
        <v>1159</v>
      </c>
      <c r="AN832" s="954"/>
      <c r="AO832" s="955" t="s">
        <v>3171</v>
      </c>
      <c r="AP832" s="931"/>
      <c r="AQ832" s="956"/>
      <c r="AR832" s="957"/>
      <c r="AS832" s="931"/>
    </row>
    <row r="833" ht="15.75" customHeight="1">
      <c r="A833" s="931"/>
      <c r="B833" s="941" t="s">
        <v>3174</v>
      </c>
      <c r="C833" s="942" t="s">
        <v>263</v>
      </c>
      <c r="D833" s="942" t="s">
        <v>263</v>
      </c>
      <c r="E833" s="943" t="s">
        <v>263</v>
      </c>
      <c r="F833" s="935"/>
      <c r="G833" s="944"/>
      <c r="H833" s="944"/>
      <c r="I833" s="959" t="s">
        <v>101</v>
      </c>
      <c r="J833" s="958" t="s">
        <v>704</v>
      </c>
      <c r="K833" s="960" t="s">
        <v>707</v>
      </c>
      <c r="L833" s="949">
        <v>78.0</v>
      </c>
      <c r="M833" s="949">
        <v>81.0</v>
      </c>
      <c r="N833" s="949">
        <v>71.0</v>
      </c>
      <c r="O833" s="949">
        <v>74.0</v>
      </c>
      <c r="P833" s="949">
        <v>69.0</v>
      </c>
      <c r="Q833" s="949">
        <v>126.0</v>
      </c>
      <c r="R833" s="949">
        <v>288.0</v>
      </c>
      <c r="S833" s="949">
        <v>351.0</v>
      </c>
      <c r="T833" s="949">
        <v>386.0</v>
      </c>
      <c r="U833" s="949"/>
      <c r="V833" s="949"/>
      <c r="W833" s="949"/>
      <c r="X833" s="949"/>
      <c r="Y833" s="949"/>
      <c r="Z833" s="949"/>
      <c r="AA833" s="949"/>
      <c r="AB833" s="949"/>
      <c r="AC833" s="949"/>
      <c r="AD833" s="949"/>
      <c r="AE833" s="949"/>
      <c r="AF833" s="949"/>
      <c r="AG833" s="949"/>
      <c r="AH833" s="949"/>
      <c r="AI833" s="949"/>
      <c r="AJ833" s="949"/>
      <c r="AK833" s="949"/>
      <c r="AL833" s="949"/>
      <c r="AM833" s="953" t="s">
        <v>1159</v>
      </c>
      <c r="AN833" s="954"/>
      <c r="AO833" s="955" t="s">
        <v>3171</v>
      </c>
      <c r="AP833" s="931"/>
      <c r="AQ833" s="956"/>
      <c r="AR833" s="957"/>
      <c r="AS833" s="931"/>
    </row>
    <row r="834" ht="15.75" customHeight="1">
      <c r="A834" s="931"/>
      <c r="B834" s="941" t="s">
        <v>3175</v>
      </c>
      <c r="C834" s="942" t="s">
        <v>3176</v>
      </c>
      <c r="D834" s="942" t="s">
        <v>3176</v>
      </c>
      <c r="E834" s="943" t="s">
        <v>3176</v>
      </c>
      <c r="F834" s="935"/>
      <c r="G834" s="944"/>
      <c r="H834" s="944"/>
      <c r="I834" s="959" t="s">
        <v>630</v>
      </c>
      <c r="J834" s="967" t="s">
        <v>715</v>
      </c>
      <c r="K834" s="954" t="s">
        <v>158</v>
      </c>
      <c r="L834" s="949">
        <v>38.0</v>
      </c>
      <c r="M834" s="949">
        <v>35.0</v>
      </c>
      <c r="N834" s="949">
        <v>40.0</v>
      </c>
      <c r="O834" s="949">
        <v>27.0</v>
      </c>
      <c r="P834" s="949">
        <v>25.0</v>
      </c>
      <c r="Q834" s="949">
        <v>35.0</v>
      </c>
      <c r="R834" s="949">
        <v>106.0</v>
      </c>
      <c r="S834" s="949">
        <v>169.0</v>
      </c>
      <c r="T834" s="949">
        <v>185.0</v>
      </c>
      <c r="U834" s="949"/>
      <c r="V834" s="949"/>
      <c r="W834" s="949"/>
      <c r="X834" s="949"/>
      <c r="Y834" s="949"/>
      <c r="Z834" s="949"/>
      <c r="AA834" s="949"/>
      <c r="AB834" s="949"/>
      <c r="AC834" s="949"/>
      <c r="AD834" s="949"/>
      <c r="AE834" s="949"/>
      <c r="AF834" s="949"/>
      <c r="AG834" s="949"/>
      <c r="AH834" s="949"/>
      <c r="AI834" s="949"/>
      <c r="AJ834" s="949"/>
      <c r="AK834" s="949"/>
      <c r="AL834" s="949"/>
      <c r="AM834" s="953" t="s">
        <v>786</v>
      </c>
      <c r="AN834" s="954" t="s">
        <v>795</v>
      </c>
      <c r="AO834" s="955" t="s">
        <v>964</v>
      </c>
      <c r="AP834" s="931"/>
      <c r="AQ834" s="956"/>
      <c r="AR834" s="957"/>
      <c r="AS834" s="931"/>
    </row>
    <row r="835" ht="15.75" customHeight="1">
      <c r="A835" s="931"/>
      <c r="B835" s="941" t="s">
        <v>3177</v>
      </c>
      <c r="C835" s="942" t="s">
        <v>3178</v>
      </c>
      <c r="D835" s="942" t="s">
        <v>3178</v>
      </c>
      <c r="E835" s="943" t="s">
        <v>3178</v>
      </c>
      <c r="F835" s="935"/>
      <c r="G835" s="944"/>
      <c r="H835" s="944"/>
      <c r="I835" s="959" t="s">
        <v>545</v>
      </c>
      <c r="J835" s="967" t="s">
        <v>715</v>
      </c>
      <c r="K835" s="954" t="s">
        <v>158</v>
      </c>
      <c r="L835" s="949">
        <v>45.0</v>
      </c>
      <c r="M835" s="949">
        <v>22.0</v>
      </c>
      <c r="N835" s="949">
        <v>60.0</v>
      </c>
      <c r="O835" s="949">
        <v>27.0</v>
      </c>
      <c r="P835" s="949">
        <v>30.0</v>
      </c>
      <c r="Q835" s="949">
        <v>29.0</v>
      </c>
      <c r="R835" s="949">
        <v>94.0</v>
      </c>
      <c r="S835" s="949">
        <v>157.0</v>
      </c>
      <c r="T835" s="949">
        <v>172.0</v>
      </c>
      <c r="U835" s="949"/>
      <c r="V835" s="949"/>
      <c r="W835" s="949"/>
      <c r="X835" s="949"/>
      <c r="Y835" s="949"/>
      <c r="Z835" s="949"/>
      <c r="AA835" s="949"/>
      <c r="AB835" s="949"/>
      <c r="AC835" s="949"/>
      <c r="AD835" s="949"/>
      <c r="AE835" s="949"/>
      <c r="AF835" s="949"/>
      <c r="AG835" s="949"/>
      <c r="AH835" s="949"/>
      <c r="AI835" s="949"/>
      <c r="AJ835" s="949"/>
      <c r="AK835" s="949"/>
      <c r="AL835" s="949"/>
      <c r="AM835" s="953" t="s">
        <v>791</v>
      </c>
      <c r="AN835" s="954"/>
      <c r="AO835" s="955" t="s">
        <v>964</v>
      </c>
      <c r="AP835" s="931"/>
      <c r="AQ835" s="956"/>
      <c r="AR835" s="957"/>
      <c r="AS835" s="931"/>
    </row>
    <row r="836" ht="15.75" customHeight="1">
      <c r="A836" s="931"/>
      <c r="B836" s="941" t="s">
        <v>3179</v>
      </c>
      <c r="C836" s="942" t="s">
        <v>3180</v>
      </c>
      <c r="D836" s="942" t="s">
        <v>3180</v>
      </c>
      <c r="E836" s="943" t="s">
        <v>3180</v>
      </c>
      <c r="F836" s="935"/>
      <c r="G836" s="944"/>
      <c r="H836" s="944"/>
      <c r="I836" s="959" t="s">
        <v>418</v>
      </c>
      <c r="J836" s="967" t="s">
        <v>715</v>
      </c>
      <c r="K836" s="960" t="s">
        <v>707</v>
      </c>
      <c r="L836" s="949">
        <v>80.0</v>
      </c>
      <c r="M836" s="949">
        <v>52.0</v>
      </c>
      <c r="N836" s="949">
        <v>50.0</v>
      </c>
      <c r="O836" s="949">
        <v>90.0</v>
      </c>
      <c r="P836" s="949">
        <v>50.0</v>
      </c>
      <c r="Q836" s="949">
        <v>89.0</v>
      </c>
      <c r="R836" s="949">
        <v>214.0</v>
      </c>
      <c r="S836" s="949">
        <v>277.0</v>
      </c>
      <c r="T836" s="949">
        <v>304.0</v>
      </c>
      <c r="U836" s="949"/>
      <c r="V836" s="949"/>
      <c r="W836" s="949"/>
      <c r="X836" s="949"/>
      <c r="Y836" s="949"/>
      <c r="Z836" s="949"/>
      <c r="AA836" s="949"/>
      <c r="AB836" s="949"/>
      <c r="AC836" s="949"/>
      <c r="AD836" s="949"/>
      <c r="AE836" s="949"/>
      <c r="AF836" s="949"/>
      <c r="AG836" s="949"/>
      <c r="AH836" s="949"/>
      <c r="AI836" s="949"/>
      <c r="AJ836" s="949"/>
      <c r="AK836" s="949"/>
      <c r="AL836" s="949"/>
      <c r="AM836" s="953" t="s">
        <v>786</v>
      </c>
      <c r="AN836" s="954" t="s">
        <v>795</v>
      </c>
      <c r="AO836" s="955" t="s">
        <v>964</v>
      </c>
      <c r="AP836" s="931"/>
      <c r="AQ836" s="956"/>
      <c r="AR836" s="957"/>
      <c r="AS836" s="931"/>
    </row>
    <row r="837" ht="15.75" customHeight="1">
      <c r="A837" s="931"/>
      <c r="B837" s="941" t="s">
        <v>3181</v>
      </c>
      <c r="C837" s="942" t="s">
        <v>3182</v>
      </c>
      <c r="D837" s="942" t="s">
        <v>3182</v>
      </c>
      <c r="E837" s="943" t="s">
        <v>3182</v>
      </c>
      <c r="F837" s="935"/>
      <c r="G837" s="944"/>
      <c r="H837" s="944"/>
      <c r="I837" s="959" t="s">
        <v>3183</v>
      </c>
      <c r="J837" s="967" t="s">
        <v>715</v>
      </c>
      <c r="K837" s="960" t="s">
        <v>707</v>
      </c>
      <c r="L837" s="949">
        <v>80.0</v>
      </c>
      <c r="M837" s="949">
        <v>52.0</v>
      </c>
      <c r="N837" s="949">
        <v>50.0</v>
      </c>
      <c r="O837" s="949">
        <v>90.0</v>
      </c>
      <c r="P837" s="949">
        <v>50.0</v>
      </c>
      <c r="Q837" s="949">
        <v>89.0</v>
      </c>
      <c r="R837" s="949">
        <v>214.0</v>
      </c>
      <c r="S837" s="949">
        <v>277.0</v>
      </c>
      <c r="T837" s="949">
        <v>304.0</v>
      </c>
      <c r="U837" s="949"/>
      <c r="V837" s="949"/>
      <c r="W837" s="949"/>
      <c r="X837" s="949"/>
      <c r="Y837" s="949"/>
      <c r="Z837" s="949"/>
      <c r="AA837" s="949"/>
      <c r="AB837" s="949"/>
      <c r="AC837" s="949"/>
      <c r="AD837" s="949"/>
      <c r="AE837" s="949"/>
      <c r="AF837" s="949"/>
      <c r="AG837" s="949"/>
      <c r="AH837" s="949"/>
      <c r="AI837" s="949"/>
      <c r="AJ837" s="949"/>
      <c r="AK837" s="949"/>
      <c r="AL837" s="949"/>
      <c r="AM837" s="953" t="s">
        <v>786</v>
      </c>
      <c r="AN837" s="954" t="s">
        <v>795</v>
      </c>
      <c r="AO837" s="955" t="s">
        <v>964</v>
      </c>
      <c r="AP837" s="931"/>
      <c r="AQ837" s="956"/>
      <c r="AR837" s="957"/>
      <c r="AS837" s="931"/>
    </row>
    <row r="838" ht="15.75" customHeight="1">
      <c r="A838" s="931"/>
      <c r="B838" s="941" t="s">
        <v>3184</v>
      </c>
      <c r="C838" s="942" t="s">
        <v>3185</v>
      </c>
      <c r="D838" s="942" t="s">
        <v>3186</v>
      </c>
      <c r="E838" s="943" t="s">
        <v>3185</v>
      </c>
      <c r="F838" s="935"/>
      <c r="G838" s="944"/>
      <c r="H838" s="944"/>
      <c r="I838" s="959" t="s">
        <v>3187</v>
      </c>
      <c r="J838" s="967" t="s">
        <v>715</v>
      </c>
      <c r="K838" s="960" t="s">
        <v>707</v>
      </c>
      <c r="L838" s="949">
        <v>80.0</v>
      </c>
      <c r="M838" s="949">
        <v>52.0</v>
      </c>
      <c r="N838" s="949">
        <v>50.0</v>
      </c>
      <c r="O838" s="949">
        <v>90.0</v>
      </c>
      <c r="P838" s="949">
        <v>50.0</v>
      </c>
      <c r="Q838" s="949">
        <v>89.0</v>
      </c>
      <c r="R838" s="949">
        <v>214.0</v>
      </c>
      <c r="S838" s="949">
        <v>277.0</v>
      </c>
      <c r="T838" s="949">
        <v>304.0</v>
      </c>
      <c r="U838" s="949"/>
      <c r="V838" s="949"/>
      <c r="W838" s="949"/>
      <c r="X838" s="949"/>
      <c r="Y838" s="949"/>
      <c r="Z838" s="949"/>
      <c r="AA838" s="949"/>
      <c r="AB838" s="949"/>
      <c r="AC838" s="949"/>
      <c r="AD838" s="949"/>
      <c r="AE838" s="949"/>
      <c r="AF838" s="949"/>
      <c r="AG838" s="949"/>
      <c r="AH838" s="949"/>
      <c r="AI838" s="949"/>
      <c r="AJ838" s="949"/>
      <c r="AK838" s="949"/>
      <c r="AL838" s="949"/>
      <c r="AM838" s="953" t="s">
        <v>786</v>
      </c>
      <c r="AN838" s="954" t="s">
        <v>795</v>
      </c>
      <c r="AO838" s="955" t="s">
        <v>964</v>
      </c>
      <c r="AP838" s="931"/>
      <c r="AQ838" s="956"/>
      <c r="AR838" s="957"/>
      <c r="AS838" s="931"/>
    </row>
    <row r="839" ht="15.75" customHeight="1">
      <c r="A839" s="931"/>
      <c r="B839" s="941" t="s">
        <v>3188</v>
      </c>
      <c r="C839" s="942" t="s">
        <v>3189</v>
      </c>
      <c r="D839" s="942" t="s">
        <v>3189</v>
      </c>
      <c r="E839" s="943" t="s">
        <v>3189</v>
      </c>
      <c r="F839" s="935"/>
      <c r="G839" s="944"/>
      <c r="H839" s="944"/>
      <c r="I839" s="959" t="s">
        <v>631</v>
      </c>
      <c r="J839" s="958" t="s">
        <v>704</v>
      </c>
      <c r="K839" s="968" t="s">
        <v>703</v>
      </c>
      <c r="L839" s="949">
        <v>62.0</v>
      </c>
      <c r="M839" s="949">
        <v>50.0</v>
      </c>
      <c r="N839" s="949">
        <v>58.0</v>
      </c>
      <c r="O839" s="949">
        <v>73.0</v>
      </c>
      <c r="P839" s="949">
        <v>54.0</v>
      </c>
      <c r="Q839" s="949">
        <v>72.0</v>
      </c>
      <c r="R839" s="949">
        <v>180.0</v>
      </c>
      <c r="S839" s="949">
        <v>243.0</v>
      </c>
      <c r="T839" s="949">
        <v>267.0</v>
      </c>
      <c r="U839" s="949"/>
      <c r="V839" s="949"/>
      <c r="W839" s="949"/>
      <c r="X839" s="949"/>
      <c r="Y839" s="949"/>
      <c r="Z839" s="949"/>
      <c r="AA839" s="949"/>
      <c r="AB839" s="949"/>
      <c r="AC839" s="949"/>
      <c r="AD839" s="949"/>
      <c r="AE839" s="949"/>
      <c r="AF839" s="949"/>
      <c r="AG839" s="949"/>
      <c r="AH839" s="949"/>
      <c r="AI839" s="949"/>
      <c r="AJ839" s="949"/>
      <c r="AK839" s="949"/>
      <c r="AL839" s="949"/>
      <c r="AM839" s="953" t="s">
        <v>943</v>
      </c>
      <c r="AN839" s="954" t="s">
        <v>855</v>
      </c>
      <c r="AO839" s="955" t="s">
        <v>1392</v>
      </c>
      <c r="AP839" s="931"/>
      <c r="AQ839" s="956"/>
      <c r="AR839" s="957"/>
      <c r="AS839" s="931"/>
    </row>
    <row r="840" ht="15.75" customHeight="1">
      <c r="A840" s="931"/>
      <c r="B840" s="941" t="s">
        <v>3190</v>
      </c>
      <c r="C840" s="942" t="s">
        <v>3191</v>
      </c>
      <c r="D840" s="942" t="s">
        <v>3191</v>
      </c>
      <c r="E840" s="943" t="s">
        <v>3191</v>
      </c>
      <c r="F840" s="935"/>
      <c r="G840" s="944"/>
      <c r="H840" s="944"/>
      <c r="I840" s="959" t="s">
        <v>514</v>
      </c>
      <c r="J840" s="958" t="s">
        <v>704</v>
      </c>
      <c r="K840" s="968" t="s">
        <v>703</v>
      </c>
      <c r="L840" s="949">
        <v>86.0</v>
      </c>
      <c r="M840" s="949">
        <v>68.0</v>
      </c>
      <c r="N840" s="949">
        <v>72.0</v>
      </c>
      <c r="O840" s="949">
        <v>109.0</v>
      </c>
      <c r="P840" s="949">
        <v>66.0</v>
      </c>
      <c r="Q840" s="949">
        <v>106.0</v>
      </c>
      <c r="R840" s="949">
        <v>248.0</v>
      </c>
      <c r="S840" s="949">
        <v>311.0</v>
      </c>
      <c r="T840" s="949">
        <v>342.0</v>
      </c>
      <c r="U840" s="949"/>
      <c r="V840" s="949"/>
      <c r="W840" s="949"/>
      <c r="X840" s="949"/>
      <c r="Y840" s="949"/>
      <c r="Z840" s="949"/>
      <c r="AA840" s="949"/>
      <c r="AB840" s="949"/>
      <c r="AC840" s="949"/>
      <c r="AD840" s="949"/>
      <c r="AE840" s="949"/>
      <c r="AF840" s="949"/>
      <c r="AG840" s="949"/>
      <c r="AH840" s="949"/>
      <c r="AI840" s="949"/>
      <c r="AJ840" s="949"/>
      <c r="AK840" s="949"/>
      <c r="AL840" s="949"/>
      <c r="AM840" s="953" t="s">
        <v>943</v>
      </c>
      <c r="AN840" s="954" t="s">
        <v>855</v>
      </c>
      <c r="AO840" s="955" t="s">
        <v>1392</v>
      </c>
      <c r="AP840" s="931"/>
      <c r="AQ840" s="956"/>
      <c r="AR840" s="957"/>
      <c r="AS840" s="931"/>
    </row>
    <row r="841" ht="15.75" customHeight="1">
      <c r="A841" s="931"/>
      <c r="B841" s="941" t="s">
        <v>3192</v>
      </c>
      <c r="C841" s="942" t="s">
        <v>3193</v>
      </c>
      <c r="D841" s="942" t="s">
        <v>3193</v>
      </c>
      <c r="E841" s="943" t="s">
        <v>3193</v>
      </c>
      <c r="F841" s="935"/>
      <c r="G841" s="944"/>
      <c r="H841" s="944"/>
      <c r="I841" s="959" t="s">
        <v>3194</v>
      </c>
      <c r="J841" s="980" t="s">
        <v>720</v>
      </c>
      <c r="K841" s="954" t="s">
        <v>158</v>
      </c>
      <c r="L841" s="949">
        <v>44.0</v>
      </c>
      <c r="M841" s="949">
        <v>38.0</v>
      </c>
      <c r="N841" s="949">
        <v>39.0</v>
      </c>
      <c r="O841" s="949">
        <v>61.0</v>
      </c>
      <c r="P841" s="949">
        <v>79.0</v>
      </c>
      <c r="Q841" s="949">
        <v>42.0</v>
      </c>
      <c r="R841" s="949">
        <v>120.0</v>
      </c>
      <c r="S841" s="949">
        <v>183.0</v>
      </c>
      <c r="T841" s="949">
        <v>201.0</v>
      </c>
      <c r="U841" s="949"/>
      <c r="V841" s="949"/>
      <c r="W841" s="949"/>
      <c r="X841" s="949"/>
      <c r="Y841" s="949"/>
      <c r="Z841" s="949"/>
      <c r="AA841" s="949"/>
      <c r="AB841" s="949"/>
      <c r="AC841" s="949"/>
      <c r="AD841" s="949"/>
      <c r="AE841" s="949"/>
      <c r="AF841" s="949"/>
      <c r="AG841" s="949"/>
      <c r="AH841" s="949"/>
      <c r="AI841" s="949"/>
      <c r="AJ841" s="949"/>
      <c r="AK841" s="949"/>
      <c r="AL841" s="949"/>
      <c r="AM841" s="953" t="s">
        <v>3195</v>
      </c>
      <c r="AN841" s="954"/>
      <c r="AO841" s="955" t="s">
        <v>3196</v>
      </c>
      <c r="AP841" s="931"/>
      <c r="AQ841" s="956"/>
      <c r="AR841" s="957"/>
      <c r="AS841" s="931"/>
    </row>
    <row r="842" ht="15.75" customHeight="1">
      <c r="A842" s="931"/>
      <c r="B842" s="941" t="s">
        <v>3197</v>
      </c>
      <c r="C842" s="942" t="s">
        <v>3198</v>
      </c>
      <c r="D842" s="942" t="s">
        <v>3198</v>
      </c>
      <c r="E842" s="943" t="s">
        <v>3198</v>
      </c>
      <c r="F842" s="935"/>
      <c r="G842" s="944"/>
      <c r="H842" s="944"/>
      <c r="I842" s="959" t="s">
        <v>546</v>
      </c>
      <c r="J842" s="980" t="s">
        <v>720</v>
      </c>
      <c r="K842" s="954" t="s">
        <v>158</v>
      </c>
      <c r="L842" s="949">
        <v>54.0</v>
      </c>
      <c r="M842" s="949">
        <v>45.0</v>
      </c>
      <c r="N842" s="949">
        <v>47.0</v>
      </c>
      <c r="O842" s="949">
        <v>75.0</v>
      </c>
      <c r="P842" s="949">
        <v>98.0</v>
      </c>
      <c r="Q842" s="949">
        <v>52.0</v>
      </c>
      <c r="R842" s="949">
        <v>140.0</v>
      </c>
      <c r="S842" s="949">
        <v>203.0</v>
      </c>
      <c r="T842" s="949">
        <v>223.0</v>
      </c>
      <c r="U842" s="949"/>
      <c r="V842" s="949"/>
      <c r="W842" s="949"/>
      <c r="X842" s="949"/>
      <c r="Y842" s="949"/>
      <c r="Z842" s="949"/>
      <c r="AA842" s="949"/>
      <c r="AB842" s="949"/>
      <c r="AC842" s="949"/>
      <c r="AD842" s="949"/>
      <c r="AE842" s="949"/>
      <c r="AF842" s="949"/>
      <c r="AG842" s="949"/>
      <c r="AH842" s="949"/>
      <c r="AI842" s="949"/>
      <c r="AJ842" s="949"/>
      <c r="AK842" s="949"/>
      <c r="AL842" s="949"/>
      <c r="AM842" s="953" t="s">
        <v>3195</v>
      </c>
      <c r="AN842" s="954"/>
      <c r="AO842" s="955" t="s">
        <v>3196</v>
      </c>
      <c r="AP842" s="931"/>
      <c r="AQ842" s="956"/>
      <c r="AR842" s="957"/>
      <c r="AS842" s="931"/>
    </row>
    <row r="843" ht="15.75" customHeight="1">
      <c r="A843" s="931"/>
      <c r="B843" s="941" t="s">
        <v>3199</v>
      </c>
      <c r="C843" s="942" t="s">
        <v>3200</v>
      </c>
      <c r="D843" s="942" t="s">
        <v>3200</v>
      </c>
      <c r="E843" s="943" t="s">
        <v>3200</v>
      </c>
      <c r="F843" s="935"/>
      <c r="G843" s="944"/>
      <c r="H843" s="944"/>
      <c r="I843" s="946" t="s">
        <v>3201</v>
      </c>
      <c r="J843" s="980" t="s">
        <v>720</v>
      </c>
      <c r="K843" s="954" t="s">
        <v>158</v>
      </c>
      <c r="L843" s="949">
        <v>74.0</v>
      </c>
      <c r="M843" s="949">
        <v>65.0</v>
      </c>
      <c r="N843" s="949">
        <v>67.0</v>
      </c>
      <c r="O843" s="949">
        <v>125.0</v>
      </c>
      <c r="P843" s="949">
        <v>128.0</v>
      </c>
      <c r="Q843" s="949">
        <v>92.0</v>
      </c>
      <c r="R843" s="949">
        <v>220.0</v>
      </c>
      <c r="S843" s="949">
        <v>283.0</v>
      </c>
      <c r="T843" s="949">
        <v>311.0</v>
      </c>
      <c r="U843" s="949"/>
      <c r="V843" s="949"/>
      <c r="W843" s="949"/>
      <c r="X843" s="949"/>
      <c r="Y843" s="949"/>
      <c r="Z843" s="949"/>
      <c r="AA843" s="949"/>
      <c r="AB843" s="949"/>
      <c r="AC843" s="949"/>
      <c r="AD843" s="949"/>
      <c r="AE843" s="949"/>
      <c r="AF843" s="949"/>
      <c r="AG843" s="949"/>
      <c r="AH843" s="949"/>
      <c r="AI843" s="949"/>
      <c r="AJ843" s="949"/>
      <c r="AK843" s="949"/>
      <c r="AL843" s="949"/>
      <c r="AM843" s="953" t="s">
        <v>3195</v>
      </c>
      <c r="AN843" s="954"/>
      <c r="AO843" s="955"/>
      <c r="AP843" s="931"/>
      <c r="AQ843" s="956"/>
      <c r="AR843" s="957"/>
      <c r="AS843" s="931"/>
    </row>
    <row r="844" ht="15.75" customHeight="1">
      <c r="A844" s="931"/>
      <c r="B844" s="941" t="s">
        <v>3202</v>
      </c>
      <c r="C844" s="942" t="s">
        <v>3203</v>
      </c>
      <c r="D844" s="942" t="s">
        <v>3203</v>
      </c>
      <c r="E844" s="943" t="s">
        <v>3203</v>
      </c>
      <c r="F844" s="935"/>
      <c r="G844" s="944"/>
      <c r="H844" s="944"/>
      <c r="I844" s="946" t="s">
        <v>446</v>
      </c>
      <c r="J844" s="980" t="s">
        <v>720</v>
      </c>
      <c r="K844" s="954" t="s">
        <v>158</v>
      </c>
      <c r="L844" s="949">
        <v>78.0</v>
      </c>
      <c r="M844" s="949">
        <v>65.0</v>
      </c>
      <c r="N844" s="949">
        <v>68.0</v>
      </c>
      <c r="O844" s="949">
        <v>112.0</v>
      </c>
      <c r="P844" s="949">
        <v>154.0</v>
      </c>
      <c r="Q844" s="949">
        <v>75.0</v>
      </c>
      <c r="R844" s="949">
        <v>186.0</v>
      </c>
      <c r="S844" s="949">
        <v>249.0</v>
      </c>
      <c r="T844" s="949">
        <v>273.0</v>
      </c>
      <c r="U844" s="949"/>
      <c r="V844" s="949"/>
      <c r="W844" s="949"/>
      <c r="X844" s="949"/>
      <c r="Y844" s="949"/>
      <c r="Z844" s="949"/>
      <c r="AA844" s="949"/>
      <c r="AB844" s="949"/>
      <c r="AC844" s="949"/>
      <c r="AD844" s="949"/>
      <c r="AE844" s="949"/>
      <c r="AF844" s="949"/>
      <c r="AG844" s="949"/>
      <c r="AH844" s="949"/>
      <c r="AI844" s="949"/>
      <c r="AJ844" s="949"/>
      <c r="AK844" s="949"/>
      <c r="AL844" s="949"/>
      <c r="AM844" s="953" t="s">
        <v>3195</v>
      </c>
      <c r="AN844" s="954"/>
      <c r="AO844" s="955" t="s">
        <v>3196</v>
      </c>
      <c r="AP844" s="931"/>
      <c r="AQ844" s="956"/>
      <c r="AR844" s="957"/>
      <c r="AS844" s="931"/>
    </row>
    <row r="845" ht="15.75" customHeight="1">
      <c r="A845" s="963"/>
      <c r="B845" s="941" t="s">
        <v>3204</v>
      </c>
      <c r="C845" s="942" t="s">
        <v>3205</v>
      </c>
      <c r="D845" s="942" t="s">
        <v>3205</v>
      </c>
      <c r="E845" s="943" t="s">
        <v>3205</v>
      </c>
      <c r="F845" s="935"/>
      <c r="G845" s="944"/>
      <c r="H845" s="944"/>
      <c r="I845" s="946" t="s">
        <v>3206</v>
      </c>
      <c r="J845" s="947" t="s">
        <v>708</v>
      </c>
      <c r="K845" s="954" t="s">
        <v>158</v>
      </c>
      <c r="L845" s="949">
        <v>66.0</v>
      </c>
      <c r="M845" s="949">
        <v>65.0</v>
      </c>
      <c r="N845" s="949">
        <v>48.0</v>
      </c>
      <c r="O845" s="949">
        <v>62.0</v>
      </c>
      <c r="P845" s="949">
        <v>57.0</v>
      </c>
      <c r="Q845" s="949">
        <v>52.0</v>
      </c>
      <c r="R845" s="949">
        <v>140.0</v>
      </c>
      <c r="S845" s="949">
        <v>203.0</v>
      </c>
      <c r="T845" s="949">
        <v>223.0</v>
      </c>
      <c r="U845" s="949"/>
      <c r="V845" s="949"/>
      <c r="W845" s="949"/>
      <c r="X845" s="949"/>
      <c r="Y845" s="949"/>
      <c r="Z845" s="949"/>
      <c r="AA845" s="949"/>
      <c r="AB845" s="949"/>
      <c r="AC845" s="949"/>
      <c r="AD845" s="949"/>
      <c r="AE845" s="949"/>
      <c r="AF845" s="949"/>
      <c r="AG845" s="949"/>
      <c r="AH845" s="949"/>
      <c r="AI845" s="949"/>
      <c r="AJ845" s="949"/>
      <c r="AK845" s="949"/>
      <c r="AL845" s="949"/>
      <c r="AM845" s="964" t="s">
        <v>1603</v>
      </c>
      <c r="AN845" s="954"/>
      <c r="AO845" s="965" t="s">
        <v>3207</v>
      </c>
      <c r="AP845" s="931"/>
      <c r="AQ845" s="956"/>
      <c r="AR845" s="957"/>
      <c r="AS845" s="931"/>
    </row>
    <row r="846" ht="15.75" customHeight="1">
      <c r="A846" s="931"/>
      <c r="B846" s="941" t="s">
        <v>3208</v>
      </c>
      <c r="C846" s="942" t="s">
        <v>3209</v>
      </c>
      <c r="D846" s="942" t="s">
        <v>3209</v>
      </c>
      <c r="E846" s="943" t="s">
        <v>3209</v>
      </c>
      <c r="F846" s="935"/>
      <c r="G846" s="944"/>
      <c r="H846" s="944"/>
      <c r="I846" s="946" t="s">
        <v>547</v>
      </c>
      <c r="J846" s="947" t="s">
        <v>708</v>
      </c>
      <c r="K846" s="954" t="s">
        <v>158</v>
      </c>
      <c r="L846" s="949">
        <v>123.0</v>
      </c>
      <c r="M846" s="949">
        <v>100.0</v>
      </c>
      <c r="N846" s="949">
        <v>62.0</v>
      </c>
      <c r="O846" s="949">
        <v>97.0</v>
      </c>
      <c r="P846" s="949">
        <v>81.0</v>
      </c>
      <c r="Q846" s="949">
        <v>68.0</v>
      </c>
      <c r="R846" s="949">
        <v>172.0</v>
      </c>
      <c r="S846" s="949">
        <v>235.0</v>
      </c>
      <c r="T846" s="949">
        <v>258.0</v>
      </c>
      <c r="U846" s="949"/>
      <c r="V846" s="949"/>
      <c r="W846" s="949"/>
      <c r="X846" s="949"/>
      <c r="Y846" s="949"/>
      <c r="Z846" s="949"/>
      <c r="AA846" s="949"/>
      <c r="AB846" s="949"/>
      <c r="AC846" s="949"/>
      <c r="AD846" s="949"/>
      <c r="AE846" s="949"/>
      <c r="AF846" s="949"/>
      <c r="AG846" s="949"/>
      <c r="AH846" s="949"/>
      <c r="AI846" s="949"/>
      <c r="AJ846" s="949"/>
      <c r="AK846" s="949"/>
      <c r="AL846" s="949"/>
      <c r="AM846" s="953" t="s">
        <v>1603</v>
      </c>
      <c r="AN846" s="954"/>
      <c r="AO846" s="955" t="s">
        <v>3207</v>
      </c>
      <c r="AP846" s="931"/>
      <c r="AQ846" s="956"/>
      <c r="AR846" s="957"/>
      <c r="AS846" s="931"/>
    </row>
    <row r="847" ht="15.75" customHeight="1">
      <c r="A847" s="931"/>
      <c r="B847" s="941" t="s">
        <v>3210</v>
      </c>
      <c r="C847" s="942" t="s">
        <v>3211</v>
      </c>
      <c r="D847" s="942" t="s">
        <v>3211</v>
      </c>
      <c r="E847" s="943" t="s">
        <v>3211</v>
      </c>
      <c r="F847" s="935"/>
      <c r="G847" s="944"/>
      <c r="H847" s="944"/>
      <c r="I847" s="946" t="s">
        <v>3212</v>
      </c>
      <c r="J847" s="988" t="s">
        <v>705</v>
      </c>
      <c r="K847" s="954" t="s">
        <v>158</v>
      </c>
      <c r="L847" s="949">
        <v>67.0</v>
      </c>
      <c r="M847" s="949">
        <v>82.0</v>
      </c>
      <c r="N847" s="949">
        <v>62.0</v>
      </c>
      <c r="O847" s="949">
        <v>46.0</v>
      </c>
      <c r="P847" s="949">
        <v>48.0</v>
      </c>
      <c r="Q847" s="949">
        <v>43.0</v>
      </c>
      <c r="R847" s="949">
        <v>122.0</v>
      </c>
      <c r="S847" s="949">
        <v>185.0</v>
      </c>
      <c r="T847" s="949">
        <v>203.0</v>
      </c>
      <c r="U847" s="949"/>
      <c r="V847" s="949"/>
      <c r="W847" s="949"/>
      <c r="X847" s="949"/>
      <c r="Y847" s="949"/>
      <c r="Z847" s="949"/>
      <c r="AA847" s="949"/>
      <c r="AB847" s="949"/>
      <c r="AC847" s="949"/>
      <c r="AD847" s="949"/>
      <c r="AE847" s="949"/>
      <c r="AF847" s="949"/>
      <c r="AG847" s="949"/>
      <c r="AH847" s="949"/>
      <c r="AI847" s="949"/>
      <c r="AJ847" s="949"/>
      <c r="AK847" s="949"/>
      <c r="AL847" s="949"/>
      <c r="AM847" s="953" t="s">
        <v>1310</v>
      </c>
      <c r="AN847" s="954" t="s">
        <v>1391</v>
      </c>
      <c r="AO847" s="955" t="s">
        <v>1205</v>
      </c>
      <c r="AP847" s="931"/>
      <c r="AQ847" s="956"/>
      <c r="AR847" s="957"/>
      <c r="AS847" s="931"/>
    </row>
    <row r="848" ht="15.75" customHeight="1">
      <c r="A848" s="931"/>
      <c r="B848" s="941" t="s">
        <v>3213</v>
      </c>
      <c r="C848" s="942" t="s">
        <v>3214</v>
      </c>
      <c r="D848" s="942" t="s">
        <v>3214</v>
      </c>
      <c r="E848" s="943" t="s">
        <v>3214</v>
      </c>
      <c r="F848" s="935"/>
      <c r="G848" s="944"/>
      <c r="H848" s="944"/>
      <c r="I848" s="946" t="s">
        <v>3215</v>
      </c>
      <c r="J848" s="988" t="s">
        <v>705</v>
      </c>
      <c r="K848" s="969" t="s">
        <v>718</v>
      </c>
      <c r="L848" s="949">
        <v>95.0</v>
      </c>
      <c r="M848" s="949">
        <v>124.0</v>
      </c>
      <c r="N848" s="949">
        <v>78.0</v>
      </c>
      <c r="O848" s="949">
        <v>69.0</v>
      </c>
      <c r="P848" s="949">
        <v>71.0</v>
      </c>
      <c r="Q848" s="949">
        <v>58.0</v>
      </c>
      <c r="R848" s="949">
        <v>152.0</v>
      </c>
      <c r="S848" s="949">
        <v>215.0</v>
      </c>
      <c r="T848" s="949">
        <v>236.0</v>
      </c>
      <c r="U848" s="949"/>
      <c r="V848" s="949"/>
      <c r="W848" s="949"/>
      <c r="X848" s="949"/>
      <c r="Y848" s="949"/>
      <c r="Z848" s="949"/>
      <c r="AA848" s="949"/>
      <c r="AB848" s="949"/>
      <c r="AC848" s="949"/>
      <c r="AD848" s="949"/>
      <c r="AE848" s="949"/>
      <c r="AF848" s="949"/>
      <c r="AG848" s="949"/>
      <c r="AH848" s="949"/>
      <c r="AI848" s="949"/>
      <c r="AJ848" s="949"/>
      <c r="AK848" s="949"/>
      <c r="AL848" s="949"/>
      <c r="AM848" s="953" t="s">
        <v>1310</v>
      </c>
      <c r="AN848" s="954" t="s">
        <v>1391</v>
      </c>
      <c r="AO848" s="955" t="s">
        <v>1205</v>
      </c>
      <c r="AP848" s="931"/>
      <c r="AQ848" s="956"/>
      <c r="AR848" s="957"/>
      <c r="AS848" s="931"/>
    </row>
    <row r="849" ht="15.75" customHeight="1">
      <c r="A849" s="931"/>
      <c r="B849" s="941" t="s">
        <v>3216</v>
      </c>
      <c r="C849" s="942" t="s">
        <v>3217</v>
      </c>
      <c r="D849" s="942" t="s">
        <v>3217</v>
      </c>
      <c r="E849" s="943" t="s">
        <v>3217</v>
      </c>
      <c r="F849" s="935"/>
      <c r="G849" s="944"/>
      <c r="H849" s="944"/>
      <c r="I849" s="946" t="s">
        <v>3218</v>
      </c>
      <c r="J849" s="968" t="s">
        <v>703</v>
      </c>
      <c r="K849" s="954" t="s">
        <v>158</v>
      </c>
      <c r="L849" s="949">
        <v>75.0</v>
      </c>
      <c r="M849" s="949">
        <v>80.0</v>
      </c>
      <c r="N849" s="949">
        <v>60.0</v>
      </c>
      <c r="O849" s="949">
        <v>65.0</v>
      </c>
      <c r="P849" s="949">
        <v>90.0</v>
      </c>
      <c r="Q849" s="949">
        <v>102.0</v>
      </c>
      <c r="R849" s="949">
        <v>240.0</v>
      </c>
      <c r="S849" s="949">
        <v>303.0</v>
      </c>
      <c r="T849" s="949">
        <v>333.0</v>
      </c>
      <c r="U849" s="949"/>
      <c r="V849" s="949"/>
      <c r="W849" s="949"/>
      <c r="X849" s="949"/>
      <c r="Y849" s="949"/>
      <c r="Z849" s="949"/>
      <c r="AA849" s="949"/>
      <c r="AB849" s="949"/>
      <c r="AC849" s="949"/>
      <c r="AD849" s="949"/>
      <c r="AE849" s="949"/>
      <c r="AF849" s="949"/>
      <c r="AG849" s="949"/>
      <c r="AH849" s="949"/>
      <c r="AI849" s="949"/>
      <c r="AJ849" s="949"/>
      <c r="AK849" s="949"/>
      <c r="AL849" s="949"/>
      <c r="AM849" s="953" t="s">
        <v>1058</v>
      </c>
      <c r="AN849" s="954"/>
      <c r="AO849" s="955"/>
      <c r="AP849" s="931"/>
      <c r="AQ849" s="956"/>
      <c r="AR849" s="957"/>
      <c r="AS849" s="931"/>
    </row>
    <row r="850" ht="15.75" customHeight="1">
      <c r="A850" s="931"/>
      <c r="B850" s="941" t="s">
        <v>3219</v>
      </c>
      <c r="C850" s="942" t="s">
        <v>3220</v>
      </c>
      <c r="D850" s="942" t="s">
        <v>3220</v>
      </c>
      <c r="E850" s="943" t="s">
        <v>3220</v>
      </c>
      <c r="F850" s="935"/>
      <c r="G850" s="944"/>
      <c r="H850" s="944"/>
      <c r="I850" s="946" t="s">
        <v>3221</v>
      </c>
      <c r="J850" s="975" t="s">
        <v>712</v>
      </c>
      <c r="K850" s="954" t="s">
        <v>158</v>
      </c>
      <c r="L850" s="949">
        <v>62.0</v>
      </c>
      <c r="M850" s="949">
        <v>48.0</v>
      </c>
      <c r="N850" s="949">
        <v>54.0</v>
      </c>
      <c r="O850" s="949">
        <v>63.0</v>
      </c>
      <c r="P850" s="949">
        <v>60.0</v>
      </c>
      <c r="Q850" s="949">
        <v>68.0</v>
      </c>
      <c r="R850" s="949">
        <v>172.0</v>
      </c>
      <c r="S850" s="949">
        <v>235.0</v>
      </c>
      <c r="T850" s="949">
        <v>258.0</v>
      </c>
      <c r="U850" s="949"/>
      <c r="V850" s="949"/>
      <c r="W850" s="949"/>
      <c r="X850" s="949"/>
      <c r="Y850" s="949"/>
      <c r="Z850" s="949"/>
      <c r="AA850" s="949"/>
      <c r="AB850" s="949"/>
      <c r="AC850" s="949"/>
      <c r="AD850" s="949"/>
      <c r="AE850" s="949"/>
      <c r="AF850" s="949"/>
      <c r="AG850" s="949"/>
      <c r="AH850" s="949"/>
      <c r="AI850" s="949"/>
      <c r="AJ850" s="949"/>
      <c r="AK850" s="949"/>
      <c r="AL850" s="949"/>
      <c r="AM850" s="953" t="s">
        <v>815</v>
      </c>
      <c r="AN850" s="954" t="s">
        <v>995</v>
      </c>
      <c r="AO850" s="955" t="s">
        <v>1176</v>
      </c>
      <c r="AP850" s="931"/>
      <c r="AQ850" s="956"/>
      <c r="AR850" s="957"/>
      <c r="AS850" s="931"/>
    </row>
    <row r="851" ht="15.75" customHeight="1">
      <c r="A851" s="931"/>
      <c r="B851" s="941" t="s">
        <v>3222</v>
      </c>
      <c r="C851" s="942" t="s">
        <v>3223</v>
      </c>
      <c r="D851" s="942" t="s">
        <v>3223</v>
      </c>
      <c r="E851" s="943" t="s">
        <v>3224</v>
      </c>
      <c r="F851" s="935"/>
      <c r="G851" s="944"/>
      <c r="H851" s="944"/>
      <c r="I851" s="946" t="s">
        <v>3225</v>
      </c>
      <c r="J851" s="975" t="s">
        <v>712</v>
      </c>
      <c r="K851" s="954" t="s">
        <v>158</v>
      </c>
      <c r="L851" s="949">
        <v>74.0</v>
      </c>
      <c r="M851" s="949">
        <v>48.0</v>
      </c>
      <c r="N851" s="949">
        <v>76.0</v>
      </c>
      <c r="O851" s="949">
        <v>83.0</v>
      </c>
      <c r="P851" s="949">
        <v>81.0</v>
      </c>
      <c r="Q851" s="949">
        <v>104.0</v>
      </c>
      <c r="R851" s="949">
        <v>244.0</v>
      </c>
      <c r="S851" s="949">
        <v>307.0</v>
      </c>
      <c r="T851" s="949">
        <v>337.0</v>
      </c>
      <c r="U851" s="949"/>
      <c r="V851" s="949"/>
      <c r="W851" s="949"/>
      <c r="X851" s="949"/>
      <c r="Y851" s="949"/>
      <c r="Z851" s="949"/>
      <c r="AA851" s="949"/>
      <c r="AB851" s="949"/>
      <c r="AC851" s="949"/>
      <c r="AD851" s="949"/>
      <c r="AE851" s="949"/>
      <c r="AF851" s="949"/>
      <c r="AG851" s="949"/>
      <c r="AH851" s="949"/>
      <c r="AI851" s="949"/>
      <c r="AJ851" s="949"/>
      <c r="AK851" s="949"/>
      <c r="AL851" s="949"/>
      <c r="AM851" s="953" t="s">
        <v>815</v>
      </c>
      <c r="AN851" s="954" t="s">
        <v>995</v>
      </c>
      <c r="AO851" s="955" t="s">
        <v>1641</v>
      </c>
      <c r="AP851" s="931"/>
      <c r="AQ851" s="956"/>
      <c r="AR851" s="957"/>
      <c r="AS851" s="931"/>
    </row>
    <row r="852" ht="15.75" customHeight="1">
      <c r="A852" s="931"/>
      <c r="B852" s="941" t="s">
        <v>3226</v>
      </c>
      <c r="C852" s="942" t="s">
        <v>3227</v>
      </c>
      <c r="D852" s="942" t="s">
        <v>3227</v>
      </c>
      <c r="E852" s="943" t="s">
        <v>3228</v>
      </c>
      <c r="F852" s="935"/>
      <c r="G852" s="944"/>
      <c r="H852" s="944"/>
      <c r="I852" s="946" t="s">
        <v>3229</v>
      </c>
      <c r="J852" s="975" t="s">
        <v>712</v>
      </c>
      <c r="K852" s="954" t="s">
        <v>158</v>
      </c>
      <c r="L852" s="949">
        <v>74.0</v>
      </c>
      <c r="M852" s="949">
        <v>48.0</v>
      </c>
      <c r="N852" s="949">
        <v>76.0</v>
      </c>
      <c r="O852" s="949">
        <v>83.0</v>
      </c>
      <c r="P852" s="949">
        <v>81.0</v>
      </c>
      <c r="Q852" s="949">
        <v>104.0</v>
      </c>
      <c r="R852" s="949">
        <v>244.0</v>
      </c>
      <c r="S852" s="949">
        <v>307.0</v>
      </c>
      <c r="T852" s="949">
        <v>337.0</v>
      </c>
      <c r="U852" s="949"/>
      <c r="V852" s="949"/>
      <c r="W852" s="949"/>
      <c r="X852" s="949"/>
      <c r="Y852" s="949"/>
      <c r="Z852" s="949"/>
      <c r="AA852" s="949"/>
      <c r="AB852" s="949"/>
      <c r="AC852" s="949"/>
      <c r="AD852" s="949"/>
      <c r="AE852" s="949"/>
      <c r="AF852" s="949"/>
      <c r="AG852" s="949"/>
      <c r="AH852" s="949"/>
      <c r="AI852" s="949"/>
      <c r="AJ852" s="949"/>
      <c r="AK852" s="949"/>
      <c r="AL852" s="949"/>
      <c r="AM852" s="953" t="s">
        <v>815</v>
      </c>
      <c r="AN852" s="954" t="s">
        <v>995</v>
      </c>
      <c r="AO852" s="955" t="s">
        <v>987</v>
      </c>
      <c r="AP852" s="931"/>
      <c r="AQ852" s="956"/>
      <c r="AR852" s="957"/>
      <c r="AS852" s="931"/>
    </row>
    <row r="853" ht="15.75" customHeight="1">
      <c r="A853" s="931"/>
      <c r="B853" s="941" t="s">
        <v>3230</v>
      </c>
      <c r="C853" s="942" t="s">
        <v>3231</v>
      </c>
      <c r="D853" s="942" t="s">
        <v>3231</v>
      </c>
      <c r="E853" s="943" t="s">
        <v>3231</v>
      </c>
      <c r="F853" s="935"/>
      <c r="G853" s="944"/>
      <c r="H853" s="944"/>
      <c r="I853" s="946" t="s">
        <v>3232</v>
      </c>
      <c r="J853" s="978" t="s">
        <v>719</v>
      </c>
      <c r="K853" s="994" t="s">
        <v>717</v>
      </c>
      <c r="L853" s="949">
        <v>45.0</v>
      </c>
      <c r="M853" s="949">
        <v>80.0</v>
      </c>
      <c r="N853" s="949">
        <v>100.0</v>
      </c>
      <c r="O853" s="949">
        <v>35.0</v>
      </c>
      <c r="P853" s="949">
        <v>37.0</v>
      </c>
      <c r="Q853" s="949">
        <v>28.0</v>
      </c>
      <c r="R853" s="949">
        <v>92.0</v>
      </c>
      <c r="S853" s="949">
        <v>155.0</v>
      </c>
      <c r="T853" s="949">
        <v>170.0</v>
      </c>
      <c r="U853" s="949"/>
      <c r="V853" s="949"/>
      <c r="W853" s="949"/>
      <c r="X853" s="949"/>
      <c r="Y853" s="949"/>
      <c r="Z853" s="949"/>
      <c r="AA853" s="949"/>
      <c r="AB853" s="949"/>
      <c r="AC853" s="949"/>
      <c r="AD853" s="949"/>
      <c r="AE853" s="949"/>
      <c r="AF853" s="949"/>
      <c r="AG853" s="949"/>
      <c r="AH853" s="949"/>
      <c r="AI853" s="949"/>
      <c r="AJ853" s="949"/>
      <c r="AK853" s="949"/>
      <c r="AL853" s="949"/>
      <c r="AM853" s="953" t="s">
        <v>827</v>
      </c>
      <c r="AN853" s="954"/>
      <c r="AO853" s="955"/>
      <c r="AP853" s="931"/>
      <c r="AQ853" s="956"/>
      <c r="AR853" s="957"/>
      <c r="AS853" s="931"/>
    </row>
    <row r="854" ht="15.75" customHeight="1">
      <c r="A854" s="931"/>
      <c r="B854" s="941" t="s">
        <v>3233</v>
      </c>
      <c r="C854" s="942" t="s">
        <v>3234</v>
      </c>
      <c r="D854" s="942" t="s">
        <v>3234</v>
      </c>
      <c r="E854" s="943" t="s">
        <v>3234</v>
      </c>
      <c r="F854" s="935"/>
      <c r="G854" s="944"/>
      <c r="H854" s="944"/>
      <c r="I854" s="946" t="s">
        <v>3235</v>
      </c>
      <c r="J854" s="978" t="s">
        <v>719</v>
      </c>
      <c r="K854" s="994" t="s">
        <v>717</v>
      </c>
      <c r="L854" s="949">
        <v>59.0</v>
      </c>
      <c r="M854" s="949">
        <v>110.0</v>
      </c>
      <c r="N854" s="949">
        <v>150.0</v>
      </c>
      <c r="O854" s="949">
        <v>45.0</v>
      </c>
      <c r="P854" s="949">
        <v>49.0</v>
      </c>
      <c r="Q854" s="949">
        <v>35.0</v>
      </c>
      <c r="R854" s="949">
        <v>106.0</v>
      </c>
      <c r="S854" s="949">
        <v>169.0</v>
      </c>
      <c r="T854" s="949">
        <v>185.0</v>
      </c>
      <c r="U854" s="949"/>
      <c r="V854" s="949"/>
      <c r="W854" s="949"/>
      <c r="X854" s="949"/>
      <c r="Y854" s="949"/>
      <c r="Z854" s="949"/>
      <c r="AA854" s="949"/>
      <c r="AB854" s="949"/>
      <c r="AC854" s="949"/>
      <c r="AD854" s="949"/>
      <c r="AE854" s="949"/>
      <c r="AF854" s="949"/>
      <c r="AG854" s="949"/>
      <c r="AH854" s="949"/>
      <c r="AI854" s="949"/>
      <c r="AJ854" s="949"/>
      <c r="AK854" s="949"/>
      <c r="AL854" s="949"/>
      <c r="AM854" s="953" t="s">
        <v>827</v>
      </c>
      <c r="AN854" s="954"/>
      <c r="AO854" s="955"/>
      <c r="AP854" s="931"/>
      <c r="AQ854" s="956"/>
      <c r="AR854" s="957"/>
      <c r="AS854" s="931"/>
    </row>
    <row r="855" ht="15.75" customHeight="1">
      <c r="A855" s="963"/>
      <c r="B855" s="941" t="s">
        <v>3236</v>
      </c>
      <c r="C855" s="942" t="s">
        <v>3237</v>
      </c>
      <c r="D855" s="942" t="s">
        <v>3237</v>
      </c>
      <c r="E855" s="943" t="s">
        <v>3237</v>
      </c>
      <c r="F855" s="935"/>
      <c r="G855" s="944"/>
      <c r="H855" s="944"/>
      <c r="I855" s="946" t="s">
        <v>3238</v>
      </c>
      <c r="J855" s="978" t="s">
        <v>719</v>
      </c>
      <c r="K855" s="994" t="s">
        <v>717</v>
      </c>
      <c r="L855" s="949">
        <v>60.0</v>
      </c>
      <c r="M855" s="949">
        <v>50.0</v>
      </c>
      <c r="N855" s="949">
        <v>140.0</v>
      </c>
      <c r="O855" s="949">
        <v>50.0</v>
      </c>
      <c r="P855" s="949">
        <v>140.0</v>
      </c>
      <c r="Q855" s="949">
        <v>60.0</v>
      </c>
      <c r="R855" s="949">
        <v>156.0</v>
      </c>
      <c r="S855" s="949">
        <v>219.0</v>
      </c>
      <c r="T855" s="949">
        <v>240.0</v>
      </c>
      <c r="U855" s="949"/>
      <c r="V855" s="949"/>
      <c r="W855" s="949"/>
      <c r="X855" s="949"/>
      <c r="Y855" s="949"/>
      <c r="Z855" s="949"/>
      <c r="AA855" s="949"/>
      <c r="AB855" s="949"/>
      <c r="AC855" s="949"/>
      <c r="AD855" s="949"/>
      <c r="AE855" s="949"/>
      <c r="AF855" s="949"/>
      <c r="AG855" s="949"/>
      <c r="AH855" s="949"/>
      <c r="AI855" s="949"/>
      <c r="AJ855" s="949"/>
      <c r="AK855" s="949"/>
      <c r="AL855" s="949"/>
      <c r="AM855" s="964" t="s">
        <v>3239</v>
      </c>
      <c r="AN855" s="954"/>
      <c r="AO855" s="965"/>
      <c r="AP855" s="931"/>
      <c r="AQ855" s="956"/>
      <c r="AR855" s="957"/>
      <c r="AS855" s="931"/>
    </row>
    <row r="856" ht="15.75" customHeight="1">
      <c r="A856" s="931"/>
      <c r="B856" s="941" t="s">
        <v>3240</v>
      </c>
      <c r="C856" s="942" t="s">
        <v>3241</v>
      </c>
      <c r="D856" s="942" t="s">
        <v>3241</v>
      </c>
      <c r="E856" s="943" t="s">
        <v>3241</v>
      </c>
      <c r="F856" s="935"/>
      <c r="G856" s="944"/>
      <c r="H856" s="944"/>
      <c r="I856" s="946" t="s">
        <v>3242</v>
      </c>
      <c r="J856" s="978" t="s">
        <v>719</v>
      </c>
      <c r="K856" s="994" t="s">
        <v>717</v>
      </c>
      <c r="L856" s="949">
        <v>60.0</v>
      </c>
      <c r="M856" s="949">
        <v>140.0</v>
      </c>
      <c r="N856" s="949">
        <v>50.0</v>
      </c>
      <c r="O856" s="949">
        <v>140.0</v>
      </c>
      <c r="P856" s="949">
        <v>50.0</v>
      </c>
      <c r="Q856" s="949">
        <v>60.0</v>
      </c>
      <c r="R856" s="949">
        <v>156.0</v>
      </c>
      <c r="S856" s="949">
        <v>219.0</v>
      </c>
      <c r="T856" s="949">
        <v>240.0</v>
      </c>
      <c r="U856" s="949"/>
      <c r="V856" s="949"/>
      <c r="W856" s="949"/>
      <c r="X856" s="949"/>
      <c r="Y856" s="949"/>
      <c r="Z856" s="949"/>
      <c r="AA856" s="949"/>
      <c r="AB856" s="949"/>
      <c r="AC856" s="949"/>
      <c r="AD856" s="949"/>
      <c r="AE856" s="949"/>
      <c r="AF856" s="949"/>
      <c r="AG856" s="949"/>
      <c r="AH856" s="949"/>
      <c r="AI856" s="949"/>
      <c r="AJ856" s="949"/>
      <c r="AK856" s="949"/>
      <c r="AL856" s="949"/>
      <c r="AM856" s="953" t="s">
        <v>3239</v>
      </c>
      <c r="AN856" s="954"/>
      <c r="AO856" s="955"/>
      <c r="AP856" s="931"/>
      <c r="AQ856" s="956"/>
      <c r="AR856" s="957"/>
      <c r="AS856" s="931"/>
    </row>
    <row r="857" ht="15.75" customHeight="1">
      <c r="A857" s="931"/>
      <c r="B857" s="941" t="s">
        <v>3243</v>
      </c>
      <c r="C857" s="942" t="s">
        <v>3244</v>
      </c>
      <c r="D857" s="942" t="s">
        <v>3244</v>
      </c>
      <c r="E857" s="943" t="s">
        <v>3244</v>
      </c>
      <c r="F857" s="935"/>
      <c r="G857" s="944"/>
      <c r="H857" s="944"/>
      <c r="I857" s="946" t="s">
        <v>3245</v>
      </c>
      <c r="J857" s="980" t="s">
        <v>720</v>
      </c>
      <c r="K857" s="954" t="s">
        <v>158</v>
      </c>
      <c r="L857" s="949">
        <v>78.0</v>
      </c>
      <c r="M857" s="949">
        <v>52.0</v>
      </c>
      <c r="N857" s="949">
        <v>60.0</v>
      </c>
      <c r="O857" s="949">
        <v>63.0</v>
      </c>
      <c r="P857" s="949">
        <v>65.0</v>
      </c>
      <c r="Q857" s="949">
        <v>23.0</v>
      </c>
      <c r="R857" s="949">
        <v>82.0</v>
      </c>
      <c r="S857" s="949">
        <v>145.0</v>
      </c>
      <c r="T857" s="949">
        <v>159.0</v>
      </c>
      <c r="U857" s="949"/>
      <c r="V857" s="949"/>
      <c r="W857" s="949"/>
      <c r="X857" s="949"/>
      <c r="Y857" s="949"/>
      <c r="Z857" s="949"/>
      <c r="AA857" s="949"/>
      <c r="AB857" s="949"/>
      <c r="AC857" s="949"/>
      <c r="AD857" s="949"/>
      <c r="AE857" s="949"/>
      <c r="AF857" s="949"/>
      <c r="AG857" s="949"/>
      <c r="AH857" s="949"/>
      <c r="AI857" s="949"/>
      <c r="AJ857" s="949"/>
      <c r="AK857" s="949"/>
      <c r="AL857" s="949"/>
      <c r="AM857" s="953" t="s">
        <v>1335</v>
      </c>
      <c r="AN857" s="954"/>
      <c r="AO857" s="955" t="s">
        <v>3246</v>
      </c>
      <c r="AP857" s="931"/>
      <c r="AQ857" s="956"/>
      <c r="AR857" s="957"/>
      <c r="AS857" s="931"/>
    </row>
    <row r="858" ht="15.75" customHeight="1">
      <c r="A858" s="931"/>
      <c r="B858" s="941" t="s">
        <v>3247</v>
      </c>
      <c r="C858" s="942" t="s">
        <v>3248</v>
      </c>
      <c r="D858" s="942" t="s">
        <v>3248</v>
      </c>
      <c r="E858" s="943" t="s">
        <v>3248</v>
      </c>
      <c r="F858" s="935"/>
      <c r="G858" s="944"/>
      <c r="H858" s="944"/>
      <c r="I858" s="946" t="s">
        <v>3249</v>
      </c>
      <c r="J858" s="980" t="s">
        <v>720</v>
      </c>
      <c r="K858" s="954" t="s">
        <v>158</v>
      </c>
      <c r="L858" s="949">
        <v>101.0</v>
      </c>
      <c r="M858" s="949">
        <v>72.0</v>
      </c>
      <c r="N858" s="949">
        <v>72.0</v>
      </c>
      <c r="O858" s="949">
        <v>99.0</v>
      </c>
      <c r="P858" s="949">
        <v>89.0</v>
      </c>
      <c r="Q858" s="949">
        <v>29.0</v>
      </c>
      <c r="R858" s="949">
        <v>94.0</v>
      </c>
      <c r="S858" s="949">
        <v>157.0</v>
      </c>
      <c r="T858" s="949">
        <v>172.0</v>
      </c>
      <c r="U858" s="949"/>
      <c r="V858" s="949"/>
      <c r="W858" s="949"/>
      <c r="X858" s="949"/>
      <c r="Y858" s="949"/>
      <c r="Z858" s="949"/>
      <c r="AA858" s="949"/>
      <c r="AB858" s="949"/>
      <c r="AC858" s="949"/>
      <c r="AD858" s="949"/>
      <c r="AE858" s="949"/>
      <c r="AF858" s="949"/>
      <c r="AG858" s="949"/>
      <c r="AH858" s="949"/>
      <c r="AI858" s="949"/>
      <c r="AJ858" s="949"/>
      <c r="AK858" s="949"/>
      <c r="AL858" s="949"/>
      <c r="AM858" s="953" t="s">
        <v>1335</v>
      </c>
      <c r="AN858" s="954"/>
      <c r="AO858" s="955" t="s">
        <v>3246</v>
      </c>
      <c r="AP858" s="931"/>
      <c r="AQ858" s="956"/>
      <c r="AR858" s="957"/>
      <c r="AS858" s="931"/>
    </row>
    <row r="859" ht="15.75" customHeight="1">
      <c r="A859" s="931"/>
      <c r="B859" s="941" t="s">
        <v>3250</v>
      </c>
      <c r="C859" s="942" t="s">
        <v>3251</v>
      </c>
      <c r="D859" s="942" t="s">
        <v>3251</v>
      </c>
      <c r="E859" s="943" t="s">
        <v>3251</v>
      </c>
      <c r="F859" s="935"/>
      <c r="G859" s="944"/>
      <c r="H859" s="944"/>
      <c r="I859" s="946" t="s">
        <v>3252</v>
      </c>
      <c r="J859" s="980" t="s">
        <v>720</v>
      </c>
      <c r="K859" s="954" t="s">
        <v>158</v>
      </c>
      <c r="L859" s="949">
        <v>62.0</v>
      </c>
      <c r="M859" s="949">
        <v>48.0</v>
      </c>
      <c r="N859" s="949">
        <v>66.0</v>
      </c>
      <c r="O859" s="949">
        <v>59.0</v>
      </c>
      <c r="P859" s="949">
        <v>57.0</v>
      </c>
      <c r="Q859" s="949">
        <v>49.0</v>
      </c>
      <c r="R859" s="949">
        <v>134.0</v>
      </c>
      <c r="S859" s="949">
        <v>197.0</v>
      </c>
      <c r="T859" s="949">
        <v>216.0</v>
      </c>
      <c r="U859" s="949"/>
      <c r="V859" s="949"/>
      <c r="W859" s="949"/>
      <c r="X859" s="949"/>
      <c r="Y859" s="949"/>
      <c r="Z859" s="949"/>
      <c r="AA859" s="949"/>
      <c r="AB859" s="949"/>
      <c r="AC859" s="949"/>
      <c r="AD859" s="949"/>
      <c r="AE859" s="949"/>
      <c r="AF859" s="949"/>
      <c r="AG859" s="949"/>
      <c r="AH859" s="949"/>
      <c r="AI859" s="949"/>
      <c r="AJ859" s="949"/>
      <c r="AK859" s="949"/>
      <c r="AL859" s="949"/>
      <c r="AM859" s="953" t="s">
        <v>3253</v>
      </c>
      <c r="AN859" s="954"/>
      <c r="AO859" s="955" t="s">
        <v>1306</v>
      </c>
      <c r="AP859" s="931"/>
      <c r="AQ859" s="956"/>
      <c r="AR859" s="957"/>
      <c r="AS859" s="931"/>
    </row>
    <row r="860" ht="15.75" customHeight="1">
      <c r="A860" s="931"/>
      <c r="B860" s="941" t="s">
        <v>3254</v>
      </c>
      <c r="C860" s="942" t="s">
        <v>3255</v>
      </c>
      <c r="D860" s="942" t="s">
        <v>3255</v>
      </c>
      <c r="E860" s="943" t="s">
        <v>3255</v>
      </c>
      <c r="F860" s="935"/>
      <c r="G860" s="944"/>
      <c r="H860" s="944"/>
      <c r="I860" s="946" t="s">
        <v>3256</v>
      </c>
      <c r="J860" s="980" t="s">
        <v>720</v>
      </c>
      <c r="K860" s="954" t="s">
        <v>158</v>
      </c>
      <c r="L860" s="949">
        <v>82.0</v>
      </c>
      <c r="M860" s="949">
        <v>80.0</v>
      </c>
      <c r="N860" s="949">
        <v>86.0</v>
      </c>
      <c r="O860" s="949">
        <v>85.0</v>
      </c>
      <c r="P860" s="949">
        <v>75.0</v>
      </c>
      <c r="Q860" s="949">
        <v>72.0</v>
      </c>
      <c r="R860" s="949">
        <v>180.0</v>
      </c>
      <c r="S860" s="949">
        <v>243.0</v>
      </c>
      <c r="T860" s="949">
        <v>267.0</v>
      </c>
      <c r="U860" s="949"/>
      <c r="V860" s="949"/>
      <c r="W860" s="949"/>
      <c r="X860" s="949"/>
      <c r="Y860" s="949"/>
      <c r="Z860" s="949"/>
      <c r="AA860" s="949"/>
      <c r="AB860" s="949"/>
      <c r="AC860" s="949"/>
      <c r="AD860" s="949"/>
      <c r="AE860" s="949"/>
      <c r="AF860" s="949"/>
      <c r="AG860" s="949"/>
      <c r="AH860" s="949"/>
      <c r="AI860" s="949"/>
      <c r="AJ860" s="949"/>
      <c r="AK860" s="949"/>
      <c r="AL860" s="949"/>
      <c r="AM860" s="953" t="s">
        <v>3253</v>
      </c>
      <c r="AN860" s="954"/>
      <c r="AO860" s="955" t="s">
        <v>1306</v>
      </c>
      <c r="AP860" s="931"/>
      <c r="AQ860" s="956"/>
      <c r="AR860" s="957"/>
      <c r="AS860" s="931"/>
    </row>
    <row r="861" ht="15.75" customHeight="1">
      <c r="A861" s="931"/>
      <c r="B861" s="941" t="s">
        <v>3257</v>
      </c>
      <c r="C861" s="942" t="s">
        <v>3258</v>
      </c>
      <c r="D861" s="942" t="s">
        <v>3258</v>
      </c>
      <c r="E861" s="943" t="s">
        <v>3258</v>
      </c>
      <c r="F861" s="935"/>
      <c r="G861" s="944"/>
      <c r="H861" s="944"/>
      <c r="I861" s="946" t="s">
        <v>3259</v>
      </c>
      <c r="J861" s="969" t="s">
        <v>718</v>
      </c>
      <c r="K861" s="975" t="s">
        <v>712</v>
      </c>
      <c r="L861" s="949">
        <v>53.0</v>
      </c>
      <c r="M861" s="949">
        <v>54.0</v>
      </c>
      <c r="N861" s="949">
        <v>53.0</v>
      </c>
      <c r="O861" s="949">
        <v>37.0</v>
      </c>
      <c r="P861" s="949">
        <v>46.0</v>
      </c>
      <c r="Q861" s="949">
        <v>45.0</v>
      </c>
      <c r="R861" s="949">
        <v>126.0</v>
      </c>
      <c r="S861" s="949">
        <v>189.0</v>
      </c>
      <c r="T861" s="949">
        <v>207.0</v>
      </c>
      <c r="U861" s="949"/>
      <c r="V861" s="949"/>
      <c r="W861" s="949"/>
      <c r="X861" s="949"/>
      <c r="Y861" s="949"/>
      <c r="Z861" s="949"/>
      <c r="AA861" s="949"/>
      <c r="AB861" s="949"/>
      <c r="AC861" s="949"/>
      <c r="AD861" s="949"/>
      <c r="AE861" s="949"/>
      <c r="AF861" s="949"/>
      <c r="AG861" s="949"/>
      <c r="AH861" s="949"/>
      <c r="AI861" s="949"/>
      <c r="AJ861" s="949"/>
      <c r="AK861" s="949"/>
      <c r="AL861" s="949"/>
      <c r="AM861" s="953" t="s">
        <v>1693</v>
      </c>
      <c r="AN861" s="954" t="s">
        <v>1737</v>
      </c>
      <c r="AO861" s="955" t="s">
        <v>995</v>
      </c>
      <c r="AP861" s="931"/>
      <c r="AQ861" s="956"/>
      <c r="AR861" s="957"/>
      <c r="AS861" s="931"/>
    </row>
    <row r="862" ht="15.75" customHeight="1">
      <c r="A862" s="931"/>
      <c r="B862" s="941" t="s">
        <v>3260</v>
      </c>
      <c r="C862" s="942" t="s">
        <v>3261</v>
      </c>
      <c r="D862" s="942" t="s">
        <v>3261</v>
      </c>
      <c r="E862" s="943" t="s">
        <v>3261</v>
      </c>
      <c r="F862" s="935"/>
      <c r="G862" s="944"/>
      <c r="H862" s="944"/>
      <c r="I862" s="959" t="s">
        <v>3262</v>
      </c>
      <c r="J862" s="969" t="s">
        <v>718</v>
      </c>
      <c r="K862" s="975" t="s">
        <v>712</v>
      </c>
      <c r="L862" s="949">
        <v>86.0</v>
      </c>
      <c r="M862" s="949">
        <v>92.0</v>
      </c>
      <c r="N862" s="949">
        <v>88.0</v>
      </c>
      <c r="O862" s="949">
        <v>68.0</v>
      </c>
      <c r="P862" s="949">
        <v>75.0</v>
      </c>
      <c r="Q862" s="949">
        <v>73.0</v>
      </c>
      <c r="R862" s="949">
        <v>182.0</v>
      </c>
      <c r="S862" s="949">
        <v>245.0</v>
      </c>
      <c r="T862" s="949">
        <v>269.0</v>
      </c>
      <c r="U862" s="949"/>
      <c r="V862" s="949"/>
      <c r="W862" s="949"/>
      <c r="X862" s="949"/>
      <c r="Y862" s="949"/>
      <c r="Z862" s="949"/>
      <c r="AA862" s="949"/>
      <c r="AB862" s="949"/>
      <c r="AC862" s="949"/>
      <c r="AD862" s="949"/>
      <c r="AE862" s="949"/>
      <c r="AF862" s="949"/>
      <c r="AG862" s="949"/>
      <c r="AH862" s="949"/>
      <c r="AI862" s="949"/>
      <c r="AJ862" s="949"/>
      <c r="AK862" s="949"/>
      <c r="AL862" s="949"/>
      <c r="AM862" s="964" t="s">
        <v>1693</v>
      </c>
      <c r="AN862" s="954" t="s">
        <v>1737</v>
      </c>
      <c r="AO862" s="955" t="s">
        <v>995</v>
      </c>
      <c r="AP862" s="931"/>
      <c r="AQ862" s="956"/>
      <c r="AR862" s="957"/>
      <c r="AS862" s="931"/>
    </row>
    <row r="863" ht="15.75" customHeight="1">
      <c r="A863" s="931"/>
      <c r="B863" s="941" t="s">
        <v>3263</v>
      </c>
      <c r="C863" s="942" t="s">
        <v>3264</v>
      </c>
      <c r="D863" s="942" t="s">
        <v>3264</v>
      </c>
      <c r="E863" s="943" t="s">
        <v>3264</v>
      </c>
      <c r="F863" s="935"/>
      <c r="G863" s="944"/>
      <c r="H863" s="944"/>
      <c r="I863" s="959" t="s">
        <v>3265</v>
      </c>
      <c r="J863" s="989" t="s">
        <v>713</v>
      </c>
      <c r="K863" s="962" t="s">
        <v>706</v>
      </c>
      <c r="L863" s="949">
        <v>42.0</v>
      </c>
      <c r="M863" s="949">
        <v>52.0</v>
      </c>
      <c r="N863" s="949">
        <v>67.0</v>
      </c>
      <c r="O863" s="949">
        <v>39.0</v>
      </c>
      <c r="P863" s="949">
        <v>56.0</v>
      </c>
      <c r="Q863" s="949">
        <v>50.0</v>
      </c>
      <c r="R863" s="949">
        <v>136.0</v>
      </c>
      <c r="S863" s="949">
        <v>199.0</v>
      </c>
      <c r="T863" s="949">
        <v>218.0</v>
      </c>
      <c r="U863" s="949"/>
      <c r="V863" s="949"/>
      <c r="W863" s="949"/>
      <c r="X863" s="949"/>
      <c r="Y863" s="949"/>
      <c r="Z863" s="949"/>
      <c r="AA863" s="949"/>
      <c r="AB863" s="949"/>
      <c r="AC863" s="949"/>
      <c r="AD863" s="949"/>
      <c r="AE863" s="949"/>
      <c r="AF863" s="949"/>
      <c r="AG863" s="949"/>
      <c r="AH863" s="949"/>
      <c r="AI863" s="949"/>
      <c r="AJ863" s="949"/>
      <c r="AK863" s="949"/>
      <c r="AL863" s="949"/>
      <c r="AM863" s="964" t="s">
        <v>807</v>
      </c>
      <c r="AN863" s="954" t="s">
        <v>762</v>
      </c>
      <c r="AO863" s="955" t="s">
        <v>1702</v>
      </c>
      <c r="AP863" s="931"/>
      <c r="AQ863" s="956"/>
      <c r="AR863" s="957"/>
      <c r="AS863" s="931"/>
    </row>
    <row r="864" ht="15.75" customHeight="1">
      <c r="A864" s="931"/>
      <c r="B864" s="941" t="s">
        <v>3266</v>
      </c>
      <c r="C864" s="942" t="s">
        <v>3267</v>
      </c>
      <c r="D864" s="942" t="s">
        <v>3267</v>
      </c>
      <c r="E864" s="943" t="s">
        <v>3267</v>
      </c>
      <c r="F864" s="935"/>
      <c r="G864" s="944"/>
      <c r="H864" s="944"/>
      <c r="I864" s="946" t="s">
        <v>3268</v>
      </c>
      <c r="J864" s="989" t="s">
        <v>713</v>
      </c>
      <c r="K864" s="962" t="s">
        <v>706</v>
      </c>
      <c r="L864" s="949">
        <v>72.0</v>
      </c>
      <c r="M864" s="949">
        <v>105.0</v>
      </c>
      <c r="N864" s="949">
        <v>115.0</v>
      </c>
      <c r="O864" s="949">
        <v>54.0</v>
      </c>
      <c r="P864" s="949">
        <v>86.0</v>
      </c>
      <c r="Q864" s="949">
        <v>68.0</v>
      </c>
      <c r="R864" s="949">
        <v>172.0</v>
      </c>
      <c r="S864" s="949">
        <v>235.0</v>
      </c>
      <c r="T864" s="949">
        <v>258.0</v>
      </c>
      <c r="U864" s="949"/>
      <c r="V864" s="949"/>
      <c r="W864" s="949"/>
      <c r="X864" s="949"/>
      <c r="Y864" s="949"/>
      <c r="Z864" s="949"/>
      <c r="AA864" s="949"/>
      <c r="AB864" s="949"/>
      <c r="AC864" s="949"/>
      <c r="AD864" s="949"/>
      <c r="AE864" s="949"/>
      <c r="AF864" s="949"/>
      <c r="AG864" s="949"/>
      <c r="AH864" s="949"/>
      <c r="AI864" s="949"/>
      <c r="AJ864" s="949"/>
      <c r="AK864" s="949"/>
      <c r="AL864" s="949"/>
      <c r="AM864" s="953" t="s">
        <v>807</v>
      </c>
      <c r="AN864" s="954" t="s">
        <v>762</v>
      </c>
      <c r="AO864" s="955" t="s">
        <v>1702</v>
      </c>
      <c r="AP864" s="931"/>
      <c r="AQ864" s="956"/>
      <c r="AR864" s="957"/>
      <c r="AS864" s="931"/>
    </row>
    <row r="865" ht="15.75" customHeight="1">
      <c r="A865" s="931"/>
      <c r="B865" s="941" t="s">
        <v>3269</v>
      </c>
      <c r="C865" s="942" t="s">
        <v>3270</v>
      </c>
      <c r="D865" s="942" t="s">
        <v>3270</v>
      </c>
      <c r="E865" s="943" t="s">
        <v>3270</v>
      </c>
      <c r="F865" s="935"/>
      <c r="G865" s="944"/>
      <c r="H865" s="944"/>
      <c r="I865" s="946" t="s">
        <v>633</v>
      </c>
      <c r="J865" s="948" t="s">
        <v>709</v>
      </c>
      <c r="K865" s="962" t="s">
        <v>706</v>
      </c>
      <c r="L865" s="949">
        <v>50.0</v>
      </c>
      <c r="M865" s="949">
        <v>60.0</v>
      </c>
      <c r="N865" s="949">
        <v>60.0</v>
      </c>
      <c r="O865" s="949">
        <v>60.0</v>
      </c>
      <c r="P865" s="949">
        <v>60.0</v>
      </c>
      <c r="Q865" s="949">
        <v>30.0</v>
      </c>
      <c r="R865" s="949">
        <v>96.0</v>
      </c>
      <c r="S865" s="949">
        <v>159.0</v>
      </c>
      <c r="T865" s="949">
        <v>174.0</v>
      </c>
      <c r="U865" s="949"/>
      <c r="V865" s="949"/>
      <c r="W865" s="949"/>
      <c r="X865" s="949"/>
      <c r="Y865" s="949"/>
      <c r="Z865" s="949"/>
      <c r="AA865" s="949"/>
      <c r="AB865" s="949"/>
      <c r="AC865" s="949"/>
      <c r="AD865" s="949"/>
      <c r="AE865" s="949"/>
      <c r="AF865" s="949"/>
      <c r="AG865" s="949"/>
      <c r="AH865" s="949"/>
      <c r="AI865" s="949"/>
      <c r="AJ865" s="949"/>
      <c r="AK865" s="949"/>
      <c r="AL865" s="949"/>
      <c r="AM865" s="953" t="s">
        <v>942</v>
      </c>
      <c r="AN865" s="954" t="s">
        <v>1224</v>
      </c>
      <c r="AO865" s="955" t="s">
        <v>811</v>
      </c>
      <c r="AP865" s="931"/>
      <c r="AQ865" s="956"/>
      <c r="AR865" s="957"/>
      <c r="AS865" s="931"/>
    </row>
    <row r="866" ht="15.75" customHeight="1">
      <c r="A866" s="931"/>
      <c r="B866" s="941" t="s">
        <v>3271</v>
      </c>
      <c r="C866" s="942" t="s">
        <v>3272</v>
      </c>
      <c r="D866" s="942" t="s">
        <v>3272</v>
      </c>
      <c r="E866" s="943" t="s">
        <v>3272</v>
      </c>
      <c r="F866" s="935"/>
      <c r="G866" s="944"/>
      <c r="H866" s="944"/>
      <c r="I866" s="946" t="s">
        <v>407</v>
      </c>
      <c r="J866" s="948" t="s">
        <v>709</v>
      </c>
      <c r="K866" s="961" t="s">
        <v>716</v>
      </c>
      <c r="L866" s="949">
        <v>65.0</v>
      </c>
      <c r="M866" s="949">
        <v>75.0</v>
      </c>
      <c r="N866" s="949">
        <v>90.0</v>
      </c>
      <c r="O866" s="949">
        <v>97.0</v>
      </c>
      <c r="P866" s="949">
        <v>123.0</v>
      </c>
      <c r="Q866" s="949">
        <v>44.0</v>
      </c>
      <c r="R866" s="949">
        <v>124.0</v>
      </c>
      <c r="S866" s="949">
        <v>187.0</v>
      </c>
      <c r="T866" s="949">
        <v>205.0</v>
      </c>
      <c r="U866" s="949"/>
      <c r="V866" s="949"/>
      <c r="W866" s="949"/>
      <c r="X866" s="949"/>
      <c r="Y866" s="949"/>
      <c r="Z866" s="949"/>
      <c r="AA866" s="949"/>
      <c r="AB866" s="949"/>
      <c r="AC866" s="949"/>
      <c r="AD866" s="949"/>
      <c r="AE866" s="949"/>
      <c r="AF866" s="949"/>
      <c r="AG866" s="949"/>
      <c r="AH866" s="949"/>
      <c r="AI866" s="949"/>
      <c r="AJ866" s="949"/>
      <c r="AK866" s="949"/>
      <c r="AL866" s="949"/>
      <c r="AM866" s="953" t="s">
        <v>942</v>
      </c>
      <c r="AN866" s="954" t="s">
        <v>1224</v>
      </c>
      <c r="AO866" s="955" t="s">
        <v>811</v>
      </c>
      <c r="AP866" s="931"/>
      <c r="AQ866" s="956"/>
      <c r="AR866" s="957"/>
      <c r="AS866" s="931"/>
    </row>
    <row r="867" ht="15.75" customHeight="1">
      <c r="A867" s="931"/>
      <c r="B867" s="941" t="s">
        <v>3273</v>
      </c>
      <c r="C867" s="942" t="s">
        <v>3274</v>
      </c>
      <c r="D867" s="942" t="s">
        <v>3274</v>
      </c>
      <c r="E867" s="943" t="s">
        <v>3274</v>
      </c>
      <c r="F867" s="935"/>
      <c r="G867" s="944"/>
      <c r="H867" s="944"/>
      <c r="I867" s="946" t="s">
        <v>634</v>
      </c>
      <c r="J867" s="962" t="s">
        <v>706</v>
      </c>
      <c r="K867" s="954" t="s">
        <v>158</v>
      </c>
      <c r="L867" s="949">
        <v>50.0</v>
      </c>
      <c r="M867" s="949">
        <v>53.0</v>
      </c>
      <c r="N867" s="949">
        <v>62.0</v>
      </c>
      <c r="O867" s="949">
        <v>58.0</v>
      </c>
      <c r="P867" s="949">
        <v>63.0</v>
      </c>
      <c r="Q867" s="949">
        <v>44.0</v>
      </c>
      <c r="R867" s="949">
        <v>124.0</v>
      </c>
      <c r="S867" s="949">
        <v>187.0</v>
      </c>
      <c r="T867" s="949">
        <v>205.0</v>
      </c>
      <c r="U867" s="949"/>
      <c r="V867" s="949"/>
      <c r="W867" s="949"/>
      <c r="X867" s="949"/>
      <c r="Y867" s="949"/>
      <c r="Z867" s="949"/>
      <c r="AA867" s="949"/>
      <c r="AB867" s="949"/>
      <c r="AC867" s="949"/>
      <c r="AD867" s="949"/>
      <c r="AE867" s="949"/>
      <c r="AF867" s="949"/>
      <c r="AG867" s="949"/>
      <c r="AH867" s="949"/>
      <c r="AI867" s="949"/>
      <c r="AJ867" s="949"/>
      <c r="AK867" s="949"/>
      <c r="AL867" s="949"/>
      <c r="AM867" s="953" t="s">
        <v>782</v>
      </c>
      <c r="AN867" s="954"/>
      <c r="AO867" s="955"/>
      <c r="AP867" s="931"/>
      <c r="AQ867" s="956"/>
      <c r="AR867" s="957"/>
      <c r="AS867" s="931"/>
    </row>
    <row r="868" ht="15.75" customHeight="1">
      <c r="A868" s="931"/>
      <c r="B868" s="941" t="s">
        <v>3275</v>
      </c>
      <c r="C868" s="942" t="s">
        <v>3276</v>
      </c>
      <c r="D868" s="942" t="s">
        <v>3276</v>
      </c>
      <c r="E868" s="943" t="s">
        <v>3276</v>
      </c>
      <c r="F868" s="935"/>
      <c r="G868" s="944"/>
      <c r="H868" s="944"/>
      <c r="I868" s="946" t="s">
        <v>447</v>
      </c>
      <c r="J868" s="962" t="s">
        <v>706</v>
      </c>
      <c r="K868" s="954" t="s">
        <v>158</v>
      </c>
      <c r="L868" s="949">
        <v>71.0</v>
      </c>
      <c r="M868" s="949">
        <v>73.0</v>
      </c>
      <c r="N868" s="949">
        <v>88.0</v>
      </c>
      <c r="O868" s="949">
        <v>120.0</v>
      </c>
      <c r="P868" s="949">
        <v>89.0</v>
      </c>
      <c r="Q868" s="949">
        <v>59.0</v>
      </c>
      <c r="R868" s="949">
        <v>154.0</v>
      </c>
      <c r="S868" s="949">
        <v>217.0</v>
      </c>
      <c r="T868" s="949">
        <v>238.0</v>
      </c>
      <c r="U868" s="949"/>
      <c r="V868" s="949"/>
      <c r="W868" s="949"/>
      <c r="X868" s="949"/>
      <c r="Y868" s="949"/>
      <c r="Z868" s="949"/>
      <c r="AA868" s="949"/>
      <c r="AB868" s="949"/>
      <c r="AC868" s="949"/>
      <c r="AD868" s="949"/>
      <c r="AE868" s="949"/>
      <c r="AF868" s="949"/>
      <c r="AG868" s="949"/>
      <c r="AH868" s="949"/>
      <c r="AI868" s="949"/>
      <c r="AJ868" s="949"/>
      <c r="AK868" s="949"/>
      <c r="AL868" s="949"/>
      <c r="AM868" s="953" t="s">
        <v>782</v>
      </c>
      <c r="AN868" s="954"/>
      <c r="AO868" s="955"/>
      <c r="AP868" s="931"/>
      <c r="AQ868" s="956"/>
      <c r="AR868" s="957"/>
      <c r="AS868" s="931"/>
    </row>
    <row r="869" ht="15.75" customHeight="1">
      <c r="A869" s="931"/>
      <c r="B869" s="941" t="s">
        <v>3277</v>
      </c>
      <c r="C869" s="942" t="s">
        <v>3278</v>
      </c>
      <c r="D869" s="942" t="s">
        <v>3278</v>
      </c>
      <c r="E869" s="943" t="s">
        <v>3278</v>
      </c>
      <c r="F869" s="935"/>
      <c r="G869" s="944"/>
      <c r="H869" s="944"/>
      <c r="I869" s="959" t="s">
        <v>3279</v>
      </c>
      <c r="J869" s="970" t="s">
        <v>710</v>
      </c>
      <c r="K869" s="968" t="s">
        <v>703</v>
      </c>
      <c r="L869" s="949">
        <v>44.0</v>
      </c>
      <c r="M869" s="949">
        <v>38.0</v>
      </c>
      <c r="N869" s="949">
        <v>33.0</v>
      </c>
      <c r="O869" s="949">
        <v>61.0</v>
      </c>
      <c r="P869" s="949">
        <v>43.0</v>
      </c>
      <c r="Q869" s="949">
        <v>70.0</v>
      </c>
      <c r="R869" s="949">
        <v>176.0</v>
      </c>
      <c r="S869" s="949">
        <v>239.0</v>
      </c>
      <c r="T869" s="949">
        <v>262.0</v>
      </c>
      <c r="U869" s="949"/>
      <c r="V869" s="949"/>
      <c r="W869" s="949"/>
      <c r="X869" s="949"/>
      <c r="Y869" s="949"/>
      <c r="Z869" s="949"/>
      <c r="AA869" s="949"/>
      <c r="AB869" s="949"/>
      <c r="AC869" s="949"/>
      <c r="AD869" s="949"/>
      <c r="AE869" s="949"/>
      <c r="AF869" s="949"/>
      <c r="AG869" s="949"/>
      <c r="AH869" s="949"/>
      <c r="AI869" s="949"/>
      <c r="AJ869" s="949"/>
      <c r="AK869" s="949"/>
      <c r="AL869" s="949"/>
      <c r="AM869" s="953" t="s">
        <v>1013</v>
      </c>
      <c r="AN869" s="954" t="s">
        <v>923</v>
      </c>
      <c r="AO869" s="955" t="s">
        <v>751</v>
      </c>
      <c r="AP869" s="931"/>
      <c r="AQ869" s="956"/>
      <c r="AR869" s="957"/>
      <c r="AS869" s="931"/>
    </row>
    <row r="870" ht="15.75" customHeight="1">
      <c r="A870" s="931"/>
      <c r="B870" s="941" t="s">
        <v>3280</v>
      </c>
      <c r="C870" s="942" t="s">
        <v>3281</v>
      </c>
      <c r="D870" s="942" t="s">
        <v>3281</v>
      </c>
      <c r="E870" s="943" t="s">
        <v>3281</v>
      </c>
      <c r="F870" s="935"/>
      <c r="G870" s="944"/>
      <c r="H870" s="944"/>
      <c r="I870" s="959" t="s">
        <v>3282</v>
      </c>
      <c r="J870" s="970" t="s">
        <v>710</v>
      </c>
      <c r="K870" s="968" t="s">
        <v>703</v>
      </c>
      <c r="L870" s="949">
        <v>62.0</v>
      </c>
      <c r="M870" s="949">
        <v>55.0</v>
      </c>
      <c r="N870" s="949">
        <v>52.0</v>
      </c>
      <c r="O870" s="949">
        <v>109.0</v>
      </c>
      <c r="P870" s="949">
        <v>94.0</v>
      </c>
      <c r="Q870" s="949">
        <v>109.0</v>
      </c>
      <c r="R870" s="949">
        <v>254.0</v>
      </c>
      <c r="S870" s="949">
        <v>317.0</v>
      </c>
      <c r="T870" s="949">
        <v>348.0</v>
      </c>
      <c r="U870" s="949"/>
      <c r="V870" s="949"/>
      <c r="W870" s="949"/>
      <c r="X870" s="949"/>
      <c r="Y870" s="949"/>
      <c r="Z870" s="949"/>
      <c r="AA870" s="949"/>
      <c r="AB870" s="949"/>
      <c r="AC870" s="949"/>
      <c r="AD870" s="949"/>
      <c r="AE870" s="949"/>
      <c r="AF870" s="949"/>
      <c r="AG870" s="949"/>
      <c r="AH870" s="949"/>
      <c r="AI870" s="949"/>
      <c r="AJ870" s="949"/>
      <c r="AK870" s="949"/>
      <c r="AL870" s="949"/>
      <c r="AM870" s="953" t="s">
        <v>1013</v>
      </c>
      <c r="AN870" s="954" t="s">
        <v>923</v>
      </c>
      <c r="AO870" s="955" t="s">
        <v>751</v>
      </c>
      <c r="AP870" s="931"/>
      <c r="AQ870" s="956"/>
      <c r="AR870" s="957"/>
      <c r="AS870" s="931"/>
    </row>
    <row r="871" ht="15.75" customHeight="1">
      <c r="A871" s="931"/>
      <c r="B871" s="941" t="s">
        <v>3283</v>
      </c>
      <c r="C871" s="942" t="s">
        <v>3284</v>
      </c>
      <c r="D871" s="942" t="s">
        <v>3284</v>
      </c>
      <c r="E871" s="943" t="s">
        <v>3284</v>
      </c>
      <c r="F871" s="935"/>
      <c r="G871" s="944"/>
      <c r="H871" s="944"/>
      <c r="I871" s="959" t="s">
        <v>3285</v>
      </c>
      <c r="J871" s="989" t="s">
        <v>713</v>
      </c>
      <c r="K871" s="961" t="s">
        <v>716</v>
      </c>
      <c r="L871" s="949">
        <v>58.0</v>
      </c>
      <c r="M871" s="949">
        <v>89.0</v>
      </c>
      <c r="N871" s="949">
        <v>77.0</v>
      </c>
      <c r="O871" s="949">
        <v>45.0</v>
      </c>
      <c r="P871" s="949">
        <v>45.0</v>
      </c>
      <c r="Q871" s="949">
        <v>48.0</v>
      </c>
      <c r="R871" s="949">
        <v>132.0</v>
      </c>
      <c r="S871" s="949">
        <v>195.0</v>
      </c>
      <c r="T871" s="949">
        <v>214.0</v>
      </c>
      <c r="U871" s="949"/>
      <c r="V871" s="949"/>
      <c r="W871" s="949"/>
      <c r="X871" s="949"/>
      <c r="Y871" s="949"/>
      <c r="Z871" s="949"/>
      <c r="AA871" s="949"/>
      <c r="AB871" s="949"/>
      <c r="AC871" s="949"/>
      <c r="AD871" s="949"/>
      <c r="AE871" s="949"/>
      <c r="AF871" s="949"/>
      <c r="AG871" s="949"/>
      <c r="AH871" s="949"/>
      <c r="AI871" s="949"/>
      <c r="AJ871" s="949"/>
      <c r="AK871" s="949"/>
      <c r="AL871" s="949"/>
      <c r="AM871" s="953" t="s">
        <v>2039</v>
      </c>
      <c r="AN871" s="954"/>
      <c r="AO871" s="955" t="s">
        <v>1135</v>
      </c>
      <c r="AP871" s="931"/>
      <c r="AQ871" s="956"/>
      <c r="AR871" s="957"/>
      <c r="AS871" s="931"/>
    </row>
    <row r="872" ht="15.75" customHeight="1">
      <c r="A872" s="931"/>
      <c r="B872" s="941" t="s">
        <v>3286</v>
      </c>
      <c r="C872" s="942" t="s">
        <v>3287</v>
      </c>
      <c r="D872" s="942" t="s">
        <v>3287</v>
      </c>
      <c r="E872" s="943" t="s">
        <v>3287</v>
      </c>
      <c r="F872" s="935"/>
      <c r="G872" s="944"/>
      <c r="H872" s="944"/>
      <c r="I872" s="959" t="s">
        <v>3288</v>
      </c>
      <c r="J872" s="989" t="s">
        <v>713</v>
      </c>
      <c r="K872" s="961" t="s">
        <v>716</v>
      </c>
      <c r="L872" s="949">
        <v>82.0</v>
      </c>
      <c r="M872" s="949">
        <v>121.0</v>
      </c>
      <c r="N872" s="949">
        <v>119.0</v>
      </c>
      <c r="O872" s="949">
        <v>69.0</v>
      </c>
      <c r="P872" s="949">
        <v>59.0</v>
      </c>
      <c r="Q872" s="949">
        <v>71.0</v>
      </c>
      <c r="R872" s="949">
        <v>178.0</v>
      </c>
      <c r="S872" s="949">
        <v>241.0</v>
      </c>
      <c r="T872" s="949">
        <v>265.0</v>
      </c>
      <c r="U872" s="949"/>
      <c r="V872" s="949"/>
      <c r="W872" s="949"/>
      <c r="X872" s="949"/>
      <c r="Y872" s="949"/>
      <c r="Z872" s="949"/>
      <c r="AA872" s="949"/>
      <c r="AB872" s="949"/>
      <c r="AC872" s="949"/>
      <c r="AD872" s="949"/>
      <c r="AE872" s="949"/>
      <c r="AF872" s="949"/>
      <c r="AG872" s="949"/>
      <c r="AH872" s="949"/>
      <c r="AI872" s="949"/>
      <c r="AJ872" s="949"/>
      <c r="AK872" s="949"/>
      <c r="AL872" s="949"/>
      <c r="AM872" s="953" t="s">
        <v>2039</v>
      </c>
      <c r="AN872" s="954"/>
      <c r="AO872" s="955" t="s">
        <v>1077</v>
      </c>
      <c r="AP872" s="931"/>
      <c r="AQ872" s="956"/>
      <c r="AR872" s="957"/>
      <c r="AS872" s="931"/>
    </row>
    <row r="873" ht="15.75" customHeight="1">
      <c r="A873" s="931"/>
      <c r="B873" s="941" t="s">
        <v>3289</v>
      </c>
      <c r="C873" s="942" t="s">
        <v>3290</v>
      </c>
      <c r="D873" s="942" t="s">
        <v>3290</v>
      </c>
      <c r="E873" s="943" t="s">
        <v>3290</v>
      </c>
      <c r="F873" s="935"/>
      <c r="G873" s="944"/>
      <c r="H873" s="944"/>
      <c r="I873" s="946" t="s">
        <v>3291</v>
      </c>
      <c r="J873" s="989" t="s">
        <v>713</v>
      </c>
      <c r="K873" s="977" t="s">
        <v>714</v>
      </c>
      <c r="L873" s="949">
        <v>77.0</v>
      </c>
      <c r="M873" s="949">
        <v>59.0</v>
      </c>
      <c r="N873" s="949">
        <v>50.0</v>
      </c>
      <c r="O873" s="949">
        <v>67.0</v>
      </c>
      <c r="P873" s="949">
        <v>63.0</v>
      </c>
      <c r="Q873" s="949">
        <v>46.0</v>
      </c>
      <c r="R873" s="949">
        <v>128.0</v>
      </c>
      <c r="S873" s="949">
        <v>191.0</v>
      </c>
      <c r="T873" s="949">
        <v>210.0</v>
      </c>
      <c r="U873" s="949"/>
      <c r="V873" s="949"/>
      <c r="W873" s="949"/>
      <c r="X873" s="949"/>
      <c r="Y873" s="949"/>
      <c r="Z873" s="949"/>
      <c r="AA873" s="949"/>
      <c r="AB873" s="949"/>
      <c r="AC873" s="949"/>
      <c r="AD873" s="949"/>
      <c r="AE873" s="949"/>
      <c r="AF873" s="949"/>
      <c r="AG873" s="949"/>
      <c r="AH873" s="949"/>
      <c r="AI873" s="949"/>
      <c r="AJ873" s="949"/>
      <c r="AK873" s="949"/>
      <c r="AL873" s="949"/>
      <c r="AM873" s="953" t="s">
        <v>2181</v>
      </c>
      <c r="AN873" s="954"/>
      <c r="AO873" s="955" t="s">
        <v>977</v>
      </c>
      <c r="AP873" s="931"/>
      <c r="AQ873" s="956"/>
      <c r="AR873" s="957"/>
      <c r="AS873" s="931"/>
    </row>
    <row r="874" ht="15.75" customHeight="1">
      <c r="A874" s="931"/>
      <c r="B874" s="941" t="s">
        <v>3292</v>
      </c>
      <c r="C874" s="942" t="s">
        <v>3293</v>
      </c>
      <c r="D874" s="942" t="s">
        <v>3293</v>
      </c>
      <c r="E874" s="943" t="s">
        <v>3293</v>
      </c>
      <c r="F874" s="935"/>
      <c r="G874" s="944"/>
      <c r="H874" s="944"/>
      <c r="I874" s="946" t="s">
        <v>3294</v>
      </c>
      <c r="J874" s="989" t="s">
        <v>713</v>
      </c>
      <c r="K874" s="977" t="s">
        <v>714</v>
      </c>
      <c r="L874" s="949">
        <v>123.0</v>
      </c>
      <c r="M874" s="949">
        <v>77.0</v>
      </c>
      <c r="N874" s="949">
        <v>72.0</v>
      </c>
      <c r="O874" s="949">
        <v>99.0</v>
      </c>
      <c r="P874" s="949">
        <v>92.0</v>
      </c>
      <c r="Q874" s="949">
        <v>58.0</v>
      </c>
      <c r="R874" s="949">
        <v>152.0</v>
      </c>
      <c r="S874" s="949">
        <v>215.0</v>
      </c>
      <c r="T874" s="949">
        <v>236.0</v>
      </c>
      <c r="U874" s="949"/>
      <c r="V874" s="949"/>
      <c r="W874" s="949"/>
      <c r="X874" s="949"/>
      <c r="Y874" s="949"/>
      <c r="Z874" s="949"/>
      <c r="AA874" s="949"/>
      <c r="AB874" s="949"/>
      <c r="AC874" s="949"/>
      <c r="AD874" s="949"/>
      <c r="AE874" s="949"/>
      <c r="AF874" s="949"/>
      <c r="AG874" s="949"/>
      <c r="AH874" s="949"/>
      <c r="AI874" s="949"/>
      <c r="AJ874" s="949"/>
      <c r="AK874" s="949"/>
      <c r="AL874" s="949"/>
      <c r="AM874" s="953" t="s">
        <v>2181</v>
      </c>
      <c r="AN874" s="954"/>
      <c r="AO874" s="955" t="s">
        <v>977</v>
      </c>
      <c r="AP874" s="931"/>
      <c r="AQ874" s="956"/>
      <c r="AR874" s="957"/>
      <c r="AS874" s="931"/>
    </row>
    <row r="875" ht="15.75" customHeight="1">
      <c r="A875" s="931"/>
      <c r="B875" s="941" t="s">
        <v>3295</v>
      </c>
      <c r="C875" s="942" t="s">
        <v>199</v>
      </c>
      <c r="D875" s="942" t="s">
        <v>199</v>
      </c>
      <c r="E875" s="943" t="s">
        <v>199</v>
      </c>
      <c r="F875" s="935"/>
      <c r="G875" s="944"/>
      <c r="H875" s="944"/>
      <c r="I875" s="946" t="s">
        <v>59</v>
      </c>
      <c r="J875" s="980" t="s">
        <v>720</v>
      </c>
      <c r="K875" s="954" t="s">
        <v>158</v>
      </c>
      <c r="L875" s="949">
        <v>95.0</v>
      </c>
      <c r="M875" s="949">
        <v>65.0</v>
      </c>
      <c r="N875" s="949">
        <v>65.0</v>
      </c>
      <c r="O875" s="949">
        <v>110.0</v>
      </c>
      <c r="P875" s="949">
        <v>130.0</v>
      </c>
      <c r="Q875" s="949">
        <v>60.0</v>
      </c>
      <c r="R875" s="949">
        <v>156.0</v>
      </c>
      <c r="S875" s="949">
        <v>219.0</v>
      </c>
      <c r="T875" s="949">
        <v>240.0</v>
      </c>
      <c r="U875" s="949"/>
      <c r="V875" s="949"/>
      <c r="W875" s="949"/>
      <c r="X875" s="949"/>
      <c r="Y875" s="949"/>
      <c r="Z875" s="949"/>
      <c r="AA875" s="949"/>
      <c r="AB875" s="949"/>
      <c r="AC875" s="949"/>
      <c r="AD875" s="949"/>
      <c r="AE875" s="949"/>
      <c r="AF875" s="949"/>
      <c r="AG875" s="949"/>
      <c r="AH875" s="949"/>
      <c r="AI875" s="949"/>
      <c r="AJ875" s="949"/>
      <c r="AK875" s="949"/>
      <c r="AL875" s="949"/>
      <c r="AM875" s="953" t="s">
        <v>962</v>
      </c>
      <c r="AN875" s="954"/>
      <c r="AO875" s="955" t="s">
        <v>1919</v>
      </c>
      <c r="AP875" s="931"/>
      <c r="AQ875" s="956"/>
      <c r="AR875" s="957"/>
      <c r="AS875" s="931"/>
    </row>
    <row r="876" ht="15.75" customHeight="1">
      <c r="A876" s="931"/>
      <c r="B876" s="941" t="s">
        <v>3296</v>
      </c>
      <c r="C876" s="942" t="s">
        <v>3297</v>
      </c>
      <c r="D876" s="942" t="s">
        <v>3297</v>
      </c>
      <c r="E876" s="943" t="s">
        <v>3297</v>
      </c>
      <c r="F876" s="935"/>
      <c r="G876" s="944"/>
      <c r="H876" s="944"/>
      <c r="I876" s="946" t="s">
        <v>419</v>
      </c>
      <c r="J876" s="988" t="s">
        <v>705</v>
      </c>
      <c r="K876" s="960" t="s">
        <v>707</v>
      </c>
      <c r="L876" s="949">
        <v>78.0</v>
      </c>
      <c r="M876" s="949">
        <v>92.0</v>
      </c>
      <c r="N876" s="949">
        <v>75.0</v>
      </c>
      <c r="O876" s="949">
        <v>74.0</v>
      </c>
      <c r="P876" s="949">
        <v>63.0</v>
      </c>
      <c r="Q876" s="949">
        <v>118.0</v>
      </c>
      <c r="R876" s="949">
        <v>272.0</v>
      </c>
      <c r="S876" s="949">
        <v>335.0</v>
      </c>
      <c r="T876" s="949">
        <v>368.0</v>
      </c>
      <c r="U876" s="949"/>
      <c r="V876" s="949"/>
      <c r="W876" s="949"/>
      <c r="X876" s="949"/>
      <c r="Y876" s="949"/>
      <c r="Z876" s="949"/>
      <c r="AA876" s="949"/>
      <c r="AB876" s="949"/>
      <c r="AC876" s="949"/>
      <c r="AD876" s="949"/>
      <c r="AE876" s="949"/>
      <c r="AF876" s="949"/>
      <c r="AG876" s="949"/>
      <c r="AH876" s="949"/>
      <c r="AI876" s="949"/>
      <c r="AJ876" s="949"/>
      <c r="AK876" s="949"/>
      <c r="AL876" s="949"/>
      <c r="AM876" s="953" t="s">
        <v>1053</v>
      </c>
      <c r="AN876" s="954" t="s">
        <v>1306</v>
      </c>
      <c r="AO876" s="955" t="s">
        <v>1391</v>
      </c>
      <c r="AP876" s="931"/>
      <c r="AQ876" s="956"/>
      <c r="AR876" s="957"/>
      <c r="AS876" s="931"/>
    </row>
    <row r="877" ht="15.75" customHeight="1">
      <c r="A877" s="931"/>
      <c r="B877" s="941" t="s">
        <v>3298</v>
      </c>
      <c r="C877" s="942" t="s">
        <v>3299</v>
      </c>
      <c r="D877" s="942" t="s">
        <v>3299</v>
      </c>
      <c r="E877" s="943" t="s">
        <v>3299</v>
      </c>
      <c r="F877" s="935"/>
      <c r="G877" s="944"/>
      <c r="H877" s="944"/>
      <c r="I877" s="959" t="s">
        <v>515</v>
      </c>
      <c r="J877" s="970" t="s">
        <v>710</v>
      </c>
      <c r="K877" s="980" t="s">
        <v>720</v>
      </c>
      <c r="L877" s="949">
        <v>67.0</v>
      </c>
      <c r="M877" s="949">
        <v>58.0</v>
      </c>
      <c r="N877" s="949">
        <v>57.0</v>
      </c>
      <c r="O877" s="949">
        <v>81.0</v>
      </c>
      <c r="P877" s="949">
        <v>67.0</v>
      </c>
      <c r="Q877" s="949">
        <v>101.0</v>
      </c>
      <c r="R877" s="949">
        <v>238.0</v>
      </c>
      <c r="S877" s="949">
        <v>301.0</v>
      </c>
      <c r="T877" s="949">
        <v>331.0</v>
      </c>
      <c r="U877" s="949"/>
      <c r="V877" s="949"/>
      <c r="W877" s="949"/>
      <c r="X877" s="949"/>
      <c r="Y877" s="949"/>
      <c r="Z877" s="949"/>
      <c r="AA877" s="949"/>
      <c r="AB877" s="949"/>
      <c r="AC877" s="949"/>
      <c r="AD877" s="949"/>
      <c r="AE877" s="949"/>
      <c r="AF877" s="949"/>
      <c r="AG877" s="949"/>
      <c r="AH877" s="949"/>
      <c r="AI877" s="949"/>
      <c r="AJ877" s="949"/>
      <c r="AK877" s="949"/>
      <c r="AL877" s="949"/>
      <c r="AM877" s="953" t="s">
        <v>3165</v>
      </c>
      <c r="AN877" s="954" t="s">
        <v>1040</v>
      </c>
      <c r="AO877" s="955" t="s">
        <v>1589</v>
      </c>
      <c r="AP877" s="931"/>
      <c r="AQ877" s="956"/>
      <c r="AR877" s="957"/>
      <c r="AS877" s="931"/>
    </row>
    <row r="878" ht="15.75" customHeight="1">
      <c r="A878" s="931"/>
      <c r="B878" s="941" t="s">
        <v>3300</v>
      </c>
      <c r="C878" s="942" t="s">
        <v>3301</v>
      </c>
      <c r="D878" s="942" t="s">
        <v>3301</v>
      </c>
      <c r="E878" s="943" t="s">
        <v>3301</v>
      </c>
      <c r="F878" s="935"/>
      <c r="G878" s="944"/>
      <c r="H878" s="944"/>
      <c r="I878" s="946" t="s">
        <v>3302</v>
      </c>
      <c r="J878" s="989" t="s">
        <v>713</v>
      </c>
      <c r="K878" s="980" t="s">
        <v>720</v>
      </c>
      <c r="L878" s="949">
        <v>50.0</v>
      </c>
      <c r="M878" s="949">
        <v>50.0</v>
      </c>
      <c r="N878" s="949">
        <v>150.0</v>
      </c>
      <c r="O878" s="949">
        <v>50.0</v>
      </c>
      <c r="P878" s="949">
        <v>150.0</v>
      </c>
      <c r="Q878" s="949">
        <v>50.0</v>
      </c>
      <c r="R878" s="949">
        <v>136.0</v>
      </c>
      <c r="S878" s="949">
        <v>199.0</v>
      </c>
      <c r="T878" s="949">
        <v>218.0</v>
      </c>
      <c r="U878" s="949"/>
      <c r="V878" s="949"/>
      <c r="W878" s="949"/>
      <c r="X878" s="949"/>
      <c r="Y878" s="949"/>
      <c r="Z878" s="949"/>
      <c r="AA878" s="949"/>
      <c r="AB878" s="949"/>
      <c r="AC878" s="949"/>
      <c r="AD878" s="949"/>
      <c r="AE878" s="949"/>
      <c r="AF878" s="949"/>
      <c r="AG878" s="949"/>
      <c r="AH878" s="949"/>
      <c r="AI878" s="949"/>
      <c r="AJ878" s="949"/>
      <c r="AK878" s="949"/>
      <c r="AL878" s="949"/>
      <c r="AM878" s="953" t="s">
        <v>1127</v>
      </c>
      <c r="AN878" s="954"/>
      <c r="AO878" s="955" t="s">
        <v>1135</v>
      </c>
      <c r="AP878" s="931"/>
      <c r="AQ878" s="956"/>
      <c r="AR878" s="957"/>
      <c r="AS878" s="931"/>
    </row>
    <row r="879" ht="15.75" customHeight="1">
      <c r="A879" s="963"/>
      <c r="B879" s="941" t="s">
        <v>3303</v>
      </c>
      <c r="C879" s="971" t="s">
        <v>3304</v>
      </c>
      <c r="D879" s="971" t="s">
        <v>3304</v>
      </c>
      <c r="E879" s="966" t="s">
        <v>3304</v>
      </c>
      <c r="F879" s="935"/>
      <c r="G879" s="944"/>
      <c r="H879" s="944"/>
      <c r="I879" s="959" t="s">
        <v>635</v>
      </c>
      <c r="J879" s="1005" t="s">
        <v>716</v>
      </c>
      <c r="K879" s="973" t="s">
        <v>158</v>
      </c>
      <c r="L879" s="974">
        <v>45.0</v>
      </c>
      <c r="M879" s="974">
        <v>50.0</v>
      </c>
      <c r="N879" s="974">
        <v>35.0</v>
      </c>
      <c r="O879" s="974">
        <v>55.0</v>
      </c>
      <c r="P879" s="974">
        <v>75.0</v>
      </c>
      <c r="Q879" s="974">
        <v>40.0</v>
      </c>
      <c r="R879" s="949">
        <v>116.0</v>
      </c>
      <c r="S879" s="949">
        <v>179.0</v>
      </c>
      <c r="T879" s="949">
        <v>196.0</v>
      </c>
      <c r="U879" s="949"/>
      <c r="V879" s="949"/>
      <c r="W879" s="949"/>
      <c r="X879" s="949"/>
      <c r="Y879" s="949"/>
      <c r="Z879" s="949"/>
      <c r="AA879" s="949"/>
      <c r="AB879" s="949"/>
      <c r="AC879" s="949"/>
      <c r="AD879" s="949"/>
      <c r="AE879" s="949"/>
      <c r="AF879" s="949"/>
      <c r="AG879" s="949"/>
      <c r="AH879" s="949"/>
      <c r="AI879" s="949"/>
      <c r="AJ879" s="949"/>
      <c r="AK879" s="949"/>
      <c r="AL879" s="949"/>
      <c r="AM879" s="964" t="s">
        <v>1603</v>
      </c>
      <c r="AN879" s="954" t="s">
        <v>1216</v>
      </c>
      <c r="AO879" s="965" t="s">
        <v>3305</v>
      </c>
      <c r="AP879" s="931"/>
      <c r="AQ879" s="956"/>
      <c r="AR879" s="957"/>
      <c r="AS879" s="931"/>
    </row>
    <row r="880" ht="15.75" customHeight="1">
      <c r="A880" s="963"/>
      <c r="B880" s="941" t="s">
        <v>3306</v>
      </c>
      <c r="C880" s="971" t="s">
        <v>3307</v>
      </c>
      <c r="D880" s="971" t="s">
        <v>3307</v>
      </c>
      <c r="E880" s="966" t="s">
        <v>3307</v>
      </c>
      <c r="F880" s="935"/>
      <c r="G880" s="944"/>
      <c r="H880" s="944"/>
      <c r="I880" s="959" t="s">
        <v>548</v>
      </c>
      <c r="J880" s="1005" t="s">
        <v>716</v>
      </c>
      <c r="K880" s="973" t="s">
        <v>158</v>
      </c>
      <c r="L880" s="974">
        <v>68.0</v>
      </c>
      <c r="M880" s="974">
        <v>75.0</v>
      </c>
      <c r="N880" s="974">
        <v>53.0</v>
      </c>
      <c r="O880" s="974">
        <v>83.0</v>
      </c>
      <c r="P880" s="974">
        <v>113.0</v>
      </c>
      <c r="Q880" s="974">
        <v>60.0</v>
      </c>
      <c r="R880" s="949">
        <v>156.0</v>
      </c>
      <c r="S880" s="949">
        <v>219.0</v>
      </c>
      <c r="T880" s="949">
        <v>240.0</v>
      </c>
      <c r="U880" s="949"/>
      <c r="V880" s="949"/>
      <c r="W880" s="949"/>
      <c r="X880" s="949"/>
      <c r="Y880" s="949"/>
      <c r="Z880" s="949"/>
      <c r="AA880" s="949"/>
      <c r="AB880" s="949"/>
      <c r="AC880" s="949"/>
      <c r="AD880" s="949"/>
      <c r="AE880" s="949"/>
      <c r="AF880" s="949"/>
      <c r="AG880" s="949"/>
      <c r="AH880" s="949"/>
      <c r="AI880" s="949"/>
      <c r="AJ880" s="949"/>
      <c r="AK880" s="949"/>
      <c r="AL880" s="949"/>
      <c r="AM880" s="964" t="s">
        <v>1603</v>
      </c>
      <c r="AN880" s="954" t="s">
        <v>1216</v>
      </c>
      <c r="AO880" s="965" t="s">
        <v>3305</v>
      </c>
      <c r="AP880" s="931"/>
      <c r="AQ880" s="956"/>
      <c r="AR880" s="957"/>
      <c r="AS880" s="931"/>
    </row>
    <row r="881" ht="15.75" customHeight="1">
      <c r="A881" s="963"/>
      <c r="B881" s="941" t="s">
        <v>3308</v>
      </c>
      <c r="C881" s="971" t="str">
        <f t="shared" ref="C881:E881" si="14">C880&amp;"-hisui"</f>
        <v>sliggoo-hisui</v>
      </c>
      <c r="D881" s="971" t="str">
        <f t="shared" si="14"/>
        <v>sliggoo-hisui</v>
      </c>
      <c r="E881" s="966" t="str">
        <f t="shared" si="14"/>
        <v>sliggoo-hisui</v>
      </c>
      <c r="F881" s="935"/>
      <c r="G881" s="944"/>
      <c r="H881" s="944"/>
      <c r="I881" s="959" t="s">
        <v>3309</v>
      </c>
      <c r="J881" s="1007" t="s">
        <v>719</v>
      </c>
      <c r="K881" s="1005" t="s">
        <v>716</v>
      </c>
      <c r="L881" s="974">
        <v>58.0</v>
      </c>
      <c r="M881" s="974">
        <v>75.0</v>
      </c>
      <c r="N881" s="974">
        <v>83.0</v>
      </c>
      <c r="O881" s="974">
        <v>83.0</v>
      </c>
      <c r="P881" s="974">
        <v>113.0</v>
      </c>
      <c r="Q881" s="974">
        <v>40.0</v>
      </c>
      <c r="R881" s="949">
        <v>116.0</v>
      </c>
      <c r="S881" s="949">
        <v>179.0</v>
      </c>
      <c r="T881" s="949">
        <v>196.0</v>
      </c>
      <c r="U881" s="949"/>
      <c r="V881" s="949"/>
      <c r="W881" s="949"/>
      <c r="X881" s="949"/>
      <c r="Y881" s="949"/>
      <c r="Z881" s="949"/>
      <c r="AA881" s="949"/>
      <c r="AB881" s="949"/>
      <c r="AC881" s="949"/>
      <c r="AD881" s="949"/>
      <c r="AE881" s="949"/>
      <c r="AF881" s="949"/>
      <c r="AG881" s="949"/>
      <c r="AH881" s="949"/>
      <c r="AI881" s="949"/>
      <c r="AJ881" s="949"/>
      <c r="AK881" s="949"/>
      <c r="AL881" s="949"/>
      <c r="AM881" s="964" t="s">
        <v>1603</v>
      </c>
      <c r="AN881" s="953" t="s">
        <v>1192</v>
      </c>
      <c r="AO881" s="965" t="s">
        <v>3305</v>
      </c>
      <c r="AP881" s="931"/>
      <c r="AQ881" s="956"/>
      <c r="AR881" s="957"/>
      <c r="AS881" s="931"/>
    </row>
    <row r="882" ht="15.75" customHeight="1">
      <c r="A882" s="931"/>
      <c r="B882" s="941" t="s">
        <v>3310</v>
      </c>
      <c r="C882" s="942" t="s">
        <v>3311</v>
      </c>
      <c r="D882" s="942" t="s">
        <v>3311</v>
      </c>
      <c r="E882" s="943" t="s">
        <v>3311</v>
      </c>
      <c r="F882" s="935"/>
      <c r="G882" s="944"/>
      <c r="H882" s="944"/>
      <c r="I882" s="946" t="s">
        <v>400</v>
      </c>
      <c r="J882" s="961" t="s">
        <v>716</v>
      </c>
      <c r="K882" s="954" t="s">
        <v>158</v>
      </c>
      <c r="L882" s="949">
        <v>90.0</v>
      </c>
      <c r="M882" s="949">
        <v>100.0</v>
      </c>
      <c r="N882" s="949">
        <v>70.0</v>
      </c>
      <c r="O882" s="949">
        <v>110.0</v>
      </c>
      <c r="P882" s="949">
        <v>150.0</v>
      </c>
      <c r="Q882" s="949">
        <v>80.0</v>
      </c>
      <c r="R882" s="949">
        <v>196.0</v>
      </c>
      <c r="S882" s="949">
        <v>259.0</v>
      </c>
      <c r="T882" s="949">
        <v>284.0</v>
      </c>
      <c r="U882" s="949"/>
      <c r="V882" s="949"/>
      <c r="W882" s="949"/>
      <c r="X882" s="949"/>
      <c r="Y882" s="949"/>
      <c r="Z882" s="949"/>
      <c r="AA882" s="949"/>
      <c r="AB882" s="949"/>
      <c r="AC882" s="949"/>
      <c r="AD882" s="949"/>
      <c r="AE882" s="949"/>
      <c r="AF882" s="949"/>
      <c r="AG882" s="949"/>
      <c r="AH882" s="949"/>
      <c r="AI882" s="949"/>
      <c r="AJ882" s="949"/>
      <c r="AK882" s="949"/>
      <c r="AL882" s="949"/>
      <c r="AM882" s="953" t="s">
        <v>1603</v>
      </c>
      <c r="AN882" s="954" t="s">
        <v>1216</v>
      </c>
      <c r="AO882" s="955" t="s">
        <v>3305</v>
      </c>
      <c r="AP882" s="931"/>
      <c r="AQ882" s="956"/>
      <c r="AR882" s="957"/>
      <c r="AS882" s="931"/>
    </row>
    <row r="883" ht="15.75" customHeight="1">
      <c r="A883" s="931"/>
      <c r="B883" s="941" t="s">
        <v>3312</v>
      </c>
      <c r="C883" s="942" t="str">
        <f t="shared" ref="C883:E883" si="15">C882&amp;"-hisui"</f>
        <v>goodra-hisui</v>
      </c>
      <c r="D883" s="942" t="str">
        <f t="shared" si="15"/>
        <v>goodra-hisui</v>
      </c>
      <c r="E883" s="943" t="str">
        <f t="shared" si="15"/>
        <v>goodra-hisui</v>
      </c>
      <c r="F883" s="935"/>
      <c r="G883" s="944"/>
      <c r="H883" s="944"/>
      <c r="I883" s="946" t="s">
        <v>3313</v>
      </c>
      <c r="J883" s="978" t="s">
        <v>719</v>
      </c>
      <c r="K883" s="961" t="s">
        <v>716</v>
      </c>
      <c r="L883" s="949">
        <v>80.0</v>
      </c>
      <c r="M883" s="949">
        <v>100.0</v>
      </c>
      <c r="N883" s="949">
        <v>100.0</v>
      </c>
      <c r="O883" s="949">
        <v>110.0</v>
      </c>
      <c r="P883" s="949">
        <v>150.0</v>
      </c>
      <c r="Q883" s="949">
        <v>60.0</v>
      </c>
      <c r="R883" s="949">
        <v>156.0</v>
      </c>
      <c r="S883" s="949">
        <v>219.0</v>
      </c>
      <c r="T883" s="949">
        <v>240.0</v>
      </c>
      <c r="U883" s="949"/>
      <c r="V883" s="949"/>
      <c r="W883" s="949"/>
      <c r="X883" s="949"/>
      <c r="Y883" s="949"/>
      <c r="Z883" s="949"/>
      <c r="AA883" s="949"/>
      <c r="AB883" s="949"/>
      <c r="AC883" s="949"/>
      <c r="AD883" s="949"/>
      <c r="AE883" s="949"/>
      <c r="AF883" s="949"/>
      <c r="AG883" s="949"/>
      <c r="AH883" s="949"/>
      <c r="AI883" s="949"/>
      <c r="AJ883" s="949"/>
      <c r="AK883" s="949"/>
      <c r="AL883" s="949"/>
      <c r="AM883" s="953" t="s">
        <v>1603</v>
      </c>
      <c r="AN883" s="953" t="s">
        <v>1192</v>
      </c>
      <c r="AO883" s="955" t="s">
        <v>3305</v>
      </c>
      <c r="AP883" s="931"/>
      <c r="AQ883" s="956"/>
      <c r="AR883" s="957"/>
      <c r="AS883" s="931"/>
    </row>
    <row r="884" ht="15.75" customHeight="1">
      <c r="A884" s="931"/>
      <c r="B884" s="941" t="s">
        <v>3314</v>
      </c>
      <c r="C884" s="942" t="s">
        <v>3315</v>
      </c>
      <c r="D884" s="942" t="s">
        <v>3315</v>
      </c>
      <c r="E884" s="943" t="s">
        <v>3315</v>
      </c>
      <c r="F884" s="935"/>
      <c r="G884" s="944"/>
      <c r="H884" s="944"/>
      <c r="I884" s="946" t="s">
        <v>414</v>
      </c>
      <c r="J884" s="978" t="s">
        <v>719</v>
      </c>
      <c r="K884" s="980" t="s">
        <v>720</v>
      </c>
      <c r="L884" s="949">
        <v>57.0</v>
      </c>
      <c r="M884" s="949">
        <v>80.0</v>
      </c>
      <c r="N884" s="949">
        <v>91.0</v>
      </c>
      <c r="O884" s="949">
        <v>80.0</v>
      </c>
      <c r="P884" s="949">
        <v>87.0</v>
      </c>
      <c r="Q884" s="949">
        <v>75.0</v>
      </c>
      <c r="R884" s="949">
        <v>186.0</v>
      </c>
      <c r="S884" s="949">
        <v>249.0</v>
      </c>
      <c r="T884" s="949">
        <v>273.0</v>
      </c>
      <c r="U884" s="949"/>
      <c r="V884" s="949"/>
      <c r="W884" s="949"/>
      <c r="X884" s="949"/>
      <c r="Y884" s="949"/>
      <c r="Z884" s="949"/>
      <c r="AA884" s="949"/>
      <c r="AB884" s="949"/>
      <c r="AC884" s="949"/>
      <c r="AD884" s="949"/>
      <c r="AE884" s="949"/>
      <c r="AF884" s="949"/>
      <c r="AG884" s="949"/>
      <c r="AH884" s="949"/>
      <c r="AI884" s="949"/>
      <c r="AJ884" s="949"/>
      <c r="AK884" s="949"/>
      <c r="AL884" s="949"/>
      <c r="AM884" s="953" t="s">
        <v>1641</v>
      </c>
      <c r="AN884" s="954"/>
      <c r="AO884" s="955" t="s">
        <v>3142</v>
      </c>
      <c r="AP884" s="931"/>
      <c r="AQ884" s="956"/>
      <c r="AR884" s="957"/>
      <c r="AS884" s="931"/>
    </row>
    <row r="885" ht="15.75" customHeight="1">
      <c r="A885" s="963"/>
      <c r="B885" s="941" t="s">
        <v>3316</v>
      </c>
      <c r="C885" s="942" t="s">
        <v>3317</v>
      </c>
      <c r="D885" s="942" t="s">
        <v>3317</v>
      </c>
      <c r="E885" s="943" t="s">
        <v>3317</v>
      </c>
      <c r="F885" s="935"/>
      <c r="G885" s="944"/>
      <c r="H885" s="944"/>
      <c r="I885" s="946" t="s">
        <v>3318</v>
      </c>
      <c r="J885" s="994" t="s">
        <v>717</v>
      </c>
      <c r="K885" s="947" t="s">
        <v>708</v>
      </c>
      <c r="L885" s="949">
        <v>43.0</v>
      </c>
      <c r="M885" s="949">
        <v>70.0</v>
      </c>
      <c r="N885" s="949">
        <v>48.0</v>
      </c>
      <c r="O885" s="949">
        <v>50.0</v>
      </c>
      <c r="P885" s="949">
        <v>60.0</v>
      </c>
      <c r="Q885" s="949">
        <v>38.0</v>
      </c>
      <c r="R885" s="949">
        <v>112.0</v>
      </c>
      <c r="S885" s="949">
        <v>175.0</v>
      </c>
      <c r="T885" s="949">
        <v>192.0</v>
      </c>
      <c r="U885" s="949"/>
      <c r="V885" s="949"/>
      <c r="W885" s="949"/>
      <c r="X885" s="949"/>
      <c r="Y885" s="949"/>
      <c r="Z885" s="949"/>
      <c r="AA885" s="949"/>
      <c r="AB885" s="949"/>
      <c r="AC885" s="949"/>
      <c r="AD885" s="949"/>
      <c r="AE885" s="949"/>
      <c r="AF885" s="949"/>
      <c r="AG885" s="949"/>
      <c r="AH885" s="949"/>
      <c r="AI885" s="949"/>
      <c r="AJ885" s="949"/>
      <c r="AK885" s="949"/>
      <c r="AL885" s="949"/>
      <c r="AM885" s="964" t="s">
        <v>1333</v>
      </c>
      <c r="AN885" s="954" t="s">
        <v>990</v>
      </c>
      <c r="AO885" s="965" t="s">
        <v>1283</v>
      </c>
      <c r="AP885" s="931"/>
      <c r="AQ885" s="956"/>
      <c r="AR885" s="957"/>
      <c r="AS885" s="931"/>
    </row>
    <row r="886" ht="15.75" customHeight="1">
      <c r="A886" s="963"/>
      <c r="B886" s="941" t="s">
        <v>3319</v>
      </c>
      <c r="C886" s="971" t="s">
        <v>3320</v>
      </c>
      <c r="D886" s="971" t="s">
        <v>3320</v>
      </c>
      <c r="E886" s="966" t="s">
        <v>3320</v>
      </c>
      <c r="F886" s="935"/>
      <c r="G886" s="944"/>
      <c r="H886" s="944"/>
      <c r="I886" s="959" t="s">
        <v>3321</v>
      </c>
      <c r="J886" s="995" t="s">
        <v>717</v>
      </c>
      <c r="K886" s="1002" t="s">
        <v>708</v>
      </c>
      <c r="L886" s="974">
        <v>85.0</v>
      </c>
      <c r="M886" s="974">
        <v>110.0</v>
      </c>
      <c r="N886" s="974">
        <v>76.0</v>
      </c>
      <c r="O886" s="974">
        <v>65.0</v>
      </c>
      <c r="P886" s="974">
        <v>82.0</v>
      </c>
      <c r="Q886" s="974">
        <v>56.0</v>
      </c>
      <c r="R886" s="949">
        <v>148.0</v>
      </c>
      <c r="S886" s="949">
        <v>211.0</v>
      </c>
      <c r="T886" s="949">
        <v>232.0</v>
      </c>
      <c r="U886" s="949"/>
      <c r="V886" s="949"/>
      <c r="W886" s="949"/>
      <c r="X886" s="949"/>
      <c r="Y886" s="949"/>
      <c r="Z886" s="949"/>
      <c r="AA886" s="949"/>
      <c r="AB886" s="949"/>
      <c r="AC886" s="949"/>
      <c r="AD886" s="949"/>
      <c r="AE886" s="949"/>
      <c r="AF886" s="949"/>
      <c r="AG886" s="949"/>
      <c r="AH886" s="949"/>
      <c r="AI886" s="949"/>
      <c r="AJ886" s="949"/>
      <c r="AK886" s="949"/>
      <c r="AL886" s="949"/>
      <c r="AM886" s="964" t="s">
        <v>1333</v>
      </c>
      <c r="AN886" s="954" t="s">
        <v>990</v>
      </c>
      <c r="AO886" s="965" t="s">
        <v>1283</v>
      </c>
      <c r="AP886" s="931"/>
      <c r="AQ886" s="956"/>
      <c r="AR886" s="957"/>
      <c r="AS886" s="931"/>
    </row>
    <row r="887" ht="15.75" customHeight="1">
      <c r="A887" s="931"/>
      <c r="B887" s="941" t="s">
        <v>3322</v>
      </c>
      <c r="C887" s="942" t="s">
        <v>3323</v>
      </c>
      <c r="D887" s="942" t="s">
        <v>3323</v>
      </c>
      <c r="E887" s="943" t="s">
        <v>3323</v>
      </c>
      <c r="F887" s="935"/>
      <c r="G887" s="944"/>
      <c r="H887" s="944"/>
      <c r="I887" s="946" t="s">
        <v>3324</v>
      </c>
      <c r="J887" s="994" t="s">
        <v>717</v>
      </c>
      <c r="K887" s="947" t="s">
        <v>708</v>
      </c>
      <c r="L887" s="949">
        <v>49.0</v>
      </c>
      <c r="M887" s="949">
        <v>66.0</v>
      </c>
      <c r="N887" s="949">
        <v>70.0</v>
      </c>
      <c r="O887" s="949">
        <v>44.0</v>
      </c>
      <c r="P887" s="949">
        <v>55.0</v>
      </c>
      <c r="Q887" s="949">
        <v>51.0</v>
      </c>
      <c r="R887" s="949">
        <v>138.0</v>
      </c>
      <c r="S887" s="949">
        <v>201.0</v>
      </c>
      <c r="T887" s="949">
        <v>221.0</v>
      </c>
      <c r="U887" s="949"/>
      <c r="V887" s="949"/>
      <c r="W887" s="949"/>
      <c r="X887" s="949"/>
      <c r="Y887" s="949"/>
      <c r="Z887" s="949"/>
      <c r="AA887" s="949"/>
      <c r="AB887" s="949"/>
      <c r="AC887" s="949"/>
      <c r="AD887" s="949"/>
      <c r="AE887" s="949"/>
      <c r="AF887" s="949"/>
      <c r="AG887" s="949"/>
      <c r="AH887" s="949"/>
      <c r="AI887" s="949"/>
      <c r="AJ887" s="949"/>
      <c r="AK887" s="949"/>
      <c r="AL887" s="949"/>
      <c r="AM887" s="953" t="s">
        <v>1040</v>
      </c>
      <c r="AN887" s="954" t="s">
        <v>990</v>
      </c>
      <c r="AO887" s="955" t="s">
        <v>1259</v>
      </c>
      <c r="AP887" s="931"/>
      <c r="AQ887" s="956"/>
      <c r="AR887" s="957"/>
      <c r="AS887" s="931"/>
    </row>
    <row r="888" ht="15.75" customHeight="1">
      <c r="A888" s="931"/>
      <c r="B888" s="941" t="s">
        <v>3325</v>
      </c>
      <c r="C888" s="942" t="s">
        <v>3326</v>
      </c>
      <c r="D888" s="942" t="s">
        <v>3326</v>
      </c>
      <c r="E888" s="943" t="s">
        <v>3326</v>
      </c>
      <c r="F888" s="935"/>
      <c r="G888" s="944"/>
      <c r="H888" s="944"/>
      <c r="I888" s="946" t="s">
        <v>3327</v>
      </c>
      <c r="J888" s="994" t="s">
        <v>717</v>
      </c>
      <c r="K888" s="947" t="s">
        <v>708</v>
      </c>
      <c r="L888" s="949">
        <v>44.0</v>
      </c>
      <c r="M888" s="949">
        <v>66.0</v>
      </c>
      <c r="N888" s="949">
        <v>70.0</v>
      </c>
      <c r="O888" s="949">
        <v>44.0</v>
      </c>
      <c r="P888" s="949">
        <v>55.0</v>
      </c>
      <c r="Q888" s="949">
        <v>56.0</v>
      </c>
      <c r="R888" s="949">
        <v>148.0</v>
      </c>
      <c r="S888" s="949">
        <v>211.0</v>
      </c>
      <c r="T888" s="949">
        <v>232.0</v>
      </c>
      <c r="U888" s="949"/>
      <c r="V888" s="949"/>
      <c r="W888" s="949"/>
      <c r="X888" s="949"/>
      <c r="Y888" s="949"/>
      <c r="Z888" s="949"/>
      <c r="AA888" s="949"/>
      <c r="AB888" s="949"/>
      <c r="AC888" s="949"/>
      <c r="AD888" s="949"/>
      <c r="AE888" s="949"/>
      <c r="AF888" s="949"/>
      <c r="AG888" s="949"/>
      <c r="AH888" s="949"/>
      <c r="AI888" s="949"/>
      <c r="AJ888" s="949"/>
      <c r="AK888" s="949"/>
      <c r="AL888" s="949"/>
      <c r="AM888" s="953" t="s">
        <v>1040</v>
      </c>
      <c r="AN888" s="954" t="s">
        <v>990</v>
      </c>
      <c r="AO888" s="955" t="s">
        <v>1259</v>
      </c>
      <c r="AP888" s="931"/>
      <c r="AQ888" s="956"/>
      <c r="AR888" s="957"/>
      <c r="AS888" s="931"/>
    </row>
    <row r="889" ht="15.75" customHeight="1">
      <c r="A889" s="931"/>
      <c r="B889" s="941" t="s">
        <v>3328</v>
      </c>
      <c r="C889" s="942" t="s">
        <v>3329</v>
      </c>
      <c r="D889" s="942" t="s">
        <v>3329</v>
      </c>
      <c r="E889" s="943" t="s">
        <v>3329</v>
      </c>
      <c r="F889" s="935"/>
      <c r="G889" s="944"/>
      <c r="H889" s="944"/>
      <c r="I889" s="946" t="s">
        <v>3330</v>
      </c>
      <c r="J889" s="994" t="s">
        <v>717</v>
      </c>
      <c r="K889" s="947" t="s">
        <v>708</v>
      </c>
      <c r="L889" s="949">
        <v>54.0</v>
      </c>
      <c r="M889" s="949">
        <v>66.0</v>
      </c>
      <c r="N889" s="949">
        <v>70.0</v>
      </c>
      <c r="O889" s="949">
        <v>44.0</v>
      </c>
      <c r="P889" s="949">
        <v>55.0</v>
      </c>
      <c r="Q889" s="949">
        <v>46.0</v>
      </c>
      <c r="R889" s="949">
        <v>128.0</v>
      </c>
      <c r="S889" s="949">
        <v>191.0</v>
      </c>
      <c r="T889" s="949">
        <v>210.0</v>
      </c>
      <c r="U889" s="949"/>
      <c r="V889" s="949"/>
      <c r="W889" s="949"/>
      <c r="X889" s="949"/>
      <c r="Y889" s="949"/>
      <c r="Z889" s="949"/>
      <c r="AA889" s="949"/>
      <c r="AB889" s="949"/>
      <c r="AC889" s="949"/>
      <c r="AD889" s="949"/>
      <c r="AE889" s="949"/>
      <c r="AF889" s="949"/>
      <c r="AG889" s="949"/>
      <c r="AH889" s="949"/>
      <c r="AI889" s="949"/>
      <c r="AJ889" s="949"/>
      <c r="AK889" s="949"/>
      <c r="AL889" s="949"/>
      <c r="AM889" s="953" t="s">
        <v>1040</v>
      </c>
      <c r="AN889" s="954" t="s">
        <v>990</v>
      </c>
      <c r="AO889" s="955" t="s">
        <v>1259</v>
      </c>
      <c r="AP889" s="931"/>
      <c r="AQ889" s="956"/>
      <c r="AR889" s="957"/>
      <c r="AS889" s="931"/>
    </row>
    <row r="890" ht="15.75" customHeight="1">
      <c r="A890" s="931"/>
      <c r="B890" s="941" t="s">
        <v>3331</v>
      </c>
      <c r="C890" s="942" t="s">
        <v>3332</v>
      </c>
      <c r="D890" s="942" t="s">
        <v>3332</v>
      </c>
      <c r="E890" s="943" t="s">
        <v>3332</v>
      </c>
      <c r="F890" s="935"/>
      <c r="G890" s="944"/>
      <c r="H890" s="944"/>
      <c r="I890" s="946" t="s">
        <v>3333</v>
      </c>
      <c r="J890" s="994" t="s">
        <v>717</v>
      </c>
      <c r="K890" s="947" t="s">
        <v>708</v>
      </c>
      <c r="L890" s="949">
        <v>59.0</v>
      </c>
      <c r="M890" s="949">
        <v>66.0</v>
      </c>
      <c r="N890" s="949">
        <v>70.0</v>
      </c>
      <c r="O890" s="949">
        <v>44.0</v>
      </c>
      <c r="P890" s="949">
        <v>55.0</v>
      </c>
      <c r="Q890" s="949">
        <v>41.0</v>
      </c>
      <c r="R890" s="949">
        <v>118.0</v>
      </c>
      <c r="S890" s="949">
        <v>181.0</v>
      </c>
      <c r="T890" s="949">
        <v>199.0</v>
      </c>
      <c r="U890" s="949"/>
      <c r="V890" s="949"/>
      <c r="W890" s="949"/>
      <c r="X890" s="949"/>
      <c r="Y890" s="949"/>
      <c r="Z890" s="949"/>
      <c r="AA890" s="949"/>
      <c r="AB890" s="949"/>
      <c r="AC890" s="949"/>
      <c r="AD890" s="949"/>
      <c r="AE890" s="949"/>
      <c r="AF890" s="949"/>
      <c r="AG890" s="949"/>
      <c r="AH890" s="949"/>
      <c r="AI890" s="949"/>
      <c r="AJ890" s="949"/>
      <c r="AK890" s="949"/>
      <c r="AL890" s="949"/>
      <c r="AM890" s="953" t="s">
        <v>1040</v>
      </c>
      <c r="AN890" s="954" t="s">
        <v>990</v>
      </c>
      <c r="AO890" s="955" t="s">
        <v>1259</v>
      </c>
      <c r="AP890" s="931"/>
      <c r="AQ890" s="956"/>
      <c r="AR890" s="957"/>
      <c r="AS890" s="931"/>
    </row>
    <row r="891" ht="15.75" customHeight="1">
      <c r="A891" s="931"/>
      <c r="B891" s="941" t="s">
        <v>3334</v>
      </c>
      <c r="C891" s="942" t="s">
        <v>3335</v>
      </c>
      <c r="D891" s="942" t="s">
        <v>3335</v>
      </c>
      <c r="E891" s="943" t="s">
        <v>3335</v>
      </c>
      <c r="F891" s="935"/>
      <c r="G891" s="944"/>
      <c r="H891" s="944"/>
      <c r="I891" s="946" t="s">
        <v>3336</v>
      </c>
      <c r="J891" s="994" t="s">
        <v>717</v>
      </c>
      <c r="K891" s="947" t="s">
        <v>708</v>
      </c>
      <c r="L891" s="949">
        <v>65.0</v>
      </c>
      <c r="M891" s="949">
        <v>90.0</v>
      </c>
      <c r="N891" s="949">
        <v>122.0</v>
      </c>
      <c r="O891" s="949">
        <v>58.0</v>
      </c>
      <c r="P891" s="949">
        <v>75.0</v>
      </c>
      <c r="Q891" s="949">
        <v>84.0</v>
      </c>
      <c r="R891" s="949">
        <v>204.0</v>
      </c>
      <c r="S891" s="949">
        <v>267.0</v>
      </c>
      <c r="T891" s="949">
        <v>293.0</v>
      </c>
      <c r="U891" s="949"/>
      <c r="V891" s="949"/>
      <c r="W891" s="949"/>
      <c r="X891" s="949"/>
      <c r="Y891" s="949"/>
      <c r="Z891" s="949"/>
      <c r="AA891" s="949"/>
      <c r="AB891" s="949"/>
      <c r="AC891" s="949"/>
      <c r="AD891" s="949"/>
      <c r="AE891" s="949"/>
      <c r="AF891" s="949"/>
      <c r="AG891" s="949"/>
      <c r="AH891" s="949"/>
      <c r="AI891" s="949"/>
      <c r="AJ891" s="949"/>
      <c r="AK891" s="949"/>
      <c r="AL891" s="949"/>
      <c r="AM891" s="953" t="s">
        <v>1040</v>
      </c>
      <c r="AN891" s="954" t="s">
        <v>990</v>
      </c>
      <c r="AO891" s="955" t="s">
        <v>1259</v>
      </c>
      <c r="AP891" s="931"/>
      <c r="AQ891" s="956"/>
      <c r="AR891" s="957"/>
      <c r="AS891" s="931"/>
    </row>
    <row r="892" ht="15.75" customHeight="1">
      <c r="A892" s="931"/>
      <c r="B892" s="941" t="s">
        <v>3337</v>
      </c>
      <c r="C892" s="942" t="s">
        <v>3338</v>
      </c>
      <c r="D892" s="942" t="s">
        <v>3338</v>
      </c>
      <c r="E892" s="943" t="s">
        <v>3338</v>
      </c>
      <c r="F892" s="935"/>
      <c r="G892" s="944"/>
      <c r="H892" s="944"/>
      <c r="I892" s="959" t="s">
        <v>3339</v>
      </c>
      <c r="J892" s="994" t="s">
        <v>717</v>
      </c>
      <c r="K892" s="947" t="s">
        <v>708</v>
      </c>
      <c r="L892" s="949">
        <v>55.0</v>
      </c>
      <c r="M892" s="949">
        <v>85.0</v>
      </c>
      <c r="N892" s="949">
        <v>122.0</v>
      </c>
      <c r="O892" s="949">
        <v>58.0</v>
      </c>
      <c r="P892" s="949">
        <v>75.0</v>
      </c>
      <c r="Q892" s="949">
        <v>99.0</v>
      </c>
      <c r="R892" s="949">
        <v>234.0</v>
      </c>
      <c r="S892" s="949">
        <v>297.0</v>
      </c>
      <c r="T892" s="949">
        <v>326.0</v>
      </c>
      <c r="U892" s="949"/>
      <c r="V892" s="949"/>
      <c r="W892" s="949"/>
      <c r="X892" s="949"/>
      <c r="Y892" s="949"/>
      <c r="Z892" s="949"/>
      <c r="AA892" s="949"/>
      <c r="AB892" s="949"/>
      <c r="AC892" s="949"/>
      <c r="AD892" s="949"/>
      <c r="AE892" s="949"/>
      <c r="AF892" s="949"/>
      <c r="AG892" s="949"/>
      <c r="AH892" s="949"/>
      <c r="AI892" s="949"/>
      <c r="AJ892" s="949"/>
      <c r="AK892" s="949"/>
      <c r="AL892" s="949"/>
      <c r="AM892" s="953" t="s">
        <v>1040</v>
      </c>
      <c r="AN892" s="954" t="s">
        <v>990</v>
      </c>
      <c r="AO892" s="955" t="s">
        <v>1259</v>
      </c>
      <c r="AP892" s="931"/>
      <c r="AQ892" s="956"/>
      <c r="AR892" s="957"/>
      <c r="AS892" s="931"/>
    </row>
    <row r="893" ht="15.75" customHeight="1">
      <c r="A893" s="931"/>
      <c r="B893" s="941" t="s">
        <v>3340</v>
      </c>
      <c r="C893" s="942" t="s">
        <v>3341</v>
      </c>
      <c r="D893" s="942" t="s">
        <v>3341</v>
      </c>
      <c r="E893" s="943" t="s">
        <v>3341</v>
      </c>
      <c r="F893" s="935"/>
      <c r="G893" s="944"/>
      <c r="H893" s="944"/>
      <c r="I893" s="946" t="s">
        <v>3342</v>
      </c>
      <c r="J893" s="994" t="s">
        <v>717</v>
      </c>
      <c r="K893" s="947" t="s">
        <v>708</v>
      </c>
      <c r="L893" s="949">
        <v>75.0</v>
      </c>
      <c r="M893" s="949">
        <v>95.0</v>
      </c>
      <c r="N893" s="949">
        <v>122.0</v>
      </c>
      <c r="O893" s="949">
        <v>58.0</v>
      </c>
      <c r="P893" s="949">
        <v>75.0</v>
      </c>
      <c r="Q893" s="949">
        <v>69.0</v>
      </c>
      <c r="R893" s="949">
        <v>174.0</v>
      </c>
      <c r="S893" s="949">
        <v>237.0</v>
      </c>
      <c r="T893" s="949">
        <v>260.0</v>
      </c>
      <c r="U893" s="949"/>
      <c r="V893" s="949"/>
      <c r="W893" s="949"/>
      <c r="X893" s="949"/>
      <c r="Y893" s="949"/>
      <c r="Z893" s="949"/>
      <c r="AA893" s="949"/>
      <c r="AB893" s="949"/>
      <c r="AC893" s="949"/>
      <c r="AD893" s="949"/>
      <c r="AE893" s="949"/>
      <c r="AF893" s="949"/>
      <c r="AG893" s="949"/>
      <c r="AH893" s="949"/>
      <c r="AI893" s="949"/>
      <c r="AJ893" s="949"/>
      <c r="AK893" s="949"/>
      <c r="AL893" s="949"/>
      <c r="AM893" s="953" t="s">
        <v>1040</v>
      </c>
      <c r="AN893" s="954" t="s">
        <v>990</v>
      </c>
      <c r="AO893" s="955" t="s">
        <v>1259</v>
      </c>
      <c r="AP893" s="931"/>
      <c r="AQ893" s="956"/>
      <c r="AR893" s="957"/>
      <c r="AS893" s="931"/>
    </row>
    <row r="894" ht="15.75" customHeight="1">
      <c r="A894" s="931"/>
      <c r="B894" s="941" t="s">
        <v>3343</v>
      </c>
      <c r="C894" s="942" t="s">
        <v>3344</v>
      </c>
      <c r="D894" s="942" t="s">
        <v>3344</v>
      </c>
      <c r="E894" s="943" t="s">
        <v>3344</v>
      </c>
      <c r="F894" s="935"/>
      <c r="G894" s="944"/>
      <c r="H894" s="944"/>
      <c r="I894" s="946" t="s">
        <v>3345</v>
      </c>
      <c r="J894" s="994" t="s">
        <v>717</v>
      </c>
      <c r="K894" s="947" t="s">
        <v>708</v>
      </c>
      <c r="L894" s="949">
        <v>85.0</v>
      </c>
      <c r="M894" s="949">
        <v>100.0</v>
      </c>
      <c r="N894" s="949">
        <v>122.0</v>
      </c>
      <c r="O894" s="949">
        <v>58.0</v>
      </c>
      <c r="P894" s="949">
        <v>75.0</v>
      </c>
      <c r="Q894" s="949">
        <v>54.0</v>
      </c>
      <c r="R894" s="949">
        <v>144.0</v>
      </c>
      <c r="S894" s="949">
        <v>207.0</v>
      </c>
      <c r="T894" s="949">
        <v>227.0</v>
      </c>
      <c r="U894" s="949"/>
      <c r="V894" s="949"/>
      <c r="W894" s="949"/>
      <c r="X894" s="949"/>
      <c r="Y894" s="949"/>
      <c r="Z894" s="949"/>
      <c r="AA894" s="949"/>
      <c r="AB894" s="949"/>
      <c r="AC894" s="949"/>
      <c r="AD894" s="949"/>
      <c r="AE894" s="949"/>
      <c r="AF894" s="949"/>
      <c r="AG894" s="949"/>
      <c r="AH894" s="949"/>
      <c r="AI894" s="949"/>
      <c r="AJ894" s="949"/>
      <c r="AK894" s="949"/>
      <c r="AL894" s="949"/>
      <c r="AM894" s="953" t="s">
        <v>1040</v>
      </c>
      <c r="AN894" s="954" t="s">
        <v>990</v>
      </c>
      <c r="AO894" s="955" t="s">
        <v>1259</v>
      </c>
      <c r="AP894" s="931"/>
      <c r="AQ894" s="956"/>
      <c r="AR894" s="957"/>
      <c r="AS894" s="931"/>
    </row>
    <row r="895" ht="15.75" customHeight="1">
      <c r="A895" s="931"/>
      <c r="B895" s="941" t="s">
        <v>3346</v>
      </c>
      <c r="C895" s="942" t="s">
        <v>3347</v>
      </c>
      <c r="D895" s="942" t="s">
        <v>3347</v>
      </c>
      <c r="E895" s="943" t="s">
        <v>3347</v>
      </c>
      <c r="F895" s="935"/>
      <c r="G895" s="944"/>
      <c r="H895" s="944"/>
      <c r="I895" s="946" t="s">
        <v>636</v>
      </c>
      <c r="J895" s="977" t="s">
        <v>714</v>
      </c>
      <c r="K895" s="954" t="s">
        <v>158</v>
      </c>
      <c r="L895" s="949">
        <v>55.0</v>
      </c>
      <c r="M895" s="949">
        <v>69.0</v>
      </c>
      <c r="N895" s="949">
        <v>85.0</v>
      </c>
      <c r="O895" s="949">
        <v>32.0</v>
      </c>
      <c r="P895" s="949">
        <v>35.0</v>
      </c>
      <c r="Q895" s="949">
        <v>28.0</v>
      </c>
      <c r="R895" s="949">
        <v>92.0</v>
      </c>
      <c r="S895" s="949">
        <v>155.0</v>
      </c>
      <c r="T895" s="949">
        <v>170.0</v>
      </c>
      <c r="U895" s="949"/>
      <c r="V895" s="949"/>
      <c r="W895" s="949"/>
      <c r="X895" s="949"/>
      <c r="Y895" s="949"/>
      <c r="Z895" s="949"/>
      <c r="AA895" s="949"/>
      <c r="AB895" s="949"/>
      <c r="AC895" s="949"/>
      <c r="AD895" s="949"/>
      <c r="AE895" s="949"/>
      <c r="AF895" s="949"/>
      <c r="AG895" s="949"/>
      <c r="AH895" s="949"/>
      <c r="AI895" s="949"/>
      <c r="AJ895" s="949"/>
      <c r="AK895" s="949"/>
      <c r="AL895" s="949"/>
      <c r="AM895" s="953" t="s">
        <v>1176</v>
      </c>
      <c r="AN895" s="954" t="s">
        <v>1217</v>
      </c>
      <c r="AO895" s="955" t="s">
        <v>1135</v>
      </c>
      <c r="AP895" s="931"/>
      <c r="AQ895" s="956"/>
      <c r="AR895" s="957"/>
      <c r="AS895" s="931"/>
    </row>
    <row r="896" ht="15.75" customHeight="1">
      <c r="A896" s="963"/>
      <c r="B896" s="941" t="s">
        <v>3348</v>
      </c>
      <c r="C896" s="971" t="s">
        <v>3349</v>
      </c>
      <c r="D896" s="971" t="s">
        <v>3349</v>
      </c>
      <c r="E896" s="966" t="s">
        <v>3349</v>
      </c>
      <c r="F896" s="935"/>
      <c r="G896" s="944"/>
      <c r="H896" s="944"/>
      <c r="I896" s="959" t="s">
        <v>390</v>
      </c>
      <c r="J896" s="998" t="s">
        <v>714</v>
      </c>
      <c r="K896" s="973" t="s">
        <v>158</v>
      </c>
      <c r="L896" s="974">
        <v>95.0</v>
      </c>
      <c r="M896" s="974">
        <v>117.0</v>
      </c>
      <c r="N896" s="974">
        <v>184.0</v>
      </c>
      <c r="O896" s="974">
        <v>44.0</v>
      </c>
      <c r="P896" s="974">
        <v>46.0</v>
      </c>
      <c r="Q896" s="974">
        <v>28.0</v>
      </c>
      <c r="R896" s="949">
        <v>92.0</v>
      </c>
      <c r="S896" s="949">
        <v>155.0</v>
      </c>
      <c r="T896" s="949">
        <v>170.0</v>
      </c>
      <c r="U896" s="949"/>
      <c r="V896" s="949"/>
      <c r="W896" s="949"/>
      <c r="X896" s="949"/>
      <c r="Y896" s="949"/>
      <c r="Z896" s="949"/>
      <c r="AA896" s="949"/>
      <c r="AB896" s="949"/>
      <c r="AC896" s="949"/>
      <c r="AD896" s="949"/>
      <c r="AE896" s="949"/>
      <c r="AF896" s="949"/>
      <c r="AG896" s="949"/>
      <c r="AH896" s="949"/>
      <c r="AI896" s="949"/>
      <c r="AJ896" s="949"/>
      <c r="AK896" s="949"/>
      <c r="AL896" s="949"/>
      <c r="AM896" s="964" t="s">
        <v>1176</v>
      </c>
      <c r="AN896" s="954" t="s">
        <v>1217</v>
      </c>
      <c r="AO896" s="955" t="s">
        <v>1135</v>
      </c>
      <c r="AP896" s="931"/>
      <c r="AQ896" s="956"/>
      <c r="AR896" s="957"/>
      <c r="AS896" s="931"/>
    </row>
    <row r="897" ht="15.75" customHeight="1">
      <c r="A897" s="963"/>
      <c r="B897" s="941" t="s">
        <v>3350</v>
      </c>
      <c r="C897" s="971" t="s">
        <v>3351</v>
      </c>
      <c r="D897" s="971" t="s">
        <v>3351</v>
      </c>
      <c r="E897" s="966" t="s">
        <v>3351</v>
      </c>
      <c r="F897" s="935"/>
      <c r="G897" s="944"/>
      <c r="H897" s="944"/>
      <c r="I897" s="959" t="s">
        <v>3352</v>
      </c>
      <c r="J897" s="964"/>
      <c r="K897" s="973"/>
      <c r="L897" s="974"/>
      <c r="M897" s="974"/>
      <c r="N897" s="974"/>
      <c r="O897" s="974"/>
      <c r="P897" s="974"/>
      <c r="Q897" s="974"/>
      <c r="R897" s="949" t="s">
        <v>2801</v>
      </c>
      <c r="S897" s="949" t="s">
        <v>2801</v>
      </c>
      <c r="T897" s="949" t="s">
        <v>2801</v>
      </c>
      <c r="U897" s="949"/>
      <c r="V897" s="949"/>
      <c r="W897" s="949"/>
      <c r="X897" s="949"/>
      <c r="Y897" s="949"/>
      <c r="Z897" s="949"/>
      <c r="AA897" s="949"/>
      <c r="AB897" s="949"/>
      <c r="AC897" s="949"/>
      <c r="AD897" s="949"/>
      <c r="AE897" s="949"/>
      <c r="AF897" s="949"/>
      <c r="AG897" s="949"/>
      <c r="AH897" s="949"/>
      <c r="AI897" s="949"/>
      <c r="AJ897" s="949"/>
      <c r="AK897" s="949"/>
      <c r="AL897" s="949"/>
      <c r="AM897" s="964"/>
      <c r="AN897" s="954"/>
      <c r="AO897" s="955"/>
      <c r="AP897" s="931"/>
      <c r="AQ897" s="956"/>
      <c r="AR897" s="957"/>
      <c r="AS897" s="931"/>
    </row>
    <row r="898" ht="15.75" customHeight="1">
      <c r="A898" s="931"/>
      <c r="B898" s="941" t="s">
        <v>3353</v>
      </c>
      <c r="C898" s="942" t="s">
        <v>3354</v>
      </c>
      <c r="D898" s="942" t="s">
        <v>3354</v>
      </c>
      <c r="E898" s="943" t="s">
        <v>3354</v>
      </c>
      <c r="F898" s="935"/>
      <c r="G898" s="944"/>
      <c r="H898" s="944"/>
      <c r="I898" s="946" t="s">
        <v>637</v>
      </c>
      <c r="J898" s="960" t="s">
        <v>707</v>
      </c>
      <c r="K898" s="961" t="s">
        <v>716</v>
      </c>
      <c r="L898" s="949">
        <v>40.0</v>
      </c>
      <c r="M898" s="949">
        <v>30.0</v>
      </c>
      <c r="N898" s="949">
        <v>35.0</v>
      </c>
      <c r="O898" s="949">
        <v>45.0</v>
      </c>
      <c r="P898" s="949">
        <v>40.0</v>
      </c>
      <c r="Q898" s="949">
        <v>55.0</v>
      </c>
      <c r="R898" s="949">
        <v>146.0</v>
      </c>
      <c r="S898" s="949">
        <v>209.0</v>
      </c>
      <c r="T898" s="949">
        <v>229.0</v>
      </c>
      <c r="U898" s="949"/>
      <c r="V898" s="949"/>
      <c r="W898" s="949"/>
      <c r="X898" s="949"/>
      <c r="Y898" s="949"/>
      <c r="Z898" s="949"/>
      <c r="AA898" s="949"/>
      <c r="AB898" s="949"/>
      <c r="AC898" s="949"/>
      <c r="AD898" s="949"/>
      <c r="AE898" s="949"/>
      <c r="AF898" s="949"/>
      <c r="AG898" s="949"/>
      <c r="AH898" s="949"/>
      <c r="AI898" s="949"/>
      <c r="AJ898" s="949"/>
      <c r="AK898" s="949"/>
      <c r="AL898" s="949"/>
      <c r="AM898" s="953" t="s">
        <v>990</v>
      </c>
      <c r="AN898" s="954" t="s">
        <v>995</v>
      </c>
      <c r="AO898" s="955" t="s">
        <v>1657</v>
      </c>
      <c r="AP898" s="931"/>
      <c r="AQ898" s="956"/>
      <c r="AR898" s="957"/>
      <c r="AS898" s="931"/>
    </row>
    <row r="899" ht="15.75" customHeight="1">
      <c r="A899" s="931"/>
      <c r="B899" s="941" t="s">
        <v>3355</v>
      </c>
      <c r="C899" s="942" t="s">
        <v>3356</v>
      </c>
      <c r="D899" s="942" t="s">
        <v>3356</v>
      </c>
      <c r="E899" s="943" t="s">
        <v>3356</v>
      </c>
      <c r="F899" s="935"/>
      <c r="G899" s="944"/>
      <c r="H899" s="944"/>
      <c r="I899" s="946" t="s">
        <v>397</v>
      </c>
      <c r="J899" s="960" t="s">
        <v>707</v>
      </c>
      <c r="K899" s="961" t="s">
        <v>716</v>
      </c>
      <c r="L899" s="949">
        <v>85.0</v>
      </c>
      <c r="M899" s="949">
        <v>70.0</v>
      </c>
      <c r="N899" s="949">
        <v>80.0</v>
      </c>
      <c r="O899" s="949">
        <v>97.0</v>
      </c>
      <c r="P899" s="949">
        <v>80.0</v>
      </c>
      <c r="Q899" s="949">
        <v>123.0</v>
      </c>
      <c r="R899" s="949">
        <v>282.0</v>
      </c>
      <c r="S899" s="949">
        <v>345.0</v>
      </c>
      <c r="T899" s="949">
        <v>379.0</v>
      </c>
      <c r="U899" s="949"/>
      <c r="V899" s="949"/>
      <c r="W899" s="949"/>
      <c r="X899" s="949"/>
      <c r="Y899" s="949"/>
      <c r="Z899" s="949"/>
      <c r="AA899" s="949"/>
      <c r="AB899" s="949"/>
      <c r="AC899" s="949"/>
      <c r="AD899" s="949"/>
      <c r="AE899" s="949"/>
      <c r="AF899" s="949"/>
      <c r="AG899" s="949"/>
      <c r="AH899" s="949"/>
      <c r="AI899" s="949"/>
      <c r="AJ899" s="949"/>
      <c r="AK899" s="949"/>
      <c r="AL899" s="949"/>
      <c r="AM899" s="953" t="s">
        <v>990</v>
      </c>
      <c r="AN899" s="954" t="s">
        <v>995</v>
      </c>
      <c r="AO899" s="955" t="s">
        <v>1657</v>
      </c>
      <c r="AP899" s="931"/>
      <c r="AQ899" s="956"/>
      <c r="AR899" s="957"/>
      <c r="AS899" s="931"/>
    </row>
    <row r="900" ht="15.75" customHeight="1">
      <c r="A900" s="931"/>
      <c r="B900" s="941" t="s">
        <v>3357</v>
      </c>
      <c r="C900" s="942" t="s">
        <v>288</v>
      </c>
      <c r="D900" s="942" t="s">
        <v>288</v>
      </c>
      <c r="E900" s="943" t="s">
        <v>288</v>
      </c>
      <c r="F900" s="935"/>
      <c r="G900" s="944"/>
      <c r="H900" s="944"/>
      <c r="I900" s="946" t="s">
        <v>289</v>
      </c>
      <c r="J900" s="980" t="s">
        <v>720</v>
      </c>
      <c r="K900" s="954" t="s">
        <v>158</v>
      </c>
      <c r="L900" s="949">
        <v>126.0</v>
      </c>
      <c r="M900" s="949">
        <v>131.0</v>
      </c>
      <c r="N900" s="949">
        <v>95.0</v>
      </c>
      <c r="O900" s="949">
        <v>131.0</v>
      </c>
      <c r="P900" s="949">
        <v>98.0</v>
      </c>
      <c r="Q900" s="949">
        <v>99.0</v>
      </c>
      <c r="R900" s="949">
        <v>234.0</v>
      </c>
      <c r="S900" s="949">
        <v>297.0</v>
      </c>
      <c r="T900" s="949">
        <v>326.0</v>
      </c>
      <c r="U900" s="949"/>
      <c r="V900" s="949"/>
      <c r="W900" s="949"/>
      <c r="X900" s="949"/>
      <c r="Y900" s="949"/>
      <c r="Z900" s="949"/>
      <c r="AA900" s="949"/>
      <c r="AB900" s="949"/>
      <c r="AC900" s="949"/>
      <c r="AD900" s="949"/>
      <c r="AE900" s="949"/>
      <c r="AF900" s="949"/>
      <c r="AG900" s="949"/>
      <c r="AH900" s="949"/>
      <c r="AI900" s="949"/>
      <c r="AJ900" s="949"/>
      <c r="AK900" s="949"/>
      <c r="AL900" s="949"/>
      <c r="AM900" s="953" t="s">
        <v>3358</v>
      </c>
      <c r="AN900" s="954"/>
      <c r="AO900" s="955"/>
      <c r="AP900" s="931"/>
      <c r="AQ900" s="956"/>
      <c r="AR900" s="957"/>
      <c r="AS900" s="931"/>
    </row>
    <row r="901" ht="15.75" customHeight="1">
      <c r="A901" s="931"/>
      <c r="B901" s="941" t="s">
        <v>3359</v>
      </c>
      <c r="C901" s="942" t="s">
        <v>290</v>
      </c>
      <c r="D901" s="942" t="s">
        <v>290</v>
      </c>
      <c r="E901" s="943" t="s">
        <v>290</v>
      </c>
      <c r="F901" s="935"/>
      <c r="G901" s="944"/>
      <c r="H901" s="944"/>
      <c r="I901" s="946" t="s">
        <v>291</v>
      </c>
      <c r="J901" s="969" t="s">
        <v>718</v>
      </c>
      <c r="K901" s="960" t="s">
        <v>707</v>
      </c>
      <c r="L901" s="949">
        <v>126.0</v>
      </c>
      <c r="M901" s="949">
        <v>131.0</v>
      </c>
      <c r="N901" s="949">
        <v>95.0</v>
      </c>
      <c r="O901" s="949">
        <v>131.0</v>
      </c>
      <c r="P901" s="949">
        <v>98.0</v>
      </c>
      <c r="Q901" s="949">
        <v>99.0</v>
      </c>
      <c r="R901" s="949">
        <v>234.0</v>
      </c>
      <c r="S901" s="949">
        <v>297.0</v>
      </c>
      <c r="T901" s="949">
        <v>326.0</v>
      </c>
      <c r="U901" s="949"/>
      <c r="V901" s="949"/>
      <c r="W901" s="949"/>
      <c r="X901" s="949"/>
      <c r="Y901" s="949"/>
      <c r="Z901" s="949"/>
      <c r="AA901" s="949"/>
      <c r="AB901" s="949"/>
      <c r="AC901" s="949"/>
      <c r="AD901" s="949"/>
      <c r="AE901" s="949"/>
      <c r="AF901" s="949"/>
      <c r="AG901" s="949"/>
      <c r="AH901" s="949"/>
      <c r="AI901" s="949"/>
      <c r="AJ901" s="949"/>
      <c r="AK901" s="949"/>
      <c r="AL901" s="949"/>
      <c r="AM901" s="953" t="s">
        <v>3360</v>
      </c>
      <c r="AN901" s="954"/>
      <c r="AO901" s="955"/>
      <c r="AP901" s="931"/>
      <c r="AQ901" s="956"/>
      <c r="AR901" s="957"/>
      <c r="AS901" s="931"/>
    </row>
    <row r="902" ht="15.75" customHeight="1">
      <c r="A902" s="963"/>
      <c r="B902" s="941" t="s">
        <v>3361</v>
      </c>
      <c r="C902" s="971" t="s">
        <v>3362</v>
      </c>
      <c r="D902" s="971" t="s">
        <v>3362</v>
      </c>
      <c r="E902" s="966" t="s">
        <v>3362</v>
      </c>
      <c r="F902" s="935"/>
      <c r="G902" s="944"/>
      <c r="H902" s="944"/>
      <c r="I902" s="959" t="s">
        <v>3363</v>
      </c>
      <c r="J902" s="1005" t="s">
        <v>716</v>
      </c>
      <c r="K902" s="997" t="s">
        <v>711</v>
      </c>
      <c r="L902" s="974">
        <v>108.0</v>
      </c>
      <c r="M902" s="974">
        <v>100.0</v>
      </c>
      <c r="N902" s="974">
        <v>121.0</v>
      </c>
      <c r="O902" s="974">
        <v>81.0</v>
      </c>
      <c r="P902" s="974">
        <v>95.0</v>
      </c>
      <c r="Q902" s="974">
        <v>95.0</v>
      </c>
      <c r="R902" s="949">
        <v>226.0</v>
      </c>
      <c r="S902" s="949">
        <v>289.0</v>
      </c>
      <c r="T902" s="949">
        <v>317.0</v>
      </c>
      <c r="U902" s="949"/>
      <c r="V902" s="949"/>
      <c r="W902" s="949"/>
      <c r="X902" s="949"/>
      <c r="Y902" s="949"/>
      <c r="Z902" s="949"/>
      <c r="AA902" s="949"/>
      <c r="AB902" s="949"/>
      <c r="AC902" s="949"/>
      <c r="AD902" s="949"/>
      <c r="AE902" s="949"/>
      <c r="AF902" s="949"/>
      <c r="AG902" s="949"/>
      <c r="AH902" s="949"/>
      <c r="AI902" s="949"/>
      <c r="AJ902" s="949"/>
      <c r="AK902" s="949"/>
      <c r="AL902" s="949"/>
      <c r="AM902" s="964" t="s">
        <v>3364</v>
      </c>
      <c r="AN902" s="954" t="s">
        <v>3365</v>
      </c>
      <c r="AO902" s="965"/>
      <c r="AP902" s="931"/>
      <c r="AQ902" s="956"/>
      <c r="AR902" s="957"/>
      <c r="AS902" s="931"/>
    </row>
    <row r="903" ht="15.75" customHeight="1">
      <c r="A903" s="931"/>
      <c r="B903" s="941" t="s">
        <v>3366</v>
      </c>
      <c r="C903" s="942" t="s">
        <v>3367</v>
      </c>
      <c r="D903" s="942" t="s">
        <v>3367</v>
      </c>
      <c r="E903" s="943" t="s">
        <v>3367</v>
      </c>
      <c r="F903" s="935"/>
      <c r="G903" s="944"/>
      <c r="H903" s="944"/>
      <c r="I903" s="946" t="s">
        <v>3368</v>
      </c>
      <c r="J903" s="961" t="s">
        <v>716</v>
      </c>
      <c r="K903" s="976" t="s">
        <v>711</v>
      </c>
      <c r="L903" s="949">
        <v>54.0</v>
      </c>
      <c r="M903" s="949">
        <v>100.0</v>
      </c>
      <c r="N903" s="949">
        <v>71.0</v>
      </c>
      <c r="O903" s="949">
        <v>61.0</v>
      </c>
      <c r="P903" s="949">
        <v>85.0</v>
      </c>
      <c r="Q903" s="949">
        <v>115.0</v>
      </c>
      <c r="R903" s="949">
        <v>266.0</v>
      </c>
      <c r="S903" s="949">
        <v>329.0</v>
      </c>
      <c r="T903" s="949">
        <v>361.0</v>
      </c>
      <c r="U903" s="949"/>
      <c r="V903" s="949"/>
      <c r="W903" s="949"/>
      <c r="X903" s="949"/>
      <c r="Y903" s="949"/>
      <c r="Z903" s="949"/>
      <c r="AA903" s="949"/>
      <c r="AB903" s="949"/>
      <c r="AC903" s="949"/>
      <c r="AD903" s="949"/>
      <c r="AE903" s="949"/>
      <c r="AF903" s="949"/>
      <c r="AG903" s="949"/>
      <c r="AH903" s="949"/>
      <c r="AI903" s="949"/>
      <c r="AJ903" s="949"/>
      <c r="AK903" s="949"/>
      <c r="AL903" s="949"/>
      <c r="AM903" s="953" t="s">
        <v>3364</v>
      </c>
      <c r="AN903" s="954" t="s">
        <v>3365</v>
      </c>
      <c r="AO903" s="955"/>
      <c r="AP903" s="931"/>
      <c r="AQ903" s="956"/>
      <c r="AR903" s="957"/>
      <c r="AS903" s="931"/>
    </row>
    <row r="904" ht="15.75" customHeight="1">
      <c r="A904" s="931"/>
      <c r="B904" s="941" t="s">
        <v>3369</v>
      </c>
      <c r="C904" s="942" t="s">
        <v>3370</v>
      </c>
      <c r="D904" s="942" t="s">
        <v>3370</v>
      </c>
      <c r="E904" s="943" t="s">
        <v>3370</v>
      </c>
      <c r="F904" s="935"/>
      <c r="G904" s="944"/>
      <c r="H904" s="944"/>
      <c r="I904" s="946" t="s">
        <v>3371</v>
      </c>
      <c r="J904" s="961" t="s">
        <v>716</v>
      </c>
      <c r="K904" s="976" t="s">
        <v>711</v>
      </c>
      <c r="L904" s="949">
        <v>216.0</v>
      </c>
      <c r="M904" s="949">
        <v>100.0</v>
      </c>
      <c r="N904" s="949">
        <v>121.0</v>
      </c>
      <c r="O904" s="949">
        <v>91.0</v>
      </c>
      <c r="P904" s="949">
        <v>95.0</v>
      </c>
      <c r="Q904" s="949">
        <v>85.0</v>
      </c>
      <c r="R904" s="949">
        <v>206.0</v>
      </c>
      <c r="S904" s="949">
        <v>269.0</v>
      </c>
      <c r="T904" s="949">
        <v>295.0</v>
      </c>
      <c r="U904" s="949"/>
      <c r="V904" s="949"/>
      <c r="W904" s="949"/>
      <c r="X904" s="949"/>
      <c r="Y904" s="949"/>
      <c r="Z904" s="949"/>
      <c r="AA904" s="949"/>
      <c r="AB904" s="949"/>
      <c r="AC904" s="949"/>
      <c r="AD904" s="949"/>
      <c r="AE904" s="949"/>
      <c r="AF904" s="949"/>
      <c r="AG904" s="949"/>
      <c r="AH904" s="949"/>
      <c r="AI904" s="949"/>
      <c r="AJ904" s="949"/>
      <c r="AK904" s="949"/>
      <c r="AL904" s="949"/>
      <c r="AM904" s="953" t="s">
        <v>3365</v>
      </c>
      <c r="AN904" s="954"/>
      <c r="AO904" s="955"/>
      <c r="AP904" s="931"/>
      <c r="AQ904" s="956"/>
      <c r="AR904" s="957"/>
      <c r="AS904" s="931"/>
    </row>
    <row r="905" ht="15.75" customHeight="1">
      <c r="A905" s="931"/>
      <c r="B905" s="941" t="s">
        <v>3372</v>
      </c>
      <c r="C905" s="942" t="s">
        <v>3373</v>
      </c>
      <c r="D905" s="942" t="s">
        <v>3373</v>
      </c>
      <c r="E905" s="943" t="s">
        <v>3373</v>
      </c>
      <c r="F905" s="935"/>
      <c r="G905" s="944"/>
      <c r="H905" s="944"/>
      <c r="I905" s="946" t="s">
        <v>3374</v>
      </c>
      <c r="J905" s="989" t="s">
        <v>713</v>
      </c>
      <c r="K905" s="980" t="s">
        <v>720</v>
      </c>
      <c r="L905" s="949">
        <v>50.0</v>
      </c>
      <c r="M905" s="949">
        <v>100.0</v>
      </c>
      <c r="N905" s="949">
        <v>150.0</v>
      </c>
      <c r="O905" s="949">
        <v>100.0</v>
      </c>
      <c r="P905" s="949">
        <v>150.0</v>
      </c>
      <c r="Q905" s="949">
        <v>50.0</v>
      </c>
      <c r="R905" s="949">
        <v>136.0</v>
      </c>
      <c r="S905" s="949">
        <v>199.0</v>
      </c>
      <c r="T905" s="949">
        <v>218.0</v>
      </c>
      <c r="U905" s="949"/>
      <c r="V905" s="949"/>
      <c r="W905" s="949"/>
      <c r="X905" s="949"/>
      <c r="Y905" s="949"/>
      <c r="Z905" s="949"/>
      <c r="AA905" s="949"/>
      <c r="AB905" s="949"/>
      <c r="AC905" s="949"/>
      <c r="AD905" s="949"/>
      <c r="AE905" s="949"/>
      <c r="AF905" s="949"/>
      <c r="AG905" s="949"/>
      <c r="AH905" s="949"/>
      <c r="AI905" s="949"/>
      <c r="AJ905" s="949"/>
      <c r="AK905" s="949"/>
      <c r="AL905" s="949"/>
      <c r="AM905" s="953" t="s">
        <v>1127</v>
      </c>
      <c r="AN905" s="954"/>
      <c r="AO905" s="955"/>
      <c r="AP905" s="931"/>
      <c r="AQ905" s="956"/>
      <c r="AR905" s="957"/>
      <c r="AS905" s="931"/>
    </row>
    <row r="906" ht="15.75" customHeight="1">
      <c r="A906" s="963"/>
      <c r="B906" s="941" t="s">
        <v>3375</v>
      </c>
      <c r="C906" s="971" t="s">
        <v>3376</v>
      </c>
      <c r="D906" s="971" t="s">
        <v>3376</v>
      </c>
      <c r="E906" s="966" t="s">
        <v>3376</v>
      </c>
      <c r="F906" s="935"/>
      <c r="G906" s="944"/>
      <c r="H906" s="944"/>
      <c r="I906" s="959" t="s">
        <v>3377</v>
      </c>
      <c r="J906" s="996" t="s">
        <v>713</v>
      </c>
      <c r="K906" s="1008" t="s">
        <v>720</v>
      </c>
      <c r="L906" s="974">
        <v>50.0</v>
      </c>
      <c r="M906" s="974">
        <v>160.0</v>
      </c>
      <c r="N906" s="974">
        <v>110.0</v>
      </c>
      <c r="O906" s="974">
        <v>160.0</v>
      </c>
      <c r="P906" s="974">
        <v>110.0</v>
      </c>
      <c r="Q906" s="974">
        <v>110.0</v>
      </c>
      <c r="R906" s="949">
        <v>256.0</v>
      </c>
      <c r="S906" s="949">
        <v>319.0</v>
      </c>
      <c r="T906" s="949">
        <v>350.0</v>
      </c>
      <c r="U906" s="949"/>
      <c r="V906" s="949"/>
      <c r="W906" s="949"/>
      <c r="X906" s="949"/>
      <c r="Y906" s="949"/>
      <c r="Z906" s="949"/>
      <c r="AA906" s="949"/>
      <c r="AB906" s="949"/>
      <c r="AC906" s="949"/>
      <c r="AD906" s="949"/>
      <c r="AE906" s="949"/>
      <c r="AF906" s="949"/>
      <c r="AG906" s="949"/>
      <c r="AH906" s="949"/>
      <c r="AI906" s="949"/>
      <c r="AJ906" s="949"/>
      <c r="AK906" s="949"/>
      <c r="AL906" s="949"/>
      <c r="AM906" s="964" t="s">
        <v>1583</v>
      </c>
      <c r="AN906" s="973"/>
      <c r="AO906" s="965"/>
      <c r="AP906" s="931"/>
      <c r="AQ906" s="956"/>
      <c r="AR906" s="957"/>
      <c r="AS906" s="931"/>
    </row>
    <row r="907" ht="15.75" customHeight="1">
      <c r="A907" s="931"/>
      <c r="B907" s="941" t="s">
        <v>3378</v>
      </c>
      <c r="C907" s="942" t="s">
        <v>3379</v>
      </c>
      <c r="D907" s="942" t="s">
        <v>3379</v>
      </c>
      <c r="E907" s="943" t="s">
        <v>3379</v>
      </c>
      <c r="F907" s="935"/>
      <c r="G907" s="944"/>
      <c r="H907" s="944"/>
      <c r="I907" s="946" t="s">
        <v>3380</v>
      </c>
      <c r="J907" s="975" t="s">
        <v>712</v>
      </c>
      <c r="K907" s="994" t="s">
        <v>717</v>
      </c>
      <c r="L907" s="949">
        <v>80.0</v>
      </c>
      <c r="M907" s="949">
        <v>110.0</v>
      </c>
      <c r="N907" s="949">
        <v>60.0</v>
      </c>
      <c r="O907" s="949">
        <v>150.0</v>
      </c>
      <c r="P907" s="949">
        <v>130.0</v>
      </c>
      <c r="Q907" s="949">
        <v>70.0</v>
      </c>
      <c r="R907" s="949">
        <v>176.0</v>
      </c>
      <c r="S907" s="949">
        <v>239.0</v>
      </c>
      <c r="T907" s="949">
        <v>262.0</v>
      </c>
      <c r="U907" s="949"/>
      <c r="V907" s="949"/>
      <c r="W907" s="949"/>
      <c r="X907" s="949"/>
      <c r="Y907" s="949"/>
      <c r="Z907" s="949"/>
      <c r="AA907" s="949"/>
      <c r="AB907" s="949"/>
      <c r="AC907" s="949"/>
      <c r="AD907" s="949"/>
      <c r="AE907" s="949"/>
      <c r="AF907" s="949"/>
      <c r="AG907" s="949"/>
      <c r="AH907" s="949"/>
      <c r="AI907" s="949"/>
      <c r="AJ907" s="949"/>
      <c r="AK907" s="949"/>
      <c r="AL907" s="949"/>
      <c r="AM907" s="953" t="s">
        <v>3142</v>
      </c>
      <c r="AN907" s="954"/>
      <c r="AO907" s="955"/>
      <c r="AP907" s="931"/>
      <c r="AQ907" s="956"/>
      <c r="AR907" s="957"/>
      <c r="AS907" s="931"/>
    </row>
    <row r="908" ht="15.75" customHeight="1">
      <c r="A908" s="931"/>
      <c r="B908" s="941" t="s">
        <v>3381</v>
      </c>
      <c r="C908" s="942" t="s">
        <v>3382</v>
      </c>
      <c r="D908" s="942" t="s">
        <v>3382</v>
      </c>
      <c r="E908" s="943" t="s">
        <v>3382</v>
      </c>
      <c r="F908" s="935"/>
      <c r="G908" s="944"/>
      <c r="H908" s="944"/>
      <c r="I908" s="946" t="s">
        <v>3383</v>
      </c>
      <c r="J908" s="975" t="s">
        <v>712</v>
      </c>
      <c r="K908" s="969" t="s">
        <v>718</v>
      </c>
      <c r="L908" s="949">
        <v>80.0</v>
      </c>
      <c r="M908" s="949">
        <v>160.0</v>
      </c>
      <c r="N908" s="949">
        <v>60.0</v>
      </c>
      <c r="O908" s="949">
        <v>170.0</v>
      </c>
      <c r="P908" s="949">
        <v>130.0</v>
      </c>
      <c r="Q908" s="949">
        <v>80.0</v>
      </c>
      <c r="R908" s="949">
        <v>196.0</v>
      </c>
      <c r="S908" s="949">
        <v>259.0</v>
      </c>
      <c r="T908" s="949">
        <v>284.0</v>
      </c>
      <c r="U908" s="949"/>
      <c r="V908" s="949"/>
      <c r="W908" s="949"/>
      <c r="X908" s="949"/>
      <c r="Y908" s="949"/>
      <c r="Z908" s="949"/>
      <c r="AA908" s="949"/>
      <c r="AB908" s="949"/>
      <c r="AC908" s="949"/>
      <c r="AD908" s="949"/>
      <c r="AE908" s="949"/>
      <c r="AF908" s="949"/>
      <c r="AG908" s="949"/>
      <c r="AH908" s="949"/>
      <c r="AI908" s="949"/>
      <c r="AJ908" s="949"/>
      <c r="AK908" s="949"/>
      <c r="AL908" s="949"/>
      <c r="AM908" s="953" t="s">
        <v>3142</v>
      </c>
      <c r="AN908" s="954"/>
      <c r="AO908" s="955"/>
      <c r="AP908" s="931"/>
      <c r="AQ908" s="956"/>
      <c r="AR908" s="957"/>
      <c r="AS908" s="931"/>
    </row>
    <row r="909" ht="15.75" customHeight="1">
      <c r="A909" s="931"/>
      <c r="B909" s="941" t="s">
        <v>3384</v>
      </c>
      <c r="C909" s="942" t="s">
        <v>3385</v>
      </c>
      <c r="D909" s="942" t="s">
        <v>3385</v>
      </c>
      <c r="E909" s="943" t="s">
        <v>3385</v>
      </c>
      <c r="F909" s="935"/>
      <c r="G909" s="944"/>
      <c r="H909" s="944"/>
      <c r="I909" s="946" t="s">
        <v>3386</v>
      </c>
      <c r="J909" s="958" t="s">
        <v>704</v>
      </c>
      <c r="K909" s="962" t="s">
        <v>706</v>
      </c>
      <c r="L909" s="949">
        <v>80.0</v>
      </c>
      <c r="M909" s="949">
        <v>110.0</v>
      </c>
      <c r="N909" s="949">
        <v>120.0</v>
      </c>
      <c r="O909" s="949">
        <v>130.0</v>
      </c>
      <c r="P909" s="949">
        <v>90.0</v>
      </c>
      <c r="Q909" s="949">
        <v>70.0</v>
      </c>
      <c r="R909" s="949">
        <v>176.0</v>
      </c>
      <c r="S909" s="949">
        <v>239.0</v>
      </c>
      <c r="T909" s="949">
        <v>262.0</v>
      </c>
      <c r="U909" s="949"/>
      <c r="V909" s="949"/>
      <c r="W909" s="949"/>
      <c r="X909" s="949"/>
      <c r="Y909" s="949"/>
      <c r="Z909" s="949"/>
      <c r="AA909" s="949"/>
      <c r="AB909" s="949"/>
      <c r="AC909" s="949"/>
      <c r="AD909" s="949"/>
      <c r="AE909" s="949"/>
      <c r="AF909" s="949"/>
      <c r="AG909" s="949"/>
      <c r="AH909" s="949"/>
      <c r="AI909" s="949"/>
      <c r="AJ909" s="949"/>
      <c r="AK909" s="949"/>
      <c r="AL909" s="949"/>
      <c r="AM909" s="953" t="s">
        <v>1084</v>
      </c>
      <c r="AN909" s="954"/>
      <c r="AO909" s="955"/>
      <c r="AP909" s="931"/>
      <c r="AQ909" s="956"/>
      <c r="AR909" s="957"/>
      <c r="AS909" s="931"/>
    </row>
    <row r="910" ht="15.75" customHeight="1">
      <c r="A910" s="931"/>
      <c r="B910" s="941" t="s">
        <v>3387</v>
      </c>
      <c r="C910" s="942" t="s">
        <v>3388</v>
      </c>
      <c r="D910" s="942" t="s">
        <v>3388</v>
      </c>
      <c r="E910" s="943" t="s">
        <v>3388</v>
      </c>
      <c r="F910" s="935"/>
      <c r="G910" s="944"/>
      <c r="H910" s="944"/>
      <c r="I910" s="946" t="s">
        <v>3389</v>
      </c>
      <c r="J910" s="947" t="s">
        <v>708</v>
      </c>
      <c r="K910" s="960" t="s">
        <v>707</v>
      </c>
      <c r="L910" s="949">
        <v>68.0</v>
      </c>
      <c r="M910" s="949">
        <v>55.0</v>
      </c>
      <c r="N910" s="949">
        <v>55.0</v>
      </c>
      <c r="O910" s="949">
        <v>50.0</v>
      </c>
      <c r="P910" s="949">
        <v>50.0</v>
      </c>
      <c r="Q910" s="949">
        <v>42.0</v>
      </c>
      <c r="R910" s="949">
        <v>120.0</v>
      </c>
      <c r="S910" s="949">
        <v>183.0</v>
      </c>
      <c r="T910" s="949">
        <v>201.0</v>
      </c>
      <c r="U910" s="949"/>
      <c r="V910" s="949"/>
      <c r="W910" s="949"/>
      <c r="X910" s="949"/>
      <c r="Y910" s="949"/>
      <c r="Z910" s="949"/>
      <c r="AA910" s="949"/>
      <c r="AB910" s="949"/>
      <c r="AC910" s="949"/>
      <c r="AD910" s="949"/>
      <c r="AE910" s="949"/>
      <c r="AF910" s="949"/>
      <c r="AG910" s="949"/>
      <c r="AH910" s="949"/>
      <c r="AI910" s="949"/>
      <c r="AJ910" s="949"/>
      <c r="AK910" s="949"/>
      <c r="AL910" s="949"/>
      <c r="AM910" s="953" t="s">
        <v>735</v>
      </c>
      <c r="AN910" s="954"/>
      <c r="AO910" s="955" t="s">
        <v>3390</v>
      </c>
      <c r="AP910" s="931"/>
      <c r="AQ910" s="956"/>
      <c r="AR910" s="957"/>
      <c r="AS910" s="931"/>
    </row>
    <row r="911" ht="15.75" customHeight="1">
      <c r="A911" s="963"/>
      <c r="B911" s="941" t="s">
        <v>3391</v>
      </c>
      <c r="C911" s="942" t="s">
        <v>3392</v>
      </c>
      <c r="D911" s="942" t="s">
        <v>3392</v>
      </c>
      <c r="E911" s="943" t="s">
        <v>3392</v>
      </c>
      <c r="F911" s="935"/>
      <c r="G911" s="944"/>
      <c r="H911" s="944"/>
      <c r="I911" s="946" t="s">
        <v>3393</v>
      </c>
      <c r="J911" s="947" t="s">
        <v>708</v>
      </c>
      <c r="K911" s="960" t="s">
        <v>707</v>
      </c>
      <c r="L911" s="949">
        <v>78.0</v>
      </c>
      <c r="M911" s="949">
        <v>75.0</v>
      </c>
      <c r="N911" s="949">
        <v>75.0</v>
      </c>
      <c r="O911" s="949">
        <v>70.0</v>
      </c>
      <c r="P911" s="949">
        <v>70.0</v>
      </c>
      <c r="Q911" s="949">
        <v>52.0</v>
      </c>
      <c r="R911" s="949">
        <v>140.0</v>
      </c>
      <c r="S911" s="949">
        <v>203.0</v>
      </c>
      <c r="T911" s="949">
        <v>223.0</v>
      </c>
      <c r="U911" s="949"/>
      <c r="V911" s="949"/>
      <c r="W911" s="949"/>
      <c r="X911" s="949"/>
      <c r="Y911" s="949"/>
      <c r="Z911" s="949"/>
      <c r="AA911" s="949"/>
      <c r="AB911" s="949"/>
      <c r="AC911" s="949"/>
      <c r="AD911" s="949"/>
      <c r="AE911" s="949"/>
      <c r="AF911" s="949"/>
      <c r="AG911" s="949"/>
      <c r="AH911" s="949"/>
      <c r="AI911" s="949"/>
      <c r="AJ911" s="949"/>
      <c r="AK911" s="949"/>
      <c r="AL911" s="949"/>
      <c r="AM911" s="964" t="s">
        <v>735</v>
      </c>
      <c r="AN911" s="954"/>
      <c r="AO911" s="965" t="s">
        <v>3390</v>
      </c>
      <c r="AP911" s="931"/>
      <c r="AQ911" s="956"/>
      <c r="AR911" s="957"/>
      <c r="AS911" s="931"/>
    </row>
    <row r="912" ht="15.75" customHeight="1">
      <c r="A912" s="931"/>
      <c r="B912" s="941" t="s">
        <v>3394</v>
      </c>
      <c r="C912" s="942" t="s">
        <v>3395</v>
      </c>
      <c r="D912" s="942" t="s">
        <v>3395</v>
      </c>
      <c r="E912" s="943" t="s">
        <v>3395</v>
      </c>
      <c r="F912" s="935"/>
      <c r="G912" s="944"/>
      <c r="H912" s="944"/>
      <c r="I912" s="946" t="s">
        <v>3396</v>
      </c>
      <c r="J912" s="947" t="s">
        <v>708</v>
      </c>
      <c r="K912" s="994" t="s">
        <v>717</v>
      </c>
      <c r="L912" s="949">
        <v>78.0</v>
      </c>
      <c r="M912" s="949">
        <v>107.0</v>
      </c>
      <c r="N912" s="949">
        <v>75.0</v>
      </c>
      <c r="O912" s="949">
        <v>100.0</v>
      </c>
      <c r="P912" s="949">
        <v>100.0</v>
      </c>
      <c r="Q912" s="949">
        <v>70.0</v>
      </c>
      <c r="R912" s="949">
        <v>176.0</v>
      </c>
      <c r="S912" s="949">
        <v>239.0</v>
      </c>
      <c r="T912" s="949">
        <v>262.0</v>
      </c>
      <c r="U912" s="949"/>
      <c r="V912" s="949"/>
      <c r="W912" s="949"/>
      <c r="X912" s="949"/>
      <c r="Y912" s="949"/>
      <c r="Z912" s="949"/>
      <c r="AA912" s="949"/>
      <c r="AB912" s="949"/>
      <c r="AC912" s="949"/>
      <c r="AD912" s="949"/>
      <c r="AE912" s="949"/>
      <c r="AF912" s="949"/>
      <c r="AG912" s="949"/>
      <c r="AH912" s="949"/>
      <c r="AI912" s="949"/>
      <c r="AJ912" s="949"/>
      <c r="AK912" s="949"/>
      <c r="AL912" s="949"/>
      <c r="AM912" s="953" t="s">
        <v>735</v>
      </c>
      <c r="AN912" s="954"/>
      <c r="AO912" s="955" t="s">
        <v>3390</v>
      </c>
      <c r="AP912" s="931"/>
      <c r="AQ912" s="956"/>
      <c r="AR912" s="957"/>
      <c r="AS912" s="931"/>
    </row>
    <row r="913" ht="15.75" customHeight="1">
      <c r="A913" s="963"/>
      <c r="B913" s="941" t="s">
        <v>3397</v>
      </c>
      <c r="C913" s="971" t="s">
        <v>3398</v>
      </c>
      <c r="D913" s="971" t="s">
        <v>3398</v>
      </c>
      <c r="E913" s="966" t="s">
        <v>3398</v>
      </c>
      <c r="F913" s="935"/>
      <c r="G913" s="944"/>
      <c r="H913" s="944"/>
      <c r="I913" s="959" t="s">
        <v>3399</v>
      </c>
      <c r="J913" s="964"/>
      <c r="K913" s="973"/>
      <c r="L913" s="974"/>
      <c r="M913" s="974"/>
      <c r="N913" s="974"/>
      <c r="O913" s="974"/>
      <c r="P913" s="974"/>
      <c r="Q913" s="974"/>
      <c r="R913" s="949" t="s">
        <v>2801</v>
      </c>
      <c r="S913" s="949" t="s">
        <v>2801</v>
      </c>
      <c r="T913" s="949" t="s">
        <v>2801</v>
      </c>
      <c r="U913" s="949"/>
      <c r="V913" s="949"/>
      <c r="W913" s="949"/>
      <c r="X913" s="949"/>
      <c r="Y913" s="949"/>
      <c r="Z913" s="949"/>
      <c r="AA913" s="949"/>
      <c r="AB913" s="949"/>
      <c r="AC913" s="949"/>
      <c r="AD913" s="949"/>
      <c r="AE913" s="949"/>
      <c r="AF913" s="949"/>
      <c r="AG913" s="949"/>
      <c r="AH913" s="949"/>
      <c r="AI913" s="949"/>
      <c r="AJ913" s="949"/>
      <c r="AK913" s="949"/>
      <c r="AL913" s="949"/>
      <c r="AM913" s="964"/>
      <c r="AN913" s="954"/>
      <c r="AO913" s="955"/>
      <c r="AP913" s="931"/>
      <c r="AQ913" s="956"/>
      <c r="AR913" s="957"/>
      <c r="AS913" s="931"/>
    </row>
    <row r="914" ht="15.75" customHeight="1">
      <c r="A914" s="931"/>
      <c r="B914" s="941" t="s">
        <v>3400</v>
      </c>
      <c r="C914" s="942" t="s">
        <v>3401</v>
      </c>
      <c r="D914" s="942" t="s">
        <v>3401</v>
      </c>
      <c r="E914" s="943" t="s">
        <v>3401</v>
      </c>
      <c r="F914" s="935"/>
      <c r="G914" s="944"/>
      <c r="H914" s="944"/>
      <c r="I914" s="946" t="s">
        <v>3402</v>
      </c>
      <c r="J914" s="958" t="s">
        <v>704</v>
      </c>
      <c r="K914" s="954" t="s">
        <v>158</v>
      </c>
      <c r="L914" s="949">
        <v>45.0</v>
      </c>
      <c r="M914" s="949">
        <v>65.0</v>
      </c>
      <c r="N914" s="949">
        <v>40.0</v>
      </c>
      <c r="O914" s="949">
        <v>60.0</v>
      </c>
      <c r="P914" s="949">
        <v>40.0</v>
      </c>
      <c r="Q914" s="949">
        <v>70.0</v>
      </c>
      <c r="R914" s="949">
        <v>176.0</v>
      </c>
      <c r="S914" s="949">
        <v>239.0</v>
      </c>
      <c r="T914" s="949">
        <v>262.0</v>
      </c>
      <c r="U914" s="949"/>
      <c r="V914" s="949"/>
      <c r="W914" s="949"/>
      <c r="X914" s="949"/>
      <c r="Y914" s="949"/>
      <c r="Z914" s="949"/>
      <c r="AA914" s="949"/>
      <c r="AB914" s="949"/>
      <c r="AC914" s="949"/>
      <c r="AD914" s="949"/>
      <c r="AE914" s="949"/>
      <c r="AF914" s="949"/>
      <c r="AG914" s="949"/>
      <c r="AH914" s="949"/>
      <c r="AI914" s="949"/>
      <c r="AJ914" s="949"/>
      <c r="AK914" s="949"/>
      <c r="AL914" s="949"/>
      <c r="AM914" s="953" t="s">
        <v>750</v>
      </c>
      <c r="AN914" s="954"/>
      <c r="AO914" s="955" t="s">
        <v>854</v>
      </c>
      <c r="AP914" s="931"/>
      <c r="AQ914" s="956"/>
      <c r="AR914" s="957"/>
      <c r="AS914" s="931"/>
    </row>
    <row r="915" ht="15.75" customHeight="1">
      <c r="A915" s="931"/>
      <c r="B915" s="941" t="s">
        <v>3403</v>
      </c>
      <c r="C915" s="942" t="s">
        <v>3404</v>
      </c>
      <c r="D915" s="942" t="s">
        <v>3404</v>
      </c>
      <c r="E915" s="943" t="s">
        <v>3404</v>
      </c>
      <c r="F915" s="935"/>
      <c r="G915" s="944"/>
      <c r="H915" s="944"/>
      <c r="I915" s="946" t="s">
        <v>3405</v>
      </c>
      <c r="J915" s="958" t="s">
        <v>704</v>
      </c>
      <c r="K915" s="954" t="s">
        <v>158</v>
      </c>
      <c r="L915" s="949">
        <v>65.0</v>
      </c>
      <c r="M915" s="949">
        <v>85.0</v>
      </c>
      <c r="N915" s="949">
        <v>50.0</v>
      </c>
      <c r="O915" s="949">
        <v>80.0</v>
      </c>
      <c r="P915" s="949">
        <v>50.0</v>
      </c>
      <c r="Q915" s="949">
        <v>90.0</v>
      </c>
      <c r="R915" s="949">
        <v>216.0</v>
      </c>
      <c r="S915" s="949">
        <v>279.0</v>
      </c>
      <c r="T915" s="949">
        <v>306.0</v>
      </c>
      <c r="U915" s="949"/>
      <c r="V915" s="949"/>
      <c r="W915" s="949"/>
      <c r="X915" s="949"/>
      <c r="Y915" s="949"/>
      <c r="Z915" s="949"/>
      <c r="AA915" s="949"/>
      <c r="AB915" s="949"/>
      <c r="AC915" s="949"/>
      <c r="AD915" s="949"/>
      <c r="AE915" s="949"/>
      <c r="AF915" s="949"/>
      <c r="AG915" s="949"/>
      <c r="AH915" s="949"/>
      <c r="AI915" s="949"/>
      <c r="AJ915" s="949"/>
      <c r="AK915" s="949"/>
      <c r="AL915" s="949"/>
      <c r="AM915" s="953" t="s">
        <v>750</v>
      </c>
      <c r="AN915" s="954"/>
      <c r="AO915" s="955" t="s">
        <v>854</v>
      </c>
      <c r="AP915" s="931"/>
      <c r="AQ915" s="956"/>
      <c r="AR915" s="957"/>
      <c r="AS915" s="931"/>
    </row>
    <row r="916" ht="15.75" customHeight="1">
      <c r="A916" s="963"/>
      <c r="B916" s="941" t="s">
        <v>3406</v>
      </c>
      <c r="C916" s="942" t="s">
        <v>3407</v>
      </c>
      <c r="D916" s="942" t="s">
        <v>3407</v>
      </c>
      <c r="E916" s="943" t="s">
        <v>3407</v>
      </c>
      <c r="F916" s="935"/>
      <c r="G916" s="944"/>
      <c r="H916" s="944"/>
      <c r="I916" s="946" t="s">
        <v>3408</v>
      </c>
      <c r="J916" s="958" t="s">
        <v>704</v>
      </c>
      <c r="K916" s="969" t="s">
        <v>718</v>
      </c>
      <c r="L916" s="949">
        <v>95.0</v>
      </c>
      <c r="M916" s="949">
        <v>115.0</v>
      </c>
      <c r="N916" s="949">
        <v>90.0</v>
      </c>
      <c r="O916" s="949">
        <v>80.0</v>
      </c>
      <c r="P916" s="949">
        <v>90.0</v>
      </c>
      <c r="Q916" s="949">
        <v>60.0</v>
      </c>
      <c r="R916" s="949">
        <v>156.0</v>
      </c>
      <c r="S916" s="949">
        <v>219.0</v>
      </c>
      <c r="T916" s="949">
        <v>240.0</v>
      </c>
      <c r="U916" s="949"/>
      <c r="V916" s="949"/>
      <c r="W916" s="949"/>
      <c r="X916" s="949"/>
      <c r="Y916" s="949"/>
      <c r="Z916" s="949"/>
      <c r="AA916" s="949"/>
      <c r="AB916" s="949"/>
      <c r="AC916" s="949"/>
      <c r="AD916" s="949"/>
      <c r="AE916" s="949"/>
      <c r="AF916" s="949"/>
      <c r="AG916" s="949"/>
      <c r="AH916" s="949"/>
      <c r="AI916" s="949"/>
      <c r="AJ916" s="949"/>
      <c r="AK916" s="949"/>
      <c r="AL916" s="949"/>
      <c r="AM916" s="964" t="s">
        <v>750</v>
      </c>
      <c r="AN916" s="973"/>
      <c r="AO916" s="965" t="s">
        <v>854</v>
      </c>
      <c r="AP916" s="931"/>
      <c r="AQ916" s="956"/>
      <c r="AR916" s="957"/>
      <c r="AS916" s="931"/>
    </row>
    <row r="917" ht="15.75" customHeight="1">
      <c r="A917" s="963"/>
      <c r="B917" s="941" t="s">
        <v>3409</v>
      </c>
      <c r="C917" s="942" t="s">
        <v>3410</v>
      </c>
      <c r="D917" s="942" t="s">
        <v>3410</v>
      </c>
      <c r="E917" s="943" t="s">
        <v>3410</v>
      </c>
      <c r="F917" s="935"/>
      <c r="G917" s="944"/>
      <c r="H917" s="944"/>
      <c r="I917" s="946" t="s">
        <v>3411</v>
      </c>
      <c r="J917" s="962" t="s">
        <v>706</v>
      </c>
      <c r="K917" s="954" t="s">
        <v>158</v>
      </c>
      <c r="L917" s="949">
        <v>50.0</v>
      </c>
      <c r="M917" s="949">
        <v>54.0</v>
      </c>
      <c r="N917" s="949">
        <v>54.0</v>
      </c>
      <c r="O917" s="949">
        <v>66.0</v>
      </c>
      <c r="P917" s="949">
        <v>56.0</v>
      </c>
      <c r="Q917" s="949">
        <v>40.0</v>
      </c>
      <c r="R917" s="949">
        <v>116.0</v>
      </c>
      <c r="S917" s="949">
        <v>179.0</v>
      </c>
      <c r="T917" s="949">
        <v>196.0</v>
      </c>
      <c r="U917" s="949"/>
      <c r="V917" s="949"/>
      <c r="W917" s="949"/>
      <c r="X917" s="949"/>
      <c r="Y917" s="949"/>
      <c r="Z917" s="949"/>
      <c r="AA917" s="949"/>
      <c r="AB917" s="949"/>
      <c r="AC917" s="949"/>
      <c r="AD917" s="949"/>
      <c r="AE917" s="949"/>
      <c r="AF917" s="949"/>
      <c r="AG917" s="949"/>
      <c r="AH917" s="949"/>
      <c r="AI917" s="949"/>
      <c r="AJ917" s="949"/>
      <c r="AK917" s="949"/>
      <c r="AL917" s="949"/>
      <c r="AM917" s="964" t="s">
        <v>771</v>
      </c>
      <c r="AN917" s="973"/>
      <c r="AO917" s="965" t="s">
        <v>3412</v>
      </c>
      <c r="AP917" s="931"/>
      <c r="AQ917" s="956"/>
      <c r="AR917" s="957"/>
      <c r="AS917" s="931"/>
    </row>
    <row r="918" ht="15.75" customHeight="1">
      <c r="A918" s="931"/>
      <c r="B918" s="941" t="s">
        <v>3413</v>
      </c>
      <c r="C918" s="942" t="s">
        <v>3414</v>
      </c>
      <c r="D918" s="942" t="s">
        <v>3414</v>
      </c>
      <c r="E918" s="943" t="s">
        <v>3414</v>
      </c>
      <c r="F918" s="935"/>
      <c r="G918" s="944"/>
      <c r="H918" s="944"/>
      <c r="I918" s="946" t="s">
        <v>3415</v>
      </c>
      <c r="J918" s="962" t="s">
        <v>706</v>
      </c>
      <c r="K918" s="954" t="s">
        <v>158</v>
      </c>
      <c r="L918" s="949">
        <v>60.0</v>
      </c>
      <c r="M918" s="949">
        <v>69.0</v>
      </c>
      <c r="N918" s="949">
        <v>69.0</v>
      </c>
      <c r="O918" s="949">
        <v>91.0</v>
      </c>
      <c r="P918" s="949">
        <v>81.0</v>
      </c>
      <c r="Q918" s="949">
        <v>50.0</v>
      </c>
      <c r="R918" s="949">
        <v>136.0</v>
      </c>
      <c r="S918" s="949">
        <v>199.0</v>
      </c>
      <c r="T918" s="949">
        <v>218.0</v>
      </c>
      <c r="U918" s="949"/>
      <c r="V918" s="949"/>
      <c r="W918" s="949"/>
      <c r="X918" s="949"/>
      <c r="Y918" s="949"/>
      <c r="Z918" s="949"/>
      <c r="AA918" s="949"/>
      <c r="AB918" s="949"/>
      <c r="AC918" s="949"/>
      <c r="AD918" s="949"/>
      <c r="AE918" s="949"/>
      <c r="AF918" s="949"/>
      <c r="AG918" s="949"/>
      <c r="AH918" s="949"/>
      <c r="AI918" s="949"/>
      <c r="AJ918" s="949"/>
      <c r="AK918" s="949"/>
      <c r="AL918" s="949"/>
      <c r="AM918" s="953" t="s">
        <v>771</v>
      </c>
      <c r="AN918" s="954"/>
      <c r="AO918" s="955" t="s">
        <v>3412</v>
      </c>
      <c r="AP918" s="931"/>
      <c r="AQ918" s="956"/>
      <c r="AR918" s="957"/>
      <c r="AS918" s="931"/>
    </row>
    <row r="919" ht="15.75" customHeight="1">
      <c r="A919" s="931"/>
      <c r="B919" s="941" t="s">
        <v>3416</v>
      </c>
      <c r="C919" s="942" t="s">
        <v>3417</v>
      </c>
      <c r="D919" s="942" t="s">
        <v>3417</v>
      </c>
      <c r="E919" s="943" t="s">
        <v>3417</v>
      </c>
      <c r="F919" s="935"/>
      <c r="G919" s="944"/>
      <c r="H919" s="944"/>
      <c r="I919" s="946" t="s">
        <v>3418</v>
      </c>
      <c r="J919" s="962" t="s">
        <v>706</v>
      </c>
      <c r="K919" s="980" t="s">
        <v>720</v>
      </c>
      <c r="L919" s="949">
        <v>80.0</v>
      </c>
      <c r="M919" s="949">
        <v>74.0</v>
      </c>
      <c r="N919" s="949">
        <v>74.0</v>
      </c>
      <c r="O919" s="949">
        <v>126.0</v>
      </c>
      <c r="P919" s="949">
        <v>116.0</v>
      </c>
      <c r="Q919" s="949">
        <v>60.0</v>
      </c>
      <c r="R919" s="949">
        <v>156.0</v>
      </c>
      <c r="S919" s="949">
        <v>219.0</v>
      </c>
      <c r="T919" s="949">
        <v>240.0</v>
      </c>
      <c r="U919" s="949"/>
      <c r="V919" s="949"/>
      <c r="W919" s="949"/>
      <c r="X919" s="949"/>
      <c r="Y919" s="949"/>
      <c r="Z919" s="949"/>
      <c r="AA919" s="949"/>
      <c r="AB919" s="949"/>
      <c r="AC919" s="949"/>
      <c r="AD919" s="949"/>
      <c r="AE919" s="949"/>
      <c r="AF919" s="949"/>
      <c r="AG919" s="949"/>
      <c r="AH919" s="949"/>
      <c r="AI919" s="949"/>
      <c r="AJ919" s="949"/>
      <c r="AK919" s="949"/>
      <c r="AL919" s="949"/>
      <c r="AM919" s="953" t="s">
        <v>771</v>
      </c>
      <c r="AN919" s="954"/>
      <c r="AO919" s="955" t="s">
        <v>3412</v>
      </c>
      <c r="AP919" s="931"/>
      <c r="AQ919" s="956"/>
      <c r="AR919" s="957"/>
      <c r="AS919" s="931"/>
    </row>
    <row r="920" ht="15.75" customHeight="1">
      <c r="A920" s="931"/>
      <c r="B920" s="941" t="s">
        <v>3419</v>
      </c>
      <c r="C920" s="942" t="s">
        <v>3420</v>
      </c>
      <c r="D920" s="942" t="s">
        <v>3420</v>
      </c>
      <c r="E920" s="943" t="s">
        <v>3420</v>
      </c>
      <c r="F920" s="935"/>
      <c r="G920" s="944"/>
      <c r="H920" s="944"/>
      <c r="I920" s="959" t="s">
        <v>3421</v>
      </c>
      <c r="J920" s="968" t="s">
        <v>703</v>
      </c>
      <c r="K920" s="960" t="s">
        <v>707</v>
      </c>
      <c r="L920" s="949">
        <v>35.0</v>
      </c>
      <c r="M920" s="949">
        <v>75.0</v>
      </c>
      <c r="N920" s="949">
        <v>30.0</v>
      </c>
      <c r="O920" s="949">
        <v>30.0</v>
      </c>
      <c r="P920" s="949">
        <v>30.0</v>
      </c>
      <c r="Q920" s="949">
        <v>65.0</v>
      </c>
      <c r="R920" s="949">
        <v>166.0</v>
      </c>
      <c r="S920" s="949">
        <v>229.0</v>
      </c>
      <c r="T920" s="949">
        <v>251.0</v>
      </c>
      <c r="U920" s="949"/>
      <c r="V920" s="949"/>
      <c r="W920" s="949"/>
      <c r="X920" s="949"/>
      <c r="Y920" s="949"/>
      <c r="Z920" s="949"/>
      <c r="AA920" s="949"/>
      <c r="AB920" s="949"/>
      <c r="AC920" s="949"/>
      <c r="AD920" s="949"/>
      <c r="AE920" s="949"/>
      <c r="AF920" s="949"/>
      <c r="AG920" s="949"/>
      <c r="AH920" s="949"/>
      <c r="AI920" s="949"/>
      <c r="AJ920" s="949"/>
      <c r="AK920" s="949"/>
      <c r="AL920" s="949"/>
      <c r="AM920" s="953" t="s">
        <v>815</v>
      </c>
      <c r="AN920" s="954" t="s">
        <v>1238</v>
      </c>
      <c r="AO920" s="955" t="s">
        <v>1040</v>
      </c>
      <c r="AP920" s="931"/>
      <c r="AQ920" s="956"/>
      <c r="AR920" s="957"/>
      <c r="AS920" s="931"/>
    </row>
    <row r="921" ht="15.75" customHeight="1">
      <c r="A921" s="931"/>
      <c r="B921" s="941" t="s">
        <v>3422</v>
      </c>
      <c r="C921" s="942" t="s">
        <v>3423</v>
      </c>
      <c r="D921" s="942" t="s">
        <v>3423</v>
      </c>
      <c r="E921" s="943" t="s">
        <v>3423</v>
      </c>
      <c r="F921" s="935"/>
      <c r="G921" s="944"/>
      <c r="H921" s="944"/>
      <c r="I921" s="946" t="s">
        <v>3424</v>
      </c>
      <c r="J921" s="968" t="s">
        <v>703</v>
      </c>
      <c r="K921" s="960" t="s">
        <v>707</v>
      </c>
      <c r="L921" s="949">
        <v>55.0</v>
      </c>
      <c r="M921" s="949">
        <v>85.0</v>
      </c>
      <c r="N921" s="949">
        <v>50.0</v>
      </c>
      <c r="O921" s="949">
        <v>40.0</v>
      </c>
      <c r="P921" s="949">
        <v>50.0</v>
      </c>
      <c r="Q921" s="949">
        <v>75.0</v>
      </c>
      <c r="R921" s="949">
        <v>186.0</v>
      </c>
      <c r="S921" s="949">
        <v>249.0</v>
      </c>
      <c r="T921" s="949">
        <v>273.0</v>
      </c>
      <c r="U921" s="949"/>
      <c r="V921" s="949"/>
      <c r="W921" s="949"/>
      <c r="X921" s="949"/>
      <c r="Y921" s="949"/>
      <c r="Z921" s="949"/>
      <c r="AA921" s="949"/>
      <c r="AB921" s="949"/>
      <c r="AC921" s="949"/>
      <c r="AD921" s="949"/>
      <c r="AE921" s="949"/>
      <c r="AF921" s="949"/>
      <c r="AG921" s="949"/>
      <c r="AH921" s="949"/>
      <c r="AI921" s="949"/>
      <c r="AJ921" s="949"/>
      <c r="AK921" s="949"/>
      <c r="AL921" s="949"/>
      <c r="AM921" s="953" t="s">
        <v>815</v>
      </c>
      <c r="AN921" s="954" t="s">
        <v>1238</v>
      </c>
      <c r="AO921" s="955" t="s">
        <v>1040</v>
      </c>
      <c r="AP921" s="931"/>
      <c r="AQ921" s="956"/>
      <c r="AR921" s="957"/>
      <c r="AS921" s="931"/>
    </row>
    <row r="922" ht="15.75" customHeight="1">
      <c r="A922" s="931"/>
      <c r="B922" s="941" t="s">
        <v>3425</v>
      </c>
      <c r="C922" s="942" t="s">
        <v>3426</v>
      </c>
      <c r="D922" s="942" t="s">
        <v>3426</v>
      </c>
      <c r="E922" s="943" t="s">
        <v>3426</v>
      </c>
      <c r="F922" s="935"/>
      <c r="G922" s="944"/>
      <c r="H922" s="944"/>
      <c r="I922" s="946" t="s">
        <v>3427</v>
      </c>
      <c r="J922" s="968" t="s">
        <v>703</v>
      </c>
      <c r="K922" s="960" t="s">
        <v>707</v>
      </c>
      <c r="L922" s="949">
        <v>80.0</v>
      </c>
      <c r="M922" s="949">
        <v>120.0</v>
      </c>
      <c r="N922" s="949">
        <v>75.0</v>
      </c>
      <c r="O922" s="949">
        <v>75.0</v>
      </c>
      <c r="P922" s="949">
        <v>75.0</v>
      </c>
      <c r="Q922" s="949">
        <v>60.0</v>
      </c>
      <c r="R922" s="949">
        <v>156.0</v>
      </c>
      <c r="S922" s="949">
        <v>219.0</v>
      </c>
      <c r="T922" s="949">
        <v>240.0</v>
      </c>
      <c r="U922" s="949"/>
      <c r="V922" s="949"/>
      <c r="W922" s="949"/>
      <c r="X922" s="949"/>
      <c r="Y922" s="949"/>
      <c r="Z922" s="949"/>
      <c r="AA922" s="949"/>
      <c r="AB922" s="949"/>
      <c r="AC922" s="949"/>
      <c r="AD922" s="949"/>
      <c r="AE922" s="949"/>
      <c r="AF922" s="949"/>
      <c r="AG922" s="949"/>
      <c r="AH922" s="949"/>
      <c r="AI922" s="949"/>
      <c r="AJ922" s="949"/>
      <c r="AK922" s="949"/>
      <c r="AL922" s="949"/>
      <c r="AM922" s="953" t="s">
        <v>815</v>
      </c>
      <c r="AN922" s="954" t="s">
        <v>1238</v>
      </c>
      <c r="AO922" s="955" t="s">
        <v>949</v>
      </c>
      <c r="AP922" s="931"/>
      <c r="AQ922" s="956"/>
      <c r="AR922" s="957"/>
      <c r="AS922" s="931"/>
    </row>
    <row r="923" ht="15.75" customHeight="1">
      <c r="A923" s="931"/>
      <c r="B923" s="941" t="s">
        <v>3428</v>
      </c>
      <c r="C923" s="942" t="s">
        <v>3429</v>
      </c>
      <c r="D923" s="942" t="s">
        <v>3429</v>
      </c>
      <c r="E923" s="943" t="s">
        <v>3429</v>
      </c>
      <c r="F923" s="935"/>
      <c r="G923" s="944"/>
      <c r="H923" s="944"/>
      <c r="I923" s="946" t="s">
        <v>638</v>
      </c>
      <c r="J923" s="968" t="s">
        <v>703</v>
      </c>
      <c r="K923" s="954" t="s">
        <v>158</v>
      </c>
      <c r="L923" s="949">
        <v>48.0</v>
      </c>
      <c r="M923" s="949">
        <v>70.0</v>
      </c>
      <c r="N923" s="949">
        <v>30.0</v>
      </c>
      <c r="O923" s="949">
        <v>30.0</v>
      </c>
      <c r="P923" s="949">
        <v>30.0</v>
      </c>
      <c r="Q923" s="949">
        <v>45.0</v>
      </c>
      <c r="R923" s="949">
        <v>126.0</v>
      </c>
      <c r="S923" s="949">
        <v>189.0</v>
      </c>
      <c r="T923" s="949">
        <v>207.0</v>
      </c>
      <c r="U923" s="949"/>
      <c r="V923" s="949"/>
      <c r="W923" s="949"/>
      <c r="X923" s="949"/>
      <c r="Y923" s="949"/>
      <c r="Z923" s="949"/>
      <c r="AA923" s="949"/>
      <c r="AB923" s="949"/>
      <c r="AC923" s="949"/>
      <c r="AD923" s="949"/>
      <c r="AE923" s="949"/>
      <c r="AF923" s="949"/>
      <c r="AG923" s="949"/>
      <c r="AH923" s="949"/>
      <c r="AI923" s="949"/>
      <c r="AJ923" s="949"/>
      <c r="AK923" s="949"/>
      <c r="AL923" s="949"/>
      <c r="AM923" s="953" t="s">
        <v>3430</v>
      </c>
      <c r="AN923" s="954" t="s">
        <v>2039</v>
      </c>
      <c r="AO923" s="955" t="s">
        <v>811</v>
      </c>
      <c r="AP923" s="931"/>
      <c r="AQ923" s="956"/>
      <c r="AR923" s="957"/>
      <c r="AS923" s="931"/>
    </row>
    <row r="924" ht="15.75" customHeight="1">
      <c r="A924" s="931"/>
      <c r="B924" s="941" t="s">
        <v>3431</v>
      </c>
      <c r="C924" s="942" t="s">
        <v>3432</v>
      </c>
      <c r="D924" s="942" t="s">
        <v>3432</v>
      </c>
      <c r="E924" s="943" t="s">
        <v>3432</v>
      </c>
      <c r="F924" s="935"/>
      <c r="G924" s="944"/>
      <c r="H924" s="944"/>
      <c r="I924" s="946" t="s">
        <v>549</v>
      </c>
      <c r="J924" s="968" t="s">
        <v>703</v>
      </c>
      <c r="K924" s="954" t="s">
        <v>158</v>
      </c>
      <c r="L924" s="949">
        <v>88.0</v>
      </c>
      <c r="M924" s="949">
        <v>110.0</v>
      </c>
      <c r="N924" s="949">
        <v>60.0</v>
      </c>
      <c r="O924" s="949">
        <v>55.0</v>
      </c>
      <c r="P924" s="949">
        <v>60.0</v>
      </c>
      <c r="Q924" s="949">
        <v>45.0</v>
      </c>
      <c r="R924" s="949">
        <v>126.0</v>
      </c>
      <c r="S924" s="949">
        <v>189.0</v>
      </c>
      <c r="T924" s="949">
        <v>207.0</v>
      </c>
      <c r="U924" s="949"/>
      <c r="V924" s="949"/>
      <c r="W924" s="949"/>
      <c r="X924" s="949"/>
      <c r="Y924" s="949"/>
      <c r="Z924" s="949"/>
      <c r="AA924" s="949"/>
      <c r="AB924" s="949"/>
      <c r="AC924" s="949"/>
      <c r="AD924" s="949"/>
      <c r="AE924" s="949"/>
      <c r="AF924" s="949"/>
      <c r="AG924" s="949"/>
      <c r="AH924" s="949"/>
      <c r="AI924" s="949"/>
      <c r="AJ924" s="949"/>
      <c r="AK924" s="949"/>
      <c r="AL924" s="949"/>
      <c r="AM924" s="953" t="s">
        <v>3430</v>
      </c>
      <c r="AN924" s="954" t="s">
        <v>2039</v>
      </c>
      <c r="AO924" s="955" t="s">
        <v>811</v>
      </c>
      <c r="AP924" s="931"/>
      <c r="AQ924" s="956"/>
      <c r="AR924" s="957"/>
      <c r="AS924" s="931"/>
    </row>
    <row r="925" ht="15.75" customHeight="1">
      <c r="A925" s="931"/>
      <c r="B925" s="941" t="s">
        <v>3433</v>
      </c>
      <c r="C925" s="942" t="s">
        <v>3434</v>
      </c>
      <c r="D925" s="942" t="s">
        <v>3434</v>
      </c>
      <c r="E925" s="943" t="s">
        <v>3434</v>
      </c>
      <c r="F925" s="935"/>
      <c r="G925" s="944"/>
      <c r="H925" s="944"/>
      <c r="I925" s="946" t="s">
        <v>3435</v>
      </c>
      <c r="J925" s="967" t="s">
        <v>715</v>
      </c>
      <c r="K925" s="954" t="s">
        <v>158</v>
      </c>
      <c r="L925" s="949">
        <v>47.0</v>
      </c>
      <c r="M925" s="949">
        <v>62.0</v>
      </c>
      <c r="N925" s="949">
        <v>45.0</v>
      </c>
      <c r="O925" s="949">
        <v>55.0</v>
      </c>
      <c r="P925" s="949">
        <v>45.0</v>
      </c>
      <c r="Q925" s="949">
        <v>46.0</v>
      </c>
      <c r="R925" s="949">
        <v>128.0</v>
      </c>
      <c r="S925" s="949">
        <v>191.0</v>
      </c>
      <c r="T925" s="949">
        <v>210.0</v>
      </c>
      <c r="U925" s="949"/>
      <c r="V925" s="949"/>
      <c r="W925" s="949"/>
      <c r="X925" s="949"/>
      <c r="Y925" s="949"/>
      <c r="Z925" s="949"/>
      <c r="AA925" s="949"/>
      <c r="AB925" s="949"/>
      <c r="AC925" s="949"/>
      <c r="AD925" s="949"/>
      <c r="AE925" s="949"/>
      <c r="AF925" s="949"/>
      <c r="AG925" s="949"/>
      <c r="AH925" s="949"/>
      <c r="AI925" s="949"/>
      <c r="AJ925" s="949"/>
      <c r="AK925" s="949"/>
      <c r="AL925" s="949"/>
      <c r="AM925" s="953" t="s">
        <v>806</v>
      </c>
      <c r="AN925" s="954"/>
      <c r="AO925" s="955"/>
      <c r="AP925" s="931"/>
      <c r="AQ925" s="956"/>
      <c r="AR925" s="957"/>
      <c r="AS925" s="931"/>
    </row>
    <row r="926" ht="15.75" customHeight="1">
      <c r="A926" s="931"/>
      <c r="B926" s="941" t="s">
        <v>3436</v>
      </c>
      <c r="C926" s="942" t="s">
        <v>3437</v>
      </c>
      <c r="D926" s="942" t="s">
        <v>3437</v>
      </c>
      <c r="E926" s="943" t="s">
        <v>3437</v>
      </c>
      <c r="F926" s="935"/>
      <c r="G926" s="944"/>
      <c r="H926" s="944"/>
      <c r="I926" s="959" t="s">
        <v>3438</v>
      </c>
      <c r="J926" s="967" t="s">
        <v>715</v>
      </c>
      <c r="K926" s="970" t="s">
        <v>710</v>
      </c>
      <c r="L926" s="949">
        <v>57.0</v>
      </c>
      <c r="M926" s="949">
        <v>82.0</v>
      </c>
      <c r="N926" s="949">
        <v>95.0</v>
      </c>
      <c r="O926" s="949">
        <v>55.0</v>
      </c>
      <c r="P926" s="949">
        <v>75.0</v>
      </c>
      <c r="Q926" s="949">
        <v>36.0</v>
      </c>
      <c r="R926" s="949">
        <v>108.0</v>
      </c>
      <c r="S926" s="949">
        <v>171.0</v>
      </c>
      <c r="T926" s="949">
        <v>188.0</v>
      </c>
      <c r="U926" s="949"/>
      <c r="V926" s="949"/>
      <c r="W926" s="949"/>
      <c r="X926" s="949"/>
      <c r="Y926" s="949"/>
      <c r="Z926" s="949"/>
      <c r="AA926" s="949"/>
      <c r="AB926" s="949"/>
      <c r="AC926" s="949"/>
      <c r="AD926" s="949"/>
      <c r="AE926" s="949"/>
      <c r="AF926" s="949"/>
      <c r="AG926" s="949"/>
      <c r="AH926" s="949"/>
      <c r="AI926" s="949"/>
      <c r="AJ926" s="949"/>
      <c r="AK926" s="949"/>
      <c r="AL926" s="949"/>
      <c r="AM926" s="953" t="s">
        <v>3439</v>
      </c>
      <c r="AN926" s="954"/>
      <c r="AO926" s="955"/>
      <c r="AP926" s="931"/>
      <c r="AQ926" s="956"/>
      <c r="AR926" s="957"/>
      <c r="AS926" s="931"/>
    </row>
    <row r="927" ht="15.75" customHeight="1">
      <c r="A927" s="931"/>
      <c r="B927" s="941" t="s">
        <v>3440</v>
      </c>
      <c r="C927" s="942" t="s">
        <v>3441</v>
      </c>
      <c r="D927" s="942" t="s">
        <v>3441</v>
      </c>
      <c r="E927" s="943" t="s">
        <v>3441</v>
      </c>
      <c r="F927" s="935"/>
      <c r="G927" s="944"/>
      <c r="H927" s="944"/>
      <c r="I927" s="946" t="s">
        <v>3442</v>
      </c>
      <c r="J927" s="967" t="s">
        <v>715</v>
      </c>
      <c r="K927" s="970" t="s">
        <v>710</v>
      </c>
      <c r="L927" s="949">
        <v>77.0</v>
      </c>
      <c r="M927" s="949">
        <v>70.0</v>
      </c>
      <c r="N927" s="949">
        <v>90.0</v>
      </c>
      <c r="O927" s="949">
        <v>145.0</v>
      </c>
      <c r="P927" s="949">
        <v>75.0</v>
      </c>
      <c r="Q927" s="949">
        <v>43.0</v>
      </c>
      <c r="R927" s="949">
        <v>122.0</v>
      </c>
      <c r="S927" s="949">
        <v>185.0</v>
      </c>
      <c r="T927" s="949">
        <v>203.0</v>
      </c>
      <c r="U927" s="949"/>
      <c r="V927" s="949"/>
      <c r="W927" s="949"/>
      <c r="X927" s="949"/>
      <c r="Y927" s="949"/>
      <c r="Z927" s="949"/>
      <c r="AA927" s="949"/>
      <c r="AB927" s="949"/>
      <c r="AC927" s="949"/>
      <c r="AD927" s="949"/>
      <c r="AE927" s="949"/>
      <c r="AF927" s="949"/>
      <c r="AG927" s="949"/>
      <c r="AH927" s="949"/>
      <c r="AI927" s="949"/>
      <c r="AJ927" s="949"/>
      <c r="AK927" s="949"/>
      <c r="AL927" s="949"/>
      <c r="AM927" s="953" t="s">
        <v>1244</v>
      </c>
      <c r="AN927" s="954"/>
      <c r="AO927" s="955"/>
      <c r="AP927" s="931"/>
      <c r="AQ927" s="956"/>
      <c r="AR927" s="957"/>
      <c r="AS927" s="931"/>
    </row>
    <row r="928" ht="15.75" customHeight="1">
      <c r="A928" s="963"/>
      <c r="B928" s="941" t="s">
        <v>3443</v>
      </c>
      <c r="C928" s="942" t="s">
        <v>3444</v>
      </c>
      <c r="D928" s="942" t="s">
        <v>3444</v>
      </c>
      <c r="E928" s="943" t="s">
        <v>3444</v>
      </c>
      <c r="F928" s="935"/>
      <c r="G928" s="944"/>
      <c r="H928" s="944"/>
      <c r="I928" s="946" t="s">
        <v>639</v>
      </c>
      <c r="J928" s="988" t="s">
        <v>705</v>
      </c>
      <c r="K928" s="954" t="s">
        <v>158</v>
      </c>
      <c r="L928" s="949">
        <v>47.0</v>
      </c>
      <c r="M928" s="949">
        <v>82.0</v>
      </c>
      <c r="N928" s="949">
        <v>57.0</v>
      </c>
      <c r="O928" s="949">
        <v>42.0</v>
      </c>
      <c r="P928" s="949">
        <v>47.0</v>
      </c>
      <c r="Q928" s="949">
        <v>63.0</v>
      </c>
      <c r="R928" s="949">
        <v>162.0</v>
      </c>
      <c r="S928" s="949">
        <v>225.0</v>
      </c>
      <c r="T928" s="949">
        <v>247.0</v>
      </c>
      <c r="U928" s="949"/>
      <c r="V928" s="949"/>
      <c r="W928" s="949"/>
      <c r="X928" s="949"/>
      <c r="Y928" s="949"/>
      <c r="Z928" s="949"/>
      <c r="AA928" s="949"/>
      <c r="AB928" s="949"/>
      <c r="AC928" s="949"/>
      <c r="AD928" s="949"/>
      <c r="AE928" s="949"/>
      <c r="AF928" s="949"/>
      <c r="AG928" s="949"/>
      <c r="AH928" s="949"/>
      <c r="AI928" s="949"/>
      <c r="AJ928" s="949"/>
      <c r="AK928" s="949"/>
      <c r="AL928" s="949"/>
      <c r="AM928" s="964" t="s">
        <v>1266</v>
      </c>
      <c r="AN928" s="954" t="s">
        <v>1310</v>
      </c>
      <c r="AO928" s="955" t="s">
        <v>1068</v>
      </c>
      <c r="AP928" s="931"/>
      <c r="AQ928" s="956"/>
      <c r="AR928" s="957"/>
      <c r="AS928" s="931"/>
    </row>
    <row r="929" ht="15.75" customHeight="1">
      <c r="A929" s="931"/>
      <c r="B929" s="941" t="s">
        <v>3445</v>
      </c>
      <c r="C929" s="942" t="s">
        <v>3446</v>
      </c>
      <c r="D929" s="942" t="s">
        <v>3446</v>
      </c>
      <c r="E929" s="943" t="s">
        <v>3446</v>
      </c>
      <c r="F929" s="935"/>
      <c r="G929" s="944"/>
      <c r="H929" s="944"/>
      <c r="I929" s="946" t="s">
        <v>465</v>
      </c>
      <c r="J929" s="988" t="s">
        <v>705</v>
      </c>
      <c r="K929" s="977" t="s">
        <v>714</v>
      </c>
      <c r="L929" s="949">
        <v>97.0</v>
      </c>
      <c r="M929" s="949">
        <v>132.0</v>
      </c>
      <c r="N929" s="949">
        <v>77.0</v>
      </c>
      <c r="O929" s="949">
        <v>62.0</v>
      </c>
      <c r="P929" s="949">
        <v>67.0</v>
      </c>
      <c r="Q929" s="949">
        <v>43.0</v>
      </c>
      <c r="R929" s="949">
        <v>122.0</v>
      </c>
      <c r="S929" s="949">
        <v>185.0</v>
      </c>
      <c r="T929" s="949">
        <v>203.0</v>
      </c>
      <c r="U929" s="949"/>
      <c r="V929" s="949"/>
      <c r="W929" s="949"/>
      <c r="X929" s="949"/>
      <c r="Y929" s="949"/>
      <c r="Z929" s="949"/>
      <c r="AA929" s="949"/>
      <c r="AB929" s="949"/>
      <c r="AC929" s="949"/>
      <c r="AD929" s="949"/>
      <c r="AE929" s="949"/>
      <c r="AF929" s="949"/>
      <c r="AG929" s="949"/>
      <c r="AH929" s="949"/>
      <c r="AI929" s="949"/>
      <c r="AJ929" s="949"/>
      <c r="AK929" s="949"/>
      <c r="AL929" s="949"/>
      <c r="AM929" s="953" t="s">
        <v>1266</v>
      </c>
      <c r="AN929" s="954" t="s">
        <v>1310</v>
      </c>
      <c r="AO929" s="955" t="s">
        <v>1068</v>
      </c>
      <c r="AP929" s="931"/>
      <c r="AQ929" s="956"/>
      <c r="AR929" s="957"/>
      <c r="AS929" s="931"/>
    </row>
    <row r="930" ht="15.75" customHeight="1">
      <c r="A930" s="931"/>
      <c r="B930" s="941" t="s">
        <v>3447</v>
      </c>
      <c r="C930" s="942" t="s">
        <v>3448</v>
      </c>
      <c r="D930" s="942" t="s">
        <v>3448</v>
      </c>
      <c r="E930" s="943" t="s">
        <v>3448</v>
      </c>
      <c r="F930" s="935"/>
      <c r="G930" s="944"/>
      <c r="H930" s="944"/>
      <c r="I930" s="946" t="s">
        <v>491</v>
      </c>
      <c r="J930" s="958" t="s">
        <v>704</v>
      </c>
      <c r="K930" s="960" t="s">
        <v>707</v>
      </c>
      <c r="L930" s="949">
        <v>75.0</v>
      </c>
      <c r="M930" s="949">
        <v>70.0</v>
      </c>
      <c r="N930" s="949">
        <v>70.0</v>
      </c>
      <c r="O930" s="949">
        <v>98.0</v>
      </c>
      <c r="P930" s="949">
        <v>70.0</v>
      </c>
      <c r="Q930" s="949">
        <v>93.0</v>
      </c>
      <c r="R930" s="949">
        <v>222.0</v>
      </c>
      <c r="S930" s="949">
        <v>285.0</v>
      </c>
      <c r="T930" s="949">
        <v>313.0</v>
      </c>
      <c r="U930" s="949"/>
      <c r="V930" s="949"/>
      <c r="W930" s="949"/>
      <c r="X930" s="949"/>
      <c r="Y930" s="949"/>
      <c r="Z930" s="949"/>
      <c r="AA930" s="949"/>
      <c r="AB930" s="949"/>
      <c r="AC930" s="949"/>
      <c r="AD930" s="949"/>
      <c r="AE930" s="949"/>
      <c r="AF930" s="949"/>
      <c r="AG930" s="949"/>
      <c r="AH930" s="949"/>
      <c r="AI930" s="949"/>
      <c r="AJ930" s="949"/>
      <c r="AK930" s="949"/>
      <c r="AL930" s="949"/>
      <c r="AM930" s="953" t="s">
        <v>3449</v>
      </c>
      <c r="AN930" s="954"/>
      <c r="AO930" s="955"/>
      <c r="AP930" s="931"/>
      <c r="AQ930" s="956"/>
      <c r="AR930" s="957"/>
      <c r="AS930" s="931"/>
    </row>
    <row r="931" ht="15.75" customHeight="1">
      <c r="A931" s="931"/>
      <c r="B931" s="941" t="s">
        <v>3450</v>
      </c>
      <c r="C931" s="942" t="s">
        <v>3451</v>
      </c>
      <c r="D931" s="942" t="s">
        <v>3452</v>
      </c>
      <c r="E931" s="943" t="s">
        <v>3451</v>
      </c>
      <c r="F931" s="935"/>
      <c r="G931" s="944"/>
      <c r="H931" s="944"/>
      <c r="I931" s="959" t="s">
        <v>3453</v>
      </c>
      <c r="J931" s="970" t="s">
        <v>710</v>
      </c>
      <c r="K931" s="960" t="s">
        <v>707</v>
      </c>
      <c r="L931" s="949">
        <v>75.0</v>
      </c>
      <c r="M931" s="949">
        <v>70.0</v>
      </c>
      <c r="N931" s="949">
        <v>70.0</v>
      </c>
      <c r="O931" s="949">
        <v>98.0</v>
      </c>
      <c r="P931" s="949">
        <v>70.0</v>
      </c>
      <c r="Q931" s="949">
        <v>93.0</v>
      </c>
      <c r="R931" s="949">
        <v>222.0</v>
      </c>
      <c r="S931" s="949">
        <v>285.0</v>
      </c>
      <c r="T931" s="949">
        <v>313.0</v>
      </c>
      <c r="U931" s="949"/>
      <c r="V931" s="949"/>
      <c r="W931" s="949"/>
      <c r="X931" s="949"/>
      <c r="Y931" s="949"/>
      <c r="Z931" s="949"/>
      <c r="AA931" s="949"/>
      <c r="AB931" s="949"/>
      <c r="AC931" s="949"/>
      <c r="AD931" s="949"/>
      <c r="AE931" s="949"/>
      <c r="AF931" s="949"/>
      <c r="AG931" s="949"/>
      <c r="AH931" s="949"/>
      <c r="AI931" s="949"/>
      <c r="AJ931" s="949"/>
      <c r="AK931" s="949"/>
      <c r="AL931" s="949"/>
      <c r="AM931" s="953" t="s">
        <v>3449</v>
      </c>
      <c r="AN931" s="954"/>
      <c r="AO931" s="955"/>
      <c r="AP931" s="931"/>
      <c r="AQ931" s="956"/>
      <c r="AR931" s="957"/>
      <c r="AS931" s="931"/>
    </row>
    <row r="932" ht="15.75" customHeight="1">
      <c r="A932" s="931"/>
      <c r="B932" s="941" t="s">
        <v>3454</v>
      </c>
      <c r="C932" s="942" t="s">
        <v>3455</v>
      </c>
      <c r="D932" s="942" t="s">
        <v>3455</v>
      </c>
      <c r="E932" s="943" t="s">
        <v>3455</v>
      </c>
      <c r="F932" s="935"/>
      <c r="G932" s="944"/>
      <c r="H932" s="944"/>
      <c r="I932" s="959" t="s">
        <v>3456</v>
      </c>
      <c r="J932" s="975" t="s">
        <v>712</v>
      </c>
      <c r="K932" s="960" t="s">
        <v>707</v>
      </c>
      <c r="L932" s="949">
        <v>75.0</v>
      </c>
      <c r="M932" s="949">
        <v>70.0</v>
      </c>
      <c r="N932" s="949">
        <v>70.0</v>
      </c>
      <c r="O932" s="949">
        <v>98.0</v>
      </c>
      <c r="P932" s="949">
        <v>70.0</v>
      </c>
      <c r="Q932" s="949">
        <v>93.0</v>
      </c>
      <c r="R932" s="949">
        <v>222.0</v>
      </c>
      <c r="S932" s="949">
        <v>285.0</v>
      </c>
      <c r="T932" s="949">
        <v>313.0</v>
      </c>
      <c r="U932" s="949"/>
      <c r="V932" s="949"/>
      <c r="W932" s="949"/>
      <c r="X932" s="949"/>
      <c r="Y932" s="949"/>
      <c r="Z932" s="949"/>
      <c r="AA932" s="949"/>
      <c r="AB932" s="949"/>
      <c r="AC932" s="949"/>
      <c r="AD932" s="949"/>
      <c r="AE932" s="949"/>
      <c r="AF932" s="949"/>
      <c r="AG932" s="949"/>
      <c r="AH932" s="949"/>
      <c r="AI932" s="949"/>
      <c r="AJ932" s="949"/>
      <c r="AK932" s="949"/>
      <c r="AL932" s="949"/>
      <c r="AM932" s="953" t="s">
        <v>3449</v>
      </c>
      <c r="AN932" s="954"/>
      <c r="AO932" s="955"/>
      <c r="AP932" s="931"/>
      <c r="AQ932" s="956"/>
      <c r="AR932" s="957"/>
      <c r="AS932" s="931"/>
    </row>
    <row r="933" ht="15.75" customHeight="1">
      <c r="A933" s="931"/>
      <c r="B933" s="941" t="s">
        <v>3457</v>
      </c>
      <c r="C933" s="942" t="s">
        <v>3458</v>
      </c>
      <c r="D933" s="942" t="s">
        <v>3458</v>
      </c>
      <c r="E933" s="943" t="s">
        <v>3458</v>
      </c>
      <c r="F933" s="935"/>
      <c r="G933" s="944"/>
      <c r="H933" s="944"/>
      <c r="I933" s="946" t="s">
        <v>3459</v>
      </c>
      <c r="J933" s="994" t="s">
        <v>717</v>
      </c>
      <c r="K933" s="960" t="s">
        <v>707</v>
      </c>
      <c r="L933" s="949">
        <v>75.0</v>
      </c>
      <c r="M933" s="949">
        <v>70.0</v>
      </c>
      <c r="N933" s="949">
        <v>70.0</v>
      </c>
      <c r="O933" s="949">
        <v>98.0</v>
      </c>
      <c r="P933" s="949">
        <v>70.0</v>
      </c>
      <c r="Q933" s="949">
        <v>93.0</v>
      </c>
      <c r="R933" s="949">
        <v>222.0</v>
      </c>
      <c r="S933" s="949">
        <v>285.0</v>
      </c>
      <c r="T933" s="949">
        <v>313.0</v>
      </c>
      <c r="U933" s="949"/>
      <c r="V933" s="949"/>
      <c r="W933" s="949"/>
      <c r="X933" s="949"/>
      <c r="Y933" s="949"/>
      <c r="Z933" s="949"/>
      <c r="AA933" s="949"/>
      <c r="AB933" s="949"/>
      <c r="AC933" s="949"/>
      <c r="AD933" s="949"/>
      <c r="AE933" s="949"/>
      <c r="AF933" s="949"/>
      <c r="AG933" s="949"/>
      <c r="AH933" s="949"/>
      <c r="AI933" s="949"/>
      <c r="AJ933" s="949"/>
      <c r="AK933" s="949"/>
      <c r="AL933" s="949"/>
      <c r="AM933" s="953" t="s">
        <v>3449</v>
      </c>
      <c r="AN933" s="954"/>
      <c r="AO933" s="955"/>
      <c r="AP933" s="931"/>
      <c r="AQ933" s="956"/>
      <c r="AR933" s="957"/>
      <c r="AS933" s="931"/>
    </row>
    <row r="934" ht="15.75" customHeight="1">
      <c r="A934" s="963"/>
      <c r="B934" s="941" t="s">
        <v>3460</v>
      </c>
      <c r="C934" s="942" t="s">
        <v>3461</v>
      </c>
      <c r="D934" s="942" t="s">
        <v>3461</v>
      </c>
      <c r="E934" s="943" t="s">
        <v>3461</v>
      </c>
      <c r="F934" s="935"/>
      <c r="G934" s="944"/>
      <c r="H934" s="944"/>
      <c r="I934" s="959" t="s">
        <v>3462</v>
      </c>
      <c r="J934" s="967" t="s">
        <v>715</v>
      </c>
      <c r="K934" s="980" t="s">
        <v>720</v>
      </c>
      <c r="L934" s="949">
        <v>40.0</v>
      </c>
      <c r="M934" s="949">
        <v>45.0</v>
      </c>
      <c r="N934" s="949">
        <v>40.0</v>
      </c>
      <c r="O934" s="949">
        <v>55.0</v>
      </c>
      <c r="P934" s="949">
        <v>40.0</v>
      </c>
      <c r="Q934" s="949">
        <v>84.0</v>
      </c>
      <c r="R934" s="949">
        <v>204.0</v>
      </c>
      <c r="S934" s="949">
        <v>267.0</v>
      </c>
      <c r="T934" s="949">
        <v>293.0</v>
      </c>
      <c r="U934" s="949"/>
      <c r="V934" s="949"/>
      <c r="W934" s="949"/>
      <c r="X934" s="949"/>
      <c r="Y934" s="949"/>
      <c r="Z934" s="949"/>
      <c r="AA934" s="949"/>
      <c r="AB934" s="949"/>
      <c r="AC934" s="949"/>
      <c r="AD934" s="949"/>
      <c r="AE934" s="949"/>
      <c r="AF934" s="949"/>
      <c r="AG934" s="949"/>
      <c r="AH934" s="949"/>
      <c r="AI934" s="949"/>
      <c r="AJ934" s="949"/>
      <c r="AK934" s="949"/>
      <c r="AL934" s="949"/>
      <c r="AM934" s="964" t="s">
        <v>1707</v>
      </c>
      <c r="AN934" s="973" t="s">
        <v>786</v>
      </c>
      <c r="AO934" s="965" t="s">
        <v>3253</v>
      </c>
      <c r="AP934" s="931"/>
      <c r="AQ934" s="956"/>
      <c r="AR934" s="957"/>
      <c r="AS934" s="931"/>
    </row>
    <row r="935" ht="15.75" customHeight="1">
      <c r="A935" s="931"/>
      <c r="B935" s="941" t="s">
        <v>3463</v>
      </c>
      <c r="C935" s="942" t="s">
        <v>3464</v>
      </c>
      <c r="D935" s="942" t="s">
        <v>3464</v>
      </c>
      <c r="E935" s="943" t="s">
        <v>3464</v>
      </c>
      <c r="F935" s="935"/>
      <c r="G935" s="944"/>
      <c r="H935" s="944"/>
      <c r="I935" s="946" t="s">
        <v>3465</v>
      </c>
      <c r="J935" s="967" t="s">
        <v>715</v>
      </c>
      <c r="K935" s="980" t="s">
        <v>720</v>
      </c>
      <c r="L935" s="949">
        <v>60.0</v>
      </c>
      <c r="M935" s="949">
        <v>55.0</v>
      </c>
      <c r="N935" s="949">
        <v>60.0</v>
      </c>
      <c r="O935" s="949">
        <v>95.0</v>
      </c>
      <c r="P935" s="949">
        <v>70.0</v>
      </c>
      <c r="Q935" s="949">
        <v>124.0</v>
      </c>
      <c r="R935" s="949">
        <v>284.0</v>
      </c>
      <c r="S935" s="949">
        <v>347.0</v>
      </c>
      <c r="T935" s="949">
        <v>381.0</v>
      </c>
      <c r="U935" s="949"/>
      <c r="V935" s="949"/>
      <c r="W935" s="949"/>
      <c r="X935" s="949"/>
      <c r="Y935" s="949"/>
      <c r="Z935" s="949"/>
      <c r="AA935" s="949"/>
      <c r="AB935" s="949"/>
      <c r="AC935" s="949"/>
      <c r="AD935" s="949"/>
      <c r="AE935" s="949"/>
      <c r="AF935" s="949"/>
      <c r="AG935" s="949"/>
      <c r="AH935" s="949"/>
      <c r="AI935" s="949"/>
      <c r="AJ935" s="949"/>
      <c r="AK935" s="949"/>
      <c r="AL935" s="949"/>
      <c r="AM935" s="953" t="s">
        <v>1707</v>
      </c>
      <c r="AN935" s="954" t="s">
        <v>786</v>
      </c>
      <c r="AO935" s="955" t="s">
        <v>3253</v>
      </c>
      <c r="AP935" s="931"/>
      <c r="AQ935" s="956"/>
      <c r="AR935" s="957"/>
      <c r="AS935" s="931"/>
    </row>
    <row r="936" ht="15.75" customHeight="1">
      <c r="A936" s="931"/>
      <c r="B936" s="941" t="s">
        <v>3466</v>
      </c>
      <c r="C936" s="942" t="s">
        <v>3467</v>
      </c>
      <c r="D936" s="942" t="s">
        <v>3467</v>
      </c>
      <c r="E936" s="943" t="s">
        <v>3467</v>
      </c>
      <c r="F936" s="935"/>
      <c r="G936" s="944"/>
      <c r="H936" s="944"/>
      <c r="I936" s="946" t="s">
        <v>3468</v>
      </c>
      <c r="J936" s="989" t="s">
        <v>713</v>
      </c>
      <c r="K936" s="954" t="s">
        <v>158</v>
      </c>
      <c r="L936" s="949">
        <v>45.0</v>
      </c>
      <c r="M936" s="949">
        <v>65.0</v>
      </c>
      <c r="N936" s="949">
        <v>40.0</v>
      </c>
      <c r="O936" s="949">
        <v>30.0</v>
      </c>
      <c r="P936" s="949">
        <v>40.0</v>
      </c>
      <c r="Q936" s="949">
        <v>60.0</v>
      </c>
      <c r="R936" s="949">
        <v>156.0</v>
      </c>
      <c r="S936" s="949">
        <v>219.0</v>
      </c>
      <c r="T936" s="949">
        <v>240.0</v>
      </c>
      <c r="U936" s="949"/>
      <c r="V936" s="949"/>
      <c r="W936" s="949"/>
      <c r="X936" s="949"/>
      <c r="Y936" s="949"/>
      <c r="Z936" s="949"/>
      <c r="AA936" s="949"/>
      <c r="AB936" s="949"/>
      <c r="AC936" s="949"/>
      <c r="AD936" s="949"/>
      <c r="AE936" s="949"/>
      <c r="AF936" s="949"/>
      <c r="AG936" s="949"/>
      <c r="AH936" s="949"/>
      <c r="AI936" s="949"/>
      <c r="AJ936" s="949"/>
      <c r="AK936" s="949"/>
      <c r="AL936" s="949"/>
      <c r="AM936" s="953" t="s">
        <v>815</v>
      </c>
      <c r="AN936" s="954" t="s">
        <v>1067</v>
      </c>
      <c r="AO936" s="955" t="s">
        <v>1108</v>
      </c>
      <c r="AP936" s="931"/>
      <c r="AQ936" s="956"/>
      <c r="AR936" s="957"/>
      <c r="AS936" s="931"/>
    </row>
    <row r="937" ht="15.75" customHeight="1">
      <c r="A937" s="931"/>
      <c r="B937" s="941" t="s">
        <v>3469</v>
      </c>
      <c r="C937" s="942" t="s">
        <v>3470</v>
      </c>
      <c r="D937" s="942" t="s">
        <v>3470</v>
      </c>
      <c r="E937" s="943" t="s">
        <v>3470</v>
      </c>
      <c r="F937" s="935"/>
      <c r="G937" s="944"/>
      <c r="H937" s="944"/>
      <c r="I937" s="946" t="s">
        <v>113</v>
      </c>
      <c r="J937" s="989" t="s">
        <v>713</v>
      </c>
      <c r="K937" s="954" t="s">
        <v>158</v>
      </c>
      <c r="L937" s="949">
        <v>75.0</v>
      </c>
      <c r="M937" s="949">
        <v>115.0</v>
      </c>
      <c r="N937" s="949">
        <v>65.0</v>
      </c>
      <c r="O937" s="949">
        <v>55.0</v>
      </c>
      <c r="P937" s="949">
        <v>65.0</v>
      </c>
      <c r="Q937" s="949">
        <v>112.0</v>
      </c>
      <c r="R937" s="949">
        <v>260.0</v>
      </c>
      <c r="S937" s="949">
        <v>323.0</v>
      </c>
      <c r="T937" s="949">
        <v>355.0</v>
      </c>
      <c r="U937" s="949"/>
      <c r="V937" s="949"/>
      <c r="W937" s="949"/>
      <c r="X937" s="949"/>
      <c r="Y937" s="949"/>
      <c r="Z937" s="949"/>
      <c r="AA937" s="949"/>
      <c r="AB937" s="949"/>
      <c r="AC937" s="949"/>
      <c r="AD937" s="949"/>
      <c r="AE937" s="949"/>
      <c r="AF937" s="949"/>
      <c r="AG937" s="949"/>
      <c r="AH937" s="949"/>
      <c r="AI937" s="949"/>
      <c r="AJ937" s="949"/>
      <c r="AK937" s="949"/>
      <c r="AL937" s="949"/>
      <c r="AM937" s="953" t="s">
        <v>815</v>
      </c>
      <c r="AN937" s="954" t="s">
        <v>924</v>
      </c>
      <c r="AO937" s="955" t="s">
        <v>1108</v>
      </c>
      <c r="AP937" s="931"/>
      <c r="AQ937" s="956"/>
      <c r="AR937" s="957"/>
      <c r="AS937" s="931"/>
    </row>
    <row r="938" ht="15.75" customHeight="1">
      <c r="A938" s="963"/>
      <c r="B938" s="941" t="s">
        <v>3471</v>
      </c>
      <c r="C938" s="971" t="s">
        <v>3472</v>
      </c>
      <c r="D938" s="971" t="s">
        <v>3472</v>
      </c>
      <c r="E938" s="966" t="s">
        <v>3472</v>
      </c>
      <c r="F938" s="935"/>
      <c r="G938" s="944"/>
      <c r="H938" s="944"/>
      <c r="I938" s="959" t="s">
        <v>516</v>
      </c>
      <c r="J938" s="996" t="s">
        <v>713</v>
      </c>
      <c r="K938" s="973" t="s">
        <v>158</v>
      </c>
      <c r="L938" s="974">
        <v>85.0</v>
      </c>
      <c r="M938" s="974">
        <v>115.0</v>
      </c>
      <c r="N938" s="974">
        <v>75.0</v>
      </c>
      <c r="O938" s="974">
        <v>55.0</v>
      </c>
      <c r="P938" s="974">
        <v>75.0</v>
      </c>
      <c r="Q938" s="974">
        <v>82.0</v>
      </c>
      <c r="R938" s="949">
        <v>200.0</v>
      </c>
      <c r="S938" s="949">
        <v>263.0</v>
      </c>
      <c r="T938" s="949">
        <v>289.0</v>
      </c>
      <c r="U938" s="949"/>
      <c r="V938" s="949"/>
      <c r="W938" s="949"/>
      <c r="X938" s="949"/>
      <c r="Y938" s="949"/>
      <c r="Z938" s="949"/>
      <c r="AA938" s="949"/>
      <c r="AB938" s="949"/>
      <c r="AC938" s="949"/>
      <c r="AD938" s="949"/>
      <c r="AE938" s="949"/>
      <c r="AF938" s="949"/>
      <c r="AG938" s="949"/>
      <c r="AH938" s="949"/>
      <c r="AI938" s="949"/>
      <c r="AJ938" s="949"/>
      <c r="AK938" s="949"/>
      <c r="AL938" s="949"/>
      <c r="AM938" s="964" t="s">
        <v>815</v>
      </c>
      <c r="AN938" s="954" t="s">
        <v>1067</v>
      </c>
      <c r="AO938" s="955" t="s">
        <v>827</v>
      </c>
      <c r="AP938" s="931"/>
      <c r="AQ938" s="956"/>
      <c r="AR938" s="957"/>
      <c r="AS938" s="931"/>
    </row>
    <row r="939" ht="15.75" customHeight="1">
      <c r="A939" s="931"/>
      <c r="B939" s="941" t="s">
        <v>3473</v>
      </c>
      <c r="C939" s="942" t="s">
        <v>211</v>
      </c>
      <c r="D939" s="942" t="s">
        <v>211</v>
      </c>
      <c r="E939" s="943" t="s">
        <v>211</v>
      </c>
      <c r="F939" s="935"/>
      <c r="G939" s="944"/>
      <c r="H939" s="944"/>
      <c r="I939" s="959" t="s">
        <v>104</v>
      </c>
      <c r="J939" s="989" t="s">
        <v>713</v>
      </c>
      <c r="K939" s="954" t="s">
        <v>158</v>
      </c>
      <c r="L939" s="949">
        <v>75.0</v>
      </c>
      <c r="M939" s="949">
        <v>117.0</v>
      </c>
      <c r="N939" s="949">
        <v>65.0</v>
      </c>
      <c r="O939" s="949">
        <v>55.0</v>
      </c>
      <c r="P939" s="949">
        <v>65.0</v>
      </c>
      <c r="Q939" s="949">
        <v>110.0</v>
      </c>
      <c r="R939" s="949">
        <v>256.0</v>
      </c>
      <c r="S939" s="949">
        <v>319.0</v>
      </c>
      <c r="T939" s="949">
        <v>350.0</v>
      </c>
      <c r="U939" s="949"/>
      <c r="V939" s="949"/>
      <c r="W939" s="949"/>
      <c r="X939" s="949"/>
      <c r="Y939" s="949"/>
      <c r="Z939" s="949"/>
      <c r="AA939" s="949"/>
      <c r="AB939" s="949"/>
      <c r="AC939" s="949"/>
      <c r="AD939" s="949"/>
      <c r="AE939" s="949"/>
      <c r="AF939" s="949"/>
      <c r="AG939" s="949"/>
      <c r="AH939" s="949"/>
      <c r="AI939" s="949"/>
      <c r="AJ939" s="949"/>
      <c r="AK939" s="949"/>
      <c r="AL939" s="949"/>
      <c r="AM939" s="953" t="s">
        <v>762</v>
      </c>
      <c r="AN939" s="954"/>
      <c r="AO939" s="955"/>
      <c r="AP939" s="931"/>
      <c r="AQ939" s="956"/>
      <c r="AR939" s="957"/>
      <c r="AS939" s="931"/>
    </row>
    <row r="940" ht="15.75" customHeight="1">
      <c r="A940" s="931"/>
      <c r="B940" s="941" t="s">
        <v>3474</v>
      </c>
      <c r="C940" s="942" t="s">
        <v>3475</v>
      </c>
      <c r="D940" s="942" t="s">
        <v>3475</v>
      </c>
      <c r="E940" s="943" t="s">
        <v>3475</v>
      </c>
      <c r="F940" s="935"/>
      <c r="G940" s="944"/>
      <c r="H940" s="944"/>
      <c r="I940" s="946" t="s">
        <v>734</v>
      </c>
      <c r="J940" s="962" t="s">
        <v>706</v>
      </c>
      <c r="K940" s="954" t="s">
        <v>158</v>
      </c>
      <c r="L940" s="949">
        <v>45.0</v>
      </c>
      <c r="M940" s="949">
        <v>20.0</v>
      </c>
      <c r="N940" s="949">
        <v>20.0</v>
      </c>
      <c r="O940" s="949">
        <v>25.0</v>
      </c>
      <c r="P940" s="949">
        <v>25.0</v>
      </c>
      <c r="Q940" s="949">
        <v>40.0</v>
      </c>
      <c r="R940" s="949">
        <v>116.0</v>
      </c>
      <c r="S940" s="949">
        <v>179.0</v>
      </c>
      <c r="T940" s="949">
        <v>196.0</v>
      </c>
      <c r="U940" s="949"/>
      <c r="V940" s="949"/>
      <c r="W940" s="949"/>
      <c r="X940" s="949"/>
      <c r="Y940" s="949"/>
      <c r="Z940" s="949"/>
      <c r="AA940" s="949"/>
      <c r="AB940" s="949"/>
      <c r="AC940" s="949"/>
      <c r="AD940" s="949"/>
      <c r="AE940" s="949"/>
      <c r="AF940" s="949"/>
      <c r="AG940" s="949"/>
      <c r="AH940" s="949"/>
      <c r="AI940" s="949"/>
      <c r="AJ940" s="949"/>
      <c r="AK940" s="949"/>
      <c r="AL940" s="949"/>
      <c r="AM940" s="953" t="s">
        <v>3476</v>
      </c>
      <c r="AN940" s="954"/>
      <c r="AO940" s="955"/>
      <c r="AP940" s="931"/>
      <c r="AQ940" s="956"/>
      <c r="AR940" s="957"/>
      <c r="AS940" s="931"/>
    </row>
    <row r="941" ht="15.75" customHeight="1">
      <c r="A941" s="931"/>
      <c r="B941" s="941" t="s">
        <v>3477</v>
      </c>
      <c r="C941" s="942" t="s">
        <v>3478</v>
      </c>
      <c r="D941" s="942" t="s">
        <v>3478</v>
      </c>
      <c r="E941" s="943" t="s">
        <v>3478</v>
      </c>
      <c r="F941" s="935"/>
      <c r="G941" s="944"/>
      <c r="H941" s="944"/>
      <c r="I941" s="946" t="s">
        <v>3479</v>
      </c>
      <c r="J941" s="962" t="s">
        <v>706</v>
      </c>
      <c r="K941" s="954" t="s">
        <v>158</v>
      </c>
      <c r="L941" s="949">
        <v>45.0</v>
      </c>
      <c r="M941" s="949">
        <v>140.0</v>
      </c>
      <c r="N941" s="949">
        <v>130.0</v>
      </c>
      <c r="O941" s="949">
        <v>140.0</v>
      </c>
      <c r="P941" s="949">
        <v>135.0</v>
      </c>
      <c r="Q941" s="949">
        <v>30.0</v>
      </c>
      <c r="R941" s="949">
        <v>96.0</v>
      </c>
      <c r="S941" s="949">
        <v>159.0</v>
      </c>
      <c r="T941" s="949">
        <v>174.0</v>
      </c>
      <c r="U941" s="949"/>
      <c r="V941" s="949"/>
      <c r="W941" s="949"/>
      <c r="X941" s="949"/>
      <c r="Y941" s="949"/>
      <c r="Z941" s="949"/>
      <c r="AA941" s="949"/>
      <c r="AB941" s="949"/>
      <c r="AC941" s="949"/>
      <c r="AD941" s="949"/>
      <c r="AE941" s="949"/>
      <c r="AF941" s="949"/>
      <c r="AG941" s="949"/>
      <c r="AH941" s="949"/>
      <c r="AI941" s="949"/>
      <c r="AJ941" s="949"/>
      <c r="AK941" s="949"/>
      <c r="AL941" s="949"/>
      <c r="AM941" s="953" t="s">
        <v>3476</v>
      </c>
      <c r="AN941" s="954"/>
      <c r="AO941" s="955"/>
      <c r="AP941" s="931"/>
      <c r="AQ941" s="956"/>
      <c r="AR941" s="957"/>
      <c r="AS941" s="931"/>
    </row>
    <row r="942" ht="15.75" customHeight="1">
      <c r="A942" s="931"/>
      <c r="B942" s="941" t="s">
        <v>3480</v>
      </c>
      <c r="C942" s="942" t="s">
        <v>3481</v>
      </c>
      <c r="D942" s="942" t="s">
        <v>3481</v>
      </c>
      <c r="E942" s="943" t="s">
        <v>3481</v>
      </c>
      <c r="F942" s="935"/>
      <c r="G942" s="944"/>
      <c r="H942" s="944"/>
      <c r="I942" s="946" t="s">
        <v>640</v>
      </c>
      <c r="J942" s="948" t="s">
        <v>709</v>
      </c>
      <c r="K942" s="962" t="s">
        <v>706</v>
      </c>
      <c r="L942" s="949">
        <v>50.0</v>
      </c>
      <c r="M942" s="949">
        <v>53.0</v>
      </c>
      <c r="N942" s="949">
        <v>62.0</v>
      </c>
      <c r="O942" s="949">
        <v>43.0</v>
      </c>
      <c r="P942" s="949">
        <v>52.0</v>
      </c>
      <c r="Q942" s="949">
        <v>45.0</v>
      </c>
      <c r="R942" s="949">
        <v>126.0</v>
      </c>
      <c r="S942" s="949">
        <v>189.0</v>
      </c>
      <c r="T942" s="949">
        <v>207.0</v>
      </c>
      <c r="U942" s="949"/>
      <c r="V942" s="949"/>
      <c r="W942" s="949"/>
      <c r="X942" s="949"/>
      <c r="Y942" s="949"/>
      <c r="Z942" s="949"/>
      <c r="AA942" s="949"/>
      <c r="AB942" s="949"/>
      <c r="AC942" s="949"/>
      <c r="AD942" s="949"/>
      <c r="AE942" s="949"/>
      <c r="AF942" s="949"/>
      <c r="AG942" s="949"/>
      <c r="AH942" s="949"/>
      <c r="AI942" s="949"/>
      <c r="AJ942" s="949"/>
      <c r="AK942" s="949"/>
      <c r="AL942" s="949"/>
      <c r="AM942" s="953" t="s">
        <v>3482</v>
      </c>
      <c r="AN942" s="954" t="s">
        <v>1053</v>
      </c>
      <c r="AO942" s="955" t="s">
        <v>1177</v>
      </c>
      <c r="AP942" s="931"/>
      <c r="AQ942" s="956"/>
      <c r="AR942" s="957"/>
      <c r="AS942" s="931"/>
    </row>
    <row r="943" ht="15.75" customHeight="1">
      <c r="A943" s="931"/>
      <c r="B943" s="941" t="s">
        <v>3483</v>
      </c>
      <c r="C943" s="942" t="s">
        <v>186</v>
      </c>
      <c r="D943" s="942" t="s">
        <v>186</v>
      </c>
      <c r="E943" s="943" t="s">
        <v>186</v>
      </c>
      <c r="F943" s="935"/>
      <c r="G943" s="944"/>
      <c r="H943" s="944"/>
      <c r="I943" s="946" t="s">
        <v>126</v>
      </c>
      <c r="J943" s="948" t="s">
        <v>709</v>
      </c>
      <c r="K943" s="962" t="s">
        <v>706</v>
      </c>
      <c r="L943" s="949">
        <v>50.0</v>
      </c>
      <c r="M943" s="949">
        <v>63.0</v>
      </c>
      <c r="N943" s="949">
        <v>152.0</v>
      </c>
      <c r="O943" s="949">
        <v>53.0</v>
      </c>
      <c r="P943" s="949">
        <v>142.0</v>
      </c>
      <c r="Q943" s="949">
        <v>35.0</v>
      </c>
      <c r="R943" s="949">
        <v>106.0</v>
      </c>
      <c r="S943" s="949">
        <v>169.0</v>
      </c>
      <c r="T943" s="949">
        <v>185.0</v>
      </c>
      <c r="U943" s="949"/>
      <c r="V943" s="949"/>
      <c r="W943" s="949"/>
      <c r="X943" s="949"/>
      <c r="Y943" s="949"/>
      <c r="Z943" s="949"/>
      <c r="AA943" s="949"/>
      <c r="AB943" s="949"/>
      <c r="AC943" s="949"/>
      <c r="AD943" s="949"/>
      <c r="AE943" s="949"/>
      <c r="AF943" s="949"/>
      <c r="AG943" s="949"/>
      <c r="AH943" s="949"/>
      <c r="AI943" s="949"/>
      <c r="AJ943" s="949"/>
      <c r="AK943" s="949"/>
      <c r="AL943" s="949"/>
      <c r="AM943" s="953" t="s">
        <v>3482</v>
      </c>
      <c r="AN943" s="954" t="s">
        <v>1053</v>
      </c>
      <c r="AO943" s="955" t="s">
        <v>1177</v>
      </c>
      <c r="AP943" s="931"/>
      <c r="AQ943" s="956"/>
      <c r="AR943" s="957"/>
      <c r="AS943" s="931"/>
    </row>
    <row r="944" ht="15.75" customHeight="1">
      <c r="A944" s="931"/>
      <c r="B944" s="941" t="s">
        <v>3484</v>
      </c>
      <c r="C944" s="942" t="s">
        <v>3485</v>
      </c>
      <c r="D944" s="942" t="s">
        <v>3485</v>
      </c>
      <c r="E944" s="943" t="s">
        <v>3485</v>
      </c>
      <c r="F944" s="935"/>
      <c r="G944" s="944"/>
      <c r="H944" s="944"/>
      <c r="I944" s="946" t="s">
        <v>550</v>
      </c>
      <c r="J944" s="976" t="s">
        <v>711</v>
      </c>
      <c r="K944" s="954" t="s">
        <v>158</v>
      </c>
      <c r="L944" s="949">
        <v>70.0</v>
      </c>
      <c r="M944" s="949">
        <v>100.0</v>
      </c>
      <c r="N944" s="949">
        <v>70.0</v>
      </c>
      <c r="O944" s="949">
        <v>45.0</v>
      </c>
      <c r="P944" s="949">
        <v>55.0</v>
      </c>
      <c r="Q944" s="949">
        <v>45.0</v>
      </c>
      <c r="R944" s="949">
        <v>126.0</v>
      </c>
      <c r="S944" s="949">
        <v>189.0</v>
      </c>
      <c r="T944" s="949">
        <v>207.0</v>
      </c>
      <c r="U944" s="949"/>
      <c r="V944" s="949"/>
      <c r="W944" s="949"/>
      <c r="X944" s="949"/>
      <c r="Y944" s="949"/>
      <c r="Z944" s="949"/>
      <c r="AA944" s="949"/>
      <c r="AB944" s="949"/>
      <c r="AC944" s="949"/>
      <c r="AD944" s="949"/>
      <c r="AE944" s="949"/>
      <c r="AF944" s="949"/>
      <c r="AG944" s="949"/>
      <c r="AH944" s="949"/>
      <c r="AI944" s="949"/>
      <c r="AJ944" s="949"/>
      <c r="AK944" s="949"/>
      <c r="AL944" s="949"/>
      <c r="AM944" s="953" t="s">
        <v>1176</v>
      </c>
      <c r="AN944" s="954" t="s">
        <v>3486</v>
      </c>
      <c r="AO944" s="955" t="s">
        <v>994</v>
      </c>
      <c r="AP944" s="931"/>
      <c r="AQ944" s="956"/>
      <c r="AR944" s="957"/>
      <c r="AS944" s="931"/>
    </row>
    <row r="945" ht="15.75" customHeight="1">
      <c r="A945" s="931"/>
      <c r="B945" s="941" t="s">
        <v>3487</v>
      </c>
      <c r="C945" s="942" t="s">
        <v>215</v>
      </c>
      <c r="D945" s="942" t="s">
        <v>215</v>
      </c>
      <c r="E945" s="943" t="s">
        <v>215</v>
      </c>
      <c r="F945" s="935"/>
      <c r="G945" s="944"/>
      <c r="H945" s="944"/>
      <c r="I945" s="946" t="s">
        <v>116</v>
      </c>
      <c r="J945" s="976" t="s">
        <v>711</v>
      </c>
      <c r="K945" s="954" t="s">
        <v>158</v>
      </c>
      <c r="L945" s="949">
        <v>100.0</v>
      </c>
      <c r="M945" s="949">
        <v>125.0</v>
      </c>
      <c r="N945" s="949">
        <v>100.0</v>
      </c>
      <c r="O945" s="949">
        <v>55.0</v>
      </c>
      <c r="P945" s="949">
        <v>85.0</v>
      </c>
      <c r="Q945" s="949">
        <v>35.0</v>
      </c>
      <c r="R945" s="949">
        <v>106.0</v>
      </c>
      <c r="S945" s="949">
        <v>169.0</v>
      </c>
      <c r="T945" s="949">
        <v>185.0</v>
      </c>
      <c r="U945" s="949"/>
      <c r="V945" s="949"/>
      <c r="W945" s="949"/>
      <c r="X945" s="949"/>
      <c r="Y945" s="949"/>
      <c r="Z945" s="949"/>
      <c r="AA945" s="949"/>
      <c r="AB945" s="949"/>
      <c r="AC945" s="949"/>
      <c r="AD945" s="949"/>
      <c r="AE945" s="949"/>
      <c r="AF945" s="949"/>
      <c r="AG945" s="949"/>
      <c r="AH945" s="949"/>
      <c r="AI945" s="949"/>
      <c r="AJ945" s="949"/>
      <c r="AK945" s="949"/>
      <c r="AL945" s="949"/>
      <c r="AM945" s="953" t="s">
        <v>1176</v>
      </c>
      <c r="AN945" s="954" t="s">
        <v>3486</v>
      </c>
      <c r="AO945" s="955" t="s">
        <v>994</v>
      </c>
      <c r="AP945" s="931"/>
      <c r="AQ945" s="956"/>
      <c r="AR945" s="957"/>
      <c r="AS945" s="931"/>
    </row>
    <row r="946" ht="15.75" customHeight="1">
      <c r="A946" s="963"/>
      <c r="B946" s="941" t="s">
        <v>3488</v>
      </c>
      <c r="C946" s="942" t="s">
        <v>3489</v>
      </c>
      <c r="D946" s="942" t="s">
        <v>3489</v>
      </c>
      <c r="E946" s="943" t="s">
        <v>3489</v>
      </c>
      <c r="F946" s="935"/>
      <c r="G946" s="944"/>
      <c r="H946" s="944"/>
      <c r="I946" s="946" t="s">
        <v>3490</v>
      </c>
      <c r="J946" s="962" t="s">
        <v>706</v>
      </c>
      <c r="K946" s="967" t="s">
        <v>715</v>
      </c>
      <c r="L946" s="949">
        <v>38.0</v>
      </c>
      <c r="M946" s="949">
        <v>40.0</v>
      </c>
      <c r="N946" s="949">
        <v>52.0</v>
      </c>
      <c r="O946" s="949">
        <v>40.0</v>
      </c>
      <c r="P946" s="949">
        <v>72.0</v>
      </c>
      <c r="Q946" s="949">
        <v>27.0</v>
      </c>
      <c r="R946" s="949">
        <v>90.0</v>
      </c>
      <c r="S946" s="949">
        <v>153.0</v>
      </c>
      <c r="T946" s="949">
        <v>168.0</v>
      </c>
      <c r="U946" s="949"/>
      <c r="V946" s="949"/>
      <c r="W946" s="949"/>
      <c r="X946" s="949"/>
      <c r="Y946" s="949"/>
      <c r="Z946" s="949"/>
      <c r="AA946" s="949"/>
      <c r="AB946" s="949"/>
      <c r="AC946" s="949"/>
      <c r="AD946" s="949"/>
      <c r="AE946" s="949"/>
      <c r="AF946" s="949"/>
      <c r="AG946" s="949"/>
      <c r="AH946" s="949"/>
      <c r="AI946" s="949"/>
      <c r="AJ946" s="949"/>
      <c r="AK946" s="949"/>
      <c r="AL946" s="949"/>
      <c r="AM946" s="964" t="s">
        <v>3491</v>
      </c>
      <c r="AN946" s="954"/>
      <c r="AO946" s="965" t="s">
        <v>1084</v>
      </c>
      <c r="AP946" s="931"/>
      <c r="AQ946" s="956"/>
      <c r="AR946" s="957"/>
      <c r="AS946" s="931"/>
    </row>
    <row r="947" ht="15.75" customHeight="1">
      <c r="A947" s="963"/>
      <c r="B947" s="941" t="s">
        <v>3492</v>
      </c>
      <c r="C947" s="971" t="s">
        <v>3493</v>
      </c>
      <c r="D947" s="971" t="s">
        <v>3493</v>
      </c>
      <c r="E947" s="966" t="s">
        <v>3493</v>
      </c>
      <c r="F947" s="935"/>
      <c r="G947" s="944"/>
      <c r="H947" s="944"/>
      <c r="I947" s="959" t="s">
        <v>3494</v>
      </c>
      <c r="J947" s="986" t="s">
        <v>706</v>
      </c>
      <c r="K947" s="999" t="s">
        <v>715</v>
      </c>
      <c r="L947" s="974">
        <v>68.0</v>
      </c>
      <c r="M947" s="974">
        <v>70.0</v>
      </c>
      <c r="N947" s="974">
        <v>92.0</v>
      </c>
      <c r="O947" s="974">
        <v>50.0</v>
      </c>
      <c r="P947" s="974">
        <v>132.0</v>
      </c>
      <c r="Q947" s="974">
        <v>42.0</v>
      </c>
      <c r="R947" s="949">
        <v>120.0</v>
      </c>
      <c r="S947" s="949">
        <v>183.0</v>
      </c>
      <c r="T947" s="949">
        <v>201.0</v>
      </c>
      <c r="U947" s="949"/>
      <c r="V947" s="949"/>
      <c r="W947" s="949"/>
      <c r="X947" s="949"/>
      <c r="Y947" s="949"/>
      <c r="Z947" s="949"/>
      <c r="AA947" s="949"/>
      <c r="AB947" s="949"/>
      <c r="AC947" s="949"/>
      <c r="AD947" s="949"/>
      <c r="AE947" s="949"/>
      <c r="AF947" s="949"/>
      <c r="AG947" s="949"/>
      <c r="AH947" s="949"/>
      <c r="AI947" s="949"/>
      <c r="AJ947" s="949"/>
      <c r="AK947" s="949"/>
      <c r="AL947" s="949"/>
      <c r="AM947" s="964" t="s">
        <v>3491</v>
      </c>
      <c r="AN947" s="973"/>
      <c r="AO947" s="965" t="s">
        <v>1084</v>
      </c>
      <c r="AP947" s="931"/>
      <c r="AQ947" s="956"/>
      <c r="AR947" s="957"/>
      <c r="AS947" s="931"/>
    </row>
    <row r="948" ht="15.75" customHeight="1">
      <c r="A948" s="931"/>
      <c r="B948" s="941" t="s">
        <v>3495</v>
      </c>
      <c r="C948" s="942" t="s">
        <v>3496</v>
      </c>
      <c r="D948" s="942" t="s">
        <v>3496</v>
      </c>
      <c r="E948" s="943" t="s">
        <v>3496</v>
      </c>
      <c r="F948" s="935"/>
      <c r="G948" s="944"/>
      <c r="H948" s="944"/>
      <c r="I948" s="946" t="s">
        <v>641</v>
      </c>
      <c r="J948" s="947" t="s">
        <v>708</v>
      </c>
      <c r="K948" s="954" t="s">
        <v>158</v>
      </c>
      <c r="L948" s="949">
        <v>40.0</v>
      </c>
      <c r="M948" s="949">
        <v>55.0</v>
      </c>
      <c r="N948" s="949">
        <v>35.0</v>
      </c>
      <c r="O948" s="949">
        <v>50.0</v>
      </c>
      <c r="P948" s="949">
        <v>35.0</v>
      </c>
      <c r="Q948" s="949">
        <v>35.0</v>
      </c>
      <c r="R948" s="949">
        <v>106.0</v>
      </c>
      <c r="S948" s="949">
        <v>169.0</v>
      </c>
      <c r="T948" s="949">
        <v>185.0</v>
      </c>
      <c r="U948" s="949"/>
      <c r="V948" s="949"/>
      <c r="W948" s="949"/>
      <c r="X948" s="949"/>
      <c r="Y948" s="949"/>
      <c r="Z948" s="949"/>
      <c r="AA948" s="949"/>
      <c r="AB948" s="949"/>
      <c r="AC948" s="949"/>
      <c r="AD948" s="949"/>
      <c r="AE948" s="949"/>
      <c r="AF948" s="949"/>
      <c r="AG948" s="949"/>
      <c r="AH948" s="949"/>
      <c r="AI948" s="949"/>
      <c r="AJ948" s="949"/>
      <c r="AK948" s="949"/>
      <c r="AL948" s="949"/>
      <c r="AM948" s="953" t="s">
        <v>1339</v>
      </c>
      <c r="AN948" s="954"/>
      <c r="AO948" s="955" t="s">
        <v>1693</v>
      </c>
      <c r="AP948" s="931"/>
      <c r="AQ948" s="956"/>
      <c r="AR948" s="957"/>
      <c r="AS948" s="931"/>
    </row>
    <row r="949" ht="15.75" customHeight="1">
      <c r="A949" s="931"/>
      <c r="B949" s="941" t="s">
        <v>3497</v>
      </c>
      <c r="C949" s="942" t="s">
        <v>3498</v>
      </c>
      <c r="D949" s="942" t="s">
        <v>3498</v>
      </c>
      <c r="E949" s="943" t="s">
        <v>3498</v>
      </c>
      <c r="F949" s="935"/>
      <c r="G949" s="944"/>
      <c r="H949" s="944"/>
      <c r="I949" s="946" t="s">
        <v>492</v>
      </c>
      <c r="J949" s="947" t="s">
        <v>708</v>
      </c>
      <c r="K949" s="954" t="s">
        <v>158</v>
      </c>
      <c r="L949" s="949">
        <v>70.0</v>
      </c>
      <c r="M949" s="949">
        <v>105.0</v>
      </c>
      <c r="N949" s="949">
        <v>90.0</v>
      </c>
      <c r="O949" s="949">
        <v>80.0</v>
      </c>
      <c r="P949" s="949">
        <v>90.0</v>
      </c>
      <c r="Q949" s="949">
        <v>45.0</v>
      </c>
      <c r="R949" s="949">
        <v>126.0</v>
      </c>
      <c r="S949" s="949">
        <v>189.0</v>
      </c>
      <c r="T949" s="949">
        <v>207.0</v>
      </c>
      <c r="U949" s="949"/>
      <c r="V949" s="949"/>
      <c r="W949" s="949"/>
      <c r="X949" s="949"/>
      <c r="Y949" s="949"/>
      <c r="Z949" s="949"/>
      <c r="AA949" s="949"/>
      <c r="AB949" s="949"/>
      <c r="AC949" s="949"/>
      <c r="AD949" s="949"/>
      <c r="AE949" s="949"/>
      <c r="AF949" s="949"/>
      <c r="AG949" s="949"/>
      <c r="AH949" s="949"/>
      <c r="AI949" s="949"/>
      <c r="AJ949" s="949"/>
      <c r="AK949" s="949"/>
      <c r="AL949" s="949"/>
      <c r="AM949" s="953" t="s">
        <v>1339</v>
      </c>
      <c r="AN949" s="954"/>
      <c r="AO949" s="955" t="s">
        <v>1693</v>
      </c>
      <c r="AP949" s="931"/>
      <c r="AQ949" s="956"/>
      <c r="AR949" s="957"/>
      <c r="AS949" s="931"/>
    </row>
    <row r="950" ht="15.75" customHeight="1">
      <c r="A950" s="963"/>
      <c r="B950" s="941" t="s">
        <v>3499</v>
      </c>
      <c r="C950" s="971" t="s">
        <v>3500</v>
      </c>
      <c r="D950" s="971" t="s">
        <v>3500</v>
      </c>
      <c r="E950" s="966" t="s">
        <v>3500</v>
      </c>
      <c r="F950" s="935"/>
      <c r="G950" s="944"/>
      <c r="H950" s="944"/>
      <c r="I950" s="959" t="s">
        <v>3501</v>
      </c>
      <c r="J950" s="1002" t="s">
        <v>708</v>
      </c>
      <c r="K950" s="1008" t="s">
        <v>720</v>
      </c>
      <c r="L950" s="974">
        <v>40.0</v>
      </c>
      <c r="M950" s="974">
        <v>35.0</v>
      </c>
      <c r="N950" s="974">
        <v>55.0</v>
      </c>
      <c r="O950" s="974">
        <v>65.0</v>
      </c>
      <c r="P950" s="974">
        <v>75.0</v>
      </c>
      <c r="Q950" s="974">
        <v>15.0</v>
      </c>
      <c r="R950" s="949">
        <v>66.0</v>
      </c>
      <c r="S950" s="949">
        <v>129.0</v>
      </c>
      <c r="T950" s="949">
        <v>141.0</v>
      </c>
      <c r="U950" s="949"/>
      <c r="V950" s="949"/>
      <c r="W950" s="949"/>
      <c r="X950" s="949"/>
      <c r="Y950" s="949"/>
      <c r="Z950" s="949"/>
      <c r="AA950" s="949"/>
      <c r="AB950" s="949"/>
      <c r="AC950" s="949"/>
      <c r="AD950" s="949"/>
      <c r="AE950" s="949"/>
      <c r="AF950" s="949"/>
      <c r="AG950" s="949"/>
      <c r="AH950" s="949"/>
      <c r="AI950" s="949"/>
      <c r="AJ950" s="949"/>
      <c r="AK950" s="949"/>
      <c r="AL950" s="949"/>
      <c r="AM950" s="964" t="s">
        <v>1362</v>
      </c>
      <c r="AN950" s="954" t="s">
        <v>1009</v>
      </c>
      <c r="AO950" s="955" t="s">
        <v>772</v>
      </c>
      <c r="AP950" s="931"/>
      <c r="AQ950" s="956"/>
      <c r="AR950" s="957"/>
      <c r="AS950" s="931"/>
    </row>
    <row r="951" ht="15.75" customHeight="1">
      <c r="A951" s="931"/>
      <c r="B951" s="941" t="s">
        <v>3502</v>
      </c>
      <c r="C951" s="942" t="s">
        <v>3503</v>
      </c>
      <c r="D951" s="942" t="s">
        <v>3503</v>
      </c>
      <c r="E951" s="943" t="s">
        <v>3503</v>
      </c>
      <c r="F951" s="935"/>
      <c r="G951" s="944"/>
      <c r="H951" s="944"/>
      <c r="I951" s="959" t="s">
        <v>3504</v>
      </c>
      <c r="J951" s="947" t="s">
        <v>708</v>
      </c>
      <c r="K951" s="980" t="s">
        <v>720</v>
      </c>
      <c r="L951" s="949">
        <v>60.0</v>
      </c>
      <c r="M951" s="949">
        <v>45.0</v>
      </c>
      <c r="N951" s="949">
        <v>80.0</v>
      </c>
      <c r="O951" s="949">
        <v>90.0</v>
      </c>
      <c r="P951" s="949">
        <v>100.0</v>
      </c>
      <c r="Q951" s="949">
        <v>30.0</v>
      </c>
      <c r="R951" s="949">
        <v>96.0</v>
      </c>
      <c r="S951" s="949">
        <v>159.0</v>
      </c>
      <c r="T951" s="949">
        <v>174.0</v>
      </c>
      <c r="U951" s="949"/>
      <c r="V951" s="949"/>
      <c r="W951" s="949"/>
      <c r="X951" s="949"/>
      <c r="Y951" s="949"/>
      <c r="Z951" s="949"/>
      <c r="AA951" s="949"/>
      <c r="AB951" s="949"/>
      <c r="AC951" s="949"/>
      <c r="AD951" s="949"/>
      <c r="AE951" s="949"/>
      <c r="AF951" s="949"/>
      <c r="AG951" s="949"/>
      <c r="AH951" s="949"/>
      <c r="AI951" s="949"/>
      <c r="AJ951" s="949"/>
      <c r="AK951" s="949"/>
      <c r="AL951" s="949"/>
      <c r="AM951" s="953" t="s">
        <v>1362</v>
      </c>
      <c r="AN951" s="954" t="s">
        <v>1009</v>
      </c>
      <c r="AO951" s="955" t="s">
        <v>772</v>
      </c>
      <c r="AP951" s="931"/>
      <c r="AQ951" s="956"/>
      <c r="AR951" s="957"/>
      <c r="AS951" s="931"/>
    </row>
    <row r="952" ht="15.75" customHeight="1">
      <c r="A952" s="931"/>
      <c r="B952" s="941" t="s">
        <v>3505</v>
      </c>
      <c r="C952" s="942" t="s">
        <v>3506</v>
      </c>
      <c r="D952" s="942" t="s">
        <v>3506</v>
      </c>
      <c r="E952" s="943" t="s">
        <v>3506</v>
      </c>
      <c r="F952" s="935"/>
      <c r="G952" s="944"/>
      <c r="H952" s="944"/>
      <c r="I952" s="946" t="s">
        <v>642</v>
      </c>
      <c r="J952" s="948" t="s">
        <v>709</v>
      </c>
      <c r="K952" s="958" t="s">
        <v>704</v>
      </c>
      <c r="L952" s="949">
        <v>48.0</v>
      </c>
      <c r="M952" s="949">
        <v>44.0</v>
      </c>
      <c r="N952" s="949">
        <v>40.0</v>
      </c>
      <c r="O952" s="949">
        <v>71.0</v>
      </c>
      <c r="P952" s="949">
        <v>40.0</v>
      </c>
      <c r="Q952" s="949">
        <v>77.0</v>
      </c>
      <c r="R952" s="949">
        <v>190.0</v>
      </c>
      <c r="S952" s="949">
        <v>253.0</v>
      </c>
      <c r="T952" s="949">
        <v>278.0</v>
      </c>
      <c r="U952" s="949"/>
      <c r="V952" s="949"/>
      <c r="W952" s="949"/>
      <c r="X952" s="949"/>
      <c r="Y952" s="949"/>
      <c r="Z952" s="949"/>
      <c r="AA952" s="949"/>
      <c r="AB952" s="949"/>
      <c r="AC952" s="949"/>
      <c r="AD952" s="949"/>
      <c r="AE952" s="949"/>
      <c r="AF952" s="949"/>
      <c r="AG952" s="949"/>
      <c r="AH952" s="949"/>
      <c r="AI952" s="949"/>
      <c r="AJ952" s="949"/>
      <c r="AK952" s="949"/>
      <c r="AL952" s="949"/>
      <c r="AM952" s="953" t="s">
        <v>3507</v>
      </c>
      <c r="AN952" s="954"/>
      <c r="AO952" s="955" t="s">
        <v>1175</v>
      </c>
      <c r="AP952" s="931"/>
      <c r="AQ952" s="956"/>
      <c r="AR952" s="957"/>
      <c r="AS952" s="931"/>
    </row>
    <row r="953" ht="15.75" customHeight="1">
      <c r="A953" s="931"/>
      <c r="B953" s="941" t="s">
        <v>3508</v>
      </c>
      <c r="C953" s="942" t="s">
        <v>3509</v>
      </c>
      <c r="D953" s="942" t="s">
        <v>3509</v>
      </c>
      <c r="E953" s="943" t="s">
        <v>3509</v>
      </c>
      <c r="F953" s="935"/>
      <c r="G953" s="944"/>
      <c r="H953" s="944"/>
      <c r="I953" s="946" t="s">
        <v>374</v>
      </c>
      <c r="J953" s="948" t="s">
        <v>709</v>
      </c>
      <c r="K953" s="958" t="s">
        <v>704</v>
      </c>
      <c r="L953" s="949">
        <v>68.0</v>
      </c>
      <c r="M953" s="949">
        <v>64.0</v>
      </c>
      <c r="N953" s="949">
        <v>60.0</v>
      </c>
      <c r="O953" s="949">
        <v>111.0</v>
      </c>
      <c r="P953" s="949">
        <v>60.0</v>
      </c>
      <c r="Q953" s="949">
        <v>117.0</v>
      </c>
      <c r="R953" s="949">
        <v>270.0</v>
      </c>
      <c r="S953" s="949">
        <v>333.0</v>
      </c>
      <c r="T953" s="949">
        <v>366.0</v>
      </c>
      <c r="U953" s="949"/>
      <c r="V953" s="949"/>
      <c r="W953" s="949"/>
      <c r="X953" s="949"/>
      <c r="Y953" s="949"/>
      <c r="Z953" s="949"/>
      <c r="AA953" s="949"/>
      <c r="AB953" s="949"/>
      <c r="AC953" s="949"/>
      <c r="AD953" s="949"/>
      <c r="AE953" s="949"/>
      <c r="AF953" s="949"/>
      <c r="AG953" s="949"/>
      <c r="AH953" s="949"/>
      <c r="AI953" s="949"/>
      <c r="AJ953" s="949"/>
      <c r="AK953" s="949"/>
      <c r="AL953" s="949"/>
      <c r="AM953" s="953" t="s">
        <v>3507</v>
      </c>
      <c r="AN953" s="954"/>
      <c r="AO953" s="955" t="s">
        <v>1175</v>
      </c>
      <c r="AP953" s="931"/>
      <c r="AQ953" s="956"/>
      <c r="AR953" s="957"/>
      <c r="AS953" s="931"/>
    </row>
    <row r="954" ht="15.75" customHeight="1">
      <c r="A954" s="931"/>
      <c r="B954" s="941" t="s">
        <v>3510</v>
      </c>
      <c r="C954" s="942" t="s">
        <v>3511</v>
      </c>
      <c r="D954" s="942" t="s">
        <v>3511</v>
      </c>
      <c r="E954" s="943" t="s">
        <v>3511</v>
      </c>
      <c r="F954" s="935"/>
      <c r="G954" s="944"/>
      <c r="H954" s="944"/>
      <c r="I954" s="946" t="s">
        <v>3512</v>
      </c>
      <c r="J954" s="968" t="s">
        <v>703</v>
      </c>
      <c r="K954" s="988" t="s">
        <v>705</v>
      </c>
      <c r="L954" s="949">
        <v>70.0</v>
      </c>
      <c r="M954" s="949">
        <v>75.0</v>
      </c>
      <c r="N954" s="949">
        <v>50.0</v>
      </c>
      <c r="O954" s="949">
        <v>45.0</v>
      </c>
      <c r="P954" s="949">
        <v>50.0</v>
      </c>
      <c r="Q954" s="949">
        <v>50.0</v>
      </c>
      <c r="R954" s="949">
        <v>136.0</v>
      </c>
      <c r="S954" s="949">
        <v>199.0</v>
      </c>
      <c r="T954" s="949">
        <v>218.0</v>
      </c>
      <c r="U954" s="949"/>
      <c r="V954" s="949"/>
      <c r="W954" s="949"/>
      <c r="X954" s="949"/>
      <c r="Y954" s="949"/>
      <c r="Z954" s="949"/>
      <c r="AA954" s="949"/>
      <c r="AB954" s="949"/>
      <c r="AC954" s="949"/>
      <c r="AD954" s="949"/>
      <c r="AE954" s="949"/>
      <c r="AF954" s="949"/>
      <c r="AG954" s="949"/>
      <c r="AH954" s="949"/>
      <c r="AI954" s="949"/>
      <c r="AJ954" s="949"/>
      <c r="AK954" s="949"/>
      <c r="AL954" s="949"/>
      <c r="AM954" s="953" t="s">
        <v>3513</v>
      </c>
      <c r="AN954" s="954" t="s">
        <v>2390</v>
      </c>
      <c r="AO954" s="955" t="s">
        <v>962</v>
      </c>
      <c r="AP954" s="931"/>
      <c r="AQ954" s="956"/>
      <c r="AR954" s="957"/>
      <c r="AS954" s="931"/>
    </row>
    <row r="955" ht="15.75" customHeight="1">
      <c r="A955" s="931"/>
      <c r="B955" s="941" t="s">
        <v>3514</v>
      </c>
      <c r="C955" s="942" t="s">
        <v>3515</v>
      </c>
      <c r="D955" s="942" t="s">
        <v>3515</v>
      </c>
      <c r="E955" s="943" t="s">
        <v>3515</v>
      </c>
      <c r="F955" s="935"/>
      <c r="G955" s="944"/>
      <c r="H955" s="944"/>
      <c r="I955" s="946" t="s">
        <v>3516</v>
      </c>
      <c r="J955" s="968" t="s">
        <v>703</v>
      </c>
      <c r="K955" s="988" t="s">
        <v>705</v>
      </c>
      <c r="L955" s="949">
        <v>120.0</v>
      </c>
      <c r="M955" s="949">
        <v>125.0</v>
      </c>
      <c r="N955" s="949">
        <v>80.0</v>
      </c>
      <c r="O955" s="949">
        <v>55.0</v>
      </c>
      <c r="P955" s="949">
        <v>60.0</v>
      </c>
      <c r="Q955" s="949">
        <v>60.0</v>
      </c>
      <c r="R955" s="949">
        <v>156.0</v>
      </c>
      <c r="S955" s="949">
        <v>219.0</v>
      </c>
      <c r="T955" s="949">
        <v>240.0</v>
      </c>
      <c r="U955" s="949"/>
      <c r="V955" s="949"/>
      <c r="W955" s="949"/>
      <c r="X955" s="949"/>
      <c r="Y955" s="949"/>
      <c r="Z955" s="949"/>
      <c r="AA955" s="949"/>
      <c r="AB955" s="949"/>
      <c r="AC955" s="949"/>
      <c r="AD955" s="949"/>
      <c r="AE955" s="949"/>
      <c r="AF955" s="949"/>
      <c r="AG955" s="949"/>
      <c r="AH955" s="949"/>
      <c r="AI955" s="949"/>
      <c r="AJ955" s="949"/>
      <c r="AK955" s="949"/>
      <c r="AL955" s="949"/>
      <c r="AM955" s="953" t="s">
        <v>3513</v>
      </c>
      <c r="AN955" s="954" t="s">
        <v>2390</v>
      </c>
      <c r="AO955" s="955" t="s">
        <v>855</v>
      </c>
      <c r="AP955" s="931"/>
      <c r="AQ955" s="956"/>
      <c r="AR955" s="957"/>
      <c r="AS955" s="931"/>
    </row>
    <row r="956" ht="15.75" customHeight="1">
      <c r="A956" s="931"/>
      <c r="B956" s="941" t="s">
        <v>3517</v>
      </c>
      <c r="C956" s="942" t="s">
        <v>3518</v>
      </c>
      <c r="D956" s="942" t="s">
        <v>3518</v>
      </c>
      <c r="E956" s="943" t="s">
        <v>3518</v>
      </c>
      <c r="F956" s="935"/>
      <c r="G956" s="944"/>
      <c r="H956" s="944"/>
      <c r="I956" s="946" t="s">
        <v>643</v>
      </c>
      <c r="J956" s="947" t="s">
        <v>708</v>
      </c>
      <c r="K956" s="954" t="s">
        <v>158</v>
      </c>
      <c r="L956" s="949">
        <v>42.0</v>
      </c>
      <c r="M956" s="949">
        <v>30.0</v>
      </c>
      <c r="N956" s="949">
        <v>38.0</v>
      </c>
      <c r="O956" s="949">
        <v>30.0</v>
      </c>
      <c r="P956" s="949">
        <v>38.0</v>
      </c>
      <c r="Q956" s="949">
        <v>32.0</v>
      </c>
      <c r="R956" s="949">
        <v>100.0</v>
      </c>
      <c r="S956" s="949">
        <v>163.0</v>
      </c>
      <c r="T956" s="949">
        <v>179.0</v>
      </c>
      <c r="U956" s="949"/>
      <c r="V956" s="949"/>
      <c r="W956" s="949"/>
      <c r="X956" s="949"/>
      <c r="Y956" s="949"/>
      <c r="Z956" s="949"/>
      <c r="AA956" s="949"/>
      <c r="AB956" s="949"/>
      <c r="AC956" s="949"/>
      <c r="AD956" s="949"/>
      <c r="AE956" s="949"/>
      <c r="AF956" s="949"/>
      <c r="AG956" s="949"/>
      <c r="AH956" s="949"/>
      <c r="AI956" s="949"/>
      <c r="AJ956" s="949"/>
      <c r="AK956" s="949"/>
      <c r="AL956" s="949"/>
      <c r="AM956" s="953" t="s">
        <v>1339</v>
      </c>
      <c r="AN956" s="954" t="s">
        <v>1175</v>
      </c>
      <c r="AO956" s="955" t="s">
        <v>3253</v>
      </c>
      <c r="AP956" s="931"/>
      <c r="AQ956" s="956"/>
      <c r="AR956" s="957"/>
      <c r="AS956" s="931"/>
    </row>
    <row r="957" ht="15.75" customHeight="1">
      <c r="A957" s="931"/>
      <c r="B957" s="941" t="s">
        <v>3519</v>
      </c>
      <c r="C957" s="942" t="s">
        <v>3520</v>
      </c>
      <c r="D957" s="942" t="s">
        <v>3520</v>
      </c>
      <c r="E957" s="943" t="s">
        <v>3520</v>
      </c>
      <c r="F957" s="935"/>
      <c r="G957" s="944"/>
      <c r="H957" s="944"/>
      <c r="I957" s="946" t="s">
        <v>644</v>
      </c>
      <c r="J957" s="947" t="s">
        <v>708</v>
      </c>
      <c r="K957" s="954" t="s">
        <v>158</v>
      </c>
      <c r="L957" s="949">
        <v>52.0</v>
      </c>
      <c r="M957" s="949">
        <v>40.0</v>
      </c>
      <c r="N957" s="949">
        <v>48.0</v>
      </c>
      <c r="O957" s="949">
        <v>40.0</v>
      </c>
      <c r="P957" s="949">
        <v>48.0</v>
      </c>
      <c r="Q957" s="949">
        <v>62.0</v>
      </c>
      <c r="R957" s="949">
        <v>160.0</v>
      </c>
      <c r="S957" s="949">
        <v>223.0</v>
      </c>
      <c r="T957" s="949">
        <v>245.0</v>
      </c>
      <c r="U957" s="949"/>
      <c r="V957" s="949"/>
      <c r="W957" s="949"/>
      <c r="X957" s="949"/>
      <c r="Y957" s="949"/>
      <c r="Z957" s="949"/>
      <c r="AA957" s="949"/>
      <c r="AB957" s="949"/>
      <c r="AC957" s="949"/>
      <c r="AD957" s="949"/>
      <c r="AE957" s="949"/>
      <c r="AF957" s="949"/>
      <c r="AG957" s="949"/>
      <c r="AH957" s="949"/>
      <c r="AI957" s="949"/>
      <c r="AJ957" s="949"/>
      <c r="AK957" s="949"/>
      <c r="AL957" s="949"/>
      <c r="AM957" s="953" t="s">
        <v>1339</v>
      </c>
      <c r="AN957" s="954" t="s">
        <v>1175</v>
      </c>
      <c r="AO957" s="955" t="s">
        <v>3253</v>
      </c>
      <c r="AP957" s="931"/>
      <c r="AQ957" s="956"/>
      <c r="AR957" s="957"/>
      <c r="AS957" s="931"/>
    </row>
    <row r="958" ht="15.75" customHeight="1">
      <c r="A958" s="931"/>
      <c r="B958" s="941" t="s">
        <v>3521</v>
      </c>
      <c r="C958" s="942" t="s">
        <v>3522</v>
      </c>
      <c r="D958" s="942" t="s">
        <v>3522</v>
      </c>
      <c r="E958" s="943" t="s">
        <v>3522</v>
      </c>
      <c r="F958" s="935"/>
      <c r="G958" s="944"/>
      <c r="H958" s="944"/>
      <c r="I958" s="946" t="s">
        <v>377</v>
      </c>
      <c r="J958" s="947" t="s">
        <v>708</v>
      </c>
      <c r="K958" s="954" t="s">
        <v>158</v>
      </c>
      <c r="L958" s="949">
        <v>72.0</v>
      </c>
      <c r="M958" s="949">
        <v>120.0</v>
      </c>
      <c r="N958" s="949">
        <v>98.0</v>
      </c>
      <c r="O958" s="949">
        <v>50.0</v>
      </c>
      <c r="P958" s="949">
        <v>98.0</v>
      </c>
      <c r="Q958" s="949">
        <v>72.0</v>
      </c>
      <c r="R958" s="949">
        <v>180.0</v>
      </c>
      <c r="S958" s="949">
        <v>243.0</v>
      </c>
      <c r="T958" s="949">
        <v>267.0</v>
      </c>
      <c r="U958" s="949"/>
      <c r="V958" s="949"/>
      <c r="W958" s="949"/>
      <c r="X958" s="949"/>
      <c r="Y958" s="949"/>
      <c r="Z958" s="949"/>
      <c r="AA958" s="949"/>
      <c r="AB958" s="949"/>
      <c r="AC958" s="949"/>
      <c r="AD958" s="949"/>
      <c r="AE958" s="949"/>
      <c r="AF958" s="949"/>
      <c r="AG958" s="949"/>
      <c r="AH958" s="949"/>
      <c r="AI958" s="949"/>
      <c r="AJ958" s="949"/>
      <c r="AK958" s="949"/>
      <c r="AL958" s="949"/>
      <c r="AM958" s="953" t="s">
        <v>1339</v>
      </c>
      <c r="AN958" s="954" t="s">
        <v>3523</v>
      </c>
      <c r="AO958" s="955" t="s">
        <v>3253</v>
      </c>
      <c r="AP958" s="931"/>
      <c r="AQ958" s="956"/>
      <c r="AR958" s="957"/>
      <c r="AS958" s="931"/>
    </row>
    <row r="959" ht="15.75" customHeight="1">
      <c r="A959" s="931"/>
      <c r="B959" s="941" t="s">
        <v>3524</v>
      </c>
      <c r="C959" s="942" t="s">
        <v>3525</v>
      </c>
      <c r="D959" s="942" t="s">
        <v>3525</v>
      </c>
      <c r="E959" s="943" t="s">
        <v>3525</v>
      </c>
      <c r="F959" s="935"/>
      <c r="G959" s="944"/>
      <c r="H959" s="944"/>
      <c r="I959" s="946" t="s">
        <v>3526</v>
      </c>
      <c r="J959" s="980" t="s">
        <v>720</v>
      </c>
      <c r="K959" s="954" t="s">
        <v>158</v>
      </c>
      <c r="L959" s="949">
        <v>51.0</v>
      </c>
      <c r="M959" s="949">
        <v>52.0</v>
      </c>
      <c r="N959" s="949">
        <v>90.0</v>
      </c>
      <c r="O959" s="949">
        <v>82.0</v>
      </c>
      <c r="P959" s="949">
        <v>110.0</v>
      </c>
      <c r="Q959" s="949">
        <v>100.0</v>
      </c>
      <c r="R959" s="949">
        <v>236.0</v>
      </c>
      <c r="S959" s="949">
        <v>299.0</v>
      </c>
      <c r="T959" s="949">
        <v>328.0</v>
      </c>
      <c r="U959" s="949"/>
      <c r="V959" s="949"/>
      <c r="W959" s="949"/>
      <c r="X959" s="949"/>
      <c r="Y959" s="949"/>
      <c r="Z959" s="949"/>
      <c r="AA959" s="949"/>
      <c r="AB959" s="949"/>
      <c r="AC959" s="949"/>
      <c r="AD959" s="949"/>
      <c r="AE959" s="949"/>
      <c r="AF959" s="949"/>
      <c r="AG959" s="949"/>
      <c r="AH959" s="949"/>
      <c r="AI959" s="949"/>
      <c r="AJ959" s="949"/>
      <c r="AK959" s="949"/>
      <c r="AL959" s="949"/>
      <c r="AM959" s="953" t="s">
        <v>3195</v>
      </c>
      <c r="AN959" s="954" t="s">
        <v>3527</v>
      </c>
      <c r="AO959" s="955" t="s">
        <v>1333</v>
      </c>
      <c r="AP959" s="931"/>
      <c r="AQ959" s="956"/>
      <c r="AR959" s="957"/>
      <c r="AS959" s="931"/>
    </row>
    <row r="960" ht="15.75" customHeight="1">
      <c r="A960" s="931"/>
      <c r="B960" s="941" t="s">
        <v>3528</v>
      </c>
      <c r="C960" s="942" t="s">
        <v>245</v>
      </c>
      <c r="D960" s="942" t="s">
        <v>245</v>
      </c>
      <c r="E960" s="943" t="s">
        <v>245</v>
      </c>
      <c r="F960" s="935"/>
      <c r="G960" s="944"/>
      <c r="H960" s="944"/>
      <c r="I960" s="946" t="s">
        <v>99</v>
      </c>
      <c r="J960" s="968" t="s">
        <v>703</v>
      </c>
      <c r="K960" s="975" t="s">
        <v>712</v>
      </c>
      <c r="L960" s="949">
        <v>90.0</v>
      </c>
      <c r="M960" s="949">
        <v>60.0</v>
      </c>
      <c r="N960" s="949">
        <v>80.0</v>
      </c>
      <c r="O960" s="949">
        <v>90.0</v>
      </c>
      <c r="P960" s="949">
        <v>110.0</v>
      </c>
      <c r="Q960" s="949">
        <v>60.0</v>
      </c>
      <c r="R960" s="949">
        <v>156.0</v>
      </c>
      <c r="S960" s="949">
        <v>219.0</v>
      </c>
      <c r="T960" s="949">
        <v>240.0</v>
      </c>
      <c r="U960" s="949"/>
      <c r="V960" s="949"/>
      <c r="W960" s="949"/>
      <c r="X960" s="949"/>
      <c r="Y960" s="949"/>
      <c r="Z960" s="949"/>
      <c r="AA960" s="949"/>
      <c r="AB960" s="949"/>
      <c r="AC960" s="949"/>
      <c r="AD960" s="949"/>
      <c r="AE960" s="949"/>
      <c r="AF960" s="949"/>
      <c r="AG960" s="949"/>
      <c r="AH960" s="949"/>
      <c r="AI960" s="949"/>
      <c r="AJ960" s="949"/>
      <c r="AK960" s="949"/>
      <c r="AL960" s="949"/>
      <c r="AM960" s="953" t="s">
        <v>994</v>
      </c>
      <c r="AN960" s="954" t="s">
        <v>1657</v>
      </c>
      <c r="AO960" s="955" t="s">
        <v>3196</v>
      </c>
      <c r="AP960" s="931"/>
      <c r="AQ960" s="956"/>
      <c r="AR960" s="957"/>
      <c r="AS960" s="931"/>
    </row>
    <row r="961" ht="15.75" customHeight="1">
      <c r="A961" s="931"/>
      <c r="B961" s="941" t="s">
        <v>3529</v>
      </c>
      <c r="C961" s="942" t="s">
        <v>3530</v>
      </c>
      <c r="D961" s="942" t="s">
        <v>3530</v>
      </c>
      <c r="E961" s="943" t="s">
        <v>3530</v>
      </c>
      <c r="F961" s="935"/>
      <c r="G961" s="944"/>
      <c r="H961" s="944"/>
      <c r="I961" s="946" t="s">
        <v>430</v>
      </c>
      <c r="J961" s="988" t="s">
        <v>705</v>
      </c>
      <c r="K961" s="954" t="s">
        <v>158</v>
      </c>
      <c r="L961" s="949">
        <v>100.0</v>
      </c>
      <c r="M961" s="949">
        <v>120.0</v>
      </c>
      <c r="N961" s="949">
        <v>90.0</v>
      </c>
      <c r="O961" s="949">
        <v>40.0</v>
      </c>
      <c r="P961" s="949">
        <v>60.0</v>
      </c>
      <c r="Q961" s="949">
        <v>80.0</v>
      </c>
      <c r="R961" s="949">
        <v>196.0</v>
      </c>
      <c r="S961" s="949">
        <v>259.0</v>
      </c>
      <c r="T961" s="949">
        <v>284.0</v>
      </c>
      <c r="U961" s="949"/>
      <c r="V961" s="949"/>
      <c r="W961" s="949"/>
      <c r="X961" s="949"/>
      <c r="Y961" s="949"/>
      <c r="Z961" s="949"/>
      <c r="AA961" s="949"/>
      <c r="AB961" s="949"/>
      <c r="AC961" s="949"/>
      <c r="AD961" s="949"/>
      <c r="AE961" s="949"/>
      <c r="AF961" s="949"/>
      <c r="AG961" s="949"/>
      <c r="AH961" s="949"/>
      <c r="AI961" s="949"/>
      <c r="AJ961" s="949"/>
      <c r="AK961" s="949"/>
      <c r="AL961" s="949"/>
      <c r="AM961" s="953" t="s">
        <v>3531</v>
      </c>
      <c r="AN961" s="954"/>
      <c r="AO961" s="955" t="s">
        <v>1069</v>
      </c>
      <c r="AP961" s="931"/>
      <c r="AQ961" s="956"/>
      <c r="AR961" s="957"/>
      <c r="AS961" s="931"/>
    </row>
    <row r="962" ht="15.75" customHeight="1">
      <c r="A962" s="931"/>
      <c r="B962" s="941" t="s">
        <v>3532</v>
      </c>
      <c r="C962" s="942" t="s">
        <v>3533</v>
      </c>
      <c r="D962" s="942" t="s">
        <v>3533</v>
      </c>
      <c r="E962" s="943" t="s">
        <v>3533</v>
      </c>
      <c r="F962" s="935"/>
      <c r="G962" s="944"/>
      <c r="H962" s="944"/>
      <c r="I962" s="946" t="s">
        <v>3534</v>
      </c>
      <c r="J962" s="967" t="s">
        <v>715</v>
      </c>
      <c r="K962" s="962" t="s">
        <v>706</v>
      </c>
      <c r="L962" s="949">
        <v>25.0</v>
      </c>
      <c r="M962" s="949">
        <v>35.0</v>
      </c>
      <c r="N962" s="949">
        <v>40.0</v>
      </c>
      <c r="O962" s="949">
        <v>20.0</v>
      </c>
      <c r="P962" s="949">
        <v>30.0</v>
      </c>
      <c r="Q962" s="949">
        <v>80.0</v>
      </c>
      <c r="R962" s="949">
        <v>196.0</v>
      </c>
      <c r="S962" s="949">
        <v>259.0</v>
      </c>
      <c r="T962" s="949">
        <v>284.0</v>
      </c>
      <c r="U962" s="949"/>
      <c r="V962" s="949"/>
      <c r="W962" s="949"/>
      <c r="X962" s="949"/>
      <c r="Y962" s="949"/>
      <c r="Z962" s="949"/>
      <c r="AA962" s="949"/>
      <c r="AB962" s="949"/>
      <c r="AC962" s="949"/>
      <c r="AD962" s="949"/>
      <c r="AE962" s="949"/>
      <c r="AF962" s="949"/>
      <c r="AG962" s="949"/>
      <c r="AH962" s="949"/>
      <c r="AI962" s="949"/>
      <c r="AJ962" s="949"/>
      <c r="AK962" s="949"/>
      <c r="AL962" s="949"/>
      <c r="AM962" s="953" t="s">
        <v>3535</v>
      </c>
      <c r="AN962" s="954"/>
      <c r="AO962" s="955"/>
      <c r="AP962" s="931"/>
      <c r="AQ962" s="956"/>
      <c r="AR962" s="957"/>
      <c r="AS962" s="931"/>
    </row>
    <row r="963" ht="15.75" customHeight="1">
      <c r="A963" s="931"/>
      <c r="B963" s="941" t="s">
        <v>3536</v>
      </c>
      <c r="C963" s="942" t="s">
        <v>3537</v>
      </c>
      <c r="D963" s="942" t="s">
        <v>3537</v>
      </c>
      <c r="E963" s="943" t="s">
        <v>3537</v>
      </c>
      <c r="F963" s="935"/>
      <c r="G963" s="944"/>
      <c r="H963" s="944"/>
      <c r="I963" s="946" t="s">
        <v>3538</v>
      </c>
      <c r="J963" s="967" t="s">
        <v>715</v>
      </c>
      <c r="K963" s="962" t="s">
        <v>706</v>
      </c>
      <c r="L963" s="949">
        <v>75.0</v>
      </c>
      <c r="M963" s="949">
        <v>125.0</v>
      </c>
      <c r="N963" s="949">
        <v>140.0</v>
      </c>
      <c r="O963" s="949">
        <v>60.0</v>
      </c>
      <c r="P963" s="949">
        <v>90.0</v>
      </c>
      <c r="Q963" s="949">
        <v>40.0</v>
      </c>
      <c r="R963" s="949">
        <v>116.0</v>
      </c>
      <c r="S963" s="949">
        <v>179.0</v>
      </c>
      <c r="T963" s="949">
        <v>196.0</v>
      </c>
      <c r="U963" s="949"/>
      <c r="V963" s="949"/>
      <c r="W963" s="949"/>
      <c r="X963" s="949"/>
      <c r="Y963" s="949"/>
      <c r="Z963" s="949"/>
      <c r="AA963" s="949"/>
      <c r="AB963" s="949"/>
      <c r="AC963" s="949"/>
      <c r="AD963" s="949"/>
      <c r="AE963" s="949"/>
      <c r="AF963" s="949"/>
      <c r="AG963" s="949"/>
      <c r="AH963" s="949"/>
      <c r="AI963" s="949"/>
      <c r="AJ963" s="949"/>
      <c r="AK963" s="949"/>
      <c r="AL963" s="949"/>
      <c r="AM963" s="953" t="s">
        <v>3539</v>
      </c>
      <c r="AN963" s="954"/>
      <c r="AO963" s="955"/>
      <c r="AP963" s="931"/>
      <c r="AQ963" s="956"/>
      <c r="AR963" s="957"/>
      <c r="AS963" s="931"/>
    </row>
    <row r="964" ht="15.75" customHeight="1">
      <c r="A964" s="931"/>
      <c r="B964" s="941" t="s">
        <v>3540</v>
      </c>
      <c r="C964" s="942" t="s">
        <v>3541</v>
      </c>
      <c r="D964" s="942" t="s">
        <v>3541</v>
      </c>
      <c r="E964" s="943" t="s">
        <v>3541</v>
      </c>
      <c r="F964" s="935"/>
      <c r="G964" s="944"/>
      <c r="H964" s="944"/>
      <c r="I964" s="959" t="s">
        <v>645</v>
      </c>
      <c r="J964" s="994" t="s">
        <v>717</v>
      </c>
      <c r="K964" s="976" t="s">
        <v>711</v>
      </c>
      <c r="L964" s="949">
        <v>55.0</v>
      </c>
      <c r="M964" s="949">
        <v>55.0</v>
      </c>
      <c r="N964" s="949">
        <v>80.0</v>
      </c>
      <c r="O964" s="949">
        <v>70.0</v>
      </c>
      <c r="P964" s="949">
        <v>45.0</v>
      </c>
      <c r="Q964" s="949">
        <v>15.0</v>
      </c>
      <c r="R964" s="949">
        <v>66.0</v>
      </c>
      <c r="S964" s="949">
        <v>129.0</v>
      </c>
      <c r="T964" s="949">
        <v>141.0</v>
      </c>
      <c r="U964" s="949"/>
      <c r="V964" s="949"/>
      <c r="W964" s="949"/>
      <c r="X964" s="949"/>
      <c r="Y964" s="949"/>
      <c r="Z964" s="949"/>
      <c r="AA964" s="949"/>
      <c r="AB964" s="949"/>
      <c r="AC964" s="949"/>
      <c r="AD964" s="949"/>
      <c r="AE964" s="949"/>
      <c r="AF964" s="949"/>
      <c r="AG964" s="949"/>
      <c r="AH964" s="949"/>
      <c r="AI964" s="949"/>
      <c r="AJ964" s="949"/>
      <c r="AK964" s="949"/>
      <c r="AL964" s="949"/>
      <c r="AM964" s="953" t="s">
        <v>3542</v>
      </c>
      <c r="AN964" s="954"/>
      <c r="AO964" s="955" t="s">
        <v>923</v>
      </c>
      <c r="AP964" s="931"/>
      <c r="AQ964" s="956"/>
      <c r="AR964" s="957"/>
      <c r="AS964" s="931"/>
    </row>
    <row r="965" ht="15.75" customHeight="1">
      <c r="A965" s="931"/>
      <c r="B965" s="941" t="s">
        <v>3543</v>
      </c>
      <c r="C965" s="942" t="s">
        <v>3544</v>
      </c>
      <c r="D965" s="942" t="s">
        <v>3544</v>
      </c>
      <c r="E965" s="943" t="s">
        <v>3544</v>
      </c>
      <c r="F965" s="935"/>
      <c r="G965" s="944"/>
      <c r="H965" s="944"/>
      <c r="I965" s="946" t="s">
        <v>448</v>
      </c>
      <c r="J965" s="994" t="s">
        <v>717</v>
      </c>
      <c r="K965" s="976" t="s">
        <v>711</v>
      </c>
      <c r="L965" s="949">
        <v>85.0</v>
      </c>
      <c r="M965" s="949">
        <v>75.0</v>
      </c>
      <c r="N965" s="949">
        <v>110.0</v>
      </c>
      <c r="O965" s="949">
        <v>100.0</v>
      </c>
      <c r="P965" s="949">
        <v>75.0</v>
      </c>
      <c r="Q965" s="949">
        <v>35.0</v>
      </c>
      <c r="R965" s="949">
        <v>106.0</v>
      </c>
      <c r="S965" s="949">
        <v>169.0</v>
      </c>
      <c r="T965" s="949">
        <v>185.0</v>
      </c>
      <c r="U965" s="949"/>
      <c r="V965" s="949"/>
      <c r="W965" s="949"/>
      <c r="X965" s="949"/>
      <c r="Y965" s="949"/>
      <c r="Z965" s="949"/>
      <c r="AA965" s="949"/>
      <c r="AB965" s="949"/>
      <c r="AC965" s="949"/>
      <c r="AD965" s="949"/>
      <c r="AE965" s="949"/>
      <c r="AF965" s="949"/>
      <c r="AG965" s="949"/>
      <c r="AH965" s="949"/>
      <c r="AI965" s="949"/>
      <c r="AJ965" s="949"/>
      <c r="AK965" s="949"/>
      <c r="AL965" s="949"/>
      <c r="AM965" s="953" t="s">
        <v>3542</v>
      </c>
      <c r="AN965" s="954"/>
      <c r="AO965" s="955" t="s">
        <v>923</v>
      </c>
      <c r="AP965" s="931"/>
      <c r="AQ965" s="956"/>
      <c r="AR965" s="957"/>
      <c r="AS965" s="931"/>
    </row>
    <row r="966" ht="15.75" customHeight="1">
      <c r="A966" s="931"/>
      <c r="B966" s="941" t="s">
        <v>3545</v>
      </c>
      <c r="C966" s="942" t="s">
        <v>3546</v>
      </c>
      <c r="D966" s="942" t="s">
        <v>3546</v>
      </c>
      <c r="E966" s="943" t="s">
        <v>3546</v>
      </c>
      <c r="F966" s="935"/>
      <c r="G966" s="944"/>
      <c r="H966" s="944"/>
      <c r="I966" s="946" t="s">
        <v>517</v>
      </c>
      <c r="J966" s="962" t="s">
        <v>706</v>
      </c>
      <c r="K966" s="954" t="s">
        <v>158</v>
      </c>
      <c r="L966" s="949">
        <v>55.0</v>
      </c>
      <c r="M966" s="949">
        <v>60.0</v>
      </c>
      <c r="N966" s="949">
        <v>130.0</v>
      </c>
      <c r="O966" s="949">
        <v>30.0</v>
      </c>
      <c r="P966" s="949">
        <v>130.0</v>
      </c>
      <c r="Q966" s="949">
        <v>5.0</v>
      </c>
      <c r="R966" s="949">
        <v>46.0</v>
      </c>
      <c r="S966" s="949">
        <v>109.0</v>
      </c>
      <c r="T966" s="949">
        <v>119.0</v>
      </c>
      <c r="U966" s="949"/>
      <c r="V966" s="949"/>
      <c r="W966" s="949"/>
      <c r="X966" s="949"/>
      <c r="Y966" s="949"/>
      <c r="Z966" s="949"/>
      <c r="AA966" s="949"/>
      <c r="AB966" s="949"/>
      <c r="AC966" s="949"/>
      <c r="AD966" s="949"/>
      <c r="AE966" s="949"/>
      <c r="AF966" s="949"/>
      <c r="AG966" s="949"/>
      <c r="AH966" s="949"/>
      <c r="AI966" s="949"/>
      <c r="AJ966" s="949"/>
      <c r="AK966" s="949"/>
      <c r="AL966" s="949"/>
      <c r="AM966" s="953" t="s">
        <v>3547</v>
      </c>
      <c r="AN966" s="954"/>
      <c r="AO966" s="955" t="s">
        <v>968</v>
      </c>
      <c r="AP966" s="931"/>
      <c r="AQ966" s="956"/>
      <c r="AR966" s="957"/>
      <c r="AS966" s="931"/>
    </row>
    <row r="967" ht="15.75" customHeight="1">
      <c r="A967" s="931"/>
      <c r="B967" s="941" t="s">
        <v>3548</v>
      </c>
      <c r="C967" s="942" t="s">
        <v>3549</v>
      </c>
      <c r="D967" s="942" t="s">
        <v>3550</v>
      </c>
      <c r="E967" s="943" t="s">
        <v>3549</v>
      </c>
      <c r="F967" s="935"/>
      <c r="G967" s="944"/>
      <c r="H967" s="944"/>
      <c r="I967" s="946" t="s">
        <v>3551</v>
      </c>
      <c r="J967" s="968" t="s">
        <v>703</v>
      </c>
      <c r="K967" s="954" t="s">
        <v>158</v>
      </c>
      <c r="L967" s="949">
        <v>95.0</v>
      </c>
      <c r="M967" s="949">
        <v>95.0</v>
      </c>
      <c r="N967" s="949">
        <v>95.0</v>
      </c>
      <c r="O967" s="949">
        <v>95.0</v>
      </c>
      <c r="P967" s="949">
        <v>95.0</v>
      </c>
      <c r="Q967" s="949">
        <v>59.0</v>
      </c>
      <c r="R967" s="949">
        <v>154.0</v>
      </c>
      <c r="S967" s="949">
        <v>217.0</v>
      </c>
      <c r="T967" s="949">
        <v>238.0</v>
      </c>
      <c r="U967" s="949"/>
      <c r="V967" s="949"/>
      <c r="W967" s="949"/>
      <c r="X967" s="949"/>
      <c r="Y967" s="949"/>
      <c r="Z967" s="949"/>
      <c r="AA967" s="949"/>
      <c r="AB967" s="949"/>
      <c r="AC967" s="949"/>
      <c r="AD967" s="949"/>
      <c r="AE967" s="949"/>
      <c r="AF967" s="949"/>
      <c r="AG967" s="949"/>
      <c r="AH967" s="949"/>
      <c r="AI967" s="949"/>
      <c r="AJ967" s="949"/>
      <c r="AK967" s="949"/>
      <c r="AL967" s="949"/>
      <c r="AM967" s="953" t="s">
        <v>1294</v>
      </c>
      <c r="AN967" s="954"/>
      <c r="AO967" s="955"/>
      <c r="AP967" s="931"/>
      <c r="AQ967" s="956"/>
      <c r="AR967" s="957"/>
      <c r="AS967" s="931"/>
    </row>
    <row r="968" ht="15.75" customHeight="1">
      <c r="A968" s="931"/>
      <c r="B968" s="941" t="s">
        <v>3552</v>
      </c>
      <c r="C968" s="942" t="s">
        <v>3553</v>
      </c>
      <c r="D968" s="942" t="s">
        <v>3553</v>
      </c>
      <c r="E968" s="943" t="s">
        <v>3553</v>
      </c>
      <c r="F968" s="935"/>
      <c r="G968" s="944"/>
      <c r="H968" s="944"/>
      <c r="I968" s="946" t="s">
        <v>3554</v>
      </c>
      <c r="J968" s="968" t="s">
        <v>703</v>
      </c>
      <c r="K968" s="954" t="s">
        <v>158</v>
      </c>
      <c r="L968" s="949">
        <v>95.0</v>
      </c>
      <c r="M968" s="949">
        <v>95.0</v>
      </c>
      <c r="N968" s="949">
        <v>95.0</v>
      </c>
      <c r="O968" s="949">
        <v>95.0</v>
      </c>
      <c r="P968" s="949">
        <v>95.0</v>
      </c>
      <c r="Q968" s="949">
        <v>95.0</v>
      </c>
      <c r="R968" s="949">
        <v>226.0</v>
      </c>
      <c r="S968" s="949">
        <v>289.0</v>
      </c>
      <c r="T968" s="949">
        <v>317.0</v>
      </c>
      <c r="U968" s="949"/>
      <c r="V968" s="949"/>
      <c r="W968" s="949"/>
      <c r="X968" s="949"/>
      <c r="Y968" s="949"/>
      <c r="Z968" s="949"/>
      <c r="AA968" s="949"/>
      <c r="AB968" s="949"/>
      <c r="AC968" s="949"/>
      <c r="AD968" s="949"/>
      <c r="AE968" s="949"/>
      <c r="AF968" s="949"/>
      <c r="AG968" s="949"/>
      <c r="AH968" s="949"/>
      <c r="AI968" s="949"/>
      <c r="AJ968" s="949"/>
      <c r="AK968" s="949"/>
      <c r="AL968" s="949"/>
      <c r="AM968" s="953" t="s">
        <v>3555</v>
      </c>
      <c r="AN968" s="954"/>
      <c r="AO968" s="955"/>
      <c r="AP968" s="931"/>
      <c r="AQ968" s="956"/>
      <c r="AR968" s="957"/>
      <c r="AS968" s="931"/>
    </row>
    <row r="969" ht="15.75" customHeight="1">
      <c r="A969" s="931"/>
      <c r="B969" s="941" t="s">
        <v>3552</v>
      </c>
      <c r="C969" s="942" t="s">
        <v>3556</v>
      </c>
      <c r="D969" s="942" t="s">
        <v>3556</v>
      </c>
      <c r="E969" s="943" t="s">
        <v>3556</v>
      </c>
      <c r="F969" s="935"/>
      <c r="G969" s="944"/>
      <c r="H969" s="944"/>
      <c r="I969" s="946" t="s">
        <v>3557</v>
      </c>
      <c r="J969" s="967" t="s">
        <v>715</v>
      </c>
      <c r="K969" s="954" t="s">
        <v>158</v>
      </c>
      <c r="L969" s="949">
        <v>95.0</v>
      </c>
      <c r="M969" s="949">
        <v>95.0</v>
      </c>
      <c r="N969" s="949">
        <v>95.0</v>
      </c>
      <c r="O969" s="949">
        <v>95.0</v>
      </c>
      <c r="P969" s="949">
        <v>95.0</v>
      </c>
      <c r="Q969" s="949">
        <v>95.0</v>
      </c>
      <c r="R969" s="949">
        <v>226.0</v>
      </c>
      <c r="S969" s="949">
        <v>289.0</v>
      </c>
      <c r="T969" s="949">
        <v>317.0</v>
      </c>
      <c r="U969" s="949"/>
      <c r="V969" s="949"/>
      <c r="W969" s="949"/>
      <c r="X969" s="949"/>
      <c r="Y969" s="949"/>
      <c r="Z969" s="949"/>
      <c r="AA969" s="949"/>
      <c r="AB969" s="949"/>
      <c r="AC969" s="949"/>
      <c r="AD969" s="949"/>
      <c r="AE969" s="949"/>
      <c r="AF969" s="949"/>
      <c r="AG969" s="949"/>
      <c r="AH969" s="949"/>
      <c r="AI969" s="949"/>
      <c r="AJ969" s="949"/>
      <c r="AK969" s="949"/>
      <c r="AL969" s="949"/>
      <c r="AM969" s="953" t="s">
        <v>3555</v>
      </c>
      <c r="AN969" s="954"/>
      <c r="AO969" s="955"/>
      <c r="AP969" s="931"/>
      <c r="AQ969" s="956"/>
      <c r="AR969" s="957"/>
      <c r="AS969" s="931"/>
    </row>
    <row r="970" ht="15.75" customHeight="1">
      <c r="A970" s="931"/>
      <c r="B970" s="941" t="s">
        <v>3552</v>
      </c>
      <c r="C970" s="942" t="s">
        <v>3558</v>
      </c>
      <c r="D970" s="942" t="s">
        <v>3558</v>
      </c>
      <c r="E970" s="943" t="s">
        <v>3558</v>
      </c>
      <c r="F970" s="935"/>
      <c r="G970" s="944"/>
      <c r="H970" s="944"/>
      <c r="I970" s="946" t="s">
        <v>3559</v>
      </c>
      <c r="J970" s="969" t="s">
        <v>718</v>
      </c>
      <c r="K970" s="954" t="s">
        <v>158</v>
      </c>
      <c r="L970" s="949">
        <v>95.0</v>
      </c>
      <c r="M970" s="949">
        <v>95.0</v>
      </c>
      <c r="N970" s="949">
        <v>95.0</v>
      </c>
      <c r="O970" s="949">
        <v>95.0</v>
      </c>
      <c r="P970" s="949">
        <v>95.0</v>
      </c>
      <c r="Q970" s="949">
        <v>95.0</v>
      </c>
      <c r="R970" s="949">
        <v>226.0</v>
      </c>
      <c r="S970" s="949">
        <v>289.0</v>
      </c>
      <c r="T970" s="949">
        <v>317.0</v>
      </c>
      <c r="U970" s="949"/>
      <c r="V970" s="949"/>
      <c r="W970" s="949"/>
      <c r="X970" s="949"/>
      <c r="Y970" s="949"/>
      <c r="Z970" s="949"/>
      <c r="AA970" s="949"/>
      <c r="AB970" s="949"/>
      <c r="AC970" s="949"/>
      <c r="AD970" s="949"/>
      <c r="AE970" s="949"/>
      <c r="AF970" s="949"/>
      <c r="AG970" s="949"/>
      <c r="AH970" s="949"/>
      <c r="AI970" s="949"/>
      <c r="AJ970" s="949"/>
      <c r="AK970" s="949"/>
      <c r="AL970" s="949"/>
      <c r="AM970" s="953" t="s">
        <v>3555</v>
      </c>
      <c r="AN970" s="954"/>
      <c r="AO970" s="955"/>
      <c r="AP970" s="931"/>
      <c r="AQ970" s="956"/>
      <c r="AR970" s="957"/>
      <c r="AS970" s="931"/>
    </row>
    <row r="971" ht="15.75" customHeight="1">
      <c r="A971" s="931"/>
      <c r="B971" s="941" t="s">
        <v>3552</v>
      </c>
      <c r="C971" s="942" t="s">
        <v>3560</v>
      </c>
      <c r="D971" s="942" t="s">
        <v>3560</v>
      </c>
      <c r="E971" s="943" t="s">
        <v>3560</v>
      </c>
      <c r="F971" s="935"/>
      <c r="G971" s="944"/>
      <c r="H971" s="944"/>
      <c r="I971" s="946" t="s">
        <v>3561</v>
      </c>
      <c r="J971" s="961" t="s">
        <v>716</v>
      </c>
      <c r="K971" s="954" t="s">
        <v>158</v>
      </c>
      <c r="L971" s="949">
        <v>95.0</v>
      </c>
      <c r="M971" s="949">
        <v>95.0</v>
      </c>
      <c r="N971" s="949">
        <v>95.0</v>
      </c>
      <c r="O971" s="949">
        <v>95.0</v>
      </c>
      <c r="P971" s="949">
        <v>95.0</v>
      </c>
      <c r="Q971" s="949">
        <v>95.0</v>
      </c>
      <c r="R971" s="949">
        <v>226.0</v>
      </c>
      <c r="S971" s="949">
        <v>289.0</v>
      </c>
      <c r="T971" s="949">
        <v>317.0</v>
      </c>
      <c r="U971" s="949"/>
      <c r="V971" s="949"/>
      <c r="W971" s="949"/>
      <c r="X971" s="949"/>
      <c r="Y971" s="949"/>
      <c r="Z971" s="949"/>
      <c r="AA971" s="949"/>
      <c r="AB971" s="949"/>
      <c r="AC971" s="949"/>
      <c r="AD971" s="949"/>
      <c r="AE971" s="949"/>
      <c r="AF971" s="949"/>
      <c r="AG971" s="949"/>
      <c r="AH971" s="949"/>
      <c r="AI971" s="949"/>
      <c r="AJ971" s="949"/>
      <c r="AK971" s="949"/>
      <c r="AL971" s="949"/>
      <c r="AM971" s="953" t="s">
        <v>3555</v>
      </c>
      <c r="AN971" s="954"/>
      <c r="AO971" s="955"/>
      <c r="AP971" s="931"/>
      <c r="AQ971" s="956"/>
      <c r="AR971" s="957"/>
      <c r="AS971" s="931"/>
    </row>
    <row r="972" ht="15.75" customHeight="1">
      <c r="A972" s="931"/>
      <c r="B972" s="941" t="s">
        <v>3552</v>
      </c>
      <c r="C972" s="942" t="s">
        <v>3562</v>
      </c>
      <c r="D972" s="942" t="s">
        <v>3562</v>
      </c>
      <c r="E972" s="943" t="s">
        <v>3562</v>
      </c>
      <c r="F972" s="935"/>
      <c r="G972" s="944"/>
      <c r="H972" s="944"/>
      <c r="I972" s="946" t="s">
        <v>3563</v>
      </c>
      <c r="J972" s="970" t="s">
        <v>710</v>
      </c>
      <c r="K972" s="954" t="s">
        <v>158</v>
      </c>
      <c r="L972" s="949">
        <v>95.0</v>
      </c>
      <c r="M972" s="949">
        <v>95.0</v>
      </c>
      <c r="N972" s="949">
        <v>95.0</v>
      </c>
      <c r="O972" s="949">
        <v>95.0</v>
      </c>
      <c r="P972" s="949">
        <v>95.0</v>
      </c>
      <c r="Q972" s="949">
        <v>95.0</v>
      </c>
      <c r="R972" s="949">
        <v>226.0</v>
      </c>
      <c r="S972" s="949">
        <v>289.0</v>
      </c>
      <c r="T972" s="949">
        <v>317.0</v>
      </c>
      <c r="U972" s="949"/>
      <c r="V972" s="949"/>
      <c r="W972" s="949"/>
      <c r="X972" s="949"/>
      <c r="Y972" s="949"/>
      <c r="Z972" s="949"/>
      <c r="AA972" s="949"/>
      <c r="AB972" s="949"/>
      <c r="AC972" s="949"/>
      <c r="AD972" s="949"/>
      <c r="AE972" s="949"/>
      <c r="AF972" s="949"/>
      <c r="AG972" s="949"/>
      <c r="AH972" s="949"/>
      <c r="AI972" s="949"/>
      <c r="AJ972" s="949"/>
      <c r="AK972" s="949"/>
      <c r="AL972" s="949"/>
      <c r="AM972" s="953" t="s">
        <v>3555</v>
      </c>
      <c r="AN972" s="954"/>
      <c r="AO972" s="955"/>
      <c r="AP972" s="931"/>
      <c r="AQ972" s="956"/>
      <c r="AR972" s="957"/>
      <c r="AS972" s="931"/>
    </row>
    <row r="973" ht="15.75" customHeight="1">
      <c r="A973" s="931"/>
      <c r="B973" s="941" t="s">
        <v>3552</v>
      </c>
      <c r="C973" s="942" t="s">
        <v>3564</v>
      </c>
      <c r="D973" s="942" t="s">
        <v>3564</v>
      </c>
      <c r="E973" s="943" t="s">
        <v>3564</v>
      </c>
      <c r="F973" s="935"/>
      <c r="G973" s="944"/>
      <c r="H973" s="944"/>
      <c r="I973" s="959" t="s">
        <v>3565</v>
      </c>
      <c r="J973" s="980" t="s">
        <v>720</v>
      </c>
      <c r="K973" s="954" t="s">
        <v>158</v>
      </c>
      <c r="L973" s="949">
        <v>95.0</v>
      </c>
      <c r="M973" s="949">
        <v>95.0</v>
      </c>
      <c r="N973" s="949">
        <v>95.0</v>
      </c>
      <c r="O973" s="949">
        <v>95.0</v>
      </c>
      <c r="P973" s="949">
        <v>95.0</v>
      </c>
      <c r="Q973" s="949">
        <v>95.0</v>
      </c>
      <c r="R973" s="949">
        <v>226.0</v>
      </c>
      <c r="S973" s="949">
        <v>289.0</v>
      </c>
      <c r="T973" s="949">
        <v>317.0</v>
      </c>
      <c r="U973" s="949"/>
      <c r="V973" s="949"/>
      <c r="W973" s="949"/>
      <c r="X973" s="949"/>
      <c r="Y973" s="949"/>
      <c r="Z973" s="949"/>
      <c r="AA973" s="949"/>
      <c r="AB973" s="949"/>
      <c r="AC973" s="949"/>
      <c r="AD973" s="949"/>
      <c r="AE973" s="949"/>
      <c r="AF973" s="949"/>
      <c r="AG973" s="949"/>
      <c r="AH973" s="949"/>
      <c r="AI973" s="949"/>
      <c r="AJ973" s="949"/>
      <c r="AK973" s="949"/>
      <c r="AL973" s="949"/>
      <c r="AM973" s="953" t="s">
        <v>3555</v>
      </c>
      <c r="AN973" s="954"/>
      <c r="AO973" s="955"/>
      <c r="AP973" s="931"/>
      <c r="AQ973" s="956"/>
      <c r="AR973" s="957"/>
      <c r="AS973" s="931"/>
    </row>
    <row r="974" ht="15.75" customHeight="1">
      <c r="A974" s="931"/>
      <c r="B974" s="941" t="s">
        <v>3552</v>
      </c>
      <c r="C974" s="942" t="s">
        <v>3566</v>
      </c>
      <c r="D974" s="942" t="s">
        <v>3566</v>
      </c>
      <c r="E974" s="943" t="s">
        <v>3566</v>
      </c>
      <c r="F974" s="935"/>
      <c r="G974" s="944"/>
      <c r="H974" s="944"/>
      <c r="I974" s="959" t="s">
        <v>3567</v>
      </c>
      <c r="J974" s="988" t="s">
        <v>705</v>
      </c>
      <c r="K974" s="954" t="s">
        <v>158</v>
      </c>
      <c r="L974" s="949">
        <v>95.0</v>
      </c>
      <c r="M974" s="949">
        <v>95.0</v>
      </c>
      <c r="N974" s="949">
        <v>95.0</v>
      </c>
      <c r="O974" s="949">
        <v>95.0</v>
      </c>
      <c r="P974" s="949">
        <v>95.0</v>
      </c>
      <c r="Q974" s="949">
        <v>95.0</v>
      </c>
      <c r="R974" s="949">
        <v>226.0</v>
      </c>
      <c r="S974" s="949">
        <v>289.0</v>
      </c>
      <c r="T974" s="949">
        <v>317.0</v>
      </c>
      <c r="U974" s="949"/>
      <c r="V974" s="949"/>
      <c r="W974" s="949"/>
      <c r="X974" s="949"/>
      <c r="Y974" s="949"/>
      <c r="Z974" s="949"/>
      <c r="AA974" s="949"/>
      <c r="AB974" s="949"/>
      <c r="AC974" s="949"/>
      <c r="AD974" s="949"/>
      <c r="AE974" s="949"/>
      <c r="AF974" s="949"/>
      <c r="AG974" s="949"/>
      <c r="AH974" s="949"/>
      <c r="AI974" s="949"/>
      <c r="AJ974" s="949"/>
      <c r="AK974" s="949"/>
      <c r="AL974" s="949"/>
      <c r="AM974" s="953" t="s">
        <v>3555</v>
      </c>
      <c r="AN974" s="954"/>
      <c r="AO974" s="955"/>
      <c r="AP974" s="931"/>
      <c r="AQ974" s="956"/>
      <c r="AR974" s="957"/>
      <c r="AS974" s="931"/>
    </row>
    <row r="975" ht="15.75" customHeight="1">
      <c r="A975" s="963"/>
      <c r="B975" s="941" t="s">
        <v>3552</v>
      </c>
      <c r="C975" s="971" t="s">
        <v>3568</v>
      </c>
      <c r="D975" s="971" t="s">
        <v>3568</v>
      </c>
      <c r="E975" s="966" t="s">
        <v>3568</v>
      </c>
      <c r="F975" s="935"/>
      <c r="G975" s="944"/>
      <c r="H975" s="944"/>
      <c r="I975" s="959" t="s">
        <v>3569</v>
      </c>
      <c r="J975" s="981" t="s">
        <v>704</v>
      </c>
      <c r="K975" s="973" t="s">
        <v>158</v>
      </c>
      <c r="L975" s="974">
        <v>95.0</v>
      </c>
      <c r="M975" s="974">
        <v>95.0</v>
      </c>
      <c r="N975" s="974">
        <v>95.0</v>
      </c>
      <c r="O975" s="974">
        <v>95.0</v>
      </c>
      <c r="P975" s="974">
        <v>95.0</v>
      </c>
      <c r="Q975" s="974">
        <v>95.0</v>
      </c>
      <c r="R975" s="949">
        <v>226.0</v>
      </c>
      <c r="S975" s="949">
        <v>289.0</v>
      </c>
      <c r="T975" s="949">
        <v>317.0</v>
      </c>
      <c r="U975" s="949"/>
      <c r="V975" s="949"/>
      <c r="W975" s="949"/>
      <c r="X975" s="949"/>
      <c r="Y975" s="949"/>
      <c r="Z975" s="949"/>
      <c r="AA975" s="949"/>
      <c r="AB975" s="949"/>
      <c r="AC975" s="949"/>
      <c r="AD975" s="949"/>
      <c r="AE975" s="949"/>
      <c r="AF975" s="949"/>
      <c r="AG975" s="949"/>
      <c r="AH975" s="949"/>
      <c r="AI975" s="949"/>
      <c r="AJ975" s="949"/>
      <c r="AK975" s="949"/>
      <c r="AL975" s="949"/>
      <c r="AM975" s="964" t="s">
        <v>3555</v>
      </c>
      <c r="AN975" s="973"/>
      <c r="AO975" s="965"/>
      <c r="AP975" s="931"/>
      <c r="AQ975" s="956"/>
      <c r="AR975" s="957"/>
      <c r="AS975" s="931"/>
    </row>
    <row r="976" ht="15.75" customHeight="1">
      <c r="A976" s="931"/>
      <c r="B976" s="941" t="s">
        <v>3552</v>
      </c>
      <c r="C976" s="942" t="s">
        <v>3570</v>
      </c>
      <c r="D976" s="942" t="s">
        <v>3570</v>
      </c>
      <c r="E976" s="943" t="s">
        <v>3570</v>
      </c>
      <c r="F976" s="935"/>
      <c r="G976" s="944"/>
      <c r="H976" s="944"/>
      <c r="I976" s="946" t="s">
        <v>3571</v>
      </c>
      <c r="J976" s="960" t="s">
        <v>707</v>
      </c>
      <c r="K976" s="954" t="s">
        <v>158</v>
      </c>
      <c r="L976" s="949">
        <v>95.0</v>
      </c>
      <c r="M976" s="949">
        <v>95.0</v>
      </c>
      <c r="N976" s="949">
        <v>95.0</v>
      </c>
      <c r="O976" s="949">
        <v>95.0</v>
      </c>
      <c r="P976" s="949">
        <v>95.0</v>
      </c>
      <c r="Q976" s="949">
        <v>95.0</v>
      </c>
      <c r="R976" s="949">
        <v>226.0</v>
      </c>
      <c r="S976" s="949">
        <v>289.0</v>
      </c>
      <c r="T976" s="949">
        <v>317.0</v>
      </c>
      <c r="U976" s="949"/>
      <c r="V976" s="949"/>
      <c r="W976" s="949"/>
      <c r="X976" s="949"/>
      <c r="Y976" s="949"/>
      <c r="Z976" s="949"/>
      <c r="AA976" s="949"/>
      <c r="AB976" s="949"/>
      <c r="AC976" s="949"/>
      <c r="AD976" s="949"/>
      <c r="AE976" s="949"/>
      <c r="AF976" s="949"/>
      <c r="AG976" s="949"/>
      <c r="AH976" s="949"/>
      <c r="AI976" s="949"/>
      <c r="AJ976" s="949"/>
      <c r="AK976" s="949"/>
      <c r="AL976" s="949"/>
      <c r="AM976" s="953" t="s">
        <v>3555</v>
      </c>
      <c r="AN976" s="954"/>
      <c r="AO976" s="955"/>
      <c r="AP976" s="931"/>
      <c r="AQ976" s="956"/>
      <c r="AR976" s="957"/>
      <c r="AS976" s="931"/>
    </row>
    <row r="977" ht="15.75" customHeight="1">
      <c r="A977" s="931"/>
      <c r="B977" s="941" t="s">
        <v>3552</v>
      </c>
      <c r="C977" s="942" t="s">
        <v>3572</v>
      </c>
      <c r="D977" s="942" t="s">
        <v>3572</v>
      </c>
      <c r="E977" s="943" t="s">
        <v>3572</v>
      </c>
      <c r="F977" s="935"/>
      <c r="G977" s="944"/>
      <c r="H977" s="944"/>
      <c r="I977" s="946" t="s">
        <v>3573</v>
      </c>
      <c r="J977" s="994" t="s">
        <v>717</v>
      </c>
      <c r="K977" s="954" t="s">
        <v>158</v>
      </c>
      <c r="L977" s="949">
        <v>95.0</v>
      </c>
      <c r="M977" s="949">
        <v>95.0</v>
      </c>
      <c r="N977" s="949">
        <v>95.0</v>
      </c>
      <c r="O977" s="949">
        <v>95.0</v>
      </c>
      <c r="P977" s="949">
        <v>95.0</v>
      </c>
      <c r="Q977" s="949">
        <v>95.0</v>
      </c>
      <c r="R977" s="949">
        <v>226.0</v>
      </c>
      <c r="S977" s="949">
        <v>289.0</v>
      </c>
      <c r="T977" s="949">
        <v>317.0</v>
      </c>
      <c r="U977" s="949"/>
      <c r="V977" s="949"/>
      <c r="W977" s="949"/>
      <c r="X977" s="949"/>
      <c r="Y977" s="949"/>
      <c r="Z977" s="949"/>
      <c r="AA977" s="949"/>
      <c r="AB977" s="949"/>
      <c r="AC977" s="949"/>
      <c r="AD977" s="949"/>
      <c r="AE977" s="949"/>
      <c r="AF977" s="949"/>
      <c r="AG977" s="949"/>
      <c r="AH977" s="949"/>
      <c r="AI977" s="949"/>
      <c r="AJ977" s="949"/>
      <c r="AK977" s="949"/>
      <c r="AL977" s="949"/>
      <c r="AM977" s="953" t="s">
        <v>3555</v>
      </c>
      <c r="AN977" s="954"/>
      <c r="AO977" s="955"/>
      <c r="AP977" s="931"/>
      <c r="AQ977" s="956"/>
      <c r="AR977" s="957"/>
      <c r="AS977" s="931"/>
    </row>
    <row r="978" ht="15.75" customHeight="1">
      <c r="A978" s="931"/>
      <c r="B978" s="941" t="s">
        <v>3552</v>
      </c>
      <c r="C978" s="942" t="s">
        <v>3574</v>
      </c>
      <c r="D978" s="942" t="s">
        <v>3574</v>
      </c>
      <c r="E978" s="943" t="s">
        <v>3574</v>
      </c>
      <c r="F978" s="935"/>
      <c r="G978" s="944"/>
      <c r="H978" s="944"/>
      <c r="I978" s="946" t="s">
        <v>3575</v>
      </c>
      <c r="J978" s="947" t="s">
        <v>708</v>
      </c>
      <c r="K978" s="954" t="s">
        <v>158</v>
      </c>
      <c r="L978" s="949">
        <v>95.0</v>
      </c>
      <c r="M978" s="949">
        <v>95.0</v>
      </c>
      <c r="N978" s="949">
        <v>95.0</v>
      </c>
      <c r="O978" s="949">
        <v>95.0</v>
      </c>
      <c r="P978" s="949">
        <v>95.0</v>
      </c>
      <c r="Q978" s="949">
        <v>95.0</v>
      </c>
      <c r="R978" s="949">
        <v>226.0</v>
      </c>
      <c r="S978" s="949">
        <v>289.0</v>
      </c>
      <c r="T978" s="949">
        <v>317.0</v>
      </c>
      <c r="U978" s="949"/>
      <c r="V978" s="949"/>
      <c r="W978" s="949"/>
      <c r="X978" s="949"/>
      <c r="Y978" s="949"/>
      <c r="Z978" s="949"/>
      <c r="AA978" s="949"/>
      <c r="AB978" s="949"/>
      <c r="AC978" s="949"/>
      <c r="AD978" s="949"/>
      <c r="AE978" s="949"/>
      <c r="AF978" s="949"/>
      <c r="AG978" s="949"/>
      <c r="AH978" s="949"/>
      <c r="AI978" s="949"/>
      <c r="AJ978" s="949"/>
      <c r="AK978" s="949"/>
      <c r="AL978" s="949"/>
      <c r="AM978" s="953" t="s">
        <v>3555</v>
      </c>
      <c r="AN978" s="954"/>
      <c r="AO978" s="955"/>
      <c r="AP978" s="931"/>
      <c r="AQ978" s="956"/>
      <c r="AR978" s="957"/>
      <c r="AS978" s="931"/>
    </row>
    <row r="979" ht="15.75" customHeight="1">
      <c r="A979" s="931"/>
      <c r="B979" s="941" t="s">
        <v>3552</v>
      </c>
      <c r="C979" s="942" t="s">
        <v>3576</v>
      </c>
      <c r="D979" s="942" t="s">
        <v>3576</v>
      </c>
      <c r="E979" s="943" t="s">
        <v>3576</v>
      </c>
      <c r="F979" s="935"/>
      <c r="G979" s="944"/>
      <c r="H979" s="944"/>
      <c r="I979" s="946" t="s">
        <v>3577</v>
      </c>
      <c r="J979" s="976" t="s">
        <v>711</v>
      </c>
      <c r="K979" s="954" t="s">
        <v>158</v>
      </c>
      <c r="L979" s="949">
        <v>95.0</v>
      </c>
      <c r="M979" s="949">
        <v>95.0</v>
      </c>
      <c r="N979" s="949">
        <v>95.0</v>
      </c>
      <c r="O979" s="949">
        <v>95.0</v>
      </c>
      <c r="P979" s="949">
        <v>95.0</v>
      </c>
      <c r="Q979" s="949">
        <v>95.0</v>
      </c>
      <c r="R979" s="949">
        <v>226.0</v>
      </c>
      <c r="S979" s="949">
        <v>289.0</v>
      </c>
      <c r="T979" s="949">
        <v>317.0</v>
      </c>
      <c r="U979" s="949"/>
      <c r="V979" s="949"/>
      <c r="W979" s="949"/>
      <c r="X979" s="949"/>
      <c r="Y979" s="949"/>
      <c r="Z979" s="949"/>
      <c r="AA979" s="949"/>
      <c r="AB979" s="949"/>
      <c r="AC979" s="949"/>
      <c r="AD979" s="949"/>
      <c r="AE979" s="949"/>
      <c r="AF979" s="949"/>
      <c r="AG979" s="949"/>
      <c r="AH979" s="949"/>
      <c r="AI979" s="949"/>
      <c r="AJ979" s="949"/>
      <c r="AK979" s="949"/>
      <c r="AL979" s="949"/>
      <c r="AM979" s="953" t="s">
        <v>3555</v>
      </c>
      <c r="AN979" s="954"/>
      <c r="AO979" s="955"/>
      <c r="AP979" s="931"/>
      <c r="AQ979" s="956"/>
      <c r="AR979" s="957"/>
      <c r="AS979" s="931"/>
    </row>
    <row r="980" ht="15.75" customHeight="1">
      <c r="A980" s="931"/>
      <c r="B980" s="941" t="s">
        <v>3552</v>
      </c>
      <c r="C980" s="942" t="s">
        <v>3578</v>
      </c>
      <c r="D980" s="942" t="s">
        <v>3578</v>
      </c>
      <c r="E980" s="943" t="s">
        <v>3578</v>
      </c>
      <c r="F980" s="935"/>
      <c r="G980" s="944"/>
      <c r="H980" s="944"/>
      <c r="I980" s="946" t="s">
        <v>3579</v>
      </c>
      <c r="J980" s="977" t="s">
        <v>714</v>
      </c>
      <c r="K980" s="954" t="s">
        <v>158</v>
      </c>
      <c r="L980" s="949">
        <v>95.0</v>
      </c>
      <c r="M980" s="949">
        <v>95.0</v>
      </c>
      <c r="N980" s="949">
        <v>95.0</v>
      </c>
      <c r="O980" s="949">
        <v>95.0</v>
      </c>
      <c r="P980" s="949">
        <v>95.0</v>
      </c>
      <c r="Q980" s="949">
        <v>95.0</v>
      </c>
      <c r="R980" s="949">
        <v>226.0</v>
      </c>
      <c r="S980" s="949">
        <v>289.0</v>
      </c>
      <c r="T980" s="949">
        <v>317.0</v>
      </c>
      <c r="U980" s="949"/>
      <c r="V980" s="949"/>
      <c r="W980" s="949"/>
      <c r="X980" s="949"/>
      <c r="Y980" s="949"/>
      <c r="Z980" s="949"/>
      <c r="AA980" s="949"/>
      <c r="AB980" s="949"/>
      <c r="AC980" s="949"/>
      <c r="AD980" s="949"/>
      <c r="AE980" s="949"/>
      <c r="AF980" s="949"/>
      <c r="AG980" s="949"/>
      <c r="AH980" s="949"/>
      <c r="AI980" s="949"/>
      <c r="AJ980" s="949"/>
      <c r="AK980" s="949"/>
      <c r="AL980" s="949"/>
      <c r="AM980" s="953" t="s">
        <v>3555</v>
      </c>
      <c r="AN980" s="954"/>
      <c r="AO980" s="955"/>
      <c r="AP980" s="931"/>
      <c r="AQ980" s="956"/>
      <c r="AR980" s="957"/>
      <c r="AS980" s="931"/>
    </row>
    <row r="981" ht="15.75" customHeight="1">
      <c r="A981" s="963"/>
      <c r="B981" s="941" t="s">
        <v>3552</v>
      </c>
      <c r="C981" s="942" t="s">
        <v>3580</v>
      </c>
      <c r="D981" s="942" t="s">
        <v>3580</v>
      </c>
      <c r="E981" s="943" t="s">
        <v>3580</v>
      </c>
      <c r="F981" s="935"/>
      <c r="G981" s="944"/>
      <c r="H981" s="944"/>
      <c r="I981" s="946" t="s">
        <v>3581</v>
      </c>
      <c r="J981" s="948" t="s">
        <v>709</v>
      </c>
      <c r="K981" s="954" t="s">
        <v>158</v>
      </c>
      <c r="L981" s="949">
        <v>95.0</v>
      </c>
      <c r="M981" s="949">
        <v>95.0</v>
      </c>
      <c r="N981" s="949">
        <v>95.0</v>
      </c>
      <c r="O981" s="949">
        <v>95.0</v>
      </c>
      <c r="P981" s="949">
        <v>95.0</v>
      </c>
      <c r="Q981" s="949">
        <v>95.0</v>
      </c>
      <c r="R981" s="949">
        <v>226.0</v>
      </c>
      <c r="S981" s="949">
        <v>289.0</v>
      </c>
      <c r="T981" s="949">
        <v>317.0</v>
      </c>
      <c r="U981" s="949"/>
      <c r="V981" s="949"/>
      <c r="W981" s="949"/>
      <c r="X981" s="949"/>
      <c r="Y981" s="949"/>
      <c r="Z981" s="949"/>
      <c r="AA981" s="949"/>
      <c r="AB981" s="949"/>
      <c r="AC981" s="949"/>
      <c r="AD981" s="949"/>
      <c r="AE981" s="949"/>
      <c r="AF981" s="949"/>
      <c r="AG981" s="949"/>
      <c r="AH981" s="949"/>
      <c r="AI981" s="949"/>
      <c r="AJ981" s="949"/>
      <c r="AK981" s="949"/>
      <c r="AL981" s="949"/>
      <c r="AM981" s="964" t="s">
        <v>3555</v>
      </c>
      <c r="AN981" s="973"/>
      <c r="AO981" s="965"/>
      <c r="AP981" s="931"/>
      <c r="AQ981" s="956"/>
      <c r="AR981" s="957"/>
      <c r="AS981" s="931"/>
    </row>
    <row r="982" ht="15.75" customHeight="1">
      <c r="A982" s="931"/>
      <c r="B982" s="941" t="s">
        <v>3552</v>
      </c>
      <c r="C982" s="942" t="s">
        <v>3582</v>
      </c>
      <c r="D982" s="942" t="s">
        <v>3582</v>
      </c>
      <c r="E982" s="943" t="s">
        <v>3582</v>
      </c>
      <c r="F982" s="935"/>
      <c r="G982" s="944"/>
      <c r="H982" s="944"/>
      <c r="I982" s="959" t="s">
        <v>3583</v>
      </c>
      <c r="J982" s="975" t="s">
        <v>712</v>
      </c>
      <c r="K982" s="954" t="s">
        <v>158</v>
      </c>
      <c r="L982" s="949">
        <v>95.0</v>
      </c>
      <c r="M982" s="949">
        <v>95.0</v>
      </c>
      <c r="N982" s="949">
        <v>95.0</v>
      </c>
      <c r="O982" s="949">
        <v>95.0</v>
      </c>
      <c r="P982" s="949">
        <v>95.0</v>
      </c>
      <c r="Q982" s="949">
        <v>95.0</v>
      </c>
      <c r="R982" s="949">
        <v>226.0</v>
      </c>
      <c r="S982" s="949">
        <v>289.0</v>
      </c>
      <c r="T982" s="949">
        <v>317.0</v>
      </c>
      <c r="U982" s="949"/>
      <c r="V982" s="949"/>
      <c r="W982" s="949"/>
      <c r="X982" s="949"/>
      <c r="Y982" s="949"/>
      <c r="Z982" s="949"/>
      <c r="AA982" s="949"/>
      <c r="AB982" s="949"/>
      <c r="AC982" s="949"/>
      <c r="AD982" s="949"/>
      <c r="AE982" s="949"/>
      <c r="AF982" s="949"/>
      <c r="AG982" s="949"/>
      <c r="AH982" s="949"/>
      <c r="AI982" s="949"/>
      <c r="AJ982" s="949"/>
      <c r="AK982" s="949"/>
      <c r="AL982" s="949"/>
      <c r="AM982" s="964" t="s">
        <v>3555</v>
      </c>
      <c r="AN982" s="954"/>
      <c r="AO982" s="955"/>
      <c r="AP982" s="931"/>
      <c r="AQ982" s="956"/>
      <c r="AR982" s="957"/>
      <c r="AS982" s="931"/>
    </row>
    <row r="983" ht="15.75" customHeight="1">
      <c r="A983" s="931"/>
      <c r="B983" s="941" t="s">
        <v>3552</v>
      </c>
      <c r="C983" s="942" t="s">
        <v>3584</v>
      </c>
      <c r="D983" s="942" t="s">
        <v>3584</v>
      </c>
      <c r="E983" s="943" t="s">
        <v>3584</v>
      </c>
      <c r="F983" s="935"/>
      <c r="G983" s="944"/>
      <c r="H983" s="944"/>
      <c r="I983" s="946" t="s">
        <v>3585</v>
      </c>
      <c r="J983" s="989" t="s">
        <v>713</v>
      </c>
      <c r="K983" s="954" t="s">
        <v>158</v>
      </c>
      <c r="L983" s="949">
        <v>95.0</v>
      </c>
      <c r="M983" s="949">
        <v>95.0</v>
      </c>
      <c r="N983" s="949">
        <v>95.0</v>
      </c>
      <c r="O983" s="949">
        <v>95.0</v>
      </c>
      <c r="P983" s="949">
        <v>95.0</v>
      </c>
      <c r="Q983" s="949">
        <v>95.0</v>
      </c>
      <c r="R983" s="949">
        <v>226.0</v>
      </c>
      <c r="S983" s="949">
        <v>289.0</v>
      </c>
      <c r="T983" s="949">
        <v>317.0</v>
      </c>
      <c r="U983" s="949"/>
      <c r="V983" s="949"/>
      <c r="W983" s="949"/>
      <c r="X983" s="949"/>
      <c r="Y983" s="949"/>
      <c r="Z983" s="949"/>
      <c r="AA983" s="949"/>
      <c r="AB983" s="949"/>
      <c r="AC983" s="949"/>
      <c r="AD983" s="949"/>
      <c r="AE983" s="949"/>
      <c r="AF983" s="949"/>
      <c r="AG983" s="949"/>
      <c r="AH983" s="949"/>
      <c r="AI983" s="949"/>
      <c r="AJ983" s="949"/>
      <c r="AK983" s="949"/>
      <c r="AL983" s="949"/>
      <c r="AM983" s="964" t="s">
        <v>3555</v>
      </c>
      <c r="AN983" s="954"/>
      <c r="AO983" s="955"/>
      <c r="AP983" s="931"/>
      <c r="AQ983" s="956"/>
      <c r="AR983" s="957"/>
      <c r="AS983" s="931"/>
    </row>
    <row r="984" ht="15.75" customHeight="1">
      <c r="A984" s="931"/>
      <c r="B984" s="941" t="s">
        <v>3552</v>
      </c>
      <c r="C984" s="942" t="s">
        <v>3586</v>
      </c>
      <c r="D984" s="942" t="s">
        <v>3586</v>
      </c>
      <c r="E984" s="943" t="s">
        <v>3586</v>
      </c>
      <c r="F984" s="935"/>
      <c r="G984" s="944"/>
      <c r="H984" s="944"/>
      <c r="I984" s="946" t="s">
        <v>3587</v>
      </c>
      <c r="J984" s="978" t="s">
        <v>719</v>
      </c>
      <c r="K984" s="954" t="s">
        <v>158</v>
      </c>
      <c r="L984" s="949">
        <v>95.0</v>
      </c>
      <c r="M984" s="949">
        <v>95.0</v>
      </c>
      <c r="N984" s="949">
        <v>95.0</v>
      </c>
      <c r="O984" s="949">
        <v>95.0</v>
      </c>
      <c r="P984" s="949">
        <v>95.0</v>
      </c>
      <c r="Q984" s="949">
        <v>95.0</v>
      </c>
      <c r="R984" s="949">
        <v>226.0</v>
      </c>
      <c r="S984" s="949">
        <v>289.0</v>
      </c>
      <c r="T984" s="949">
        <v>317.0</v>
      </c>
      <c r="U984" s="949"/>
      <c r="V984" s="949"/>
      <c r="W984" s="949"/>
      <c r="X984" s="949"/>
      <c r="Y984" s="949"/>
      <c r="Z984" s="949"/>
      <c r="AA984" s="949"/>
      <c r="AB984" s="949"/>
      <c r="AC984" s="949"/>
      <c r="AD984" s="949"/>
      <c r="AE984" s="949"/>
      <c r="AF984" s="949"/>
      <c r="AG984" s="949"/>
      <c r="AH984" s="949"/>
      <c r="AI984" s="949"/>
      <c r="AJ984" s="949"/>
      <c r="AK984" s="949"/>
      <c r="AL984" s="949"/>
      <c r="AM984" s="964" t="s">
        <v>3555</v>
      </c>
      <c r="AN984" s="954"/>
      <c r="AO984" s="955"/>
      <c r="AP984" s="931"/>
      <c r="AQ984" s="956"/>
      <c r="AR984" s="957"/>
      <c r="AS984" s="931"/>
    </row>
    <row r="985" ht="15.75" customHeight="1">
      <c r="A985" s="931"/>
      <c r="B985" s="941" t="s">
        <v>3552</v>
      </c>
      <c r="C985" s="942" t="s">
        <v>3588</v>
      </c>
      <c r="D985" s="942" t="s">
        <v>3588</v>
      </c>
      <c r="E985" s="943" t="s">
        <v>3588</v>
      </c>
      <c r="F985" s="935"/>
      <c r="G985" s="944"/>
      <c r="H985" s="944"/>
      <c r="I985" s="946" t="s">
        <v>3589</v>
      </c>
      <c r="J985" s="962" t="s">
        <v>706</v>
      </c>
      <c r="K985" s="954" t="s">
        <v>158</v>
      </c>
      <c r="L985" s="949">
        <v>95.0</v>
      </c>
      <c r="M985" s="949">
        <v>95.0</v>
      </c>
      <c r="N985" s="949">
        <v>95.0</v>
      </c>
      <c r="O985" s="949">
        <v>95.0</v>
      </c>
      <c r="P985" s="949">
        <v>95.0</v>
      </c>
      <c r="Q985" s="949">
        <v>95.0</v>
      </c>
      <c r="R985" s="949">
        <v>226.0</v>
      </c>
      <c r="S985" s="949">
        <v>289.0</v>
      </c>
      <c r="T985" s="949">
        <v>317.0</v>
      </c>
      <c r="U985" s="949"/>
      <c r="V985" s="949"/>
      <c r="W985" s="949"/>
      <c r="X985" s="949"/>
      <c r="Y985" s="949"/>
      <c r="Z985" s="949"/>
      <c r="AA985" s="949"/>
      <c r="AB985" s="949"/>
      <c r="AC985" s="949"/>
      <c r="AD985" s="949"/>
      <c r="AE985" s="949"/>
      <c r="AF985" s="949"/>
      <c r="AG985" s="949"/>
      <c r="AH985" s="949"/>
      <c r="AI985" s="949"/>
      <c r="AJ985" s="949"/>
      <c r="AK985" s="949"/>
      <c r="AL985" s="949"/>
      <c r="AM985" s="964" t="s">
        <v>3555</v>
      </c>
      <c r="AN985" s="954"/>
      <c r="AO985" s="955"/>
      <c r="AP985" s="931"/>
      <c r="AQ985" s="956"/>
      <c r="AR985" s="957"/>
      <c r="AS985" s="931"/>
    </row>
    <row r="986" ht="15.75" customHeight="1">
      <c r="A986" s="931"/>
      <c r="B986" s="941" t="s">
        <v>3590</v>
      </c>
      <c r="C986" s="942" t="s">
        <v>3591</v>
      </c>
      <c r="D986" s="942" t="s">
        <v>3591</v>
      </c>
      <c r="E986" s="943" t="s">
        <v>3592</v>
      </c>
      <c r="F986" s="935"/>
      <c r="G986" s="944"/>
      <c r="H986" s="944"/>
      <c r="I986" s="959" t="s">
        <v>3593</v>
      </c>
      <c r="J986" s="989" t="s">
        <v>713</v>
      </c>
      <c r="K986" s="960" t="s">
        <v>707</v>
      </c>
      <c r="L986" s="949">
        <v>60.0</v>
      </c>
      <c r="M986" s="949">
        <v>100.0</v>
      </c>
      <c r="N986" s="949">
        <v>60.0</v>
      </c>
      <c r="O986" s="949">
        <v>100.0</v>
      </c>
      <c r="P986" s="949">
        <v>60.0</v>
      </c>
      <c r="Q986" s="949">
        <v>120.0</v>
      </c>
      <c r="R986" s="949">
        <v>276.0</v>
      </c>
      <c r="S986" s="949">
        <v>339.0</v>
      </c>
      <c r="T986" s="949">
        <v>372.0</v>
      </c>
      <c r="U986" s="949"/>
      <c r="V986" s="949"/>
      <c r="W986" s="949"/>
      <c r="X986" s="949"/>
      <c r="Y986" s="949"/>
      <c r="Z986" s="949"/>
      <c r="AA986" s="949"/>
      <c r="AB986" s="949"/>
      <c r="AC986" s="949"/>
      <c r="AD986" s="949"/>
      <c r="AE986" s="949"/>
      <c r="AF986" s="949"/>
      <c r="AG986" s="949"/>
      <c r="AH986" s="949"/>
      <c r="AI986" s="949"/>
      <c r="AJ986" s="949"/>
      <c r="AK986" s="949"/>
      <c r="AL986" s="949"/>
      <c r="AM986" s="964" t="s">
        <v>3594</v>
      </c>
      <c r="AN986" s="954"/>
      <c r="AO986" s="955"/>
      <c r="AP986" s="931"/>
      <c r="AQ986" s="956"/>
      <c r="AR986" s="957"/>
      <c r="AS986" s="931"/>
    </row>
    <row r="987" ht="15.75" customHeight="1">
      <c r="A987" s="931"/>
      <c r="B987" s="941" t="s">
        <v>3595</v>
      </c>
      <c r="C987" s="942" t="s">
        <v>3596</v>
      </c>
      <c r="D987" s="942" t="s">
        <v>3597</v>
      </c>
      <c r="E987" s="943" t="s">
        <v>3596</v>
      </c>
      <c r="F987" s="935"/>
      <c r="G987" s="944"/>
      <c r="H987" s="944"/>
      <c r="I987" s="959" t="s">
        <v>3598</v>
      </c>
      <c r="J987" s="989" t="s">
        <v>713</v>
      </c>
      <c r="K987" s="960" t="s">
        <v>707</v>
      </c>
      <c r="L987" s="949">
        <v>60.0</v>
      </c>
      <c r="M987" s="949">
        <v>60.0</v>
      </c>
      <c r="N987" s="949">
        <v>100.0</v>
      </c>
      <c r="O987" s="949">
        <v>60.0</v>
      </c>
      <c r="P987" s="949">
        <v>100.0</v>
      </c>
      <c r="Q987" s="949">
        <v>60.0</v>
      </c>
      <c r="R987" s="949">
        <v>156.0</v>
      </c>
      <c r="S987" s="949">
        <v>219.0</v>
      </c>
      <c r="T987" s="949">
        <v>240.0</v>
      </c>
      <c r="U987" s="949"/>
      <c r="V987" s="949"/>
      <c r="W987" s="949"/>
      <c r="X987" s="949"/>
      <c r="Y987" s="949"/>
      <c r="Z987" s="949"/>
      <c r="AA987" s="949"/>
      <c r="AB987" s="949"/>
      <c r="AC987" s="949"/>
      <c r="AD987" s="949"/>
      <c r="AE987" s="949"/>
      <c r="AF987" s="949"/>
      <c r="AG987" s="949"/>
      <c r="AH987" s="949"/>
      <c r="AI987" s="949"/>
      <c r="AJ987" s="949"/>
      <c r="AK987" s="949"/>
      <c r="AL987" s="949"/>
      <c r="AM987" s="964" t="s">
        <v>3594</v>
      </c>
      <c r="AN987" s="954"/>
      <c r="AO987" s="955"/>
      <c r="AP987" s="931"/>
      <c r="AQ987" s="956"/>
      <c r="AR987" s="957"/>
      <c r="AS987" s="931"/>
    </row>
    <row r="988" ht="15.75" customHeight="1">
      <c r="A988" s="931"/>
      <c r="B988" s="941" t="s">
        <v>3599</v>
      </c>
      <c r="C988" s="942" t="s">
        <v>3600</v>
      </c>
      <c r="D988" s="942" t="s">
        <v>3600</v>
      </c>
      <c r="E988" s="943" t="s">
        <v>3600</v>
      </c>
      <c r="F988" s="935"/>
      <c r="G988" s="944"/>
      <c r="H988" s="944"/>
      <c r="I988" s="959" t="s">
        <v>551</v>
      </c>
      <c r="J988" s="968" t="s">
        <v>703</v>
      </c>
      <c r="K988" s="954" t="s">
        <v>158</v>
      </c>
      <c r="L988" s="949">
        <v>65.0</v>
      </c>
      <c r="M988" s="949">
        <v>115.0</v>
      </c>
      <c r="N988" s="949">
        <v>65.0</v>
      </c>
      <c r="O988" s="949">
        <v>75.0</v>
      </c>
      <c r="P988" s="949">
        <v>95.0</v>
      </c>
      <c r="Q988" s="949">
        <v>65.0</v>
      </c>
      <c r="R988" s="949">
        <v>166.0</v>
      </c>
      <c r="S988" s="949">
        <v>229.0</v>
      </c>
      <c r="T988" s="949">
        <v>251.0</v>
      </c>
      <c r="U988" s="949"/>
      <c r="V988" s="949"/>
      <c r="W988" s="949"/>
      <c r="X988" s="949"/>
      <c r="Y988" s="949"/>
      <c r="Z988" s="949"/>
      <c r="AA988" s="949"/>
      <c r="AB988" s="949"/>
      <c r="AC988" s="949"/>
      <c r="AD988" s="949"/>
      <c r="AE988" s="949"/>
      <c r="AF988" s="949"/>
      <c r="AG988" s="949"/>
      <c r="AH988" s="949"/>
      <c r="AI988" s="949"/>
      <c r="AJ988" s="949"/>
      <c r="AK988" s="949"/>
      <c r="AL988" s="949"/>
      <c r="AM988" s="964" t="s">
        <v>3601</v>
      </c>
      <c r="AN988" s="954"/>
      <c r="AO988" s="955"/>
      <c r="AP988" s="931"/>
      <c r="AQ988" s="956"/>
      <c r="AR988" s="957"/>
      <c r="AS988" s="931"/>
    </row>
    <row r="989" ht="15.75" customHeight="1">
      <c r="A989" s="931"/>
      <c r="B989" s="941" t="s">
        <v>3602</v>
      </c>
      <c r="C989" s="942" t="s">
        <v>3603</v>
      </c>
      <c r="D989" s="942" t="s">
        <v>3603</v>
      </c>
      <c r="E989" s="943" t="s">
        <v>3603</v>
      </c>
      <c r="F989" s="935"/>
      <c r="G989" s="944"/>
      <c r="H989" s="944"/>
      <c r="I989" s="959" t="s">
        <v>3604</v>
      </c>
      <c r="J989" s="958" t="s">
        <v>704</v>
      </c>
      <c r="K989" s="961" t="s">
        <v>716</v>
      </c>
      <c r="L989" s="949">
        <v>60.0</v>
      </c>
      <c r="M989" s="949">
        <v>78.0</v>
      </c>
      <c r="N989" s="949">
        <v>135.0</v>
      </c>
      <c r="O989" s="949">
        <v>91.0</v>
      </c>
      <c r="P989" s="949">
        <v>85.0</v>
      </c>
      <c r="Q989" s="949">
        <v>36.0</v>
      </c>
      <c r="R989" s="949">
        <v>108.0</v>
      </c>
      <c r="S989" s="949">
        <v>171.0</v>
      </c>
      <c r="T989" s="949">
        <v>188.0</v>
      </c>
      <c r="U989" s="949"/>
      <c r="V989" s="949"/>
      <c r="W989" s="949"/>
      <c r="X989" s="949"/>
      <c r="Y989" s="949"/>
      <c r="Z989" s="949"/>
      <c r="AA989" s="949"/>
      <c r="AB989" s="949"/>
      <c r="AC989" s="949"/>
      <c r="AD989" s="949"/>
      <c r="AE989" s="949"/>
      <c r="AF989" s="949"/>
      <c r="AG989" s="949"/>
      <c r="AH989" s="949"/>
      <c r="AI989" s="949"/>
      <c r="AJ989" s="949"/>
      <c r="AK989" s="949"/>
      <c r="AL989" s="949"/>
      <c r="AM989" s="964" t="s">
        <v>1192</v>
      </c>
      <c r="AN989" s="954"/>
      <c r="AO989" s="955"/>
      <c r="AP989" s="931"/>
      <c r="AQ989" s="956"/>
      <c r="AR989" s="957"/>
      <c r="AS989" s="931"/>
    </row>
    <row r="990" ht="15.75" customHeight="1">
      <c r="A990" s="931"/>
      <c r="B990" s="941" t="s">
        <v>3605</v>
      </c>
      <c r="C990" s="942" t="s">
        <v>3606</v>
      </c>
      <c r="D990" s="942" t="s">
        <v>3606</v>
      </c>
      <c r="E990" s="943" t="s">
        <v>3606</v>
      </c>
      <c r="F990" s="935"/>
      <c r="G990" s="944"/>
      <c r="H990" s="944"/>
      <c r="I990" s="946" t="s">
        <v>3607</v>
      </c>
      <c r="J990" s="970" t="s">
        <v>710</v>
      </c>
      <c r="K990" s="978" t="s">
        <v>719</v>
      </c>
      <c r="L990" s="949">
        <v>65.0</v>
      </c>
      <c r="M990" s="949">
        <v>98.0</v>
      </c>
      <c r="N990" s="949">
        <v>63.0</v>
      </c>
      <c r="O990" s="949">
        <v>40.0</v>
      </c>
      <c r="P990" s="949">
        <v>73.0</v>
      </c>
      <c r="Q990" s="949">
        <v>96.0</v>
      </c>
      <c r="R990" s="949">
        <v>228.0</v>
      </c>
      <c r="S990" s="949">
        <v>291.0</v>
      </c>
      <c r="T990" s="949">
        <v>320.0</v>
      </c>
      <c r="U990" s="949"/>
      <c r="V990" s="949"/>
      <c r="W990" s="949"/>
      <c r="X990" s="949"/>
      <c r="Y990" s="949"/>
      <c r="Z990" s="949"/>
      <c r="AA990" s="949"/>
      <c r="AB990" s="949"/>
      <c r="AC990" s="949"/>
      <c r="AD990" s="949"/>
      <c r="AE990" s="949"/>
      <c r="AF990" s="949"/>
      <c r="AG990" s="949"/>
      <c r="AH990" s="949"/>
      <c r="AI990" s="949"/>
      <c r="AJ990" s="949"/>
      <c r="AK990" s="949"/>
      <c r="AL990" s="949"/>
      <c r="AM990" s="964" t="s">
        <v>2963</v>
      </c>
      <c r="AN990" s="954" t="s">
        <v>862</v>
      </c>
      <c r="AO990" s="955" t="s">
        <v>1135</v>
      </c>
      <c r="AP990" s="931"/>
      <c r="AQ990" s="956"/>
      <c r="AR990" s="957"/>
      <c r="AS990" s="931"/>
    </row>
    <row r="991" ht="15.75" customHeight="1">
      <c r="A991" s="931"/>
      <c r="B991" s="941" t="s">
        <v>3608</v>
      </c>
      <c r="C991" s="942" t="s">
        <v>229</v>
      </c>
      <c r="D991" s="942" t="s">
        <v>229</v>
      </c>
      <c r="E991" s="943" t="s">
        <v>229</v>
      </c>
      <c r="F991" s="935"/>
      <c r="G991" s="944"/>
      <c r="H991" s="944"/>
      <c r="I991" s="946" t="s">
        <v>92</v>
      </c>
      <c r="J991" s="994" t="s">
        <v>717</v>
      </c>
      <c r="K991" s="980" t="s">
        <v>720</v>
      </c>
      <c r="L991" s="949">
        <v>55.0</v>
      </c>
      <c r="M991" s="949">
        <v>90.0</v>
      </c>
      <c r="N991" s="949">
        <v>80.0</v>
      </c>
      <c r="O991" s="949">
        <v>50.0</v>
      </c>
      <c r="P991" s="949">
        <v>105.0</v>
      </c>
      <c r="Q991" s="949">
        <v>96.0</v>
      </c>
      <c r="R991" s="949">
        <v>228.0</v>
      </c>
      <c r="S991" s="949">
        <v>291.0</v>
      </c>
      <c r="T991" s="949">
        <v>320.0</v>
      </c>
      <c r="U991" s="949"/>
      <c r="V991" s="949"/>
      <c r="W991" s="949"/>
      <c r="X991" s="949"/>
      <c r="Y991" s="949"/>
      <c r="Z991" s="949"/>
      <c r="AA991" s="949"/>
      <c r="AB991" s="949"/>
      <c r="AC991" s="949"/>
      <c r="AD991" s="949"/>
      <c r="AE991" s="949"/>
      <c r="AF991" s="949"/>
      <c r="AG991" s="949"/>
      <c r="AH991" s="949"/>
      <c r="AI991" s="949"/>
      <c r="AJ991" s="949"/>
      <c r="AK991" s="949"/>
      <c r="AL991" s="949"/>
      <c r="AM991" s="964" t="s">
        <v>3609</v>
      </c>
      <c r="AN991" s="954"/>
      <c r="AO991" s="955"/>
      <c r="AP991" s="931"/>
      <c r="AQ991" s="956"/>
      <c r="AR991" s="957"/>
      <c r="AS991" s="931"/>
    </row>
    <row r="992" ht="15.75" customHeight="1">
      <c r="A992" s="931"/>
      <c r="B992" s="941" t="s">
        <v>3610</v>
      </c>
      <c r="C992" s="942" t="s">
        <v>3611</v>
      </c>
      <c r="D992" s="942" t="s">
        <v>3611</v>
      </c>
      <c r="E992" s="943" t="s">
        <v>3611</v>
      </c>
      <c r="F992" s="935"/>
      <c r="G992" s="944"/>
      <c r="H992" s="944"/>
      <c r="I992" s="946" t="s">
        <v>431</v>
      </c>
      <c r="J992" s="962" t="s">
        <v>706</v>
      </c>
      <c r="K992" s="975" t="s">
        <v>712</v>
      </c>
      <c r="L992" s="949">
        <v>68.0</v>
      </c>
      <c r="M992" s="949">
        <v>105.0</v>
      </c>
      <c r="N992" s="949">
        <v>70.0</v>
      </c>
      <c r="O992" s="949">
        <v>70.0</v>
      </c>
      <c r="P992" s="949">
        <v>70.0</v>
      </c>
      <c r="Q992" s="949">
        <v>92.0</v>
      </c>
      <c r="R992" s="949">
        <v>220.0</v>
      </c>
      <c r="S992" s="949">
        <v>283.0</v>
      </c>
      <c r="T992" s="949">
        <v>311.0</v>
      </c>
      <c r="U992" s="949"/>
      <c r="V992" s="949"/>
      <c r="W992" s="949"/>
      <c r="X992" s="949"/>
      <c r="Y992" s="949"/>
      <c r="Z992" s="949"/>
      <c r="AA992" s="949"/>
      <c r="AB992" s="949"/>
      <c r="AC992" s="949"/>
      <c r="AD992" s="949"/>
      <c r="AE992" s="949"/>
      <c r="AF992" s="949"/>
      <c r="AG992" s="949"/>
      <c r="AH992" s="949"/>
      <c r="AI992" s="949"/>
      <c r="AJ992" s="949"/>
      <c r="AK992" s="949"/>
      <c r="AL992" s="949"/>
      <c r="AM992" s="964" t="s">
        <v>3612</v>
      </c>
      <c r="AN992" s="954" t="s">
        <v>2039</v>
      </c>
      <c r="AO992" s="955" t="s">
        <v>1022</v>
      </c>
      <c r="AP992" s="931"/>
      <c r="AQ992" s="956"/>
      <c r="AR992" s="957"/>
      <c r="AS992" s="931"/>
    </row>
    <row r="993" ht="15.75" customHeight="1">
      <c r="A993" s="931"/>
      <c r="B993" s="941" t="s">
        <v>3613</v>
      </c>
      <c r="C993" s="942" t="s">
        <v>3614</v>
      </c>
      <c r="D993" s="942" t="s">
        <v>3614</v>
      </c>
      <c r="E993" s="943" t="s">
        <v>3614</v>
      </c>
      <c r="F993" s="935"/>
      <c r="G993" s="944"/>
      <c r="H993" s="944"/>
      <c r="I993" s="946" t="s">
        <v>3615</v>
      </c>
      <c r="J993" s="968" t="s">
        <v>703</v>
      </c>
      <c r="K993" s="961" t="s">
        <v>716</v>
      </c>
      <c r="L993" s="949">
        <v>78.0</v>
      </c>
      <c r="M993" s="949">
        <v>60.0</v>
      </c>
      <c r="N993" s="949">
        <v>85.0</v>
      </c>
      <c r="O993" s="949">
        <v>135.0</v>
      </c>
      <c r="P993" s="949">
        <v>91.0</v>
      </c>
      <c r="Q993" s="949">
        <v>36.0</v>
      </c>
      <c r="R993" s="949">
        <v>108.0</v>
      </c>
      <c r="S993" s="949">
        <v>171.0</v>
      </c>
      <c r="T993" s="949">
        <v>188.0</v>
      </c>
      <c r="U993" s="949"/>
      <c r="V993" s="949"/>
      <c r="W993" s="949"/>
      <c r="X993" s="949"/>
      <c r="Y993" s="949"/>
      <c r="Z993" s="949"/>
      <c r="AA993" s="949"/>
      <c r="AB993" s="949"/>
      <c r="AC993" s="949"/>
      <c r="AD993" s="949"/>
      <c r="AE993" s="949"/>
      <c r="AF993" s="949"/>
      <c r="AG993" s="949"/>
      <c r="AH993" s="949"/>
      <c r="AI993" s="949"/>
      <c r="AJ993" s="949"/>
      <c r="AK993" s="949"/>
      <c r="AL993" s="949"/>
      <c r="AM993" s="964" t="s">
        <v>1480</v>
      </c>
      <c r="AN993" s="954" t="s">
        <v>1603</v>
      </c>
      <c r="AO993" s="955" t="s">
        <v>1061</v>
      </c>
      <c r="AP993" s="931"/>
      <c r="AQ993" s="956"/>
      <c r="AR993" s="957"/>
      <c r="AS993" s="931"/>
    </row>
    <row r="994" ht="15.75" customHeight="1">
      <c r="A994" s="931"/>
      <c r="B994" s="941" t="s">
        <v>3616</v>
      </c>
      <c r="C994" s="942" t="s">
        <v>3617</v>
      </c>
      <c r="D994" s="942" t="s">
        <v>3617</v>
      </c>
      <c r="E994" s="943" t="s">
        <v>3617</v>
      </c>
      <c r="F994" s="935"/>
      <c r="G994" s="944"/>
      <c r="H994" s="944"/>
      <c r="I994" s="946" t="s">
        <v>3618</v>
      </c>
      <c r="J994" s="994" t="s">
        <v>717</v>
      </c>
      <c r="K994" s="947" t="s">
        <v>708</v>
      </c>
      <c r="L994" s="949">
        <v>70.0</v>
      </c>
      <c r="M994" s="949">
        <v>131.0</v>
      </c>
      <c r="N994" s="949">
        <v>100.0</v>
      </c>
      <c r="O994" s="949">
        <v>86.0</v>
      </c>
      <c r="P994" s="949">
        <v>90.0</v>
      </c>
      <c r="Q994" s="949">
        <v>40.0</v>
      </c>
      <c r="R994" s="949">
        <v>116.0</v>
      </c>
      <c r="S994" s="949">
        <v>179.0</v>
      </c>
      <c r="T994" s="949">
        <v>196.0</v>
      </c>
      <c r="U994" s="949"/>
      <c r="V994" s="949"/>
      <c r="W994" s="949"/>
      <c r="X994" s="949"/>
      <c r="Y994" s="949"/>
      <c r="Z994" s="949"/>
      <c r="AA994" s="949"/>
      <c r="AB994" s="949"/>
      <c r="AC994" s="949"/>
      <c r="AD994" s="949"/>
      <c r="AE994" s="949"/>
      <c r="AF994" s="949"/>
      <c r="AG994" s="949"/>
      <c r="AH994" s="949"/>
      <c r="AI994" s="949"/>
      <c r="AJ994" s="949"/>
      <c r="AK994" s="949"/>
      <c r="AL994" s="949"/>
      <c r="AM994" s="964" t="s">
        <v>3619</v>
      </c>
      <c r="AN994" s="954"/>
      <c r="AO994" s="955"/>
      <c r="AP994" s="931"/>
      <c r="AQ994" s="956"/>
      <c r="AR994" s="957"/>
      <c r="AS994" s="931"/>
    </row>
    <row r="995" ht="15.75" customHeight="1">
      <c r="A995" s="931"/>
      <c r="B995" s="941" t="s">
        <v>3620</v>
      </c>
      <c r="C995" s="942" t="s">
        <v>3621</v>
      </c>
      <c r="D995" s="942" t="s">
        <v>3622</v>
      </c>
      <c r="E995" s="943" t="s">
        <v>3621</v>
      </c>
      <c r="F995" s="935"/>
      <c r="G995" s="944"/>
      <c r="H995" s="944"/>
      <c r="I995" s="946" t="s">
        <v>3623</v>
      </c>
      <c r="J995" s="961" t="s">
        <v>716</v>
      </c>
      <c r="K995" s="954" t="s">
        <v>158</v>
      </c>
      <c r="L995" s="949">
        <v>45.0</v>
      </c>
      <c r="M995" s="949">
        <v>55.0</v>
      </c>
      <c r="N995" s="949">
        <v>65.0</v>
      </c>
      <c r="O995" s="949">
        <v>45.0</v>
      </c>
      <c r="P995" s="949">
        <v>45.0</v>
      </c>
      <c r="Q995" s="949">
        <v>45.0</v>
      </c>
      <c r="R995" s="949">
        <v>126.0</v>
      </c>
      <c r="S995" s="949">
        <v>189.0</v>
      </c>
      <c r="T995" s="949">
        <v>207.0</v>
      </c>
      <c r="U995" s="949"/>
      <c r="V995" s="949"/>
      <c r="W995" s="949"/>
      <c r="X995" s="949"/>
      <c r="Y995" s="949"/>
      <c r="Z995" s="949"/>
      <c r="AA995" s="949"/>
      <c r="AB995" s="949"/>
      <c r="AC995" s="949"/>
      <c r="AD995" s="949"/>
      <c r="AE995" s="949"/>
      <c r="AF995" s="949"/>
      <c r="AG995" s="949"/>
      <c r="AH995" s="949"/>
      <c r="AI995" s="949"/>
      <c r="AJ995" s="949"/>
      <c r="AK995" s="949"/>
      <c r="AL995" s="949"/>
      <c r="AM995" s="964" t="s">
        <v>3133</v>
      </c>
      <c r="AN995" s="954" t="s">
        <v>1272</v>
      </c>
      <c r="AO995" s="955" t="s">
        <v>1239</v>
      </c>
      <c r="AP995" s="931"/>
      <c r="AQ995" s="956"/>
      <c r="AR995" s="957"/>
      <c r="AS995" s="931"/>
    </row>
    <row r="996" ht="15.75" customHeight="1">
      <c r="A996" s="931"/>
      <c r="B996" s="941" t="s">
        <v>3624</v>
      </c>
      <c r="C996" s="942" t="s">
        <v>3625</v>
      </c>
      <c r="D996" s="942" t="s">
        <v>3626</v>
      </c>
      <c r="E996" s="943" t="s">
        <v>3625</v>
      </c>
      <c r="F996" s="935"/>
      <c r="G996" s="944"/>
      <c r="H996" s="944"/>
      <c r="I996" s="946" t="s">
        <v>3627</v>
      </c>
      <c r="J996" s="961" t="s">
        <v>716</v>
      </c>
      <c r="K996" s="988" t="s">
        <v>705</v>
      </c>
      <c r="L996" s="949">
        <v>55.0</v>
      </c>
      <c r="M996" s="949">
        <v>75.0</v>
      </c>
      <c r="N996" s="949">
        <v>90.0</v>
      </c>
      <c r="O996" s="949">
        <v>65.0</v>
      </c>
      <c r="P996" s="949">
        <v>70.0</v>
      </c>
      <c r="Q996" s="949">
        <v>65.0</v>
      </c>
      <c r="R996" s="949">
        <v>166.0</v>
      </c>
      <c r="S996" s="949">
        <v>229.0</v>
      </c>
      <c r="T996" s="949">
        <v>251.0</v>
      </c>
      <c r="U996" s="949"/>
      <c r="V996" s="949"/>
      <c r="W996" s="949"/>
      <c r="X996" s="949"/>
      <c r="Y996" s="949"/>
      <c r="Z996" s="949"/>
      <c r="AA996" s="949"/>
      <c r="AB996" s="949"/>
      <c r="AC996" s="949"/>
      <c r="AD996" s="949"/>
      <c r="AE996" s="949"/>
      <c r="AF996" s="949"/>
      <c r="AG996" s="949"/>
      <c r="AH996" s="949"/>
      <c r="AI996" s="949"/>
      <c r="AJ996" s="949"/>
      <c r="AK996" s="949"/>
      <c r="AL996" s="949"/>
      <c r="AM996" s="964" t="s">
        <v>3133</v>
      </c>
      <c r="AN996" s="954" t="s">
        <v>1272</v>
      </c>
      <c r="AO996" s="955" t="s">
        <v>1239</v>
      </c>
      <c r="AP996" s="931"/>
      <c r="AQ996" s="956"/>
      <c r="AR996" s="957"/>
      <c r="AS996" s="931"/>
    </row>
    <row r="997" ht="15.75" customHeight="1">
      <c r="A997" s="931"/>
      <c r="B997" s="941" t="s">
        <v>3628</v>
      </c>
      <c r="C997" s="942" t="s">
        <v>3629</v>
      </c>
      <c r="D997" s="942" t="s">
        <v>3630</v>
      </c>
      <c r="E997" s="943" t="s">
        <v>3629</v>
      </c>
      <c r="F997" s="935"/>
      <c r="G997" s="944"/>
      <c r="H997" s="944"/>
      <c r="I997" s="946" t="s">
        <v>3631</v>
      </c>
      <c r="J997" s="961" t="s">
        <v>716</v>
      </c>
      <c r="K997" s="988" t="s">
        <v>705</v>
      </c>
      <c r="L997" s="949">
        <v>75.0</v>
      </c>
      <c r="M997" s="949">
        <v>110.0</v>
      </c>
      <c r="N997" s="949">
        <v>125.0</v>
      </c>
      <c r="O997" s="949">
        <v>100.0</v>
      </c>
      <c r="P997" s="949">
        <v>105.0</v>
      </c>
      <c r="Q997" s="949">
        <v>85.0</v>
      </c>
      <c r="R997" s="949">
        <v>206.0</v>
      </c>
      <c r="S997" s="949">
        <v>269.0</v>
      </c>
      <c r="T997" s="949">
        <v>295.0</v>
      </c>
      <c r="U997" s="949"/>
      <c r="V997" s="949"/>
      <c r="W997" s="949"/>
      <c r="X997" s="949"/>
      <c r="Y997" s="949"/>
      <c r="Z997" s="949"/>
      <c r="AA997" s="949"/>
      <c r="AB997" s="949"/>
      <c r="AC997" s="949"/>
      <c r="AD997" s="949"/>
      <c r="AE997" s="949"/>
      <c r="AF997" s="949"/>
      <c r="AG997" s="949"/>
      <c r="AH997" s="949"/>
      <c r="AI997" s="949"/>
      <c r="AJ997" s="949"/>
      <c r="AK997" s="949"/>
      <c r="AL997" s="949"/>
      <c r="AM997" s="964" t="s">
        <v>3133</v>
      </c>
      <c r="AN997" s="954" t="s">
        <v>1272</v>
      </c>
      <c r="AO997" s="955" t="s">
        <v>1239</v>
      </c>
      <c r="AP997" s="931"/>
      <c r="AQ997" s="956"/>
      <c r="AR997" s="957"/>
      <c r="AS997" s="931"/>
    </row>
    <row r="998" ht="15.75" customHeight="1">
      <c r="A998" s="931"/>
      <c r="B998" s="941" t="s">
        <v>3632</v>
      </c>
      <c r="C998" s="942" t="s">
        <v>3633</v>
      </c>
      <c r="D998" s="942" t="s">
        <v>3634</v>
      </c>
      <c r="E998" s="943" t="s">
        <v>3633</v>
      </c>
      <c r="F998" s="935"/>
      <c r="G998" s="944"/>
      <c r="H998" s="944"/>
      <c r="I998" s="946" t="s">
        <v>3635</v>
      </c>
      <c r="J998" s="970" t="s">
        <v>710</v>
      </c>
      <c r="K998" s="980" t="s">
        <v>720</v>
      </c>
      <c r="L998" s="949">
        <v>70.0</v>
      </c>
      <c r="M998" s="949">
        <v>115.0</v>
      </c>
      <c r="N998" s="949">
        <v>85.0</v>
      </c>
      <c r="O998" s="949">
        <v>95.0</v>
      </c>
      <c r="P998" s="949">
        <v>75.0</v>
      </c>
      <c r="Q998" s="949">
        <v>130.0</v>
      </c>
      <c r="R998" s="949">
        <v>296.0</v>
      </c>
      <c r="S998" s="949">
        <v>359.0</v>
      </c>
      <c r="T998" s="949">
        <v>394.0</v>
      </c>
      <c r="U998" s="949"/>
      <c r="V998" s="949"/>
      <c r="W998" s="949"/>
      <c r="X998" s="949"/>
      <c r="Y998" s="949"/>
      <c r="Z998" s="949"/>
      <c r="AA998" s="949"/>
      <c r="AB998" s="949"/>
      <c r="AC998" s="949"/>
      <c r="AD998" s="949"/>
      <c r="AE998" s="949"/>
      <c r="AF998" s="949"/>
      <c r="AG998" s="949"/>
      <c r="AH998" s="949"/>
      <c r="AI998" s="949"/>
      <c r="AJ998" s="949"/>
      <c r="AK998" s="949"/>
      <c r="AL998" s="949"/>
      <c r="AM998" s="964" t="s">
        <v>3636</v>
      </c>
      <c r="AN998" s="954"/>
      <c r="AO998" s="955" t="s">
        <v>1657</v>
      </c>
      <c r="AP998" s="931"/>
      <c r="AQ998" s="956"/>
      <c r="AR998" s="957"/>
      <c r="AS998" s="931"/>
    </row>
    <row r="999" ht="15.75" customHeight="1">
      <c r="A999" s="931"/>
      <c r="B999" s="941" t="s">
        <v>3637</v>
      </c>
      <c r="C999" s="942" t="s">
        <v>3638</v>
      </c>
      <c r="D999" s="942" t="s">
        <v>3639</v>
      </c>
      <c r="E999" s="943" t="s">
        <v>3638</v>
      </c>
      <c r="F999" s="935"/>
      <c r="G999" s="944"/>
      <c r="H999" s="944"/>
      <c r="I999" s="946" t="s">
        <v>3640</v>
      </c>
      <c r="J999" s="975" t="s">
        <v>712</v>
      </c>
      <c r="K999" s="980" t="s">
        <v>720</v>
      </c>
      <c r="L999" s="949">
        <v>70.0</v>
      </c>
      <c r="M999" s="949">
        <v>85.0</v>
      </c>
      <c r="N999" s="949">
        <v>75.0</v>
      </c>
      <c r="O999" s="949">
        <v>130.0</v>
      </c>
      <c r="P999" s="949">
        <v>115.0</v>
      </c>
      <c r="Q999" s="949">
        <v>95.0</v>
      </c>
      <c r="R999" s="949">
        <v>226.0</v>
      </c>
      <c r="S999" s="949">
        <v>289.0</v>
      </c>
      <c r="T999" s="949">
        <v>317.0</v>
      </c>
      <c r="U999" s="949"/>
      <c r="V999" s="949"/>
      <c r="W999" s="949"/>
      <c r="X999" s="949"/>
      <c r="Y999" s="949"/>
      <c r="Z999" s="949"/>
      <c r="AA999" s="949"/>
      <c r="AB999" s="949"/>
      <c r="AC999" s="949"/>
      <c r="AD999" s="949"/>
      <c r="AE999" s="949"/>
      <c r="AF999" s="949"/>
      <c r="AG999" s="949"/>
      <c r="AH999" s="949"/>
      <c r="AI999" s="949"/>
      <c r="AJ999" s="949"/>
      <c r="AK999" s="949"/>
      <c r="AL999" s="949"/>
      <c r="AM999" s="964" t="s">
        <v>3641</v>
      </c>
      <c r="AN999" s="954"/>
      <c r="AO999" s="955" t="s">
        <v>1657</v>
      </c>
      <c r="AP999" s="931"/>
      <c r="AQ999" s="956"/>
      <c r="AR999" s="957"/>
      <c r="AS999" s="931"/>
    </row>
    <row r="1000" ht="15.75" customHeight="1">
      <c r="A1000" s="931"/>
      <c r="B1000" s="941" t="s">
        <v>3642</v>
      </c>
      <c r="C1000" s="942" t="s">
        <v>3643</v>
      </c>
      <c r="D1000" s="942" t="s">
        <v>3644</v>
      </c>
      <c r="E1000" s="943" t="s">
        <v>3643</v>
      </c>
      <c r="F1000" s="935"/>
      <c r="G1000" s="944"/>
      <c r="H1000" s="944"/>
      <c r="I1000" s="946" t="s">
        <v>3645</v>
      </c>
      <c r="J1000" s="947" t="s">
        <v>708</v>
      </c>
      <c r="K1000" s="980" t="s">
        <v>720</v>
      </c>
      <c r="L1000" s="949">
        <v>70.0</v>
      </c>
      <c r="M1000" s="949">
        <v>130.0</v>
      </c>
      <c r="N1000" s="949">
        <v>115.0</v>
      </c>
      <c r="O1000" s="949">
        <v>85.0</v>
      </c>
      <c r="P1000" s="949">
        <v>95.0</v>
      </c>
      <c r="Q1000" s="949">
        <v>75.0</v>
      </c>
      <c r="R1000" s="949">
        <v>186.0</v>
      </c>
      <c r="S1000" s="949">
        <v>249.0</v>
      </c>
      <c r="T1000" s="949">
        <v>273.0</v>
      </c>
      <c r="U1000" s="949"/>
      <c r="V1000" s="949"/>
      <c r="W1000" s="949"/>
      <c r="X1000" s="949"/>
      <c r="Y1000" s="949"/>
      <c r="Z1000" s="949"/>
      <c r="AA1000" s="949"/>
      <c r="AB1000" s="949"/>
      <c r="AC1000" s="949"/>
      <c r="AD1000" s="949"/>
      <c r="AE1000" s="949"/>
      <c r="AF1000" s="949"/>
      <c r="AG1000" s="949"/>
      <c r="AH1000" s="949"/>
      <c r="AI1000" s="949"/>
      <c r="AJ1000" s="949"/>
      <c r="AK1000" s="949"/>
      <c r="AL1000" s="949"/>
      <c r="AM1000" s="953" t="s">
        <v>3646</v>
      </c>
      <c r="AN1000" s="954"/>
      <c r="AO1000" s="955" t="s">
        <v>1657</v>
      </c>
      <c r="AP1000" s="931"/>
      <c r="AQ1000" s="956"/>
      <c r="AR1000" s="957"/>
      <c r="AS1000" s="931"/>
    </row>
    <row r="1001" ht="15.75" customHeight="1">
      <c r="A1001" s="931"/>
      <c r="B1001" s="941" t="s">
        <v>3647</v>
      </c>
      <c r="C1001" s="942" t="s">
        <v>3648</v>
      </c>
      <c r="D1001" s="942" t="s">
        <v>3649</v>
      </c>
      <c r="E1001" s="943" t="s">
        <v>3648</v>
      </c>
      <c r="F1001" s="935"/>
      <c r="G1001" s="944"/>
      <c r="H1001" s="944"/>
      <c r="I1001" s="946" t="s">
        <v>3650</v>
      </c>
      <c r="J1001" s="962" t="s">
        <v>706</v>
      </c>
      <c r="K1001" s="980" t="s">
        <v>720</v>
      </c>
      <c r="L1001" s="949">
        <v>70.0</v>
      </c>
      <c r="M1001" s="949">
        <v>75.0</v>
      </c>
      <c r="N1001" s="949">
        <v>115.0</v>
      </c>
      <c r="O1001" s="949">
        <v>95.0</v>
      </c>
      <c r="P1001" s="949">
        <v>130.0</v>
      </c>
      <c r="Q1001" s="949">
        <v>85.0</v>
      </c>
      <c r="R1001" s="949">
        <v>206.0</v>
      </c>
      <c r="S1001" s="949">
        <v>269.0</v>
      </c>
      <c r="T1001" s="949">
        <v>295.0</v>
      </c>
      <c r="U1001" s="949"/>
      <c r="V1001" s="949"/>
      <c r="W1001" s="949"/>
      <c r="X1001" s="949"/>
      <c r="Y1001" s="949"/>
      <c r="Z1001" s="949"/>
      <c r="AA1001" s="949"/>
      <c r="AB1001" s="949"/>
      <c r="AC1001" s="949"/>
      <c r="AD1001" s="949"/>
      <c r="AE1001" s="949"/>
      <c r="AF1001" s="949"/>
      <c r="AG1001" s="949"/>
      <c r="AH1001" s="949"/>
      <c r="AI1001" s="949"/>
      <c r="AJ1001" s="949"/>
      <c r="AK1001" s="949"/>
      <c r="AL1001" s="949"/>
      <c r="AM1001" s="953" t="s">
        <v>1325</v>
      </c>
      <c r="AN1001" s="954"/>
      <c r="AO1001" s="955" t="s">
        <v>1657</v>
      </c>
      <c r="AP1001" s="931"/>
      <c r="AQ1001" s="956"/>
      <c r="AR1001" s="957"/>
      <c r="AS1001" s="931"/>
    </row>
    <row r="1002" ht="15.75" customHeight="1">
      <c r="A1002" s="931"/>
      <c r="B1002" s="941" t="s">
        <v>3651</v>
      </c>
      <c r="C1002" s="942" t="s">
        <v>3652</v>
      </c>
      <c r="D1002" s="942" t="s">
        <v>3652</v>
      </c>
      <c r="E1002" s="943" t="s">
        <v>3652</v>
      </c>
      <c r="F1002" s="935"/>
      <c r="G1002" s="944"/>
      <c r="H1002" s="944"/>
      <c r="I1002" s="946" t="s">
        <v>3653</v>
      </c>
      <c r="J1002" s="975" t="s">
        <v>712</v>
      </c>
      <c r="K1002" s="954" t="s">
        <v>158</v>
      </c>
      <c r="L1002" s="949">
        <v>43.0</v>
      </c>
      <c r="M1002" s="949">
        <v>29.0</v>
      </c>
      <c r="N1002" s="949">
        <v>31.0</v>
      </c>
      <c r="O1002" s="949">
        <v>29.0</v>
      </c>
      <c r="P1002" s="949">
        <v>31.0</v>
      </c>
      <c r="Q1002" s="949">
        <v>37.0</v>
      </c>
      <c r="R1002" s="949">
        <v>110.0</v>
      </c>
      <c r="S1002" s="949">
        <v>173.0</v>
      </c>
      <c r="T1002" s="949">
        <v>190.0</v>
      </c>
      <c r="U1002" s="949"/>
      <c r="V1002" s="949"/>
      <c r="W1002" s="949"/>
      <c r="X1002" s="949"/>
      <c r="Y1002" s="949"/>
      <c r="Z1002" s="949"/>
      <c r="AA1002" s="949"/>
      <c r="AB1002" s="949"/>
      <c r="AC1002" s="949"/>
      <c r="AD1002" s="949"/>
      <c r="AE1002" s="949"/>
      <c r="AF1002" s="949"/>
      <c r="AG1002" s="949"/>
      <c r="AH1002" s="949"/>
      <c r="AI1002" s="949"/>
      <c r="AJ1002" s="949"/>
      <c r="AK1002" s="949"/>
      <c r="AL1002" s="949"/>
      <c r="AM1002" s="953" t="s">
        <v>968</v>
      </c>
      <c r="AN1002" s="954"/>
      <c r="AO1002" s="955"/>
      <c r="AP1002" s="931"/>
      <c r="AQ1002" s="956"/>
      <c r="AR1002" s="957"/>
      <c r="AS1002" s="931"/>
    </row>
    <row r="1003" ht="15.75" customHeight="1">
      <c r="A1003" s="963"/>
      <c r="B1003" s="941" t="s">
        <v>3654</v>
      </c>
      <c r="C1003" s="942" t="s">
        <v>3655</v>
      </c>
      <c r="D1003" s="942" t="s">
        <v>3655</v>
      </c>
      <c r="E1003" s="943" t="s">
        <v>3655</v>
      </c>
      <c r="F1003" s="935"/>
      <c r="G1003" s="944"/>
      <c r="H1003" s="944"/>
      <c r="I1003" s="946" t="s">
        <v>3656</v>
      </c>
      <c r="J1003" s="975" t="s">
        <v>712</v>
      </c>
      <c r="K1003" s="954" t="s">
        <v>158</v>
      </c>
      <c r="L1003" s="949">
        <v>43.0</v>
      </c>
      <c r="M1003" s="949">
        <v>29.0</v>
      </c>
      <c r="N1003" s="949">
        <v>131.0</v>
      </c>
      <c r="O1003" s="949">
        <v>29.0</v>
      </c>
      <c r="P1003" s="949">
        <v>131.0</v>
      </c>
      <c r="Q1003" s="949">
        <v>37.0</v>
      </c>
      <c r="R1003" s="949">
        <v>110.0</v>
      </c>
      <c r="S1003" s="949">
        <v>173.0</v>
      </c>
      <c r="T1003" s="949">
        <v>190.0</v>
      </c>
      <c r="U1003" s="949"/>
      <c r="V1003" s="949"/>
      <c r="W1003" s="949"/>
      <c r="X1003" s="949"/>
      <c r="Y1003" s="949"/>
      <c r="Z1003" s="949"/>
      <c r="AA1003" s="949"/>
      <c r="AB1003" s="949"/>
      <c r="AC1003" s="949"/>
      <c r="AD1003" s="949"/>
      <c r="AE1003" s="949"/>
      <c r="AF1003" s="949"/>
      <c r="AG1003" s="949"/>
      <c r="AH1003" s="949"/>
      <c r="AI1003" s="949"/>
      <c r="AJ1003" s="949"/>
      <c r="AK1003" s="949"/>
      <c r="AL1003" s="949"/>
      <c r="AM1003" s="964" t="s">
        <v>1135</v>
      </c>
      <c r="AN1003" s="954"/>
      <c r="AO1003" s="965"/>
      <c r="AP1003" s="931"/>
      <c r="AQ1003" s="956"/>
      <c r="AR1003" s="957"/>
      <c r="AS1003" s="931"/>
    </row>
    <row r="1004" ht="15.75" customHeight="1">
      <c r="A1004" s="963"/>
      <c r="B1004" s="941" t="s">
        <v>3657</v>
      </c>
      <c r="C1004" s="942" t="s">
        <v>286</v>
      </c>
      <c r="D1004" s="942" t="s">
        <v>286</v>
      </c>
      <c r="E1004" s="943" t="s">
        <v>286</v>
      </c>
      <c r="F1004" s="935"/>
      <c r="G1004" s="944"/>
      <c r="H1004" s="944"/>
      <c r="I1004" s="946" t="s">
        <v>287</v>
      </c>
      <c r="J1004" s="975" t="s">
        <v>712</v>
      </c>
      <c r="K1004" s="978" t="s">
        <v>719</v>
      </c>
      <c r="L1004" s="949">
        <v>137.0</v>
      </c>
      <c r="M1004" s="949">
        <v>137.0</v>
      </c>
      <c r="N1004" s="949">
        <v>107.0</v>
      </c>
      <c r="O1004" s="949">
        <v>113.0</v>
      </c>
      <c r="P1004" s="949">
        <v>89.0</v>
      </c>
      <c r="Q1004" s="949">
        <v>97.0</v>
      </c>
      <c r="R1004" s="949">
        <v>230.0</v>
      </c>
      <c r="S1004" s="949">
        <v>293.0</v>
      </c>
      <c r="T1004" s="949">
        <v>322.0</v>
      </c>
      <c r="U1004" s="949"/>
      <c r="V1004" s="949"/>
      <c r="W1004" s="949"/>
      <c r="X1004" s="949"/>
      <c r="Y1004" s="949"/>
      <c r="Z1004" s="949"/>
      <c r="AA1004" s="949"/>
      <c r="AB1004" s="949"/>
      <c r="AC1004" s="949"/>
      <c r="AD1004" s="949"/>
      <c r="AE1004" s="949"/>
      <c r="AF1004" s="949"/>
      <c r="AG1004" s="949"/>
      <c r="AH1004" s="949"/>
      <c r="AI1004" s="949"/>
      <c r="AJ1004" s="949"/>
      <c r="AK1004" s="949"/>
      <c r="AL1004" s="949"/>
      <c r="AM1004" s="964" t="s">
        <v>3658</v>
      </c>
      <c r="AN1004" s="954"/>
      <c r="AO1004" s="965"/>
      <c r="AP1004" s="931"/>
      <c r="AQ1004" s="956"/>
      <c r="AR1004" s="957"/>
      <c r="AS1004" s="931"/>
    </row>
    <row r="1005" ht="15.75" customHeight="1">
      <c r="A1005" s="963"/>
      <c r="B1005" s="941" t="s">
        <v>3659</v>
      </c>
      <c r="C1005" s="942" t="s">
        <v>257</v>
      </c>
      <c r="D1005" s="942" t="s">
        <v>257</v>
      </c>
      <c r="E1005" s="943" t="s">
        <v>257</v>
      </c>
      <c r="F1005" s="935"/>
      <c r="G1005" s="944"/>
      <c r="H1005" s="944"/>
      <c r="I1005" s="946" t="s">
        <v>258</v>
      </c>
      <c r="J1005" s="975" t="s">
        <v>712</v>
      </c>
      <c r="K1005" s="994" t="s">
        <v>717</v>
      </c>
      <c r="L1005" s="949">
        <v>137.0</v>
      </c>
      <c r="M1005" s="949">
        <v>113.0</v>
      </c>
      <c r="N1005" s="949">
        <v>89.0</v>
      </c>
      <c r="O1005" s="949">
        <v>137.0</v>
      </c>
      <c r="P1005" s="949">
        <v>107.0</v>
      </c>
      <c r="Q1005" s="949">
        <v>97.0</v>
      </c>
      <c r="R1005" s="949">
        <v>230.0</v>
      </c>
      <c r="S1005" s="949">
        <v>293.0</v>
      </c>
      <c r="T1005" s="949">
        <v>322.0</v>
      </c>
      <c r="U1005" s="949"/>
      <c r="V1005" s="949"/>
      <c r="W1005" s="949"/>
      <c r="X1005" s="949"/>
      <c r="Y1005" s="949"/>
      <c r="Z1005" s="949"/>
      <c r="AA1005" s="949"/>
      <c r="AB1005" s="949"/>
      <c r="AC1005" s="949"/>
      <c r="AD1005" s="949"/>
      <c r="AE1005" s="949"/>
      <c r="AF1005" s="949"/>
      <c r="AG1005" s="949"/>
      <c r="AH1005" s="949"/>
      <c r="AI1005" s="949"/>
      <c r="AJ1005" s="949"/>
      <c r="AK1005" s="949"/>
      <c r="AL1005" s="949"/>
      <c r="AM1005" s="964" t="s">
        <v>3660</v>
      </c>
      <c r="AN1005" s="973"/>
      <c r="AO1005" s="965"/>
      <c r="AP1005" s="931"/>
      <c r="AQ1005" s="956"/>
      <c r="AR1005" s="957"/>
      <c r="AS1005" s="931"/>
    </row>
    <row r="1006" ht="15.75" customHeight="1">
      <c r="A1006" s="931"/>
      <c r="B1006" s="941" t="s">
        <v>3661</v>
      </c>
      <c r="C1006" s="942" t="s">
        <v>3662</v>
      </c>
      <c r="D1006" s="942" t="s">
        <v>3662</v>
      </c>
      <c r="E1006" s="943" t="s">
        <v>3662</v>
      </c>
      <c r="F1006" s="935"/>
      <c r="G1006" s="944"/>
      <c r="H1006" s="944"/>
      <c r="I1006" s="946" t="s">
        <v>3663</v>
      </c>
      <c r="J1006" s="989" t="s">
        <v>713</v>
      </c>
      <c r="K1006" s="948" t="s">
        <v>709</v>
      </c>
      <c r="L1006" s="949">
        <v>109.0</v>
      </c>
      <c r="M1006" s="949">
        <v>53.0</v>
      </c>
      <c r="N1006" s="949">
        <v>47.0</v>
      </c>
      <c r="O1006" s="949">
        <v>127.0</v>
      </c>
      <c r="P1006" s="949">
        <v>131.0</v>
      </c>
      <c r="Q1006" s="949">
        <v>103.0</v>
      </c>
      <c r="R1006" s="949">
        <v>242.0</v>
      </c>
      <c r="S1006" s="949">
        <v>305.0</v>
      </c>
      <c r="T1006" s="949">
        <v>335.0</v>
      </c>
      <c r="U1006" s="949"/>
      <c r="V1006" s="949"/>
      <c r="W1006" s="949"/>
      <c r="X1006" s="949"/>
      <c r="Y1006" s="949"/>
      <c r="Z1006" s="949"/>
      <c r="AA1006" s="949"/>
      <c r="AB1006" s="949"/>
      <c r="AC1006" s="949"/>
      <c r="AD1006" s="949"/>
      <c r="AE1006" s="949"/>
      <c r="AF1006" s="949"/>
      <c r="AG1006" s="949"/>
      <c r="AH1006" s="949"/>
      <c r="AI1006" s="949"/>
      <c r="AJ1006" s="949"/>
      <c r="AK1006" s="949"/>
      <c r="AL1006" s="949"/>
      <c r="AM1006" s="953" t="s">
        <v>3664</v>
      </c>
      <c r="AN1006" s="954"/>
      <c r="AO1006" s="955"/>
      <c r="AP1006" s="931"/>
      <c r="AQ1006" s="956"/>
      <c r="AR1006" s="957"/>
      <c r="AS1006" s="931"/>
    </row>
    <row r="1007" ht="15.75" customHeight="1">
      <c r="A1007" s="963"/>
      <c r="B1007" s="941" t="s">
        <v>3665</v>
      </c>
      <c r="C1007" s="971" t="s">
        <v>3666</v>
      </c>
      <c r="D1007" s="971" t="s">
        <v>3666</v>
      </c>
      <c r="E1007" s="966" t="s">
        <v>3666</v>
      </c>
      <c r="F1007" s="935"/>
      <c r="G1007" s="944"/>
      <c r="H1007" s="944"/>
      <c r="I1007" s="959" t="s">
        <v>3667</v>
      </c>
      <c r="J1007" s="999" t="s">
        <v>715</v>
      </c>
      <c r="K1007" s="987" t="s">
        <v>705</v>
      </c>
      <c r="L1007" s="974">
        <v>107.0</v>
      </c>
      <c r="M1007" s="974">
        <v>139.0</v>
      </c>
      <c r="N1007" s="974">
        <v>139.0</v>
      </c>
      <c r="O1007" s="974">
        <v>53.0</v>
      </c>
      <c r="P1007" s="974">
        <v>53.0</v>
      </c>
      <c r="Q1007" s="974">
        <v>79.0</v>
      </c>
      <c r="R1007" s="949">
        <v>194.0</v>
      </c>
      <c r="S1007" s="949">
        <v>257.0</v>
      </c>
      <c r="T1007" s="949">
        <v>282.0</v>
      </c>
      <c r="U1007" s="949"/>
      <c r="V1007" s="949"/>
      <c r="W1007" s="949"/>
      <c r="X1007" s="949"/>
      <c r="Y1007" s="949"/>
      <c r="Z1007" s="949"/>
      <c r="AA1007" s="949"/>
      <c r="AB1007" s="949"/>
      <c r="AC1007" s="949"/>
      <c r="AD1007" s="949"/>
      <c r="AE1007" s="949"/>
      <c r="AF1007" s="949"/>
      <c r="AG1007" s="949"/>
      <c r="AH1007" s="949"/>
      <c r="AI1007" s="949"/>
      <c r="AJ1007" s="949"/>
      <c r="AK1007" s="949"/>
      <c r="AL1007" s="949"/>
      <c r="AM1007" s="964" t="s">
        <v>3664</v>
      </c>
      <c r="AN1007" s="954"/>
      <c r="AO1007" s="965"/>
      <c r="AP1007" s="931"/>
      <c r="AQ1007" s="956"/>
      <c r="AR1007" s="957"/>
      <c r="AS1007" s="931"/>
    </row>
    <row r="1008" ht="15.75" customHeight="1">
      <c r="A1008" s="931"/>
      <c r="B1008" s="941" t="s">
        <v>3668</v>
      </c>
      <c r="C1008" s="942" t="s">
        <v>3669</v>
      </c>
      <c r="D1008" s="942" t="s">
        <v>3669</v>
      </c>
      <c r="E1008" s="943" t="s">
        <v>3669</v>
      </c>
      <c r="F1008" s="935"/>
      <c r="G1008" s="944"/>
      <c r="H1008" s="944"/>
      <c r="I1008" s="946" t="s">
        <v>3670</v>
      </c>
      <c r="J1008" s="967" t="s">
        <v>715</v>
      </c>
      <c r="K1008" s="988" t="s">
        <v>705</v>
      </c>
      <c r="L1008" s="949">
        <v>71.0</v>
      </c>
      <c r="M1008" s="949">
        <v>137.0</v>
      </c>
      <c r="N1008" s="949">
        <v>37.0</v>
      </c>
      <c r="O1008" s="949">
        <v>137.0</v>
      </c>
      <c r="P1008" s="949">
        <v>37.0</v>
      </c>
      <c r="Q1008" s="949">
        <v>151.0</v>
      </c>
      <c r="R1008" s="949">
        <v>338.0</v>
      </c>
      <c r="S1008" s="949">
        <v>401.0</v>
      </c>
      <c r="T1008" s="949">
        <v>441.0</v>
      </c>
      <c r="U1008" s="949"/>
      <c r="V1008" s="949"/>
      <c r="W1008" s="949"/>
      <c r="X1008" s="949"/>
      <c r="Y1008" s="949"/>
      <c r="Z1008" s="949"/>
      <c r="AA1008" s="949"/>
      <c r="AB1008" s="949"/>
      <c r="AC1008" s="949"/>
      <c r="AD1008" s="949"/>
      <c r="AE1008" s="949"/>
      <c r="AF1008" s="949"/>
      <c r="AG1008" s="949"/>
      <c r="AH1008" s="949"/>
      <c r="AI1008" s="949"/>
      <c r="AJ1008" s="949"/>
      <c r="AK1008" s="949"/>
      <c r="AL1008" s="949"/>
      <c r="AM1008" s="953" t="s">
        <v>3664</v>
      </c>
      <c r="AN1008" s="954"/>
      <c r="AO1008" s="955"/>
      <c r="AP1008" s="931"/>
      <c r="AQ1008" s="956"/>
      <c r="AR1008" s="957"/>
      <c r="AS1008" s="931"/>
    </row>
    <row r="1009" ht="15.75" customHeight="1">
      <c r="A1009" s="931"/>
      <c r="B1009" s="941" t="s">
        <v>3671</v>
      </c>
      <c r="C1009" s="942" t="s">
        <v>3672</v>
      </c>
      <c r="D1009" s="942" t="s">
        <v>3672</v>
      </c>
      <c r="E1009" s="943" t="s">
        <v>3672</v>
      </c>
      <c r="F1009" s="935"/>
      <c r="G1009" s="944"/>
      <c r="H1009" s="944"/>
      <c r="I1009" s="946" t="s">
        <v>3673</v>
      </c>
      <c r="J1009" s="970" t="s">
        <v>710</v>
      </c>
      <c r="K1009" s="954" t="s">
        <v>158</v>
      </c>
      <c r="L1009" s="949">
        <v>83.0</v>
      </c>
      <c r="M1009" s="949">
        <v>89.0</v>
      </c>
      <c r="N1009" s="949">
        <v>71.0</v>
      </c>
      <c r="O1009" s="949">
        <v>173.0</v>
      </c>
      <c r="P1009" s="949">
        <v>71.0</v>
      </c>
      <c r="Q1009" s="949">
        <v>83.0</v>
      </c>
      <c r="R1009" s="949">
        <v>202.0</v>
      </c>
      <c r="S1009" s="949">
        <v>265.0</v>
      </c>
      <c r="T1009" s="949">
        <v>291.0</v>
      </c>
      <c r="U1009" s="949"/>
      <c r="V1009" s="949"/>
      <c r="W1009" s="949"/>
      <c r="X1009" s="949"/>
      <c r="Y1009" s="949"/>
      <c r="Z1009" s="949"/>
      <c r="AA1009" s="949"/>
      <c r="AB1009" s="949"/>
      <c r="AC1009" s="949"/>
      <c r="AD1009" s="949"/>
      <c r="AE1009" s="949"/>
      <c r="AF1009" s="949"/>
      <c r="AG1009" s="949"/>
      <c r="AH1009" s="949"/>
      <c r="AI1009" s="949"/>
      <c r="AJ1009" s="949"/>
      <c r="AK1009" s="949"/>
      <c r="AL1009" s="949"/>
      <c r="AM1009" s="953" t="s">
        <v>3664</v>
      </c>
      <c r="AN1009" s="954"/>
      <c r="AO1009" s="955"/>
      <c r="AP1009" s="931"/>
      <c r="AQ1009" s="956"/>
      <c r="AR1009" s="957"/>
      <c r="AS1009" s="931"/>
    </row>
    <row r="1010" ht="15.75" customHeight="1">
      <c r="A1010" s="931"/>
      <c r="B1010" s="941" t="s">
        <v>3674</v>
      </c>
      <c r="C1010" s="942" t="s">
        <v>3675</v>
      </c>
      <c r="D1010" s="942" t="s">
        <v>3675</v>
      </c>
      <c r="E1010" s="943" t="s">
        <v>3675</v>
      </c>
      <c r="F1010" s="935"/>
      <c r="G1010" s="944"/>
      <c r="H1010" s="944"/>
      <c r="I1010" s="946" t="s">
        <v>3676</v>
      </c>
      <c r="J1010" s="978" t="s">
        <v>719</v>
      </c>
      <c r="K1010" s="960" t="s">
        <v>707</v>
      </c>
      <c r="L1010" s="949">
        <v>97.0</v>
      </c>
      <c r="M1010" s="949">
        <v>101.0</v>
      </c>
      <c r="N1010" s="949">
        <v>103.0</v>
      </c>
      <c r="O1010" s="949">
        <v>107.0</v>
      </c>
      <c r="P1010" s="949">
        <v>101.0</v>
      </c>
      <c r="Q1010" s="949">
        <v>61.0</v>
      </c>
      <c r="R1010" s="949">
        <v>158.0</v>
      </c>
      <c r="S1010" s="949">
        <v>221.0</v>
      </c>
      <c r="T1010" s="949">
        <v>243.0</v>
      </c>
      <c r="U1010" s="949"/>
      <c r="V1010" s="949"/>
      <c r="W1010" s="949"/>
      <c r="X1010" s="949"/>
      <c r="Y1010" s="949"/>
      <c r="Z1010" s="949"/>
      <c r="AA1010" s="949"/>
      <c r="AB1010" s="949"/>
      <c r="AC1010" s="949"/>
      <c r="AD1010" s="949"/>
      <c r="AE1010" s="949"/>
      <c r="AF1010" s="949"/>
      <c r="AG1010" s="949"/>
      <c r="AH1010" s="949"/>
      <c r="AI1010" s="949"/>
      <c r="AJ1010" s="949"/>
      <c r="AK1010" s="949"/>
      <c r="AL1010" s="949"/>
      <c r="AM1010" s="953" t="s">
        <v>3664</v>
      </c>
      <c r="AN1010" s="954"/>
      <c r="AO1010" s="955"/>
      <c r="AP1010" s="931"/>
      <c r="AQ1010" s="956"/>
      <c r="AR1010" s="957"/>
      <c r="AS1010" s="931"/>
    </row>
    <row r="1011" ht="15.75" customHeight="1">
      <c r="A1011" s="931"/>
      <c r="B1011" s="941" t="s">
        <v>3677</v>
      </c>
      <c r="C1011" s="942" t="s">
        <v>3678</v>
      </c>
      <c r="D1011" s="942" t="s">
        <v>3678</v>
      </c>
      <c r="E1011" s="943" t="s">
        <v>3678</v>
      </c>
      <c r="F1011" s="935"/>
      <c r="G1011" s="944"/>
      <c r="H1011" s="944"/>
      <c r="I1011" s="946" t="s">
        <v>3679</v>
      </c>
      <c r="J1011" s="947" t="s">
        <v>708</v>
      </c>
      <c r="K1011" s="978" t="s">
        <v>719</v>
      </c>
      <c r="L1011" s="949">
        <v>59.0</v>
      </c>
      <c r="M1011" s="949">
        <v>181.0</v>
      </c>
      <c r="N1011" s="949">
        <v>131.0</v>
      </c>
      <c r="O1011" s="949">
        <v>59.0</v>
      </c>
      <c r="P1011" s="949">
        <v>31.0</v>
      </c>
      <c r="Q1011" s="949">
        <v>109.0</v>
      </c>
      <c r="R1011" s="949">
        <v>254.0</v>
      </c>
      <c r="S1011" s="949">
        <v>317.0</v>
      </c>
      <c r="T1011" s="949">
        <v>348.0</v>
      </c>
      <c r="U1011" s="949"/>
      <c r="V1011" s="949"/>
      <c r="W1011" s="949"/>
      <c r="X1011" s="949"/>
      <c r="Y1011" s="949"/>
      <c r="Z1011" s="949"/>
      <c r="AA1011" s="949"/>
      <c r="AB1011" s="949"/>
      <c r="AC1011" s="949"/>
      <c r="AD1011" s="949"/>
      <c r="AE1011" s="949"/>
      <c r="AF1011" s="949"/>
      <c r="AG1011" s="949"/>
      <c r="AH1011" s="949"/>
      <c r="AI1011" s="949"/>
      <c r="AJ1011" s="949"/>
      <c r="AK1011" s="949"/>
      <c r="AL1011" s="949"/>
      <c r="AM1011" s="953" t="s">
        <v>3664</v>
      </c>
      <c r="AN1011" s="954"/>
      <c r="AO1011" s="955"/>
      <c r="AP1011" s="931"/>
      <c r="AQ1011" s="956"/>
      <c r="AR1011" s="957"/>
      <c r="AS1011" s="931"/>
    </row>
    <row r="1012" ht="15.75" customHeight="1">
      <c r="A1012" s="931"/>
      <c r="B1012" s="941" t="s">
        <v>3680</v>
      </c>
      <c r="C1012" s="942" t="s">
        <v>3681</v>
      </c>
      <c r="D1012" s="942" t="s">
        <v>3681</v>
      </c>
      <c r="E1012" s="943" t="s">
        <v>3681</v>
      </c>
      <c r="F1012" s="935"/>
      <c r="G1012" s="944"/>
      <c r="H1012" s="944"/>
      <c r="I1012" s="946" t="s">
        <v>3682</v>
      </c>
      <c r="J1012" s="969" t="s">
        <v>718</v>
      </c>
      <c r="K1012" s="961" t="s">
        <v>716</v>
      </c>
      <c r="L1012" s="949">
        <v>223.0</v>
      </c>
      <c r="M1012" s="949">
        <v>101.0</v>
      </c>
      <c r="N1012" s="949">
        <v>53.0</v>
      </c>
      <c r="O1012" s="949">
        <v>97.0</v>
      </c>
      <c r="P1012" s="949">
        <v>53.0</v>
      </c>
      <c r="Q1012" s="949">
        <v>43.0</v>
      </c>
      <c r="R1012" s="949">
        <v>122.0</v>
      </c>
      <c r="S1012" s="949">
        <v>185.0</v>
      </c>
      <c r="T1012" s="949">
        <v>203.0</v>
      </c>
      <c r="U1012" s="949"/>
      <c r="V1012" s="949"/>
      <c r="W1012" s="949"/>
      <c r="X1012" s="949"/>
      <c r="Y1012" s="949"/>
      <c r="Z1012" s="949"/>
      <c r="AA1012" s="949"/>
      <c r="AB1012" s="949"/>
      <c r="AC1012" s="949"/>
      <c r="AD1012" s="949"/>
      <c r="AE1012" s="949"/>
      <c r="AF1012" s="949"/>
      <c r="AG1012" s="949"/>
      <c r="AH1012" s="949"/>
      <c r="AI1012" s="949"/>
      <c r="AJ1012" s="949"/>
      <c r="AK1012" s="949"/>
      <c r="AL1012" s="949"/>
      <c r="AM1012" s="953" t="s">
        <v>3664</v>
      </c>
      <c r="AN1012" s="954"/>
      <c r="AO1012" s="955"/>
      <c r="AP1012" s="931"/>
      <c r="AQ1012" s="956"/>
      <c r="AR1012" s="957"/>
      <c r="AS1012" s="931"/>
    </row>
    <row r="1013" ht="15.75" customHeight="1">
      <c r="A1013" s="931"/>
      <c r="B1013" s="941" t="s">
        <v>3683</v>
      </c>
      <c r="C1013" s="942" t="s">
        <v>3684</v>
      </c>
      <c r="D1013" s="942" t="s">
        <v>3684</v>
      </c>
      <c r="E1013" s="943" t="s">
        <v>3684</v>
      </c>
      <c r="F1013" s="935"/>
      <c r="G1013" s="944"/>
      <c r="H1013" s="944"/>
      <c r="I1013" s="946" t="s">
        <v>3685</v>
      </c>
      <c r="J1013" s="975" t="s">
        <v>712</v>
      </c>
      <c r="K1013" s="954" t="s">
        <v>158</v>
      </c>
      <c r="L1013" s="949">
        <v>97.0</v>
      </c>
      <c r="M1013" s="949">
        <v>107.0</v>
      </c>
      <c r="N1013" s="949">
        <v>101.0</v>
      </c>
      <c r="O1013" s="949">
        <v>127.0</v>
      </c>
      <c r="P1013" s="949">
        <v>89.0</v>
      </c>
      <c r="Q1013" s="949">
        <v>79.0</v>
      </c>
      <c r="R1013" s="949">
        <v>194.0</v>
      </c>
      <c r="S1013" s="949">
        <v>257.0</v>
      </c>
      <c r="T1013" s="949">
        <v>282.0</v>
      </c>
      <c r="U1013" s="949"/>
      <c r="V1013" s="949"/>
      <c r="W1013" s="949"/>
      <c r="X1013" s="949"/>
      <c r="Y1013" s="949"/>
      <c r="Z1013" s="949"/>
      <c r="AA1013" s="949"/>
      <c r="AB1013" s="949"/>
      <c r="AC1013" s="949"/>
      <c r="AD1013" s="949"/>
      <c r="AE1013" s="949"/>
      <c r="AF1013" s="949"/>
      <c r="AG1013" s="949"/>
      <c r="AH1013" s="949"/>
      <c r="AI1013" s="949"/>
      <c r="AJ1013" s="949"/>
      <c r="AK1013" s="949"/>
      <c r="AL1013" s="949"/>
      <c r="AM1013" s="953" t="s">
        <v>3686</v>
      </c>
      <c r="AN1013" s="954"/>
      <c r="AO1013" s="955"/>
      <c r="AP1013" s="931"/>
      <c r="AQ1013" s="956"/>
      <c r="AR1013" s="957"/>
      <c r="AS1013" s="931"/>
    </row>
    <row r="1014" ht="15.75" customHeight="1">
      <c r="A1014" s="963"/>
      <c r="B1014" s="941" t="s">
        <v>3687</v>
      </c>
      <c r="C1014" s="942" t="s">
        <v>3688</v>
      </c>
      <c r="D1014" s="942" t="s">
        <v>276</v>
      </c>
      <c r="E1014" s="943" t="s">
        <v>3689</v>
      </c>
      <c r="F1014" s="935"/>
      <c r="G1014" s="944"/>
      <c r="H1014" s="944"/>
      <c r="I1014" s="946" t="s">
        <v>3690</v>
      </c>
      <c r="J1014" s="975" t="s">
        <v>712</v>
      </c>
      <c r="K1014" s="978" t="s">
        <v>719</v>
      </c>
      <c r="L1014" s="949">
        <v>97.0</v>
      </c>
      <c r="M1014" s="949">
        <v>157.0</v>
      </c>
      <c r="N1014" s="949">
        <v>127.0</v>
      </c>
      <c r="O1014" s="949">
        <v>113.0</v>
      </c>
      <c r="P1014" s="949">
        <v>109.0</v>
      </c>
      <c r="Q1014" s="949">
        <v>77.0</v>
      </c>
      <c r="R1014" s="949">
        <v>190.0</v>
      </c>
      <c r="S1014" s="949">
        <v>253.0</v>
      </c>
      <c r="T1014" s="949">
        <v>278.0</v>
      </c>
      <c r="U1014" s="949"/>
      <c r="V1014" s="949"/>
      <c r="W1014" s="949"/>
      <c r="X1014" s="949"/>
      <c r="Y1014" s="949"/>
      <c r="Z1014" s="949"/>
      <c r="AA1014" s="949"/>
      <c r="AB1014" s="949"/>
      <c r="AC1014" s="949"/>
      <c r="AD1014" s="949"/>
      <c r="AE1014" s="949"/>
      <c r="AF1014" s="949"/>
      <c r="AG1014" s="949"/>
      <c r="AH1014" s="949"/>
      <c r="AI1014" s="949"/>
      <c r="AJ1014" s="949"/>
      <c r="AK1014" s="949"/>
      <c r="AL1014" s="949"/>
      <c r="AM1014" s="964" t="s">
        <v>3686</v>
      </c>
      <c r="AN1014" s="954"/>
      <c r="AO1014" s="965"/>
      <c r="AP1014" s="931"/>
      <c r="AQ1014" s="956"/>
      <c r="AR1014" s="957"/>
      <c r="AS1014" s="931"/>
    </row>
    <row r="1015" ht="15.75" customHeight="1">
      <c r="A1015" s="931"/>
      <c r="B1015" s="941" t="s">
        <v>3691</v>
      </c>
      <c r="C1015" s="942" t="s">
        <v>3692</v>
      </c>
      <c r="D1015" s="942" t="s">
        <v>274</v>
      </c>
      <c r="E1015" s="943" t="s">
        <v>3693</v>
      </c>
      <c r="F1015" s="935"/>
      <c r="G1015" s="944"/>
      <c r="H1015" s="944"/>
      <c r="I1015" s="946" t="s">
        <v>3694</v>
      </c>
      <c r="J1015" s="975" t="s">
        <v>712</v>
      </c>
      <c r="K1015" s="994" t="s">
        <v>717</v>
      </c>
      <c r="L1015" s="949">
        <v>97.0</v>
      </c>
      <c r="M1015" s="949">
        <v>113.0</v>
      </c>
      <c r="N1015" s="949">
        <v>109.0</v>
      </c>
      <c r="O1015" s="949">
        <v>157.0</v>
      </c>
      <c r="P1015" s="949">
        <v>127.0</v>
      </c>
      <c r="Q1015" s="949">
        <v>77.0</v>
      </c>
      <c r="R1015" s="949">
        <v>190.0</v>
      </c>
      <c r="S1015" s="949">
        <v>253.0</v>
      </c>
      <c r="T1015" s="949">
        <v>278.0</v>
      </c>
      <c r="U1015" s="949"/>
      <c r="V1015" s="949"/>
      <c r="W1015" s="949"/>
      <c r="X1015" s="949"/>
      <c r="Y1015" s="949"/>
      <c r="Z1015" s="949"/>
      <c r="AA1015" s="949"/>
      <c r="AB1015" s="949"/>
      <c r="AC1015" s="949"/>
      <c r="AD1015" s="949"/>
      <c r="AE1015" s="949"/>
      <c r="AF1015" s="949"/>
      <c r="AG1015" s="949"/>
      <c r="AH1015" s="949"/>
      <c r="AI1015" s="949"/>
      <c r="AJ1015" s="949"/>
      <c r="AK1015" s="949"/>
      <c r="AL1015" s="949"/>
      <c r="AM1015" s="953" t="s">
        <v>3686</v>
      </c>
      <c r="AN1015" s="954"/>
      <c r="AO1015" s="955"/>
      <c r="AP1015" s="931"/>
      <c r="AQ1015" s="956"/>
      <c r="AR1015" s="957"/>
      <c r="AS1015" s="931"/>
    </row>
    <row r="1016" ht="15.75" customHeight="1">
      <c r="A1016" s="931"/>
      <c r="B1016" s="941" t="s">
        <v>3695</v>
      </c>
      <c r="C1016" s="942" t="s">
        <v>278</v>
      </c>
      <c r="D1016" s="942" t="s">
        <v>278</v>
      </c>
      <c r="E1016" s="943" t="s">
        <v>278</v>
      </c>
      <c r="F1016" s="935"/>
      <c r="G1016" s="944"/>
      <c r="H1016" s="944"/>
      <c r="I1016" s="946" t="s">
        <v>279</v>
      </c>
      <c r="J1016" s="975" t="s">
        <v>712</v>
      </c>
      <c r="K1016" s="961" t="s">
        <v>716</v>
      </c>
      <c r="L1016" s="949">
        <v>97.0</v>
      </c>
      <c r="M1016" s="949">
        <v>167.0</v>
      </c>
      <c r="N1016" s="949">
        <v>97.0</v>
      </c>
      <c r="O1016" s="949">
        <v>167.0</v>
      </c>
      <c r="P1016" s="949">
        <v>97.0</v>
      </c>
      <c r="Q1016" s="949">
        <v>129.0</v>
      </c>
      <c r="R1016" s="949">
        <v>294.0</v>
      </c>
      <c r="S1016" s="949">
        <v>357.0</v>
      </c>
      <c r="T1016" s="949">
        <v>392.0</v>
      </c>
      <c r="U1016" s="949"/>
      <c r="V1016" s="949"/>
      <c r="W1016" s="949"/>
      <c r="X1016" s="949"/>
      <c r="Y1016" s="949"/>
      <c r="Z1016" s="949"/>
      <c r="AA1016" s="949"/>
      <c r="AB1016" s="949"/>
      <c r="AC1016" s="949"/>
      <c r="AD1016" s="949"/>
      <c r="AE1016" s="949"/>
      <c r="AF1016" s="949"/>
      <c r="AG1016" s="949"/>
      <c r="AH1016" s="949"/>
      <c r="AI1016" s="949"/>
      <c r="AJ1016" s="949"/>
      <c r="AK1016" s="949"/>
      <c r="AL1016" s="949"/>
      <c r="AM1016" s="953" t="s">
        <v>3696</v>
      </c>
      <c r="AN1016" s="954"/>
      <c r="AO1016" s="955"/>
      <c r="AP1016" s="931"/>
      <c r="AQ1016" s="956"/>
      <c r="AR1016" s="957"/>
      <c r="AS1016" s="931"/>
    </row>
    <row r="1017" ht="15.75" customHeight="1">
      <c r="A1017" s="931"/>
      <c r="B1017" s="941" t="s">
        <v>3697</v>
      </c>
      <c r="C1017" s="942" t="s">
        <v>264</v>
      </c>
      <c r="D1017" s="942" t="s">
        <v>264</v>
      </c>
      <c r="E1017" s="943" t="s">
        <v>264</v>
      </c>
      <c r="F1017" s="935"/>
      <c r="G1017" s="944"/>
      <c r="H1017" s="944"/>
      <c r="I1017" s="946" t="s">
        <v>265</v>
      </c>
      <c r="J1017" s="978" t="s">
        <v>719</v>
      </c>
      <c r="K1017" s="980" t="s">
        <v>720</v>
      </c>
      <c r="L1017" s="949">
        <v>80.0</v>
      </c>
      <c r="M1017" s="949">
        <v>95.0</v>
      </c>
      <c r="N1017" s="949">
        <v>115.0</v>
      </c>
      <c r="O1017" s="949">
        <v>130.0</v>
      </c>
      <c r="P1017" s="949">
        <v>115.0</v>
      </c>
      <c r="Q1017" s="949">
        <v>65.0</v>
      </c>
      <c r="R1017" s="949">
        <v>166.0</v>
      </c>
      <c r="S1017" s="949">
        <v>229.0</v>
      </c>
      <c r="T1017" s="949">
        <v>251.0</v>
      </c>
      <c r="U1017" s="949"/>
      <c r="V1017" s="949"/>
      <c r="W1017" s="949"/>
      <c r="X1017" s="949"/>
      <c r="Y1017" s="949"/>
      <c r="Z1017" s="949"/>
      <c r="AA1017" s="949"/>
      <c r="AB1017" s="949"/>
      <c r="AC1017" s="949"/>
      <c r="AD1017" s="949"/>
      <c r="AE1017" s="949"/>
      <c r="AF1017" s="949"/>
      <c r="AG1017" s="949"/>
      <c r="AH1017" s="949"/>
      <c r="AI1017" s="949"/>
      <c r="AJ1017" s="949"/>
      <c r="AK1017" s="949"/>
      <c r="AL1017" s="949"/>
      <c r="AM1017" s="953" t="s">
        <v>3698</v>
      </c>
      <c r="AN1017" s="954"/>
      <c r="AO1017" s="955"/>
      <c r="AP1017" s="931"/>
      <c r="AQ1017" s="956"/>
      <c r="AR1017" s="957"/>
      <c r="AS1017" s="931"/>
    </row>
    <row r="1018" ht="15.75" customHeight="1">
      <c r="A1018" s="963"/>
      <c r="B1018" s="941" t="s">
        <v>3699</v>
      </c>
      <c r="C1018" s="971" t="s">
        <v>3700</v>
      </c>
      <c r="D1018" s="971" t="s">
        <v>3700</v>
      </c>
      <c r="E1018" s="966" t="s">
        <v>3700</v>
      </c>
      <c r="F1018" s="935"/>
      <c r="G1018" s="944"/>
      <c r="H1018" s="944"/>
      <c r="I1018" s="959" t="s">
        <v>3701</v>
      </c>
      <c r="J1018" s="1007" t="s">
        <v>719</v>
      </c>
      <c r="K1018" s="1008" t="s">
        <v>720</v>
      </c>
      <c r="L1018" s="974">
        <v>80.0</v>
      </c>
      <c r="M1018" s="974">
        <v>95.0</v>
      </c>
      <c r="N1018" s="974">
        <v>115.0</v>
      </c>
      <c r="O1018" s="974">
        <v>130.0</v>
      </c>
      <c r="P1018" s="974">
        <v>115.0</v>
      </c>
      <c r="Q1018" s="974">
        <v>65.0</v>
      </c>
      <c r="R1018" s="949">
        <v>166.0</v>
      </c>
      <c r="S1018" s="949">
        <v>229.0</v>
      </c>
      <c r="T1018" s="949">
        <v>251.0</v>
      </c>
      <c r="U1018" s="949"/>
      <c r="V1018" s="949"/>
      <c r="W1018" s="949"/>
      <c r="X1018" s="949"/>
      <c r="Y1018" s="949"/>
      <c r="Z1018" s="949"/>
      <c r="AA1018" s="949"/>
      <c r="AB1018" s="949"/>
      <c r="AC1018" s="949"/>
      <c r="AD1018" s="949"/>
      <c r="AE1018" s="949"/>
      <c r="AF1018" s="949"/>
      <c r="AG1018" s="949"/>
      <c r="AH1018" s="949"/>
      <c r="AI1018" s="949"/>
      <c r="AJ1018" s="949"/>
      <c r="AK1018" s="949"/>
      <c r="AL1018" s="949"/>
      <c r="AM1018" s="964" t="s">
        <v>3698</v>
      </c>
      <c r="AN1018" s="954"/>
      <c r="AO1018" s="955"/>
      <c r="AP1018" s="931"/>
      <c r="AQ1018" s="956"/>
      <c r="AR1018" s="957"/>
      <c r="AS1018" s="931"/>
    </row>
    <row r="1019" ht="15.75" customHeight="1">
      <c r="A1019" s="931"/>
      <c r="B1019" s="941" t="s">
        <v>3702</v>
      </c>
      <c r="C1019" s="942" t="s">
        <v>3703</v>
      </c>
      <c r="D1019" s="942" t="s">
        <v>3703</v>
      </c>
      <c r="E1019" s="943" t="s">
        <v>3703</v>
      </c>
      <c r="F1019" s="935"/>
      <c r="G1019" s="944"/>
      <c r="H1019" s="944"/>
      <c r="I1019" s="946" t="s">
        <v>3704</v>
      </c>
      <c r="J1019" s="988" t="s">
        <v>705</v>
      </c>
      <c r="K1019" s="994" t="s">
        <v>717</v>
      </c>
      <c r="L1019" s="949">
        <v>90.0</v>
      </c>
      <c r="M1019" s="949">
        <v>125.0</v>
      </c>
      <c r="N1019" s="949">
        <v>80.0</v>
      </c>
      <c r="O1019" s="949">
        <v>90.0</v>
      </c>
      <c r="P1019" s="949">
        <v>90.0</v>
      </c>
      <c r="Q1019" s="949">
        <v>125.0</v>
      </c>
      <c r="R1019" s="949">
        <v>286.0</v>
      </c>
      <c r="S1019" s="949">
        <v>349.0</v>
      </c>
      <c r="T1019" s="949">
        <v>383.0</v>
      </c>
      <c r="U1019" s="949"/>
      <c r="V1019" s="949"/>
      <c r="W1019" s="949"/>
      <c r="X1019" s="949"/>
      <c r="Y1019" s="949"/>
      <c r="Z1019" s="949"/>
      <c r="AA1019" s="949"/>
      <c r="AB1019" s="949"/>
      <c r="AC1019" s="949"/>
      <c r="AD1019" s="949"/>
      <c r="AE1019" s="949"/>
      <c r="AF1019" s="949"/>
      <c r="AG1019" s="949"/>
      <c r="AH1019" s="949"/>
      <c r="AI1019" s="949"/>
      <c r="AJ1019" s="949"/>
      <c r="AK1019" s="949"/>
      <c r="AL1019" s="949"/>
      <c r="AM1019" s="953" t="s">
        <v>1041</v>
      </c>
      <c r="AN1019" s="954"/>
      <c r="AO1019" s="955"/>
      <c r="AP1019" s="931"/>
      <c r="AQ1019" s="956"/>
      <c r="AR1019" s="957"/>
      <c r="AS1019" s="931"/>
    </row>
    <row r="1020" ht="15.75" customHeight="1">
      <c r="A1020" s="931"/>
      <c r="B1020" s="941" t="s">
        <v>3705</v>
      </c>
      <c r="C1020" s="942" t="s">
        <v>3706</v>
      </c>
      <c r="D1020" s="942" t="s">
        <v>3706</v>
      </c>
      <c r="E1020" s="943" t="s">
        <v>3706</v>
      </c>
      <c r="F1020" s="935"/>
      <c r="G1020" s="944"/>
      <c r="H1020" s="944"/>
      <c r="I1020" s="946" t="s">
        <v>3707</v>
      </c>
      <c r="J1020" s="948" t="s">
        <v>709</v>
      </c>
      <c r="K1020" s="954" t="s">
        <v>158</v>
      </c>
      <c r="L1020" s="949">
        <v>67.0</v>
      </c>
      <c r="M1020" s="949">
        <v>73.0</v>
      </c>
      <c r="N1020" s="949">
        <v>67.0</v>
      </c>
      <c r="O1020" s="949">
        <v>73.0</v>
      </c>
      <c r="P1020" s="949">
        <v>67.0</v>
      </c>
      <c r="Q1020" s="949">
        <v>73.0</v>
      </c>
      <c r="R1020" s="949">
        <v>182.0</v>
      </c>
      <c r="S1020" s="949">
        <v>245.0</v>
      </c>
      <c r="T1020" s="949">
        <v>269.0</v>
      </c>
      <c r="U1020" s="949"/>
      <c r="V1020" s="949"/>
      <c r="W1020" s="949"/>
      <c r="X1020" s="949"/>
      <c r="Y1020" s="949"/>
      <c r="Z1020" s="949"/>
      <c r="AA1020" s="949"/>
      <c r="AB1020" s="949"/>
      <c r="AC1020" s="949"/>
      <c r="AD1020" s="949"/>
      <c r="AE1020" s="949"/>
      <c r="AF1020" s="949"/>
      <c r="AG1020" s="949"/>
      <c r="AH1020" s="949"/>
      <c r="AI1020" s="949"/>
      <c r="AJ1020" s="949"/>
      <c r="AK1020" s="949"/>
      <c r="AL1020" s="949"/>
      <c r="AM1020" s="953" t="s">
        <v>3664</v>
      </c>
      <c r="AN1020" s="954"/>
      <c r="AO1020" s="955"/>
      <c r="AP1020" s="931"/>
      <c r="AQ1020" s="956"/>
      <c r="AR1020" s="957"/>
      <c r="AS1020" s="931"/>
    </row>
    <row r="1021" ht="15.75" customHeight="1">
      <c r="A1021" s="931"/>
      <c r="B1021" s="941" t="s">
        <v>3708</v>
      </c>
      <c r="C1021" s="942" t="s">
        <v>3709</v>
      </c>
      <c r="D1021" s="942" t="s">
        <v>3709</v>
      </c>
      <c r="E1021" s="943" t="s">
        <v>3709</v>
      </c>
      <c r="F1021" s="935"/>
      <c r="G1021" s="944"/>
      <c r="H1021" s="944"/>
      <c r="I1021" s="946" t="s">
        <v>3710</v>
      </c>
      <c r="J1021" s="948" t="s">
        <v>709</v>
      </c>
      <c r="K1021" s="961" t="s">
        <v>716</v>
      </c>
      <c r="L1021" s="949">
        <v>73.0</v>
      </c>
      <c r="M1021" s="949">
        <v>73.0</v>
      </c>
      <c r="N1021" s="949">
        <v>73.0</v>
      </c>
      <c r="O1021" s="949">
        <v>127.0</v>
      </c>
      <c r="P1021" s="949">
        <v>73.0</v>
      </c>
      <c r="Q1021" s="949">
        <v>121.0</v>
      </c>
      <c r="R1021" s="949">
        <v>278.0</v>
      </c>
      <c r="S1021" s="949">
        <v>341.0</v>
      </c>
      <c r="T1021" s="949">
        <v>375.0</v>
      </c>
      <c r="U1021" s="949"/>
      <c r="V1021" s="949"/>
      <c r="W1021" s="949"/>
      <c r="X1021" s="949"/>
      <c r="Y1021" s="949"/>
      <c r="Z1021" s="949"/>
      <c r="AA1021" s="949"/>
      <c r="AB1021" s="949"/>
      <c r="AC1021" s="949"/>
      <c r="AD1021" s="949"/>
      <c r="AE1021" s="949"/>
      <c r="AF1021" s="949"/>
      <c r="AG1021" s="949"/>
      <c r="AH1021" s="949"/>
      <c r="AI1021" s="949"/>
      <c r="AJ1021" s="949"/>
      <c r="AK1021" s="949"/>
      <c r="AL1021" s="949"/>
      <c r="AM1021" s="953" t="s">
        <v>3664</v>
      </c>
      <c r="AN1021" s="954"/>
      <c r="AO1021" s="955"/>
      <c r="AP1021" s="931"/>
      <c r="AQ1021" s="956"/>
      <c r="AR1021" s="957"/>
      <c r="AS1021" s="931"/>
    </row>
    <row r="1022" ht="15.75" customHeight="1">
      <c r="A1022" s="931"/>
      <c r="B1022" s="941" t="s">
        <v>3711</v>
      </c>
      <c r="C1022" s="942" t="s">
        <v>3712</v>
      </c>
      <c r="D1022" s="942" t="s">
        <v>3712</v>
      </c>
      <c r="E1022" s="943" t="s">
        <v>3712</v>
      </c>
      <c r="F1022" s="935"/>
      <c r="G1022" s="944"/>
      <c r="H1022" s="944"/>
      <c r="I1022" s="946" t="s">
        <v>3713</v>
      </c>
      <c r="J1022" s="989" t="s">
        <v>713</v>
      </c>
      <c r="K1022" s="978" t="s">
        <v>719</v>
      </c>
      <c r="L1022" s="949">
        <v>61.0</v>
      </c>
      <c r="M1022" s="949">
        <v>131.0</v>
      </c>
      <c r="N1022" s="949">
        <v>211.0</v>
      </c>
      <c r="O1022" s="949">
        <v>53.0</v>
      </c>
      <c r="P1022" s="949">
        <v>101.0</v>
      </c>
      <c r="Q1022" s="949">
        <v>13.0</v>
      </c>
      <c r="R1022" s="949">
        <v>62.0</v>
      </c>
      <c r="S1022" s="949">
        <v>125.0</v>
      </c>
      <c r="T1022" s="949">
        <v>137.0</v>
      </c>
      <c r="U1022" s="949"/>
      <c r="V1022" s="949"/>
      <c r="W1022" s="949"/>
      <c r="X1022" s="949"/>
      <c r="Y1022" s="949"/>
      <c r="Z1022" s="949"/>
      <c r="AA1022" s="949"/>
      <c r="AB1022" s="949"/>
      <c r="AC1022" s="949"/>
      <c r="AD1022" s="949"/>
      <c r="AE1022" s="949"/>
      <c r="AF1022" s="949"/>
      <c r="AG1022" s="949"/>
      <c r="AH1022" s="949"/>
      <c r="AI1022" s="949"/>
      <c r="AJ1022" s="949"/>
      <c r="AK1022" s="949"/>
      <c r="AL1022" s="949"/>
      <c r="AM1022" s="953" t="s">
        <v>3664</v>
      </c>
      <c r="AN1022" s="954"/>
      <c r="AO1022" s="955"/>
      <c r="AP1022" s="931"/>
      <c r="AQ1022" s="956"/>
      <c r="AR1022" s="957"/>
      <c r="AS1022" s="931"/>
    </row>
    <row r="1023" ht="15.75" customHeight="1">
      <c r="A1023" s="931"/>
      <c r="B1023" s="941" t="s">
        <v>3714</v>
      </c>
      <c r="C1023" s="942" t="s">
        <v>3715</v>
      </c>
      <c r="D1023" s="942" t="s">
        <v>3715</v>
      </c>
      <c r="E1023" s="943" t="s">
        <v>3715</v>
      </c>
      <c r="F1023" s="935"/>
      <c r="G1023" s="944"/>
      <c r="H1023" s="944"/>
      <c r="I1023" s="946" t="s">
        <v>3716</v>
      </c>
      <c r="J1023" s="958" t="s">
        <v>704</v>
      </c>
      <c r="K1023" s="994" t="s">
        <v>717</v>
      </c>
      <c r="L1023" s="949">
        <v>53.0</v>
      </c>
      <c r="M1023" s="949">
        <v>127.0</v>
      </c>
      <c r="N1023" s="949">
        <v>53.0</v>
      </c>
      <c r="O1023" s="949">
        <v>151.0</v>
      </c>
      <c r="P1023" s="949">
        <v>79.0</v>
      </c>
      <c r="Q1023" s="949">
        <v>107.0</v>
      </c>
      <c r="R1023" s="949">
        <v>250.0</v>
      </c>
      <c r="S1023" s="949">
        <v>313.0</v>
      </c>
      <c r="T1023" s="949">
        <v>344.0</v>
      </c>
      <c r="U1023" s="949"/>
      <c r="V1023" s="949"/>
      <c r="W1023" s="949"/>
      <c r="X1023" s="949"/>
      <c r="Y1023" s="949"/>
      <c r="Z1023" s="949"/>
      <c r="AA1023" s="949"/>
      <c r="AB1023" s="949"/>
      <c r="AC1023" s="949"/>
      <c r="AD1023" s="949"/>
      <c r="AE1023" s="949"/>
      <c r="AF1023" s="949"/>
      <c r="AG1023" s="949"/>
      <c r="AH1023" s="949"/>
      <c r="AI1023" s="949"/>
      <c r="AJ1023" s="949"/>
      <c r="AK1023" s="949"/>
      <c r="AL1023" s="949"/>
      <c r="AM1023" s="953" t="s">
        <v>3664</v>
      </c>
      <c r="AN1023" s="954"/>
      <c r="AO1023" s="955"/>
      <c r="AP1023" s="931"/>
      <c r="AQ1023" s="956"/>
      <c r="AR1023" s="957"/>
      <c r="AS1023" s="931"/>
    </row>
    <row r="1024" ht="15.75" customHeight="1">
      <c r="A1024" s="931"/>
      <c r="B1024" s="941" t="s">
        <v>3717</v>
      </c>
      <c r="C1024" s="942" t="s">
        <v>3718</v>
      </c>
      <c r="D1024" s="942" t="s">
        <v>3718</v>
      </c>
      <c r="E1024" s="943" t="s">
        <v>3718</v>
      </c>
      <c r="F1024" s="935"/>
      <c r="G1024" s="944"/>
      <c r="H1024" s="944"/>
      <c r="I1024" s="946" t="s">
        <v>3719</v>
      </c>
      <c r="J1024" s="970" t="s">
        <v>710</v>
      </c>
      <c r="K1024" s="954" t="s">
        <v>158</v>
      </c>
      <c r="L1024" s="949">
        <v>88.0</v>
      </c>
      <c r="M1024" s="949">
        <v>112.0</v>
      </c>
      <c r="N1024" s="949">
        <v>75.0</v>
      </c>
      <c r="O1024" s="949">
        <v>102.0</v>
      </c>
      <c r="P1024" s="949">
        <v>80.0</v>
      </c>
      <c r="Q1024" s="949">
        <v>143.0</v>
      </c>
      <c r="R1024" s="949">
        <v>322.0</v>
      </c>
      <c r="S1024" s="949">
        <v>385.0</v>
      </c>
      <c r="T1024" s="949">
        <v>423.0</v>
      </c>
      <c r="U1024" s="949"/>
      <c r="V1024" s="949"/>
      <c r="W1024" s="949"/>
      <c r="X1024" s="949"/>
      <c r="Y1024" s="949"/>
      <c r="Z1024" s="949"/>
      <c r="AA1024" s="949"/>
      <c r="AB1024" s="949"/>
      <c r="AC1024" s="949"/>
      <c r="AD1024" s="949"/>
      <c r="AE1024" s="949"/>
      <c r="AF1024" s="949"/>
      <c r="AG1024" s="949"/>
      <c r="AH1024" s="949"/>
      <c r="AI1024" s="949"/>
      <c r="AJ1024" s="949"/>
      <c r="AK1024" s="949"/>
      <c r="AL1024" s="949"/>
      <c r="AM1024" s="953" t="s">
        <v>1428</v>
      </c>
      <c r="AN1024" s="954"/>
      <c r="AO1024" s="955"/>
      <c r="AP1024" s="931"/>
      <c r="AQ1024" s="956"/>
      <c r="AR1024" s="957"/>
      <c r="AS1024" s="931"/>
    </row>
    <row r="1025" ht="15.75" customHeight="1">
      <c r="A1025" s="963"/>
      <c r="B1025" s="941" t="s">
        <v>3720</v>
      </c>
      <c r="C1025" s="971" t="s">
        <v>3721</v>
      </c>
      <c r="D1025" s="971" t="s">
        <v>3721</v>
      </c>
      <c r="E1025" s="966" t="s">
        <v>3721</v>
      </c>
      <c r="F1025" s="935"/>
      <c r="G1025" s="944"/>
      <c r="H1025" s="944"/>
      <c r="I1025" s="959" t="s">
        <v>3722</v>
      </c>
      <c r="J1025" s="1007" t="s">
        <v>719</v>
      </c>
      <c r="K1025" s="973" t="s">
        <v>158</v>
      </c>
      <c r="L1025" s="974">
        <v>46.0</v>
      </c>
      <c r="M1025" s="974">
        <v>65.0</v>
      </c>
      <c r="N1025" s="974">
        <v>65.0</v>
      </c>
      <c r="O1025" s="974">
        <v>55.0</v>
      </c>
      <c r="P1025" s="974">
        <v>35.0</v>
      </c>
      <c r="Q1025" s="974">
        <v>34.0</v>
      </c>
      <c r="R1025" s="949">
        <v>104.0</v>
      </c>
      <c r="S1025" s="949">
        <v>167.0</v>
      </c>
      <c r="T1025" s="949">
        <v>183.0</v>
      </c>
      <c r="U1025" s="949"/>
      <c r="V1025" s="949"/>
      <c r="W1025" s="949"/>
      <c r="X1025" s="949"/>
      <c r="Y1025" s="949"/>
      <c r="Z1025" s="949"/>
      <c r="AA1025" s="949"/>
      <c r="AB1025" s="949"/>
      <c r="AC1025" s="949"/>
      <c r="AD1025" s="949"/>
      <c r="AE1025" s="949"/>
      <c r="AF1025" s="949"/>
      <c r="AG1025" s="949"/>
      <c r="AH1025" s="949"/>
      <c r="AI1025" s="949"/>
      <c r="AJ1025" s="949"/>
      <c r="AK1025" s="949"/>
      <c r="AL1025" s="949"/>
      <c r="AM1025" s="964" t="s">
        <v>1140</v>
      </c>
      <c r="AN1025" s="954"/>
      <c r="AO1025" s="965"/>
      <c r="AP1025" s="931"/>
      <c r="AQ1025" s="956"/>
      <c r="AR1025" s="957"/>
      <c r="AS1025" s="931"/>
    </row>
    <row r="1026" ht="15.75" customHeight="1">
      <c r="A1026" s="931"/>
      <c r="B1026" s="941" t="s">
        <v>3723</v>
      </c>
      <c r="C1026" s="942" t="s">
        <v>3724</v>
      </c>
      <c r="D1026" s="942" t="s">
        <v>3724</v>
      </c>
      <c r="E1026" s="943" t="s">
        <v>3724</v>
      </c>
      <c r="F1026" s="935"/>
      <c r="G1026" s="944"/>
      <c r="H1026" s="944"/>
      <c r="I1026" s="946" t="s">
        <v>3725</v>
      </c>
      <c r="J1026" s="978" t="s">
        <v>719</v>
      </c>
      <c r="K1026" s="954" t="s">
        <v>158</v>
      </c>
      <c r="L1026" s="949">
        <v>135.0</v>
      </c>
      <c r="M1026" s="949">
        <v>143.0</v>
      </c>
      <c r="N1026" s="949">
        <v>143.0</v>
      </c>
      <c r="O1026" s="949">
        <v>80.0</v>
      </c>
      <c r="P1026" s="949">
        <v>65.0</v>
      </c>
      <c r="Q1026" s="949">
        <v>34.0</v>
      </c>
      <c r="R1026" s="949">
        <v>104.0</v>
      </c>
      <c r="S1026" s="949">
        <v>167.0</v>
      </c>
      <c r="T1026" s="949">
        <v>183.0</v>
      </c>
      <c r="U1026" s="949"/>
      <c r="V1026" s="949"/>
      <c r="W1026" s="949"/>
      <c r="X1026" s="949"/>
      <c r="Y1026" s="949"/>
      <c r="Z1026" s="949"/>
      <c r="AA1026" s="949"/>
      <c r="AB1026" s="949"/>
      <c r="AC1026" s="949"/>
      <c r="AD1026" s="949"/>
      <c r="AE1026" s="949"/>
      <c r="AF1026" s="949"/>
      <c r="AG1026" s="949"/>
      <c r="AH1026" s="949"/>
      <c r="AI1026" s="949"/>
      <c r="AJ1026" s="949"/>
      <c r="AK1026" s="949"/>
      <c r="AL1026" s="949"/>
      <c r="AM1026" s="953" t="s">
        <v>1310</v>
      </c>
      <c r="AN1026" s="954"/>
      <c r="AO1026" s="955"/>
      <c r="AP1026" s="931"/>
      <c r="AQ1026" s="956"/>
      <c r="AR1026" s="957"/>
      <c r="AS1026" s="931"/>
    </row>
    <row r="1027" ht="15.75" customHeight="1">
      <c r="A1027" s="931"/>
      <c r="B1027" s="941" t="s">
        <v>3726</v>
      </c>
      <c r="C1027" s="942" t="s">
        <v>3727</v>
      </c>
      <c r="D1027" s="942" t="s">
        <v>3727</v>
      </c>
      <c r="E1027" s="943" t="s">
        <v>3727</v>
      </c>
      <c r="F1027" s="935"/>
      <c r="G1027" s="944"/>
      <c r="H1027" s="944"/>
      <c r="I1027" s="946" t="s">
        <v>3728</v>
      </c>
      <c r="J1027" s="947" t="s">
        <v>708</v>
      </c>
      <c r="K1027" s="954" t="s">
        <v>158</v>
      </c>
      <c r="L1027" s="949">
        <v>50.0</v>
      </c>
      <c r="M1027" s="949">
        <v>65.0</v>
      </c>
      <c r="N1027" s="949">
        <v>50.0</v>
      </c>
      <c r="O1027" s="949">
        <v>40.0</v>
      </c>
      <c r="P1027" s="949">
        <v>40.0</v>
      </c>
      <c r="Q1027" s="949">
        <v>65.0</v>
      </c>
      <c r="R1027" s="949">
        <v>166.0</v>
      </c>
      <c r="S1027" s="949">
        <v>229.0</v>
      </c>
      <c r="T1027" s="949">
        <v>251.0</v>
      </c>
      <c r="U1027" s="949"/>
      <c r="V1027" s="949"/>
      <c r="W1027" s="949"/>
      <c r="X1027" s="949"/>
      <c r="Y1027" s="949"/>
      <c r="Z1027" s="949"/>
      <c r="AA1027" s="949"/>
      <c r="AB1027" s="949"/>
      <c r="AC1027" s="949"/>
      <c r="AD1027" s="949"/>
      <c r="AE1027" s="949"/>
      <c r="AF1027" s="949"/>
      <c r="AG1027" s="949"/>
      <c r="AH1027" s="949"/>
      <c r="AI1027" s="949"/>
      <c r="AJ1027" s="949"/>
      <c r="AK1027" s="949"/>
      <c r="AL1027" s="949"/>
      <c r="AM1027" s="953" t="s">
        <v>735</v>
      </c>
      <c r="AN1027" s="954"/>
      <c r="AO1027" s="955" t="s">
        <v>3646</v>
      </c>
      <c r="AP1027" s="931"/>
      <c r="AQ1027" s="956"/>
      <c r="AR1027" s="957"/>
      <c r="AS1027" s="931"/>
    </row>
    <row r="1028" ht="15.75" customHeight="1">
      <c r="A1028" s="963"/>
      <c r="B1028" s="941" t="s">
        <v>3729</v>
      </c>
      <c r="C1028" s="971" t="s">
        <v>3730</v>
      </c>
      <c r="D1028" s="971" t="s">
        <v>3730</v>
      </c>
      <c r="E1028" s="966" t="s">
        <v>3730</v>
      </c>
      <c r="F1028" s="935"/>
      <c r="G1028" s="944"/>
      <c r="H1028" s="944"/>
      <c r="I1028" s="959" t="s">
        <v>3731</v>
      </c>
      <c r="J1028" s="1002" t="s">
        <v>708</v>
      </c>
      <c r="K1028" s="973" t="s">
        <v>158</v>
      </c>
      <c r="L1028" s="974">
        <v>70.0</v>
      </c>
      <c r="M1028" s="974">
        <v>85.0</v>
      </c>
      <c r="N1028" s="974">
        <v>70.0</v>
      </c>
      <c r="O1028" s="974">
        <v>55.0</v>
      </c>
      <c r="P1028" s="974">
        <v>60.0</v>
      </c>
      <c r="Q1028" s="974">
        <v>80.0</v>
      </c>
      <c r="R1028" s="949">
        <v>196.0</v>
      </c>
      <c r="S1028" s="949">
        <v>259.0</v>
      </c>
      <c r="T1028" s="949">
        <v>284.0</v>
      </c>
      <c r="U1028" s="949"/>
      <c r="V1028" s="949"/>
      <c r="W1028" s="949"/>
      <c r="X1028" s="949"/>
      <c r="Y1028" s="949"/>
      <c r="Z1028" s="949"/>
      <c r="AA1028" s="949"/>
      <c r="AB1028" s="949"/>
      <c r="AC1028" s="949"/>
      <c r="AD1028" s="949"/>
      <c r="AE1028" s="949"/>
      <c r="AF1028" s="949"/>
      <c r="AG1028" s="949"/>
      <c r="AH1028" s="949"/>
      <c r="AI1028" s="949"/>
      <c r="AJ1028" s="949"/>
      <c r="AK1028" s="949"/>
      <c r="AL1028" s="949"/>
      <c r="AM1028" s="964" t="s">
        <v>735</v>
      </c>
      <c r="AN1028" s="973"/>
      <c r="AO1028" s="965" t="s">
        <v>3646</v>
      </c>
      <c r="AP1028" s="931"/>
      <c r="AQ1028" s="956"/>
      <c r="AR1028" s="957"/>
      <c r="AS1028" s="931"/>
    </row>
    <row r="1029" ht="15.75" customHeight="1">
      <c r="A1029" s="931"/>
      <c r="B1029" s="941" t="s">
        <v>3732</v>
      </c>
      <c r="C1029" s="942" t="s">
        <v>3733</v>
      </c>
      <c r="D1029" s="942" t="s">
        <v>3733</v>
      </c>
      <c r="E1029" s="943" t="s">
        <v>3733</v>
      </c>
      <c r="F1029" s="935"/>
      <c r="G1029" s="944"/>
      <c r="H1029" s="944"/>
      <c r="I1029" s="946" t="s">
        <v>3734</v>
      </c>
      <c r="J1029" s="947" t="s">
        <v>708</v>
      </c>
      <c r="K1029" s="954" t="s">
        <v>158</v>
      </c>
      <c r="L1029" s="949">
        <v>100.0</v>
      </c>
      <c r="M1029" s="949">
        <v>125.0</v>
      </c>
      <c r="N1029" s="949">
        <v>90.0</v>
      </c>
      <c r="O1029" s="949">
        <v>60.0</v>
      </c>
      <c r="P1029" s="949">
        <v>70.0</v>
      </c>
      <c r="Q1029" s="949">
        <v>85.0</v>
      </c>
      <c r="R1029" s="949">
        <v>206.0</v>
      </c>
      <c r="S1029" s="949">
        <v>269.0</v>
      </c>
      <c r="T1029" s="949">
        <v>295.0</v>
      </c>
      <c r="U1029" s="949"/>
      <c r="V1029" s="949"/>
      <c r="W1029" s="949"/>
      <c r="X1029" s="949"/>
      <c r="Y1029" s="949"/>
      <c r="Z1029" s="949"/>
      <c r="AA1029" s="949"/>
      <c r="AB1029" s="949"/>
      <c r="AC1029" s="949"/>
      <c r="AD1029" s="949"/>
      <c r="AE1029" s="949"/>
      <c r="AF1029" s="949"/>
      <c r="AG1029" s="949"/>
      <c r="AH1029" s="949"/>
      <c r="AI1029" s="949"/>
      <c r="AJ1029" s="949"/>
      <c r="AK1029" s="949"/>
      <c r="AL1029" s="949"/>
      <c r="AM1029" s="953" t="s">
        <v>735</v>
      </c>
      <c r="AN1029" s="954"/>
      <c r="AO1029" s="955" t="s">
        <v>3646</v>
      </c>
      <c r="AP1029" s="931"/>
      <c r="AQ1029" s="956"/>
      <c r="AR1029" s="957"/>
      <c r="AS1029" s="931"/>
    </row>
    <row r="1030" ht="15.75" customHeight="1">
      <c r="A1030" s="963"/>
      <c r="B1030" s="941" t="s">
        <v>3735</v>
      </c>
      <c r="C1030" s="942" t="s">
        <v>3736</v>
      </c>
      <c r="D1030" s="942" t="s">
        <v>3736</v>
      </c>
      <c r="E1030" s="943" t="s">
        <v>3736</v>
      </c>
      <c r="F1030" s="935"/>
      <c r="G1030" s="944"/>
      <c r="H1030" s="944"/>
      <c r="I1030" s="946" t="s">
        <v>3737</v>
      </c>
      <c r="J1030" s="958" t="s">
        <v>704</v>
      </c>
      <c r="K1030" s="954" t="s">
        <v>158</v>
      </c>
      <c r="L1030" s="949">
        <v>50.0</v>
      </c>
      <c r="M1030" s="949">
        <v>71.0</v>
      </c>
      <c r="N1030" s="949">
        <v>40.0</v>
      </c>
      <c r="O1030" s="949">
        <v>40.0</v>
      </c>
      <c r="P1030" s="949">
        <v>40.0</v>
      </c>
      <c r="Q1030" s="949">
        <v>69.0</v>
      </c>
      <c r="R1030" s="949">
        <v>174.0</v>
      </c>
      <c r="S1030" s="949">
        <v>237.0</v>
      </c>
      <c r="T1030" s="949">
        <v>260.0</v>
      </c>
      <c r="U1030" s="949"/>
      <c r="V1030" s="949"/>
      <c r="W1030" s="949"/>
      <c r="X1030" s="949"/>
      <c r="Y1030" s="949"/>
      <c r="Z1030" s="949"/>
      <c r="AA1030" s="949"/>
      <c r="AB1030" s="949"/>
      <c r="AC1030" s="949"/>
      <c r="AD1030" s="949"/>
      <c r="AE1030" s="949"/>
      <c r="AF1030" s="949"/>
      <c r="AG1030" s="949"/>
      <c r="AH1030" s="949"/>
      <c r="AI1030" s="949"/>
      <c r="AJ1030" s="949"/>
      <c r="AK1030" s="949"/>
      <c r="AL1030" s="949"/>
      <c r="AM1030" s="964" t="s">
        <v>750</v>
      </c>
      <c r="AN1030" s="954"/>
      <c r="AO1030" s="965" t="s">
        <v>3738</v>
      </c>
      <c r="AP1030" s="931"/>
      <c r="AQ1030" s="956"/>
      <c r="AR1030" s="957"/>
      <c r="AS1030" s="931"/>
    </row>
    <row r="1031" ht="15.75" customHeight="1">
      <c r="A1031" s="931"/>
      <c r="B1031" s="941" t="s">
        <v>3739</v>
      </c>
      <c r="C1031" s="942" t="s">
        <v>3740</v>
      </c>
      <c r="D1031" s="942" t="s">
        <v>3740</v>
      </c>
      <c r="E1031" s="943" t="s">
        <v>3740</v>
      </c>
      <c r="F1031" s="935"/>
      <c r="G1031" s="944"/>
      <c r="H1031" s="944"/>
      <c r="I1031" s="946" t="s">
        <v>3741</v>
      </c>
      <c r="J1031" s="958" t="s">
        <v>704</v>
      </c>
      <c r="K1031" s="954" t="s">
        <v>158</v>
      </c>
      <c r="L1031" s="949">
        <v>65.0</v>
      </c>
      <c r="M1031" s="949">
        <v>86.0</v>
      </c>
      <c r="N1031" s="949">
        <v>60.0</v>
      </c>
      <c r="O1031" s="949">
        <v>55.0</v>
      </c>
      <c r="P1031" s="949">
        <v>60.0</v>
      </c>
      <c r="Q1031" s="949">
        <v>94.0</v>
      </c>
      <c r="R1031" s="949">
        <v>224.0</v>
      </c>
      <c r="S1031" s="949">
        <v>287.0</v>
      </c>
      <c r="T1031" s="949">
        <v>315.0</v>
      </c>
      <c r="U1031" s="949"/>
      <c r="V1031" s="949"/>
      <c r="W1031" s="949"/>
      <c r="X1031" s="949"/>
      <c r="Y1031" s="949"/>
      <c r="Z1031" s="949"/>
      <c r="AA1031" s="949"/>
      <c r="AB1031" s="949"/>
      <c r="AC1031" s="949"/>
      <c r="AD1031" s="949"/>
      <c r="AE1031" s="949"/>
      <c r="AF1031" s="949"/>
      <c r="AG1031" s="949"/>
      <c r="AH1031" s="949"/>
      <c r="AI1031" s="949"/>
      <c r="AJ1031" s="949"/>
      <c r="AK1031" s="949"/>
      <c r="AL1031" s="949"/>
      <c r="AM1031" s="953" t="s">
        <v>750</v>
      </c>
      <c r="AN1031" s="954"/>
      <c r="AO1031" s="955" t="s">
        <v>3738</v>
      </c>
      <c r="AP1031" s="931"/>
      <c r="AQ1031" s="956"/>
      <c r="AR1031" s="957"/>
      <c r="AS1031" s="931"/>
    </row>
    <row r="1032" ht="15.75" customHeight="1">
      <c r="A1032" s="931"/>
      <c r="B1032" s="941" t="s">
        <v>3742</v>
      </c>
      <c r="C1032" s="942" t="s">
        <v>3743</v>
      </c>
      <c r="D1032" s="942" t="s">
        <v>3743</v>
      </c>
      <c r="E1032" s="943" t="s">
        <v>3743</v>
      </c>
      <c r="F1032" s="935"/>
      <c r="G1032" s="944"/>
      <c r="H1032" s="944"/>
      <c r="I1032" s="946" t="s">
        <v>3744</v>
      </c>
      <c r="J1032" s="958" t="s">
        <v>704</v>
      </c>
      <c r="K1032" s="954" t="s">
        <v>158</v>
      </c>
      <c r="L1032" s="949">
        <v>80.0</v>
      </c>
      <c r="M1032" s="949">
        <v>116.0</v>
      </c>
      <c r="N1032" s="949">
        <v>75.0</v>
      </c>
      <c r="O1032" s="949">
        <v>65.0</v>
      </c>
      <c r="P1032" s="949">
        <v>75.0</v>
      </c>
      <c r="Q1032" s="949">
        <v>119.0</v>
      </c>
      <c r="R1032" s="949">
        <v>274.0</v>
      </c>
      <c r="S1032" s="949">
        <v>337.0</v>
      </c>
      <c r="T1032" s="949">
        <v>370.0</v>
      </c>
      <c r="U1032" s="949"/>
      <c r="V1032" s="949"/>
      <c r="W1032" s="949"/>
      <c r="X1032" s="949"/>
      <c r="Y1032" s="949"/>
      <c r="Z1032" s="949"/>
      <c r="AA1032" s="949"/>
      <c r="AB1032" s="949"/>
      <c r="AC1032" s="949"/>
      <c r="AD1032" s="949"/>
      <c r="AE1032" s="949"/>
      <c r="AF1032" s="949"/>
      <c r="AG1032" s="949"/>
      <c r="AH1032" s="949"/>
      <c r="AI1032" s="949"/>
      <c r="AJ1032" s="949"/>
      <c r="AK1032" s="949"/>
      <c r="AL1032" s="949"/>
      <c r="AM1032" s="953" t="s">
        <v>750</v>
      </c>
      <c r="AN1032" s="954"/>
      <c r="AO1032" s="955" t="s">
        <v>3738</v>
      </c>
      <c r="AP1032" s="931"/>
      <c r="AQ1032" s="956"/>
      <c r="AR1032" s="957"/>
      <c r="AS1032" s="931"/>
    </row>
    <row r="1033" ht="15.75" customHeight="1">
      <c r="A1033" s="931"/>
      <c r="B1033" s="941" t="s">
        <v>3745</v>
      </c>
      <c r="C1033" s="942" t="s">
        <v>3746</v>
      </c>
      <c r="D1033" s="942" t="s">
        <v>3746</v>
      </c>
      <c r="E1033" s="943" t="s">
        <v>3746</v>
      </c>
      <c r="F1033" s="935"/>
      <c r="G1033" s="944"/>
      <c r="H1033" s="944"/>
      <c r="I1033" s="946" t="s">
        <v>3747</v>
      </c>
      <c r="J1033" s="962" t="s">
        <v>706</v>
      </c>
      <c r="K1033" s="954" t="s">
        <v>158</v>
      </c>
      <c r="L1033" s="949">
        <v>50.0</v>
      </c>
      <c r="M1033" s="949">
        <v>40.0</v>
      </c>
      <c r="N1033" s="949">
        <v>40.0</v>
      </c>
      <c r="O1033" s="949">
        <v>70.0</v>
      </c>
      <c r="P1033" s="949">
        <v>40.0</v>
      </c>
      <c r="Q1033" s="949">
        <v>70.0</v>
      </c>
      <c r="R1033" s="949">
        <v>176.0</v>
      </c>
      <c r="S1033" s="949">
        <v>239.0</v>
      </c>
      <c r="T1033" s="949">
        <v>262.0</v>
      </c>
      <c r="U1033" s="949"/>
      <c r="V1033" s="949"/>
      <c r="W1033" s="949"/>
      <c r="X1033" s="949"/>
      <c r="Y1033" s="949"/>
      <c r="Z1033" s="949"/>
      <c r="AA1033" s="949"/>
      <c r="AB1033" s="949"/>
      <c r="AC1033" s="949"/>
      <c r="AD1033" s="949"/>
      <c r="AE1033" s="949"/>
      <c r="AF1033" s="949"/>
      <c r="AG1033" s="949"/>
      <c r="AH1033" s="949"/>
      <c r="AI1033" s="949"/>
      <c r="AJ1033" s="949"/>
      <c r="AK1033" s="949"/>
      <c r="AL1033" s="949"/>
      <c r="AM1033" s="953" t="s">
        <v>771</v>
      </c>
      <c r="AN1033" s="954"/>
      <c r="AO1033" s="955" t="s">
        <v>807</v>
      </c>
      <c r="AP1033" s="931"/>
      <c r="AQ1033" s="956"/>
      <c r="AR1033" s="957"/>
      <c r="AS1033" s="931"/>
    </row>
    <row r="1034" ht="15.75" customHeight="1">
      <c r="A1034" s="931"/>
      <c r="B1034" s="941" t="s">
        <v>3748</v>
      </c>
      <c r="C1034" s="942" t="s">
        <v>3749</v>
      </c>
      <c r="D1034" s="942" t="s">
        <v>3749</v>
      </c>
      <c r="E1034" s="943" t="s">
        <v>3749</v>
      </c>
      <c r="F1034" s="935"/>
      <c r="G1034" s="944"/>
      <c r="H1034" s="944"/>
      <c r="I1034" s="946" t="s">
        <v>3750</v>
      </c>
      <c r="J1034" s="962" t="s">
        <v>706</v>
      </c>
      <c r="K1034" s="954" t="s">
        <v>158</v>
      </c>
      <c r="L1034" s="949">
        <v>65.0</v>
      </c>
      <c r="M1034" s="949">
        <v>60.0</v>
      </c>
      <c r="N1034" s="949">
        <v>55.0</v>
      </c>
      <c r="O1034" s="949">
        <v>95.0</v>
      </c>
      <c r="P1034" s="949">
        <v>55.0</v>
      </c>
      <c r="Q1034" s="949">
        <v>90.0</v>
      </c>
      <c r="R1034" s="949">
        <v>216.0</v>
      </c>
      <c r="S1034" s="949">
        <v>279.0</v>
      </c>
      <c r="T1034" s="949">
        <v>306.0</v>
      </c>
      <c r="U1034" s="949"/>
      <c r="V1034" s="949"/>
      <c r="W1034" s="949"/>
      <c r="X1034" s="949"/>
      <c r="Y1034" s="949"/>
      <c r="Z1034" s="949"/>
      <c r="AA1034" s="949"/>
      <c r="AB1034" s="949"/>
      <c r="AC1034" s="949"/>
      <c r="AD1034" s="949"/>
      <c r="AE1034" s="949"/>
      <c r="AF1034" s="949"/>
      <c r="AG1034" s="949"/>
      <c r="AH1034" s="949"/>
      <c r="AI1034" s="949"/>
      <c r="AJ1034" s="949"/>
      <c r="AK1034" s="949"/>
      <c r="AL1034" s="949"/>
      <c r="AM1034" s="953" t="s">
        <v>771</v>
      </c>
      <c r="AN1034" s="954"/>
      <c r="AO1034" s="955" t="s">
        <v>807</v>
      </c>
      <c r="AP1034" s="931"/>
      <c r="AQ1034" s="956"/>
      <c r="AR1034" s="957"/>
      <c r="AS1034" s="931"/>
    </row>
    <row r="1035" ht="15.75" customHeight="1">
      <c r="A1035" s="963"/>
      <c r="B1035" s="941" t="s">
        <v>3751</v>
      </c>
      <c r="C1035" s="942" t="s">
        <v>3752</v>
      </c>
      <c r="D1035" s="942" t="s">
        <v>3752</v>
      </c>
      <c r="E1035" s="943" t="s">
        <v>3752</v>
      </c>
      <c r="F1035" s="935"/>
      <c r="G1035" s="944"/>
      <c r="H1035" s="944"/>
      <c r="I1035" s="946" t="s">
        <v>3753</v>
      </c>
      <c r="J1035" s="962" t="s">
        <v>706</v>
      </c>
      <c r="K1035" s="954" t="s">
        <v>158</v>
      </c>
      <c r="L1035" s="949">
        <v>70.0</v>
      </c>
      <c r="M1035" s="949">
        <v>85.0</v>
      </c>
      <c r="N1035" s="949">
        <v>65.0</v>
      </c>
      <c r="O1035" s="949">
        <v>125.0</v>
      </c>
      <c r="P1035" s="949">
        <v>65.0</v>
      </c>
      <c r="Q1035" s="949">
        <v>120.0</v>
      </c>
      <c r="R1035" s="949">
        <v>276.0</v>
      </c>
      <c r="S1035" s="949">
        <v>339.0</v>
      </c>
      <c r="T1035" s="949">
        <v>372.0</v>
      </c>
      <c r="U1035" s="949"/>
      <c r="V1035" s="949"/>
      <c r="W1035" s="949"/>
      <c r="X1035" s="949"/>
      <c r="Y1035" s="949"/>
      <c r="Z1035" s="949"/>
      <c r="AA1035" s="949"/>
      <c r="AB1035" s="949"/>
      <c r="AC1035" s="949"/>
      <c r="AD1035" s="949"/>
      <c r="AE1035" s="949"/>
      <c r="AF1035" s="949"/>
      <c r="AG1035" s="949"/>
      <c r="AH1035" s="949"/>
      <c r="AI1035" s="949"/>
      <c r="AJ1035" s="949"/>
      <c r="AK1035" s="949"/>
      <c r="AL1035" s="949"/>
      <c r="AM1035" s="964" t="s">
        <v>771</v>
      </c>
      <c r="AN1035" s="954"/>
      <c r="AO1035" s="965" t="s">
        <v>807</v>
      </c>
      <c r="AP1035" s="931"/>
      <c r="AQ1035" s="956"/>
      <c r="AR1035" s="957"/>
      <c r="AS1035" s="931"/>
    </row>
    <row r="1036" ht="15.75" customHeight="1">
      <c r="A1036" s="931"/>
      <c r="B1036" s="941" t="s">
        <v>3754</v>
      </c>
      <c r="C1036" s="942" t="s">
        <v>3755</v>
      </c>
      <c r="D1036" s="942" t="s">
        <v>3755</v>
      </c>
      <c r="E1036" s="943" t="s">
        <v>3755</v>
      </c>
      <c r="F1036" s="935"/>
      <c r="G1036" s="944"/>
      <c r="H1036" s="944"/>
      <c r="I1036" s="946" t="s">
        <v>646</v>
      </c>
      <c r="J1036" s="968" t="s">
        <v>703</v>
      </c>
      <c r="K1036" s="954" t="s">
        <v>158</v>
      </c>
      <c r="L1036" s="949">
        <v>70.0</v>
      </c>
      <c r="M1036" s="949">
        <v>55.0</v>
      </c>
      <c r="N1036" s="949">
        <v>55.0</v>
      </c>
      <c r="O1036" s="949">
        <v>35.0</v>
      </c>
      <c r="P1036" s="949">
        <v>35.0</v>
      </c>
      <c r="Q1036" s="949">
        <v>25.0</v>
      </c>
      <c r="R1036" s="949">
        <v>86.0</v>
      </c>
      <c r="S1036" s="949">
        <v>149.0</v>
      </c>
      <c r="T1036" s="949">
        <v>163.0</v>
      </c>
      <c r="U1036" s="949"/>
      <c r="V1036" s="949"/>
      <c r="W1036" s="949"/>
      <c r="X1036" s="949"/>
      <c r="Y1036" s="949"/>
      <c r="Z1036" s="949"/>
      <c r="AA1036" s="949"/>
      <c r="AB1036" s="949"/>
      <c r="AC1036" s="949"/>
      <c r="AD1036" s="949"/>
      <c r="AE1036" s="949"/>
      <c r="AF1036" s="949"/>
      <c r="AG1036" s="949"/>
      <c r="AH1036" s="949"/>
      <c r="AI1036" s="949"/>
      <c r="AJ1036" s="949"/>
      <c r="AK1036" s="949"/>
      <c r="AL1036" s="949"/>
      <c r="AM1036" s="953" t="s">
        <v>3165</v>
      </c>
      <c r="AN1036" s="954"/>
      <c r="AO1036" s="955" t="s">
        <v>837</v>
      </c>
      <c r="AP1036" s="931"/>
      <c r="AQ1036" s="956"/>
      <c r="AR1036" s="957"/>
      <c r="AS1036" s="931"/>
    </row>
    <row r="1037" ht="15.75" customHeight="1">
      <c r="A1037" s="931"/>
      <c r="B1037" s="941" t="s">
        <v>3756</v>
      </c>
      <c r="C1037" s="942" t="s">
        <v>3757</v>
      </c>
      <c r="D1037" s="942" t="s">
        <v>3757</v>
      </c>
      <c r="E1037" s="943" t="s">
        <v>3757</v>
      </c>
      <c r="F1037" s="935"/>
      <c r="G1037" s="944"/>
      <c r="H1037" s="944"/>
      <c r="I1037" s="946" t="s">
        <v>518</v>
      </c>
      <c r="J1037" s="968" t="s">
        <v>703</v>
      </c>
      <c r="K1037" s="954" t="s">
        <v>158</v>
      </c>
      <c r="L1037" s="949">
        <v>120.0</v>
      </c>
      <c r="M1037" s="949">
        <v>95.0</v>
      </c>
      <c r="N1037" s="949">
        <v>95.0</v>
      </c>
      <c r="O1037" s="949">
        <v>55.0</v>
      </c>
      <c r="P1037" s="949">
        <v>75.0</v>
      </c>
      <c r="Q1037" s="949">
        <v>20.0</v>
      </c>
      <c r="R1037" s="949">
        <v>76.0</v>
      </c>
      <c r="S1037" s="949">
        <v>139.0</v>
      </c>
      <c r="T1037" s="949">
        <v>152.0</v>
      </c>
      <c r="U1037" s="949"/>
      <c r="V1037" s="949"/>
      <c r="W1037" s="949"/>
      <c r="X1037" s="949"/>
      <c r="Y1037" s="949"/>
      <c r="Z1037" s="949"/>
      <c r="AA1037" s="949"/>
      <c r="AB1037" s="949"/>
      <c r="AC1037" s="949"/>
      <c r="AD1037" s="949"/>
      <c r="AE1037" s="949"/>
      <c r="AF1037" s="949"/>
      <c r="AG1037" s="949"/>
      <c r="AH1037" s="949"/>
      <c r="AI1037" s="949"/>
      <c r="AJ1037" s="949"/>
      <c r="AK1037" s="949"/>
      <c r="AL1037" s="949"/>
      <c r="AM1037" s="953" t="s">
        <v>3165</v>
      </c>
      <c r="AN1037" s="954"/>
      <c r="AO1037" s="955" t="s">
        <v>837</v>
      </c>
      <c r="AP1037" s="931"/>
      <c r="AQ1037" s="956"/>
      <c r="AR1037" s="957"/>
      <c r="AS1037" s="931"/>
    </row>
    <row r="1038" ht="15.75" customHeight="1">
      <c r="A1038" s="931"/>
      <c r="B1038" s="941" t="s">
        <v>3758</v>
      </c>
      <c r="C1038" s="942" t="s">
        <v>3759</v>
      </c>
      <c r="D1038" s="942" t="s">
        <v>3759</v>
      </c>
      <c r="E1038" s="943" t="s">
        <v>3759</v>
      </c>
      <c r="F1038" s="935"/>
      <c r="G1038" s="944"/>
      <c r="H1038" s="944"/>
      <c r="I1038" s="946" t="s">
        <v>647</v>
      </c>
      <c r="J1038" s="960" t="s">
        <v>707</v>
      </c>
      <c r="K1038" s="954" t="s">
        <v>158</v>
      </c>
      <c r="L1038" s="949">
        <v>38.0</v>
      </c>
      <c r="M1038" s="949">
        <v>47.0</v>
      </c>
      <c r="N1038" s="949">
        <v>35.0</v>
      </c>
      <c r="O1038" s="949">
        <v>33.0</v>
      </c>
      <c r="P1038" s="949">
        <v>35.0</v>
      </c>
      <c r="Q1038" s="949">
        <v>57.0</v>
      </c>
      <c r="R1038" s="949">
        <v>150.0</v>
      </c>
      <c r="S1038" s="949">
        <v>213.0</v>
      </c>
      <c r="T1038" s="949">
        <v>234.0</v>
      </c>
      <c r="U1038" s="949"/>
      <c r="V1038" s="949"/>
      <c r="W1038" s="949"/>
      <c r="X1038" s="949"/>
      <c r="Y1038" s="949"/>
      <c r="Z1038" s="949"/>
      <c r="AA1038" s="949"/>
      <c r="AB1038" s="949"/>
      <c r="AC1038" s="949"/>
      <c r="AD1038" s="949"/>
      <c r="AE1038" s="949"/>
      <c r="AF1038" s="949"/>
      <c r="AG1038" s="949"/>
      <c r="AH1038" s="949"/>
      <c r="AI1038" s="949"/>
      <c r="AJ1038" s="949"/>
      <c r="AK1038" s="949"/>
      <c r="AL1038" s="949"/>
      <c r="AM1038" s="953" t="s">
        <v>815</v>
      </c>
      <c r="AN1038" s="953" t="s">
        <v>855</v>
      </c>
      <c r="AO1038" s="955" t="s">
        <v>817</v>
      </c>
      <c r="AP1038" s="931"/>
      <c r="AQ1038" s="956"/>
      <c r="AR1038" s="957"/>
      <c r="AS1038" s="931"/>
    </row>
    <row r="1039" ht="15.75" customHeight="1">
      <c r="A1039" s="931"/>
      <c r="B1039" s="941" t="s">
        <v>3760</v>
      </c>
      <c r="C1039" s="942" t="s">
        <v>3761</v>
      </c>
      <c r="D1039" s="942" t="s">
        <v>3761</v>
      </c>
      <c r="E1039" s="943" t="s">
        <v>3761</v>
      </c>
      <c r="F1039" s="935"/>
      <c r="G1039" s="944"/>
      <c r="H1039" s="944"/>
      <c r="I1039" s="946" t="s">
        <v>648</v>
      </c>
      <c r="J1039" s="960" t="s">
        <v>707</v>
      </c>
      <c r="K1039" s="954" t="s">
        <v>158</v>
      </c>
      <c r="L1039" s="949">
        <v>68.0</v>
      </c>
      <c r="M1039" s="949">
        <v>67.0</v>
      </c>
      <c r="N1039" s="949">
        <v>55.0</v>
      </c>
      <c r="O1039" s="949">
        <v>43.0</v>
      </c>
      <c r="P1039" s="949">
        <v>55.0</v>
      </c>
      <c r="Q1039" s="949">
        <v>77.0</v>
      </c>
      <c r="R1039" s="949">
        <v>190.0</v>
      </c>
      <c r="S1039" s="949">
        <v>253.0</v>
      </c>
      <c r="T1039" s="949">
        <v>278.0</v>
      </c>
      <c r="U1039" s="949"/>
      <c r="V1039" s="949"/>
      <c r="W1039" s="949"/>
      <c r="X1039" s="949"/>
      <c r="Y1039" s="949"/>
      <c r="Z1039" s="949"/>
      <c r="AA1039" s="949"/>
      <c r="AB1039" s="949"/>
      <c r="AC1039" s="949"/>
      <c r="AD1039" s="949"/>
      <c r="AE1039" s="949"/>
      <c r="AF1039" s="949"/>
      <c r="AG1039" s="949"/>
      <c r="AH1039" s="949"/>
      <c r="AI1039" s="949"/>
      <c r="AJ1039" s="949"/>
      <c r="AK1039" s="949"/>
      <c r="AL1039" s="949"/>
      <c r="AM1039" s="953" t="s">
        <v>815</v>
      </c>
      <c r="AN1039" s="953" t="s">
        <v>855</v>
      </c>
      <c r="AO1039" s="955" t="s">
        <v>817</v>
      </c>
      <c r="AP1039" s="931"/>
      <c r="AQ1039" s="956"/>
      <c r="AR1039" s="957"/>
      <c r="AS1039" s="931"/>
    </row>
    <row r="1040" ht="15.75" customHeight="1">
      <c r="A1040" s="963"/>
      <c r="B1040" s="941" t="s">
        <v>3762</v>
      </c>
      <c r="C1040" s="971" t="s">
        <v>3763</v>
      </c>
      <c r="D1040" s="971" t="s">
        <v>3763</v>
      </c>
      <c r="E1040" s="966" t="s">
        <v>3763</v>
      </c>
      <c r="F1040" s="935"/>
      <c r="G1040" s="944"/>
      <c r="H1040" s="944"/>
      <c r="I1040" s="959" t="s">
        <v>367</v>
      </c>
      <c r="J1040" s="984" t="s">
        <v>707</v>
      </c>
      <c r="K1040" s="1007" t="s">
        <v>719</v>
      </c>
      <c r="L1040" s="974">
        <v>98.0</v>
      </c>
      <c r="M1040" s="974">
        <v>87.0</v>
      </c>
      <c r="N1040" s="974">
        <v>105.0</v>
      </c>
      <c r="O1040" s="974">
        <v>53.0</v>
      </c>
      <c r="P1040" s="974">
        <v>85.0</v>
      </c>
      <c r="Q1040" s="974">
        <v>67.0</v>
      </c>
      <c r="R1040" s="949">
        <v>170.0</v>
      </c>
      <c r="S1040" s="949">
        <v>233.0</v>
      </c>
      <c r="T1040" s="949">
        <v>256.0</v>
      </c>
      <c r="U1040" s="949"/>
      <c r="V1040" s="949"/>
      <c r="W1040" s="949"/>
      <c r="X1040" s="949"/>
      <c r="Y1040" s="949"/>
      <c r="Z1040" s="949"/>
      <c r="AA1040" s="949"/>
      <c r="AB1040" s="949"/>
      <c r="AC1040" s="949"/>
      <c r="AD1040" s="949"/>
      <c r="AE1040" s="949"/>
      <c r="AF1040" s="949"/>
      <c r="AG1040" s="949"/>
      <c r="AH1040" s="949"/>
      <c r="AI1040" s="949"/>
      <c r="AJ1040" s="949"/>
      <c r="AK1040" s="949"/>
      <c r="AL1040" s="949"/>
      <c r="AM1040" s="964" t="s">
        <v>1451</v>
      </c>
      <c r="AN1040" s="953" t="s">
        <v>855</v>
      </c>
      <c r="AO1040" s="955" t="s">
        <v>3764</v>
      </c>
      <c r="AP1040" s="931"/>
      <c r="AQ1040" s="956"/>
      <c r="AR1040" s="957"/>
      <c r="AS1040" s="931"/>
    </row>
    <row r="1041" ht="15.75" customHeight="1">
      <c r="A1041" s="931"/>
      <c r="B1041" s="941" t="s">
        <v>3765</v>
      </c>
      <c r="C1041" s="942" t="s">
        <v>3766</v>
      </c>
      <c r="D1041" s="942" t="s">
        <v>3766</v>
      </c>
      <c r="E1041" s="943" t="s">
        <v>3766</v>
      </c>
      <c r="F1041" s="935"/>
      <c r="G1041" s="944"/>
      <c r="H1041" s="944"/>
      <c r="I1041" s="946" t="s">
        <v>3767</v>
      </c>
      <c r="J1041" s="967" t="s">
        <v>715</v>
      </c>
      <c r="K1041" s="954" t="s">
        <v>158</v>
      </c>
      <c r="L1041" s="949">
        <v>25.0</v>
      </c>
      <c r="M1041" s="949">
        <v>20.0</v>
      </c>
      <c r="N1041" s="949">
        <v>20.0</v>
      </c>
      <c r="O1041" s="949">
        <v>25.0</v>
      </c>
      <c r="P1041" s="949">
        <v>45.0</v>
      </c>
      <c r="Q1041" s="949">
        <v>45.0</v>
      </c>
      <c r="R1041" s="949">
        <v>126.0</v>
      </c>
      <c r="S1041" s="949">
        <v>189.0</v>
      </c>
      <c r="T1041" s="949">
        <v>207.0</v>
      </c>
      <c r="U1041" s="949"/>
      <c r="V1041" s="949"/>
      <c r="W1041" s="949"/>
      <c r="X1041" s="949"/>
      <c r="Y1041" s="949"/>
      <c r="Z1041" s="949"/>
      <c r="AA1041" s="949"/>
      <c r="AB1041" s="949"/>
      <c r="AC1041" s="949"/>
      <c r="AD1041" s="949"/>
      <c r="AE1041" s="949"/>
      <c r="AF1041" s="949"/>
      <c r="AG1041" s="949"/>
      <c r="AH1041" s="949"/>
      <c r="AI1041" s="949"/>
      <c r="AJ1041" s="949"/>
      <c r="AK1041" s="949"/>
      <c r="AL1041" s="949"/>
      <c r="AM1041" s="953" t="s">
        <v>806</v>
      </c>
      <c r="AN1041" s="953" t="s">
        <v>795</v>
      </c>
      <c r="AO1041" s="955" t="s">
        <v>1657</v>
      </c>
      <c r="AP1041" s="931"/>
      <c r="AQ1041" s="956"/>
      <c r="AR1041" s="957"/>
      <c r="AS1041" s="931"/>
    </row>
    <row r="1042" ht="15.75" customHeight="1">
      <c r="A1042" s="931"/>
      <c r="B1042" s="941" t="s">
        <v>3768</v>
      </c>
      <c r="C1042" s="942" t="s">
        <v>3769</v>
      </c>
      <c r="D1042" s="942" t="s">
        <v>3769</v>
      </c>
      <c r="E1042" s="943" t="s">
        <v>3769</v>
      </c>
      <c r="F1042" s="935"/>
      <c r="G1042" s="944"/>
      <c r="H1042" s="944"/>
      <c r="I1042" s="946" t="s">
        <v>3770</v>
      </c>
      <c r="J1042" s="967" t="s">
        <v>715</v>
      </c>
      <c r="K1042" s="975" t="s">
        <v>712</v>
      </c>
      <c r="L1042" s="949">
        <v>50.0</v>
      </c>
      <c r="M1042" s="949">
        <v>35.0</v>
      </c>
      <c r="N1042" s="949">
        <v>80.0</v>
      </c>
      <c r="O1042" s="949">
        <v>50.0</v>
      </c>
      <c r="P1042" s="949">
        <v>90.0</v>
      </c>
      <c r="Q1042" s="949">
        <v>30.0</v>
      </c>
      <c r="R1042" s="949">
        <v>96.0</v>
      </c>
      <c r="S1042" s="949">
        <v>159.0</v>
      </c>
      <c r="T1042" s="949">
        <v>174.0</v>
      </c>
      <c r="U1042" s="949"/>
      <c r="V1042" s="949"/>
      <c r="W1042" s="949"/>
      <c r="X1042" s="949"/>
      <c r="Y1042" s="949"/>
      <c r="Z1042" s="949"/>
      <c r="AA1042" s="949"/>
      <c r="AB1042" s="949"/>
      <c r="AC1042" s="949"/>
      <c r="AD1042" s="949"/>
      <c r="AE1042" s="949"/>
      <c r="AF1042" s="949"/>
      <c r="AG1042" s="949"/>
      <c r="AH1042" s="949"/>
      <c r="AI1042" s="949"/>
      <c r="AJ1042" s="949"/>
      <c r="AK1042" s="949"/>
      <c r="AL1042" s="949"/>
      <c r="AM1042" s="953" t="s">
        <v>806</v>
      </c>
      <c r="AN1042" s="953" t="s">
        <v>795</v>
      </c>
      <c r="AO1042" s="955" t="s">
        <v>1657</v>
      </c>
      <c r="AP1042" s="931"/>
      <c r="AQ1042" s="956"/>
      <c r="AR1042" s="957"/>
      <c r="AS1042" s="931"/>
    </row>
    <row r="1043" ht="15.75" customHeight="1">
      <c r="A1043" s="963"/>
      <c r="B1043" s="941" t="s">
        <v>3771</v>
      </c>
      <c r="C1043" s="971" t="s">
        <v>3772</v>
      </c>
      <c r="D1043" s="971" t="s">
        <v>3772</v>
      </c>
      <c r="E1043" s="966" t="s">
        <v>3772</v>
      </c>
      <c r="F1043" s="935"/>
      <c r="G1043" s="944"/>
      <c r="H1043" s="944"/>
      <c r="I1043" s="959" t="s">
        <v>3773</v>
      </c>
      <c r="J1043" s="999" t="s">
        <v>715</v>
      </c>
      <c r="K1043" s="990" t="s">
        <v>712</v>
      </c>
      <c r="L1043" s="974">
        <v>60.0</v>
      </c>
      <c r="M1043" s="974">
        <v>45.0</v>
      </c>
      <c r="N1043" s="974">
        <v>110.0</v>
      </c>
      <c r="O1043" s="974">
        <v>80.0</v>
      </c>
      <c r="P1043" s="974">
        <v>120.0</v>
      </c>
      <c r="Q1043" s="974">
        <v>90.0</v>
      </c>
      <c r="R1043" s="949">
        <v>216.0</v>
      </c>
      <c r="S1043" s="949">
        <v>279.0</v>
      </c>
      <c r="T1043" s="949">
        <v>306.0</v>
      </c>
      <c r="U1043" s="949"/>
      <c r="V1043" s="949"/>
      <c r="W1043" s="949"/>
      <c r="X1043" s="949"/>
      <c r="Y1043" s="949"/>
      <c r="Z1043" s="949"/>
      <c r="AA1043" s="949"/>
      <c r="AB1043" s="949"/>
      <c r="AC1043" s="949"/>
      <c r="AD1043" s="949"/>
      <c r="AE1043" s="949"/>
      <c r="AF1043" s="949"/>
      <c r="AG1043" s="949"/>
      <c r="AH1043" s="949"/>
      <c r="AI1043" s="949"/>
      <c r="AJ1043" s="949"/>
      <c r="AK1043" s="949"/>
      <c r="AL1043" s="949"/>
      <c r="AM1043" s="964" t="s">
        <v>806</v>
      </c>
      <c r="AN1043" s="964" t="s">
        <v>990</v>
      </c>
      <c r="AO1043" s="965" t="s">
        <v>1657</v>
      </c>
      <c r="AP1043" s="931"/>
      <c r="AQ1043" s="956"/>
      <c r="AR1043" s="957"/>
      <c r="AS1043" s="931"/>
    </row>
    <row r="1044" ht="15.75" customHeight="1">
      <c r="A1044" s="931"/>
      <c r="B1044" s="941" t="s">
        <v>3774</v>
      </c>
      <c r="C1044" s="942" t="s">
        <v>3775</v>
      </c>
      <c r="D1044" s="942" t="s">
        <v>3775</v>
      </c>
      <c r="E1044" s="943" t="s">
        <v>3775</v>
      </c>
      <c r="F1044" s="935"/>
      <c r="G1044" s="944"/>
      <c r="H1044" s="944"/>
      <c r="I1044" s="946" t="s">
        <v>3776</v>
      </c>
      <c r="J1044" s="969" t="s">
        <v>718</v>
      </c>
      <c r="K1044" s="954" t="s">
        <v>158</v>
      </c>
      <c r="L1044" s="949">
        <v>40.0</v>
      </c>
      <c r="M1044" s="949">
        <v>28.0</v>
      </c>
      <c r="N1044" s="949">
        <v>28.0</v>
      </c>
      <c r="O1044" s="949">
        <v>47.0</v>
      </c>
      <c r="P1044" s="949">
        <v>52.0</v>
      </c>
      <c r="Q1044" s="949">
        <v>50.0</v>
      </c>
      <c r="R1044" s="949">
        <v>136.0</v>
      </c>
      <c r="S1044" s="949">
        <v>199.0</v>
      </c>
      <c r="T1044" s="949">
        <v>218.0</v>
      </c>
      <c r="U1044" s="949"/>
      <c r="V1044" s="949"/>
      <c r="W1044" s="949"/>
      <c r="X1044" s="949"/>
      <c r="Y1044" s="949"/>
      <c r="Z1044" s="949"/>
      <c r="AA1044" s="949"/>
      <c r="AB1044" s="949"/>
      <c r="AC1044" s="949"/>
      <c r="AD1044" s="949"/>
      <c r="AE1044" s="949"/>
      <c r="AF1044" s="949"/>
      <c r="AG1044" s="949"/>
      <c r="AH1044" s="949"/>
      <c r="AI1044" s="949"/>
      <c r="AJ1044" s="949"/>
      <c r="AK1044" s="949"/>
      <c r="AL1044" s="949"/>
      <c r="AM1044" s="953" t="s">
        <v>1306</v>
      </c>
      <c r="AN1044" s="953" t="s">
        <v>787</v>
      </c>
      <c r="AO1044" s="955" t="s">
        <v>3430</v>
      </c>
      <c r="AP1044" s="931"/>
      <c r="AQ1044" s="956"/>
      <c r="AR1044" s="957"/>
      <c r="AS1044" s="931"/>
    </row>
    <row r="1045" ht="15.75" customHeight="1">
      <c r="A1045" s="931"/>
      <c r="B1045" s="941" t="s">
        <v>3777</v>
      </c>
      <c r="C1045" s="942" t="s">
        <v>3778</v>
      </c>
      <c r="D1045" s="942" t="s">
        <v>3778</v>
      </c>
      <c r="E1045" s="943" t="s">
        <v>3778</v>
      </c>
      <c r="F1045" s="935"/>
      <c r="G1045" s="944"/>
      <c r="H1045" s="944"/>
      <c r="I1045" s="946" t="s">
        <v>3779</v>
      </c>
      <c r="J1045" s="969" t="s">
        <v>718</v>
      </c>
      <c r="K1045" s="954" t="s">
        <v>158</v>
      </c>
      <c r="L1045" s="949">
        <v>70.0</v>
      </c>
      <c r="M1045" s="949">
        <v>58.0</v>
      </c>
      <c r="N1045" s="949">
        <v>58.0</v>
      </c>
      <c r="O1045" s="949">
        <v>87.0</v>
      </c>
      <c r="P1045" s="949">
        <v>92.0</v>
      </c>
      <c r="Q1045" s="949">
        <v>90.0</v>
      </c>
      <c r="R1045" s="949">
        <v>216.0</v>
      </c>
      <c r="S1045" s="949">
        <v>279.0</v>
      </c>
      <c r="T1045" s="949">
        <v>306.0</v>
      </c>
      <c r="U1045" s="949"/>
      <c r="V1045" s="949"/>
      <c r="W1045" s="949"/>
      <c r="X1045" s="949"/>
      <c r="Y1045" s="949"/>
      <c r="Z1045" s="949"/>
      <c r="AA1045" s="949"/>
      <c r="AB1045" s="949"/>
      <c r="AC1045" s="949"/>
      <c r="AD1045" s="949"/>
      <c r="AE1045" s="949"/>
      <c r="AF1045" s="949"/>
      <c r="AG1045" s="949"/>
      <c r="AH1045" s="949"/>
      <c r="AI1045" s="949"/>
      <c r="AJ1045" s="949"/>
      <c r="AK1045" s="949"/>
      <c r="AL1045" s="949"/>
      <c r="AM1045" s="953" t="s">
        <v>1306</v>
      </c>
      <c r="AN1045" s="953" t="s">
        <v>787</v>
      </c>
      <c r="AO1045" s="955" t="s">
        <v>3430</v>
      </c>
      <c r="AP1045" s="931"/>
      <c r="AQ1045" s="956"/>
      <c r="AR1045" s="957"/>
      <c r="AS1045" s="931"/>
    </row>
    <row r="1046" ht="15.75" customHeight="1">
      <c r="A1046" s="931"/>
      <c r="B1046" s="941" t="s">
        <v>3780</v>
      </c>
      <c r="C1046" s="942" t="s">
        <v>3781</v>
      </c>
      <c r="D1046" s="942" t="s">
        <v>3781</v>
      </c>
      <c r="E1046" s="943" t="s">
        <v>3781</v>
      </c>
      <c r="F1046" s="935"/>
      <c r="G1046" s="944"/>
      <c r="H1046" s="944"/>
      <c r="I1046" s="946" t="s">
        <v>3782</v>
      </c>
      <c r="J1046" s="947" t="s">
        <v>708</v>
      </c>
      <c r="K1046" s="954" t="s">
        <v>158</v>
      </c>
      <c r="L1046" s="949">
        <v>40.0</v>
      </c>
      <c r="M1046" s="949">
        <v>40.0</v>
      </c>
      <c r="N1046" s="949">
        <v>60.0</v>
      </c>
      <c r="O1046" s="949">
        <v>40.0</v>
      </c>
      <c r="P1046" s="949">
        <v>60.0</v>
      </c>
      <c r="Q1046" s="949">
        <v>10.0</v>
      </c>
      <c r="R1046" s="949">
        <v>56.0</v>
      </c>
      <c r="S1046" s="949">
        <v>119.0</v>
      </c>
      <c r="T1046" s="949">
        <v>130.0</v>
      </c>
      <c r="U1046" s="949"/>
      <c r="V1046" s="949"/>
      <c r="W1046" s="949"/>
      <c r="X1046" s="949"/>
      <c r="Y1046" s="949"/>
      <c r="Z1046" s="949"/>
      <c r="AA1046" s="949"/>
      <c r="AB1046" s="949"/>
      <c r="AC1046" s="949"/>
      <c r="AD1046" s="949"/>
      <c r="AE1046" s="949"/>
      <c r="AF1046" s="949"/>
      <c r="AG1046" s="949"/>
      <c r="AH1046" s="949"/>
      <c r="AI1046" s="949"/>
      <c r="AJ1046" s="949"/>
      <c r="AK1046" s="949"/>
      <c r="AL1046" s="949"/>
      <c r="AM1046" s="953" t="s">
        <v>3783</v>
      </c>
      <c r="AN1046" s="953" t="s">
        <v>1177</v>
      </c>
      <c r="AO1046" s="955" t="s">
        <v>1009</v>
      </c>
      <c r="AP1046" s="931"/>
      <c r="AQ1046" s="956"/>
      <c r="AR1046" s="957"/>
      <c r="AS1046" s="931"/>
    </row>
    <row r="1047" ht="15.75" customHeight="1">
      <c r="A1047" s="931"/>
      <c r="B1047" s="941" t="s">
        <v>3784</v>
      </c>
      <c r="C1047" s="942" t="s">
        <v>3785</v>
      </c>
      <c r="D1047" s="942" t="s">
        <v>3785</v>
      </c>
      <c r="E1047" s="943" t="s">
        <v>3785</v>
      </c>
      <c r="F1047" s="935"/>
      <c r="G1047" s="944"/>
      <c r="H1047" s="944"/>
      <c r="I1047" s="946" t="s">
        <v>3786</v>
      </c>
      <c r="J1047" s="947" t="s">
        <v>708</v>
      </c>
      <c r="K1047" s="954" t="s">
        <v>158</v>
      </c>
      <c r="L1047" s="949">
        <v>60.0</v>
      </c>
      <c r="M1047" s="949">
        <v>50.0</v>
      </c>
      <c r="N1047" s="949">
        <v>90.0</v>
      </c>
      <c r="O1047" s="949">
        <v>80.0</v>
      </c>
      <c r="P1047" s="949">
        <v>120.0</v>
      </c>
      <c r="Q1047" s="949">
        <v>60.0</v>
      </c>
      <c r="R1047" s="949">
        <v>156.0</v>
      </c>
      <c r="S1047" s="949">
        <v>219.0</v>
      </c>
      <c r="T1047" s="949">
        <v>240.0</v>
      </c>
      <c r="U1047" s="949"/>
      <c r="V1047" s="949"/>
      <c r="W1047" s="949"/>
      <c r="X1047" s="949"/>
      <c r="Y1047" s="949"/>
      <c r="Z1047" s="949"/>
      <c r="AA1047" s="949"/>
      <c r="AB1047" s="949"/>
      <c r="AC1047" s="949"/>
      <c r="AD1047" s="949"/>
      <c r="AE1047" s="949"/>
      <c r="AF1047" s="949"/>
      <c r="AG1047" s="949"/>
      <c r="AH1047" s="949"/>
      <c r="AI1047" s="949"/>
      <c r="AJ1047" s="949"/>
      <c r="AK1047" s="949"/>
      <c r="AL1047" s="949"/>
      <c r="AM1047" s="953" t="s">
        <v>3783</v>
      </c>
      <c r="AN1047" s="953" t="s">
        <v>1177</v>
      </c>
      <c r="AO1047" s="955" t="s">
        <v>1009</v>
      </c>
      <c r="AP1047" s="931"/>
      <c r="AQ1047" s="956"/>
      <c r="AR1047" s="957"/>
      <c r="AS1047" s="931"/>
    </row>
    <row r="1048" ht="15.75" customHeight="1">
      <c r="A1048" s="963"/>
      <c r="B1048" s="941" t="s">
        <v>3787</v>
      </c>
      <c r="C1048" s="971" t="s">
        <v>3788</v>
      </c>
      <c r="D1048" s="971" t="s">
        <v>3788</v>
      </c>
      <c r="E1048" s="966" t="s">
        <v>3788</v>
      </c>
      <c r="F1048" s="935"/>
      <c r="G1048" s="944"/>
      <c r="H1048" s="944"/>
      <c r="I1048" s="959" t="s">
        <v>3789</v>
      </c>
      <c r="J1048" s="991" t="s">
        <v>703</v>
      </c>
      <c r="K1048" s="973" t="s">
        <v>158</v>
      </c>
      <c r="L1048" s="974">
        <v>42.0</v>
      </c>
      <c r="M1048" s="974">
        <v>40.0</v>
      </c>
      <c r="N1048" s="974">
        <v>55.0</v>
      </c>
      <c r="O1048" s="974">
        <v>40.0</v>
      </c>
      <c r="P1048" s="974">
        <v>45.0</v>
      </c>
      <c r="Q1048" s="974">
        <v>48.0</v>
      </c>
      <c r="R1048" s="949">
        <v>132.0</v>
      </c>
      <c r="S1048" s="949">
        <v>195.0</v>
      </c>
      <c r="T1048" s="949">
        <v>214.0</v>
      </c>
      <c r="U1048" s="949"/>
      <c r="V1048" s="949"/>
      <c r="W1048" s="949"/>
      <c r="X1048" s="949"/>
      <c r="Y1048" s="949"/>
      <c r="Z1048" s="949"/>
      <c r="AA1048" s="949"/>
      <c r="AB1048" s="949"/>
      <c r="AC1048" s="949"/>
      <c r="AD1048" s="949"/>
      <c r="AE1048" s="949"/>
      <c r="AF1048" s="949"/>
      <c r="AG1048" s="949"/>
      <c r="AH1048" s="949"/>
      <c r="AI1048" s="949"/>
      <c r="AJ1048" s="949"/>
      <c r="AK1048" s="949"/>
      <c r="AL1048" s="949"/>
      <c r="AM1048" s="964" t="s">
        <v>3513</v>
      </c>
      <c r="AN1048" s="953" t="s">
        <v>787</v>
      </c>
      <c r="AO1048" s="965" t="s">
        <v>3133</v>
      </c>
      <c r="AP1048" s="931"/>
      <c r="AQ1048" s="956"/>
      <c r="AR1048" s="957"/>
      <c r="AS1048" s="931"/>
    </row>
    <row r="1049" ht="15.75" customHeight="1">
      <c r="A1049" s="931"/>
      <c r="B1049" s="941" t="s">
        <v>3790</v>
      </c>
      <c r="C1049" s="942" t="s">
        <v>3791</v>
      </c>
      <c r="D1049" s="942" t="s">
        <v>3791</v>
      </c>
      <c r="E1049" s="943" t="s">
        <v>3791</v>
      </c>
      <c r="F1049" s="935"/>
      <c r="G1049" s="944"/>
      <c r="H1049" s="944"/>
      <c r="I1049" s="946" t="s">
        <v>3792</v>
      </c>
      <c r="J1049" s="968" t="s">
        <v>703</v>
      </c>
      <c r="K1049" s="954" t="s">
        <v>158</v>
      </c>
      <c r="L1049" s="949">
        <v>72.0</v>
      </c>
      <c r="M1049" s="949">
        <v>80.0</v>
      </c>
      <c r="N1049" s="949">
        <v>100.0</v>
      </c>
      <c r="O1049" s="949">
        <v>60.0</v>
      </c>
      <c r="P1049" s="949">
        <v>90.0</v>
      </c>
      <c r="Q1049" s="949">
        <v>88.0</v>
      </c>
      <c r="R1049" s="949">
        <v>212.0</v>
      </c>
      <c r="S1049" s="949">
        <v>275.0</v>
      </c>
      <c r="T1049" s="949">
        <v>302.0</v>
      </c>
      <c r="U1049" s="949"/>
      <c r="V1049" s="949"/>
      <c r="W1049" s="949"/>
      <c r="X1049" s="949"/>
      <c r="Y1049" s="949"/>
      <c r="Z1049" s="949"/>
      <c r="AA1049" s="949"/>
      <c r="AB1049" s="949"/>
      <c r="AC1049" s="949"/>
      <c r="AD1049" s="949"/>
      <c r="AE1049" s="949"/>
      <c r="AF1049" s="949"/>
      <c r="AG1049" s="949"/>
      <c r="AH1049" s="949"/>
      <c r="AI1049" s="949"/>
      <c r="AJ1049" s="949"/>
      <c r="AK1049" s="949"/>
      <c r="AL1049" s="949"/>
      <c r="AM1049" s="953" t="s">
        <v>3513</v>
      </c>
      <c r="AN1049" s="953" t="s">
        <v>1108</v>
      </c>
      <c r="AO1049" s="955" t="s">
        <v>3133</v>
      </c>
      <c r="AP1049" s="931"/>
      <c r="AQ1049" s="956"/>
      <c r="AR1049" s="957"/>
      <c r="AS1049" s="931"/>
    </row>
    <row r="1050" ht="15.75" customHeight="1">
      <c r="A1050" s="963"/>
      <c r="B1050" s="941" t="s">
        <v>3793</v>
      </c>
      <c r="C1050" s="971" t="s">
        <v>3794</v>
      </c>
      <c r="D1050" s="971" t="s">
        <v>3794</v>
      </c>
      <c r="E1050" s="966" t="s">
        <v>3794</v>
      </c>
      <c r="F1050" s="935"/>
      <c r="G1050" s="944"/>
      <c r="H1050" s="944"/>
      <c r="I1050" s="959" t="s">
        <v>649</v>
      </c>
      <c r="J1050" s="986" t="s">
        <v>706</v>
      </c>
      <c r="K1050" s="973" t="s">
        <v>158</v>
      </c>
      <c r="L1050" s="974">
        <v>50.0</v>
      </c>
      <c r="M1050" s="974">
        <v>64.0</v>
      </c>
      <c r="N1050" s="974">
        <v>50.0</v>
      </c>
      <c r="O1050" s="974">
        <v>38.0</v>
      </c>
      <c r="P1050" s="974">
        <v>38.0</v>
      </c>
      <c r="Q1050" s="974">
        <v>44.0</v>
      </c>
      <c r="R1050" s="949">
        <v>124.0</v>
      </c>
      <c r="S1050" s="949">
        <v>187.0</v>
      </c>
      <c r="T1050" s="949">
        <v>205.0</v>
      </c>
      <c r="U1050" s="949"/>
      <c r="V1050" s="949"/>
      <c r="W1050" s="949"/>
      <c r="X1050" s="949"/>
      <c r="Y1050" s="949"/>
      <c r="Z1050" s="949"/>
      <c r="AA1050" s="949"/>
      <c r="AB1050" s="949"/>
      <c r="AC1050" s="949"/>
      <c r="AD1050" s="949"/>
      <c r="AE1050" s="949"/>
      <c r="AF1050" s="949"/>
      <c r="AG1050" s="949"/>
      <c r="AH1050" s="949"/>
      <c r="AI1050" s="949"/>
      <c r="AJ1050" s="949"/>
      <c r="AK1050" s="949"/>
      <c r="AL1050" s="949"/>
      <c r="AM1050" s="964" t="s">
        <v>2039</v>
      </c>
      <c r="AN1050" s="964" t="s">
        <v>1192</v>
      </c>
      <c r="AO1050" s="965" t="s">
        <v>1062</v>
      </c>
      <c r="AP1050" s="931"/>
      <c r="AQ1050" s="956"/>
      <c r="AR1050" s="957"/>
      <c r="AS1050" s="931"/>
    </row>
    <row r="1051" ht="15.75" customHeight="1">
      <c r="A1051" s="931"/>
      <c r="B1051" s="941" t="s">
        <v>3795</v>
      </c>
      <c r="C1051" s="942" t="s">
        <v>3796</v>
      </c>
      <c r="D1051" s="942" t="s">
        <v>3796</v>
      </c>
      <c r="E1051" s="943" t="s">
        <v>3796</v>
      </c>
      <c r="F1051" s="935"/>
      <c r="G1051" s="944"/>
      <c r="H1051" s="944"/>
      <c r="I1051" s="946" t="s">
        <v>370</v>
      </c>
      <c r="J1051" s="962" t="s">
        <v>706</v>
      </c>
      <c r="K1051" s="989" t="s">
        <v>713</v>
      </c>
      <c r="L1051" s="949">
        <v>90.0</v>
      </c>
      <c r="M1051" s="949">
        <v>115.0</v>
      </c>
      <c r="N1051" s="949">
        <v>90.0</v>
      </c>
      <c r="O1051" s="949">
        <v>48.0</v>
      </c>
      <c r="P1051" s="949">
        <v>68.0</v>
      </c>
      <c r="Q1051" s="949">
        <v>74.0</v>
      </c>
      <c r="R1051" s="949">
        <v>184.0</v>
      </c>
      <c r="S1051" s="949">
        <v>247.0</v>
      </c>
      <c r="T1051" s="949">
        <v>271.0</v>
      </c>
      <c r="U1051" s="949"/>
      <c r="V1051" s="949"/>
      <c r="W1051" s="949"/>
      <c r="X1051" s="949"/>
      <c r="Y1051" s="949"/>
      <c r="Z1051" s="949"/>
      <c r="AA1051" s="949"/>
      <c r="AB1051" s="949"/>
      <c r="AC1051" s="949"/>
      <c r="AD1051" s="949"/>
      <c r="AE1051" s="949"/>
      <c r="AF1051" s="949"/>
      <c r="AG1051" s="949"/>
      <c r="AH1051" s="949"/>
      <c r="AI1051" s="949"/>
      <c r="AJ1051" s="949"/>
      <c r="AK1051" s="949"/>
      <c r="AL1051" s="949"/>
      <c r="AM1051" s="953" t="s">
        <v>2039</v>
      </c>
      <c r="AN1051" s="953" t="s">
        <v>1192</v>
      </c>
      <c r="AO1051" s="955" t="s">
        <v>1062</v>
      </c>
      <c r="AP1051" s="931"/>
      <c r="AQ1051" s="956"/>
      <c r="AR1051" s="957"/>
      <c r="AS1051" s="931"/>
    </row>
    <row r="1052" ht="15.75" customHeight="1">
      <c r="A1052" s="931"/>
      <c r="B1052" s="941" t="s">
        <v>3797</v>
      </c>
      <c r="C1052" s="942" t="s">
        <v>3798</v>
      </c>
      <c r="D1052" s="942" t="s">
        <v>3798</v>
      </c>
      <c r="E1052" s="943" t="s">
        <v>3798</v>
      </c>
      <c r="F1052" s="935"/>
      <c r="G1052" s="944"/>
      <c r="H1052" s="944"/>
      <c r="I1052" s="946" t="s">
        <v>3799</v>
      </c>
      <c r="J1052" s="970" t="s">
        <v>710</v>
      </c>
      <c r="K1052" s="954" t="s">
        <v>158</v>
      </c>
      <c r="L1052" s="949">
        <v>59.0</v>
      </c>
      <c r="M1052" s="949">
        <v>45.0</v>
      </c>
      <c r="N1052" s="949">
        <v>50.0</v>
      </c>
      <c r="O1052" s="949">
        <v>40.0</v>
      </c>
      <c r="P1052" s="949">
        <v>50.0</v>
      </c>
      <c r="Q1052" s="949">
        <v>26.0</v>
      </c>
      <c r="R1052" s="949">
        <v>88.0</v>
      </c>
      <c r="S1052" s="949">
        <v>151.0</v>
      </c>
      <c r="T1052" s="949">
        <v>166.0</v>
      </c>
      <c r="U1052" s="949"/>
      <c r="V1052" s="949"/>
      <c r="W1052" s="949"/>
      <c r="X1052" s="949"/>
      <c r="Y1052" s="949"/>
      <c r="Z1052" s="949"/>
      <c r="AA1052" s="949"/>
      <c r="AB1052" s="949"/>
      <c r="AC1052" s="949"/>
      <c r="AD1052" s="949"/>
      <c r="AE1052" s="949"/>
      <c r="AF1052" s="949"/>
      <c r="AG1052" s="949"/>
      <c r="AH1052" s="949"/>
      <c r="AI1052" s="949"/>
      <c r="AJ1052" s="949"/>
      <c r="AK1052" s="949"/>
      <c r="AL1052" s="949"/>
      <c r="AM1052" s="953" t="s">
        <v>3800</v>
      </c>
      <c r="AN1052" s="954"/>
      <c r="AO1052" s="955" t="s">
        <v>1046</v>
      </c>
      <c r="AP1052" s="931"/>
      <c r="AQ1052" s="956"/>
      <c r="AR1052" s="957"/>
      <c r="AS1052" s="931"/>
    </row>
    <row r="1053" ht="15.75" customHeight="1">
      <c r="A1053" s="931"/>
      <c r="B1053" s="941" t="s">
        <v>3801</v>
      </c>
      <c r="C1053" s="942" t="s">
        <v>3802</v>
      </c>
      <c r="D1053" s="942" t="s">
        <v>3802</v>
      </c>
      <c r="E1053" s="943" t="s">
        <v>3802</v>
      </c>
      <c r="F1053" s="935"/>
      <c r="G1053" s="944"/>
      <c r="H1053" s="944"/>
      <c r="I1053" s="946" t="s">
        <v>3803</v>
      </c>
      <c r="J1053" s="970" t="s">
        <v>710</v>
      </c>
      <c r="K1053" s="954" t="s">
        <v>158</v>
      </c>
      <c r="L1053" s="949">
        <v>69.0</v>
      </c>
      <c r="M1053" s="949">
        <v>90.0</v>
      </c>
      <c r="N1053" s="949">
        <v>60.0</v>
      </c>
      <c r="O1053" s="949">
        <v>90.0</v>
      </c>
      <c r="P1053" s="949">
        <v>60.0</v>
      </c>
      <c r="Q1053" s="949">
        <v>121.0</v>
      </c>
      <c r="R1053" s="949">
        <v>278.0</v>
      </c>
      <c r="S1053" s="949">
        <v>341.0</v>
      </c>
      <c r="T1053" s="949">
        <v>375.0</v>
      </c>
      <c r="U1053" s="949"/>
      <c r="V1053" s="949"/>
      <c r="W1053" s="949"/>
      <c r="X1053" s="949"/>
      <c r="Y1053" s="949"/>
      <c r="Z1053" s="949"/>
      <c r="AA1053" s="949"/>
      <c r="AB1053" s="949"/>
      <c r="AC1053" s="949"/>
      <c r="AD1053" s="949"/>
      <c r="AE1053" s="949"/>
      <c r="AF1053" s="949"/>
      <c r="AG1053" s="949"/>
      <c r="AH1053" s="949"/>
      <c r="AI1053" s="949"/>
      <c r="AJ1053" s="949"/>
      <c r="AK1053" s="949"/>
      <c r="AL1053" s="949"/>
      <c r="AM1053" s="953" t="s">
        <v>2039</v>
      </c>
      <c r="AN1053" s="954"/>
      <c r="AO1053" s="955" t="s">
        <v>987</v>
      </c>
      <c r="AP1053" s="931"/>
      <c r="AQ1053" s="956"/>
      <c r="AR1053" s="957"/>
      <c r="AS1053" s="931"/>
    </row>
    <row r="1054" ht="15.75" customHeight="1">
      <c r="A1054" s="931"/>
      <c r="B1054" s="941" t="s">
        <v>3804</v>
      </c>
      <c r="C1054" s="942" t="s">
        <v>3805</v>
      </c>
      <c r="D1054" s="942" t="s">
        <v>3805</v>
      </c>
      <c r="E1054" s="943" t="s">
        <v>3805</v>
      </c>
      <c r="F1054" s="935"/>
      <c r="G1054" s="944"/>
      <c r="H1054" s="944"/>
      <c r="I1054" s="946" t="s">
        <v>650</v>
      </c>
      <c r="J1054" s="989" t="s">
        <v>713</v>
      </c>
      <c r="K1054" s="954" t="s">
        <v>158</v>
      </c>
      <c r="L1054" s="949">
        <v>30.0</v>
      </c>
      <c r="M1054" s="949">
        <v>40.0</v>
      </c>
      <c r="N1054" s="949">
        <v>50.0</v>
      </c>
      <c r="O1054" s="949">
        <v>40.0</v>
      </c>
      <c r="P1054" s="949">
        <v>50.0</v>
      </c>
      <c r="Q1054" s="949">
        <v>30.0</v>
      </c>
      <c r="R1054" s="949">
        <v>96.0</v>
      </c>
      <c r="S1054" s="949">
        <v>159.0</v>
      </c>
      <c r="T1054" s="949">
        <v>174.0</v>
      </c>
      <c r="U1054" s="949"/>
      <c r="V1054" s="949"/>
      <c r="W1054" s="949"/>
      <c r="X1054" s="949"/>
      <c r="Y1054" s="949"/>
      <c r="Z1054" s="949"/>
      <c r="AA1054" s="949"/>
      <c r="AB1054" s="949"/>
      <c r="AC1054" s="949"/>
      <c r="AD1054" s="949"/>
      <c r="AE1054" s="949"/>
      <c r="AF1054" s="949"/>
      <c r="AG1054" s="949"/>
      <c r="AH1054" s="949"/>
      <c r="AI1054" s="949"/>
      <c r="AJ1054" s="949"/>
      <c r="AK1054" s="949"/>
      <c r="AL1054" s="949"/>
      <c r="AM1054" s="953" t="s">
        <v>3806</v>
      </c>
      <c r="AN1054" s="953" t="s">
        <v>2416</v>
      </c>
      <c r="AO1054" s="955" t="s">
        <v>972</v>
      </c>
      <c r="AP1054" s="931"/>
      <c r="AQ1054" s="956"/>
      <c r="AR1054" s="957"/>
      <c r="AS1054" s="931"/>
    </row>
    <row r="1055" ht="15.75" customHeight="1">
      <c r="A1055" s="931"/>
      <c r="B1055" s="941" t="s">
        <v>3807</v>
      </c>
      <c r="C1055" s="942" t="s">
        <v>3808</v>
      </c>
      <c r="D1055" s="942" t="s">
        <v>3808</v>
      </c>
      <c r="E1055" s="943" t="s">
        <v>3808</v>
      </c>
      <c r="F1055" s="935"/>
      <c r="G1055" s="944"/>
      <c r="H1055" s="944"/>
      <c r="I1055" s="946" t="s">
        <v>651</v>
      </c>
      <c r="J1055" s="989" t="s">
        <v>713</v>
      </c>
      <c r="K1055" s="958" t="s">
        <v>704</v>
      </c>
      <c r="L1055" s="949">
        <v>80.0</v>
      </c>
      <c r="M1055" s="949">
        <v>60.0</v>
      </c>
      <c r="N1055" s="949">
        <v>90.0</v>
      </c>
      <c r="O1055" s="949">
        <v>60.0</v>
      </c>
      <c r="P1055" s="949">
        <v>70.0</v>
      </c>
      <c r="Q1055" s="949">
        <v>50.0</v>
      </c>
      <c r="R1055" s="949">
        <v>136.0</v>
      </c>
      <c r="S1055" s="949">
        <v>199.0</v>
      </c>
      <c r="T1055" s="949">
        <v>218.0</v>
      </c>
      <c r="U1055" s="949"/>
      <c r="V1055" s="949"/>
      <c r="W1055" s="949"/>
      <c r="X1055" s="949"/>
      <c r="Y1055" s="949"/>
      <c r="Z1055" s="949"/>
      <c r="AA1055" s="949"/>
      <c r="AB1055" s="949"/>
      <c r="AC1055" s="949"/>
      <c r="AD1055" s="949"/>
      <c r="AE1055" s="949"/>
      <c r="AF1055" s="949"/>
      <c r="AG1055" s="949"/>
      <c r="AH1055" s="949"/>
      <c r="AI1055" s="949"/>
      <c r="AJ1055" s="949"/>
      <c r="AK1055" s="949"/>
      <c r="AL1055" s="949"/>
      <c r="AM1055" s="953" t="s">
        <v>3806</v>
      </c>
      <c r="AN1055" s="953" t="s">
        <v>1159</v>
      </c>
      <c r="AO1055" s="955" t="s">
        <v>972</v>
      </c>
      <c r="AP1055" s="931"/>
      <c r="AQ1055" s="956"/>
      <c r="AR1055" s="957"/>
      <c r="AS1055" s="931"/>
    </row>
    <row r="1056" ht="15.75" customHeight="1">
      <c r="A1056" s="931"/>
      <c r="B1056" s="941" t="s">
        <v>3809</v>
      </c>
      <c r="C1056" s="942" t="s">
        <v>3810</v>
      </c>
      <c r="D1056" s="942" t="s">
        <v>3810</v>
      </c>
      <c r="E1056" s="943" t="s">
        <v>3810</v>
      </c>
      <c r="F1056" s="935"/>
      <c r="G1056" s="944"/>
      <c r="H1056" s="944"/>
      <c r="I1056" s="946" t="s">
        <v>403</v>
      </c>
      <c r="J1056" s="989" t="s">
        <v>713</v>
      </c>
      <c r="K1056" s="958" t="s">
        <v>704</v>
      </c>
      <c r="L1056" s="949">
        <v>110.0</v>
      </c>
      <c r="M1056" s="949">
        <v>80.0</v>
      </c>
      <c r="N1056" s="949">
        <v>120.0</v>
      </c>
      <c r="O1056" s="949">
        <v>80.0</v>
      </c>
      <c r="P1056" s="949">
        <v>90.0</v>
      </c>
      <c r="Q1056" s="949">
        <v>30.0</v>
      </c>
      <c r="R1056" s="949">
        <v>96.0</v>
      </c>
      <c r="S1056" s="949">
        <v>159.0</v>
      </c>
      <c r="T1056" s="949">
        <v>174.0</v>
      </c>
      <c r="U1056" s="949"/>
      <c r="V1056" s="949"/>
      <c r="W1056" s="949"/>
      <c r="X1056" s="949"/>
      <c r="Y1056" s="949"/>
      <c r="Z1056" s="949"/>
      <c r="AA1056" s="949"/>
      <c r="AB1056" s="949"/>
      <c r="AC1056" s="949"/>
      <c r="AD1056" s="949"/>
      <c r="AE1056" s="949"/>
      <c r="AF1056" s="949"/>
      <c r="AG1056" s="949"/>
      <c r="AH1056" s="949"/>
      <c r="AI1056" s="949"/>
      <c r="AJ1056" s="949"/>
      <c r="AK1056" s="949"/>
      <c r="AL1056" s="949"/>
      <c r="AM1056" s="953" t="s">
        <v>3806</v>
      </c>
      <c r="AN1056" s="953" t="s">
        <v>1159</v>
      </c>
      <c r="AO1056" s="955" t="s">
        <v>972</v>
      </c>
      <c r="AP1056" s="931"/>
      <c r="AQ1056" s="956"/>
      <c r="AR1056" s="957"/>
      <c r="AS1056" s="931"/>
    </row>
    <row r="1057" ht="15.75" customHeight="1">
      <c r="A1057" s="931"/>
      <c r="B1057" s="941" t="s">
        <v>3811</v>
      </c>
      <c r="C1057" s="942" t="s">
        <v>3812</v>
      </c>
      <c r="D1057" s="942" t="s">
        <v>3812</v>
      </c>
      <c r="E1057" s="943" t="s">
        <v>3812</v>
      </c>
      <c r="F1057" s="935"/>
      <c r="G1057" s="944"/>
      <c r="H1057" s="944"/>
      <c r="I1057" s="946" t="s">
        <v>652</v>
      </c>
      <c r="J1057" s="947" t="s">
        <v>708</v>
      </c>
      <c r="K1057" s="961" t="s">
        <v>716</v>
      </c>
      <c r="L1057" s="949">
        <v>40.0</v>
      </c>
      <c r="M1057" s="949">
        <v>40.0</v>
      </c>
      <c r="N1057" s="949">
        <v>80.0</v>
      </c>
      <c r="O1057" s="949">
        <v>40.0</v>
      </c>
      <c r="P1057" s="949">
        <v>40.0</v>
      </c>
      <c r="Q1057" s="949">
        <v>20.0</v>
      </c>
      <c r="R1057" s="949">
        <v>76.0</v>
      </c>
      <c r="S1057" s="949">
        <v>139.0</v>
      </c>
      <c r="T1057" s="949">
        <v>152.0</v>
      </c>
      <c r="U1057" s="949"/>
      <c r="V1057" s="949"/>
      <c r="W1057" s="949"/>
      <c r="X1057" s="949"/>
      <c r="Y1057" s="949"/>
      <c r="Z1057" s="949"/>
      <c r="AA1057" s="949"/>
      <c r="AB1057" s="949"/>
      <c r="AC1057" s="949"/>
      <c r="AD1057" s="949"/>
      <c r="AE1057" s="949"/>
      <c r="AF1057" s="949"/>
      <c r="AG1057" s="949"/>
      <c r="AH1057" s="949"/>
      <c r="AI1057" s="949"/>
      <c r="AJ1057" s="949"/>
      <c r="AK1057" s="949"/>
      <c r="AL1057" s="949"/>
      <c r="AM1057" s="953" t="s">
        <v>3813</v>
      </c>
      <c r="AN1057" s="953" t="s">
        <v>837</v>
      </c>
      <c r="AO1057" s="955" t="s">
        <v>3133</v>
      </c>
      <c r="AP1057" s="931"/>
      <c r="AQ1057" s="956"/>
      <c r="AR1057" s="957"/>
      <c r="AS1057" s="931"/>
    </row>
    <row r="1058" ht="15.75" customHeight="1">
      <c r="A1058" s="931"/>
      <c r="B1058" s="941" t="s">
        <v>3814</v>
      </c>
      <c r="C1058" s="942" t="s">
        <v>3815</v>
      </c>
      <c r="D1058" s="942" t="s">
        <v>3815</v>
      </c>
      <c r="E1058" s="943" t="s">
        <v>3815</v>
      </c>
      <c r="F1058" s="935"/>
      <c r="G1058" s="944"/>
      <c r="H1058" s="944"/>
      <c r="I1058" s="946" t="s">
        <v>449</v>
      </c>
      <c r="J1058" s="947" t="s">
        <v>708</v>
      </c>
      <c r="K1058" s="961" t="s">
        <v>716</v>
      </c>
      <c r="L1058" s="949">
        <v>70.0</v>
      </c>
      <c r="M1058" s="949">
        <v>110.0</v>
      </c>
      <c r="N1058" s="949">
        <v>80.0</v>
      </c>
      <c r="O1058" s="949">
        <v>95.0</v>
      </c>
      <c r="P1058" s="949">
        <v>60.0</v>
      </c>
      <c r="Q1058" s="949">
        <v>70.0</v>
      </c>
      <c r="R1058" s="949">
        <v>176.0</v>
      </c>
      <c r="S1058" s="949">
        <v>239.0</v>
      </c>
      <c r="T1058" s="949">
        <v>262.0</v>
      </c>
      <c r="U1058" s="949"/>
      <c r="V1058" s="949"/>
      <c r="W1058" s="949"/>
      <c r="X1058" s="949"/>
      <c r="Y1058" s="949"/>
      <c r="Z1058" s="949"/>
      <c r="AA1058" s="949"/>
      <c r="AB1058" s="949"/>
      <c r="AC1058" s="949"/>
      <c r="AD1058" s="949"/>
      <c r="AE1058" s="949"/>
      <c r="AF1058" s="949"/>
      <c r="AG1058" s="949"/>
      <c r="AH1058" s="949"/>
      <c r="AI1058" s="949"/>
      <c r="AJ1058" s="949"/>
      <c r="AK1058" s="949"/>
      <c r="AL1058" s="949"/>
      <c r="AM1058" s="953" t="s">
        <v>3813</v>
      </c>
      <c r="AN1058" s="953" t="s">
        <v>837</v>
      </c>
      <c r="AO1058" s="955" t="s">
        <v>832</v>
      </c>
      <c r="AP1058" s="931"/>
      <c r="AQ1058" s="956"/>
      <c r="AR1058" s="957"/>
      <c r="AS1058" s="931"/>
    </row>
    <row r="1059" ht="15.75" customHeight="1">
      <c r="A1059" s="931"/>
      <c r="B1059" s="941" t="s">
        <v>3816</v>
      </c>
      <c r="C1059" s="942" t="s">
        <v>3817</v>
      </c>
      <c r="D1059" s="942" t="s">
        <v>3817</v>
      </c>
      <c r="E1059" s="943" t="s">
        <v>3818</v>
      </c>
      <c r="F1059" s="935"/>
      <c r="G1059" s="944"/>
      <c r="H1059" s="944"/>
      <c r="I1059" s="946" t="s">
        <v>3819</v>
      </c>
      <c r="J1059" s="947" t="s">
        <v>708</v>
      </c>
      <c r="K1059" s="961" t="s">
        <v>716</v>
      </c>
      <c r="L1059" s="949">
        <v>70.0</v>
      </c>
      <c r="M1059" s="949">
        <v>110.0</v>
      </c>
      <c r="N1059" s="949">
        <v>80.0</v>
      </c>
      <c r="O1059" s="949">
        <v>95.0</v>
      </c>
      <c r="P1059" s="949">
        <v>60.0</v>
      </c>
      <c r="Q1059" s="949">
        <v>70.0</v>
      </c>
      <c r="R1059" s="949">
        <v>176.0</v>
      </c>
      <c r="S1059" s="949">
        <v>239.0</v>
      </c>
      <c r="T1059" s="949">
        <v>262.0</v>
      </c>
      <c r="U1059" s="949"/>
      <c r="V1059" s="949"/>
      <c r="W1059" s="949"/>
      <c r="X1059" s="949"/>
      <c r="Y1059" s="949"/>
      <c r="Z1059" s="949"/>
      <c r="AA1059" s="949"/>
      <c r="AB1059" s="949"/>
      <c r="AC1059" s="949"/>
      <c r="AD1059" s="949"/>
      <c r="AE1059" s="949"/>
      <c r="AF1059" s="949"/>
      <c r="AG1059" s="949"/>
      <c r="AH1059" s="949"/>
      <c r="AI1059" s="949"/>
      <c r="AJ1059" s="949"/>
      <c r="AK1059" s="949"/>
      <c r="AL1059" s="949"/>
      <c r="AM1059" s="953" t="s">
        <v>3813</v>
      </c>
      <c r="AN1059" s="953" t="s">
        <v>837</v>
      </c>
      <c r="AO1059" s="955" t="s">
        <v>832</v>
      </c>
      <c r="AP1059" s="931"/>
      <c r="AQ1059" s="956"/>
      <c r="AR1059" s="957"/>
      <c r="AS1059" s="931"/>
    </row>
    <row r="1060" ht="15.75" customHeight="1">
      <c r="A1060" s="931"/>
      <c r="B1060" s="941" t="s">
        <v>3820</v>
      </c>
      <c r="C1060" s="942" t="s">
        <v>3821</v>
      </c>
      <c r="D1060" s="942" t="s">
        <v>3821</v>
      </c>
      <c r="E1060" s="943" t="s">
        <v>3821</v>
      </c>
      <c r="F1060" s="935"/>
      <c r="G1060" s="944"/>
      <c r="H1060" s="944"/>
      <c r="I1060" s="959" t="s">
        <v>450</v>
      </c>
      <c r="J1060" s="947" t="s">
        <v>708</v>
      </c>
      <c r="K1060" s="961" t="s">
        <v>716</v>
      </c>
      <c r="L1060" s="949">
        <v>110.0</v>
      </c>
      <c r="M1060" s="949">
        <v>85.0</v>
      </c>
      <c r="N1060" s="949">
        <v>80.0</v>
      </c>
      <c r="O1060" s="949">
        <v>100.0</v>
      </c>
      <c r="P1060" s="949">
        <v>80.0</v>
      </c>
      <c r="Q1060" s="949">
        <v>30.0</v>
      </c>
      <c r="R1060" s="949">
        <v>96.0</v>
      </c>
      <c r="S1060" s="949">
        <v>159.0</v>
      </c>
      <c r="T1060" s="949">
        <v>174.0</v>
      </c>
      <c r="U1060" s="949"/>
      <c r="V1060" s="949"/>
      <c r="W1060" s="949"/>
      <c r="X1060" s="949"/>
      <c r="Y1060" s="949"/>
      <c r="Z1060" s="949"/>
      <c r="AA1060" s="949"/>
      <c r="AB1060" s="949"/>
      <c r="AC1060" s="949"/>
      <c r="AD1060" s="949"/>
      <c r="AE1060" s="949"/>
      <c r="AF1060" s="949"/>
      <c r="AG1060" s="949"/>
      <c r="AH1060" s="949"/>
      <c r="AI1060" s="949"/>
      <c r="AJ1060" s="949"/>
      <c r="AK1060" s="949"/>
      <c r="AL1060" s="949"/>
      <c r="AM1060" s="953" t="s">
        <v>3813</v>
      </c>
      <c r="AN1060" s="953" t="s">
        <v>837</v>
      </c>
      <c r="AO1060" s="955" t="s">
        <v>746</v>
      </c>
      <c r="AP1060" s="931"/>
      <c r="AQ1060" s="956"/>
      <c r="AR1060" s="957"/>
      <c r="AS1060" s="931"/>
    </row>
    <row r="1061" ht="15.75" customHeight="1">
      <c r="A1061" s="963"/>
      <c r="B1061" s="941" t="s">
        <v>3822</v>
      </c>
      <c r="C1061" s="942" t="s">
        <v>3823</v>
      </c>
      <c r="D1061" s="942" t="s">
        <v>3823</v>
      </c>
      <c r="E1061" s="943" t="s">
        <v>3823</v>
      </c>
      <c r="F1061" s="935"/>
      <c r="G1061" s="944"/>
      <c r="H1061" s="944"/>
      <c r="I1061" s="946" t="s">
        <v>653</v>
      </c>
      <c r="J1061" s="976" t="s">
        <v>711</v>
      </c>
      <c r="K1061" s="954" t="s">
        <v>158</v>
      </c>
      <c r="L1061" s="949">
        <v>52.0</v>
      </c>
      <c r="M1061" s="949">
        <v>57.0</v>
      </c>
      <c r="N1061" s="949">
        <v>75.0</v>
      </c>
      <c r="O1061" s="949">
        <v>35.0</v>
      </c>
      <c r="P1061" s="949">
        <v>50.0</v>
      </c>
      <c r="Q1061" s="949">
        <v>46.0</v>
      </c>
      <c r="R1061" s="949">
        <v>128.0</v>
      </c>
      <c r="S1061" s="949">
        <v>191.0</v>
      </c>
      <c r="T1061" s="949">
        <v>210.0</v>
      </c>
      <c r="U1061" s="949"/>
      <c r="V1061" s="949"/>
      <c r="W1061" s="949"/>
      <c r="X1061" s="949"/>
      <c r="Y1061" s="949"/>
      <c r="Z1061" s="949"/>
      <c r="AA1061" s="949"/>
      <c r="AB1061" s="949"/>
      <c r="AC1061" s="949"/>
      <c r="AD1061" s="949"/>
      <c r="AE1061" s="949"/>
      <c r="AF1061" s="949"/>
      <c r="AG1061" s="949"/>
      <c r="AH1061" s="949"/>
      <c r="AI1061" s="949"/>
      <c r="AJ1061" s="949"/>
      <c r="AK1061" s="949"/>
      <c r="AL1061" s="949"/>
      <c r="AM1061" s="964" t="s">
        <v>3824</v>
      </c>
      <c r="AN1061" s="953" t="s">
        <v>791</v>
      </c>
      <c r="AO1061" s="955" t="s">
        <v>923</v>
      </c>
      <c r="AP1061" s="931"/>
      <c r="AQ1061" s="956"/>
      <c r="AR1061" s="957"/>
      <c r="AS1061" s="931"/>
    </row>
    <row r="1062" ht="15.75" customHeight="1">
      <c r="A1062" s="931"/>
      <c r="B1062" s="941" t="s">
        <v>3825</v>
      </c>
      <c r="C1062" s="942" t="s">
        <v>3826</v>
      </c>
      <c r="D1062" s="942" t="s">
        <v>3826</v>
      </c>
      <c r="E1062" s="943" t="s">
        <v>3826</v>
      </c>
      <c r="F1062" s="935"/>
      <c r="G1062" s="944"/>
      <c r="H1062" s="944"/>
      <c r="I1062" s="946" t="s">
        <v>466</v>
      </c>
      <c r="J1062" s="976" t="s">
        <v>711</v>
      </c>
      <c r="K1062" s="954" t="s">
        <v>158</v>
      </c>
      <c r="L1062" s="949">
        <v>72.0</v>
      </c>
      <c r="M1062" s="949">
        <v>107.0</v>
      </c>
      <c r="N1062" s="949">
        <v>125.0</v>
      </c>
      <c r="O1062" s="949">
        <v>65.0</v>
      </c>
      <c r="P1062" s="949">
        <v>70.0</v>
      </c>
      <c r="Q1062" s="949">
        <v>71.0</v>
      </c>
      <c r="R1062" s="949">
        <v>178.0</v>
      </c>
      <c r="S1062" s="949">
        <v>241.0</v>
      </c>
      <c r="T1062" s="949">
        <v>265.0</v>
      </c>
      <c r="U1062" s="949"/>
      <c r="V1062" s="949"/>
      <c r="W1062" s="949"/>
      <c r="X1062" s="949"/>
      <c r="Y1062" s="949"/>
      <c r="Z1062" s="949"/>
      <c r="AA1062" s="949"/>
      <c r="AB1062" s="949"/>
      <c r="AC1062" s="949"/>
      <c r="AD1062" s="949"/>
      <c r="AE1062" s="949"/>
      <c r="AF1062" s="949"/>
      <c r="AG1062" s="949"/>
      <c r="AH1062" s="949"/>
      <c r="AI1062" s="949"/>
      <c r="AJ1062" s="949"/>
      <c r="AK1062" s="949"/>
      <c r="AL1062" s="949"/>
      <c r="AM1062" s="953" t="s">
        <v>3824</v>
      </c>
      <c r="AN1062" s="953" t="s">
        <v>791</v>
      </c>
      <c r="AO1062" s="955" t="s">
        <v>923</v>
      </c>
      <c r="AP1062" s="931"/>
      <c r="AQ1062" s="956"/>
      <c r="AR1062" s="957"/>
      <c r="AS1062" s="931"/>
    </row>
    <row r="1063" ht="15.75" customHeight="1">
      <c r="A1063" s="931"/>
      <c r="B1063" s="941" t="s">
        <v>3827</v>
      </c>
      <c r="C1063" s="942" t="s">
        <v>3828</v>
      </c>
      <c r="D1063" s="942" t="s">
        <v>3828</v>
      </c>
      <c r="E1063" s="943" t="s">
        <v>3828</v>
      </c>
      <c r="F1063" s="935"/>
      <c r="G1063" s="944"/>
      <c r="H1063" s="944"/>
      <c r="I1063" s="959" t="s">
        <v>3829</v>
      </c>
      <c r="J1063" s="960" t="s">
        <v>707</v>
      </c>
      <c r="K1063" s="962" t="s">
        <v>706</v>
      </c>
      <c r="L1063" s="949">
        <v>70.0</v>
      </c>
      <c r="M1063" s="949">
        <v>85.0</v>
      </c>
      <c r="N1063" s="949">
        <v>55.0</v>
      </c>
      <c r="O1063" s="949">
        <v>85.0</v>
      </c>
      <c r="P1063" s="949">
        <v>95.0</v>
      </c>
      <c r="Q1063" s="949">
        <v>85.0</v>
      </c>
      <c r="R1063" s="949">
        <v>206.0</v>
      </c>
      <c r="S1063" s="949">
        <v>269.0</v>
      </c>
      <c r="T1063" s="949">
        <v>295.0</v>
      </c>
      <c r="U1063" s="949"/>
      <c r="V1063" s="949"/>
      <c r="W1063" s="949"/>
      <c r="X1063" s="949"/>
      <c r="Y1063" s="949"/>
      <c r="Z1063" s="949"/>
      <c r="AA1063" s="949"/>
      <c r="AB1063" s="949"/>
      <c r="AC1063" s="949"/>
      <c r="AD1063" s="949"/>
      <c r="AE1063" s="949"/>
      <c r="AF1063" s="949"/>
      <c r="AG1063" s="949"/>
      <c r="AH1063" s="949"/>
      <c r="AI1063" s="949"/>
      <c r="AJ1063" s="949"/>
      <c r="AK1063" s="949"/>
      <c r="AL1063" s="949"/>
      <c r="AM1063" s="953" t="s">
        <v>3830</v>
      </c>
      <c r="AN1063" s="954"/>
      <c r="AO1063" s="955"/>
      <c r="AP1063" s="931"/>
      <c r="AQ1063" s="956"/>
      <c r="AR1063" s="957"/>
      <c r="AS1063" s="931"/>
    </row>
    <row r="1064" ht="15.75" customHeight="1">
      <c r="A1064" s="931"/>
      <c r="B1064" s="941" t="s">
        <v>3831</v>
      </c>
      <c r="C1064" s="942" t="s">
        <v>3832</v>
      </c>
      <c r="D1064" s="942" t="s">
        <v>3832</v>
      </c>
      <c r="E1064" s="943" t="s">
        <v>3832</v>
      </c>
      <c r="F1064" s="935"/>
      <c r="G1064" s="944"/>
      <c r="H1064" s="944"/>
      <c r="I1064" s="946" t="s">
        <v>654</v>
      </c>
      <c r="J1064" s="962" t="s">
        <v>706</v>
      </c>
      <c r="K1064" s="954" t="s">
        <v>158</v>
      </c>
      <c r="L1064" s="949">
        <v>41.0</v>
      </c>
      <c r="M1064" s="949">
        <v>63.0</v>
      </c>
      <c r="N1064" s="949">
        <v>40.0</v>
      </c>
      <c r="O1064" s="949">
        <v>40.0</v>
      </c>
      <c r="P1064" s="949">
        <v>30.0</v>
      </c>
      <c r="Q1064" s="949">
        <v>66.0</v>
      </c>
      <c r="R1064" s="949">
        <v>168.0</v>
      </c>
      <c r="S1064" s="949">
        <v>231.0</v>
      </c>
      <c r="T1064" s="949">
        <v>254.0</v>
      </c>
      <c r="U1064" s="949"/>
      <c r="V1064" s="949"/>
      <c r="W1064" s="949"/>
      <c r="X1064" s="949"/>
      <c r="Y1064" s="949"/>
      <c r="Z1064" s="949"/>
      <c r="AA1064" s="949"/>
      <c r="AB1064" s="949"/>
      <c r="AC1064" s="949"/>
      <c r="AD1064" s="949"/>
      <c r="AE1064" s="949"/>
      <c r="AF1064" s="949"/>
      <c r="AG1064" s="949"/>
      <c r="AH1064" s="949"/>
      <c r="AI1064" s="949"/>
      <c r="AJ1064" s="949"/>
      <c r="AK1064" s="949"/>
      <c r="AL1064" s="949"/>
      <c r="AM1064" s="953" t="s">
        <v>1062</v>
      </c>
      <c r="AN1064" s="954"/>
      <c r="AO1064" s="955" t="s">
        <v>3833</v>
      </c>
      <c r="AP1064" s="931"/>
      <c r="AQ1064" s="956"/>
      <c r="AR1064" s="957"/>
      <c r="AS1064" s="931"/>
    </row>
    <row r="1065" ht="15.75" customHeight="1">
      <c r="A1065" s="931"/>
      <c r="B1065" s="941" t="s">
        <v>3834</v>
      </c>
      <c r="C1065" s="942" t="s">
        <v>3835</v>
      </c>
      <c r="D1065" s="942" t="s">
        <v>3835</v>
      </c>
      <c r="E1065" s="943" t="s">
        <v>3835</v>
      </c>
      <c r="F1065" s="935"/>
      <c r="G1065" s="944"/>
      <c r="H1065" s="944"/>
      <c r="I1065" s="946" t="s">
        <v>379</v>
      </c>
      <c r="J1065" s="962" t="s">
        <v>706</v>
      </c>
      <c r="K1065" s="954" t="s">
        <v>158</v>
      </c>
      <c r="L1065" s="949">
        <v>61.0</v>
      </c>
      <c r="M1065" s="949">
        <v>123.0</v>
      </c>
      <c r="N1065" s="949">
        <v>60.0</v>
      </c>
      <c r="O1065" s="949">
        <v>60.0</v>
      </c>
      <c r="P1065" s="949">
        <v>50.0</v>
      </c>
      <c r="Q1065" s="949">
        <v>136.0</v>
      </c>
      <c r="R1065" s="949">
        <v>308.0</v>
      </c>
      <c r="S1065" s="949">
        <v>371.0</v>
      </c>
      <c r="T1065" s="949">
        <v>408.0</v>
      </c>
      <c r="U1065" s="949"/>
      <c r="V1065" s="949"/>
      <c r="W1065" s="949"/>
      <c r="X1065" s="949"/>
      <c r="Y1065" s="949"/>
      <c r="Z1065" s="949"/>
      <c r="AA1065" s="949"/>
      <c r="AB1065" s="949"/>
      <c r="AC1065" s="949"/>
      <c r="AD1065" s="949"/>
      <c r="AE1065" s="949"/>
      <c r="AF1065" s="949"/>
      <c r="AG1065" s="949"/>
      <c r="AH1065" s="949"/>
      <c r="AI1065" s="949"/>
      <c r="AJ1065" s="949"/>
      <c r="AK1065" s="949"/>
      <c r="AL1065" s="949"/>
      <c r="AM1065" s="953" t="s">
        <v>1062</v>
      </c>
      <c r="AN1065" s="954"/>
      <c r="AO1065" s="955" t="s">
        <v>3833</v>
      </c>
      <c r="AP1065" s="931"/>
      <c r="AQ1065" s="956"/>
      <c r="AR1065" s="957"/>
      <c r="AS1065" s="931"/>
    </row>
    <row r="1066" ht="15.75" customHeight="1">
      <c r="A1066" s="931"/>
      <c r="B1066" s="941" t="s">
        <v>3836</v>
      </c>
      <c r="C1066" s="942" t="s">
        <v>3837</v>
      </c>
      <c r="D1066" s="942" t="s">
        <v>3837</v>
      </c>
      <c r="E1066" s="943" t="s">
        <v>3837</v>
      </c>
      <c r="F1066" s="935"/>
      <c r="G1066" s="944"/>
      <c r="H1066" s="944"/>
      <c r="I1066" s="946" t="s">
        <v>655</v>
      </c>
      <c r="J1066" s="970" t="s">
        <v>710</v>
      </c>
      <c r="K1066" s="948" t="s">
        <v>709</v>
      </c>
      <c r="L1066" s="949">
        <v>40.0</v>
      </c>
      <c r="M1066" s="949">
        <v>38.0</v>
      </c>
      <c r="N1066" s="949">
        <v>35.0</v>
      </c>
      <c r="O1066" s="949">
        <v>54.0</v>
      </c>
      <c r="P1066" s="949">
        <v>35.0</v>
      </c>
      <c r="Q1066" s="949">
        <v>40.0</v>
      </c>
      <c r="R1066" s="949">
        <v>116.0</v>
      </c>
      <c r="S1066" s="949">
        <v>179.0</v>
      </c>
      <c r="T1066" s="949">
        <v>196.0</v>
      </c>
      <c r="U1066" s="949"/>
      <c r="V1066" s="949"/>
      <c r="W1066" s="949"/>
      <c r="X1066" s="949"/>
      <c r="Y1066" s="949"/>
      <c r="Z1066" s="949"/>
      <c r="AA1066" s="949"/>
      <c r="AB1066" s="949"/>
      <c r="AC1066" s="949"/>
      <c r="AD1066" s="949"/>
      <c r="AE1066" s="949"/>
      <c r="AF1066" s="949"/>
      <c r="AG1066" s="949"/>
      <c r="AH1066" s="949"/>
      <c r="AI1066" s="949"/>
      <c r="AJ1066" s="949"/>
      <c r="AK1066" s="949"/>
      <c r="AL1066" s="949"/>
      <c r="AM1066" s="953" t="s">
        <v>1046</v>
      </c>
      <c r="AN1066" s="953" t="s">
        <v>861</v>
      </c>
      <c r="AO1066" s="955" t="s">
        <v>2390</v>
      </c>
      <c r="AP1066" s="931"/>
      <c r="AQ1066" s="956"/>
      <c r="AR1066" s="957"/>
      <c r="AS1066" s="931"/>
    </row>
    <row r="1067" ht="15.75" customHeight="1">
      <c r="A1067" s="931"/>
      <c r="B1067" s="941" t="s">
        <v>3838</v>
      </c>
      <c r="C1067" s="942" t="s">
        <v>219</v>
      </c>
      <c r="D1067" s="942" t="s">
        <v>219</v>
      </c>
      <c r="E1067" s="943" t="s">
        <v>3839</v>
      </c>
      <c r="F1067" s="935"/>
      <c r="G1067" s="944"/>
      <c r="H1067" s="944"/>
      <c r="I1067" s="946" t="s">
        <v>122</v>
      </c>
      <c r="J1067" s="970" t="s">
        <v>710</v>
      </c>
      <c r="K1067" s="948" t="s">
        <v>709</v>
      </c>
      <c r="L1067" s="949">
        <v>75.0</v>
      </c>
      <c r="M1067" s="949">
        <v>98.0</v>
      </c>
      <c r="N1067" s="949">
        <v>70.0</v>
      </c>
      <c r="O1067" s="949">
        <v>114.0</v>
      </c>
      <c r="P1067" s="949">
        <v>70.0</v>
      </c>
      <c r="Q1067" s="949">
        <v>75.0</v>
      </c>
      <c r="R1067" s="949">
        <v>186.0</v>
      </c>
      <c r="S1067" s="949">
        <v>249.0</v>
      </c>
      <c r="T1067" s="949">
        <v>273.0</v>
      </c>
      <c r="U1067" s="949"/>
      <c r="V1067" s="949"/>
      <c r="W1067" s="949"/>
      <c r="X1067" s="949"/>
      <c r="Y1067" s="949"/>
      <c r="Z1067" s="949"/>
      <c r="AA1067" s="949"/>
      <c r="AB1067" s="949"/>
      <c r="AC1067" s="949"/>
      <c r="AD1067" s="949"/>
      <c r="AE1067" s="949"/>
      <c r="AF1067" s="949"/>
      <c r="AG1067" s="949"/>
      <c r="AH1067" s="949"/>
      <c r="AI1067" s="949"/>
      <c r="AJ1067" s="949"/>
      <c r="AK1067" s="949"/>
      <c r="AL1067" s="949"/>
      <c r="AM1067" s="953" t="s">
        <v>3840</v>
      </c>
      <c r="AN1067" s="953" t="s">
        <v>1589</v>
      </c>
      <c r="AO1067" s="955" t="s">
        <v>1041</v>
      </c>
      <c r="AP1067" s="931"/>
      <c r="AQ1067" s="956"/>
      <c r="AR1067" s="957"/>
      <c r="AS1067" s="931"/>
    </row>
    <row r="1068" ht="15.75" customHeight="1">
      <c r="A1068" s="931"/>
      <c r="B1068" s="941" t="s">
        <v>3841</v>
      </c>
      <c r="C1068" s="942" t="s">
        <v>3842</v>
      </c>
      <c r="D1068" s="942" t="s">
        <v>3842</v>
      </c>
      <c r="E1068" s="943" t="s">
        <v>3843</v>
      </c>
      <c r="F1068" s="935"/>
      <c r="G1068" s="944"/>
      <c r="H1068" s="944"/>
      <c r="I1068" s="946" t="s">
        <v>3844</v>
      </c>
      <c r="J1068" s="970" t="s">
        <v>710</v>
      </c>
      <c r="K1068" s="948" t="s">
        <v>709</v>
      </c>
      <c r="L1068" s="949">
        <v>75.0</v>
      </c>
      <c r="M1068" s="949">
        <v>98.0</v>
      </c>
      <c r="N1068" s="949">
        <v>70.0</v>
      </c>
      <c r="O1068" s="949">
        <v>114.0</v>
      </c>
      <c r="P1068" s="949">
        <v>70.0</v>
      </c>
      <c r="Q1068" s="949">
        <v>75.0</v>
      </c>
      <c r="R1068" s="949">
        <v>186.0</v>
      </c>
      <c r="S1068" s="949">
        <v>249.0</v>
      </c>
      <c r="T1068" s="949">
        <v>273.0</v>
      </c>
      <c r="U1068" s="949"/>
      <c r="V1068" s="949"/>
      <c r="W1068" s="949"/>
      <c r="X1068" s="949"/>
      <c r="Y1068" s="949"/>
      <c r="Z1068" s="949"/>
      <c r="AA1068" s="949"/>
      <c r="AB1068" s="949"/>
      <c r="AC1068" s="949"/>
      <c r="AD1068" s="949"/>
      <c r="AE1068" s="949"/>
      <c r="AF1068" s="949"/>
      <c r="AG1068" s="949"/>
      <c r="AH1068" s="949"/>
      <c r="AI1068" s="949"/>
      <c r="AJ1068" s="949"/>
      <c r="AK1068" s="949"/>
      <c r="AL1068" s="949"/>
      <c r="AM1068" s="953" t="s">
        <v>3840</v>
      </c>
      <c r="AN1068" s="953" t="s">
        <v>2004</v>
      </c>
      <c r="AO1068" s="955" t="s">
        <v>1041</v>
      </c>
      <c r="AP1068" s="931"/>
      <c r="AQ1068" s="956"/>
      <c r="AR1068" s="957"/>
      <c r="AS1068" s="931"/>
    </row>
    <row r="1069" ht="15.75" customHeight="1">
      <c r="A1069" s="931"/>
      <c r="B1069" s="941" t="s">
        <v>3845</v>
      </c>
      <c r="C1069" s="942" t="s">
        <v>3846</v>
      </c>
      <c r="D1069" s="942" t="s">
        <v>3846</v>
      </c>
      <c r="E1069" s="943" t="s">
        <v>3846</v>
      </c>
      <c r="F1069" s="935"/>
      <c r="G1069" s="944"/>
      <c r="H1069" s="944"/>
      <c r="I1069" s="946" t="s">
        <v>3847</v>
      </c>
      <c r="J1069" s="958" t="s">
        <v>704</v>
      </c>
      <c r="K1069" s="967" t="s">
        <v>715</v>
      </c>
      <c r="L1069" s="949">
        <v>50.0</v>
      </c>
      <c r="M1069" s="949">
        <v>65.0</v>
      </c>
      <c r="N1069" s="949">
        <v>45.0</v>
      </c>
      <c r="O1069" s="949">
        <v>50.0</v>
      </c>
      <c r="P1069" s="949">
        <v>50.0</v>
      </c>
      <c r="Q1069" s="949">
        <v>45.0</v>
      </c>
      <c r="R1069" s="949">
        <v>126.0</v>
      </c>
      <c r="S1069" s="949">
        <v>189.0</v>
      </c>
      <c r="T1069" s="949">
        <v>207.0</v>
      </c>
      <c r="U1069" s="949"/>
      <c r="V1069" s="949"/>
      <c r="W1069" s="949"/>
      <c r="X1069" s="949"/>
      <c r="Y1069" s="949"/>
      <c r="Z1069" s="949"/>
      <c r="AA1069" s="949"/>
      <c r="AB1069" s="949"/>
      <c r="AC1069" s="949"/>
      <c r="AD1069" s="949"/>
      <c r="AE1069" s="949"/>
      <c r="AF1069" s="949"/>
      <c r="AG1069" s="949"/>
      <c r="AH1069" s="949"/>
      <c r="AI1069" s="949"/>
      <c r="AJ1069" s="949"/>
      <c r="AK1069" s="949"/>
      <c r="AL1069" s="949"/>
      <c r="AM1069" s="953" t="s">
        <v>972</v>
      </c>
      <c r="AN1069" s="953" t="s">
        <v>2055</v>
      </c>
      <c r="AO1069" s="955" t="s">
        <v>1159</v>
      </c>
      <c r="AP1069" s="931"/>
      <c r="AQ1069" s="956"/>
      <c r="AR1069" s="957"/>
      <c r="AS1069" s="931"/>
    </row>
    <row r="1070" ht="15.75" customHeight="1">
      <c r="A1070" s="931"/>
      <c r="B1070" s="941" t="s">
        <v>3848</v>
      </c>
      <c r="C1070" s="942" t="s">
        <v>3849</v>
      </c>
      <c r="D1070" s="942" t="s">
        <v>3849</v>
      </c>
      <c r="E1070" s="943" t="s">
        <v>3849</v>
      </c>
      <c r="F1070" s="935"/>
      <c r="G1070" s="944"/>
      <c r="H1070" s="944"/>
      <c r="I1070" s="946" t="s">
        <v>3850</v>
      </c>
      <c r="J1070" s="958" t="s">
        <v>704</v>
      </c>
      <c r="K1070" s="967" t="s">
        <v>715</v>
      </c>
      <c r="L1070" s="949">
        <v>100.0</v>
      </c>
      <c r="M1070" s="949">
        <v>115.0</v>
      </c>
      <c r="N1070" s="949">
        <v>65.0</v>
      </c>
      <c r="O1070" s="949">
        <v>90.0</v>
      </c>
      <c r="P1070" s="949">
        <v>90.0</v>
      </c>
      <c r="Q1070" s="949">
        <v>65.0</v>
      </c>
      <c r="R1070" s="949">
        <v>166.0</v>
      </c>
      <c r="S1070" s="949">
        <v>229.0</v>
      </c>
      <c r="T1070" s="949">
        <v>251.0</v>
      </c>
      <c r="U1070" s="949"/>
      <c r="V1070" s="949"/>
      <c r="W1070" s="949"/>
      <c r="X1070" s="949"/>
      <c r="Y1070" s="949"/>
      <c r="Z1070" s="949"/>
      <c r="AA1070" s="949"/>
      <c r="AB1070" s="949"/>
      <c r="AC1070" s="949"/>
      <c r="AD1070" s="949"/>
      <c r="AE1070" s="949"/>
      <c r="AF1070" s="949"/>
      <c r="AG1070" s="949"/>
      <c r="AH1070" s="949"/>
      <c r="AI1070" s="949"/>
      <c r="AJ1070" s="949"/>
      <c r="AK1070" s="949"/>
      <c r="AL1070" s="949"/>
      <c r="AM1070" s="953" t="s">
        <v>972</v>
      </c>
      <c r="AN1070" s="953" t="s">
        <v>2055</v>
      </c>
      <c r="AO1070" s="955" t="s">
        <v>1159</v>
      </c>
      <c r="AP1070" s="931"/>
      <c r="AQ1070" s="956"/>
      <c r="AR1070" s="957"/>
      <c r="AS1070" s="931"/>
    </row>
    <row r="1071" ht="15.75" customHeight="1">
      <c r="A1071" s="931"/>
      <c r="B1071" s="941" t="s">
        <v>3851</v>
      </c>
      <c r="C1071" s="942" t="s">
        <v>3852</v>
      </c>
      <c r="D1071" s="942" t="s">
        <v>3852</v>
      </c>
      <c r="E1071" s="943" t="s">
        <v>3852</v>
      </c>
      <c r="F1071" s="935"/>
      <c r="G1071" s="944"/>
      <c r="H1071" s="944"/>
      <c r="I1071" s="959" t="s">
        <v>3853</v>
      </c>
      <c r="J1071" s="988" t="s">
        <v>705</v>
      </c>
      <c r="K1071" s="954" t="s">
        <v>158</v>
      </c>
      <c r="L1071" s="949">
        <v>50.0</v>
      </c>
      <c r="M1071" s="949">
        <v>68.0</v>
      </c>
      <c r="N1071" s="949">
        <v>60.0</v>
      </c>
      <c r="O1071" s="949">
        <v>50.0</v>
      </c>
      <c r="P1071" s="949">
        <v>50.0</v>
      </c>
      <c r="Q1071" s="949">
        <v>32.0</v>
      </c>
      <c r="R1071" s="949">
        <v>100.0</v>
      </c>
      <c r="S1071" s="949">
        <v>163.0</v>
      </c>
      <c r="T1071" s="949">
        <v>179.0</v>
      </c>
      <c r="U1071" s="949"/>
      <c r="V1071" s="949"/>
      <c r="W1071" s="949"/>
      <c r="X1071" s="949"/>
      <c r="Y1071" s="949"/>
      <c r="Z1071" s="949"/>
      <c r="AA1071" s="949"/>
      <c r="AB1071" s="949"/>
      <c r="AC1071" s="949"/>
      <c r="AD1071" s="949"/>
      <c r="AE1071" s="949"/>
      <c r="AF1071" s="949"/>
      <c r="AG1071" s="949"/>
      <c r="AH1071" s="949"/>
      <c r="AI1071" s="949"/>
      <c r="AJ1071" s="949"/>
      <c r="AK1071" s="949"/>
      <c r="AL1071" s="949"/>
      <c r="AM1071" s="953" t="s">
        <v>1053</v>
      </c>
      <c r="AN1071" s="954"/>
      <c r="AO1071" s="955" t="s">
        <v>1041</v>
      </c>
      <c r="AP1071" s="931"/>
      <c r="AQ1071" s="956"/>
      <c r="AR1071" s="957"/>
      <c r="AS1071" s="931"/>
    </row>
    <row r="1072" ht="15.75" customHeight="1">
      <c r="A1072" s="931"/>
      <c r="B1072" s="941" t="s">
        <v>3854</v>
      </c>
      <c r="C1072" s="942" t="s">
        <v>3855</v>
      </c>
      <c r="D1072" s="942" t="s">
        <v>3855</v>
      </c>
      <c r="E1072" s="943" t="s">
        <v>3855</v>
      </c>
      <c r="F1072" s="935"/>
      <c r="G1072" s="944"/>
      <c r="H1072" s="944"/>
      <c r="I1072" s="946" t="s">
        <v>3856</v>
      </c>
      <c r="J1072" s="988" t="s">
        <v>705</v>
      </c>
      <c r="K1072" s="954" t="s">
        <v>158</v>
      </c>
      <c r="L1072" s="949">
        <v>80.0</v>
      </c>
      <c r="M1072" s="949">
        <v>118.0</v>
      </c>
      <c r="N1072" s="949">
        <v>90.0</v>
      </c>
      <c r="O1072" s="949">
        <v>70.0</v>
      </c>
      <c r="P1072" s="949">
        <v>80.0</v>
      </c>
      <c r="Q1072" s="949">
        <v>42.0</v>
      </c>
      <c r="R1072" s="949">
        <v>120.0</v>
      </c>
      <c r="S1072" s="949">
        <v>183.0</v>
      </c>
      <c r="T1072" s="949">
        <v>201.0</v>
      </c>
      <c r="U1072" s="949"/>
      <c r="V1072" s="949"/>
      <c r="W1072" s="949"/>
      <c r="X1072" s="949"/>
      <c r="Y1072" s="949"/>
      <c r="Z1072" s="949"/>
      <c r="AA1072" s="949"/>
      <c r="AB1072" s="949"/>
      <c r="AC1072" s="949"/>
      <c r="AD1072" s="949"/>
      <c r="AE1072" s="949"/>
      <c r="AF1072" s="949"/>
      <c r="AG1072" s="949"/>
      <c r="AH1072" s="949"/>
      <c r="AI1072" s="949"/>
      <c r="AJ1072" s="949"/>
      <c r="AK1072" s="949"/>
      <c r="AL1072" s="949"/>
      <c r="AM1072" s="953" t="s">
        <v>1053</v>
      </c>
      <c r="AN1072" s="954"/>
      <c r="AO1072" s="955" t="s">
        <v>1041</v>
      </c>
      <c r="AP1072" s="931"/>
      <c r="AQ1072" s="956"/>
      <c r="AR1072" s="957"/>
      <c r="AS1072" s="931"/>
    </row>
    <row r="1073" ht="15.75" customHeight="1">
      <c r="A1073" s="931"/>
      <c r="B1073" s="941" t="s">
        <v>3857</v>
      </c>
      <c r="C1073" s="942" t="s">
        <v>3858</v>
      </c>
      <c r="D1073" s="942" t="s">
        <v>3858</v>
      </c>
      <c r="E1073" s="943" t="s">
        <v>3858</v>
      </c>
      <c r="F1073" s="935"/>
      <c r="G1073" s="944"/>
      <c r="H1073" s="944"/>
      <c r="I1073" s="946" t="s">
        <v>656</v>
      </c>
      <c r="J1073" s="994" t="s">
        <v>717</v>
      </c>
      <c r="K1073" s="954" t="s">
        <v>158</v>
      </c>
      <c r="L1073" s="949">
        <v>40.0</v>
      </c>
      <c r="M1073" s="949">
        <v>45.0</v>
      </c>
      <c r="N1073" s="949">
        <v>45.0</v>
      </c>
      <c r="O1073" s="949">
        <v>74.0</v>
      </c>
      <c r="P1073" s="949">
        <v>54.0</v>
      </c>
      <c r="Q1073" s="949">
        <v>50.0</v>
      </c>
      <c r="R1073" s="949">
        <v>136.0</v>
      </c>
      <c r="S1073" s="949">
        <v>199.0</v>
      </c>
      <c r="T1073" s="949">
        <v>218.0</v>
      </c>
      <c r="U1073" s="949"/>
      <c r="V1073" s="949"/>
      <c r="W1073" s="949"/>
      <c r="X1073" s="949"/>
      <c r="Y1073" s="949"/>
      <c r="Z1073" s="949"/>
      <c r="AA1073" s="949"/>
      <c r="AB1073" s="949"/>
      <c r="AC1073" s="949"/>
      <c r="AD1073" s="949"/>
      <c r="AE1073" s="949"/>
      <c r="AF1073" s="949"/>
      <c r="AG1073" s="949"/>
      <c r="AH1073" s="949"/>
      <c r="AI1073" s="949"/>
      <c r="AJ1073" s="949"/>
      <c r="AK1073" s="949"/>
      <c r="AL1073" s="949"/>
      <c r="AM1073" s="953" t="s">
        <v>1256</v>
      </c>
      <c r="AN1073" s="954"/>
      <c r="AO1073" s="955" t="s">
        <v>1248</v>
      </c>
      <c r="AP1073" s="931"/>
      <c r="AQ1073" s="956"/>
      <c r="AR1073" s="957"/>
      <c r="AS1073" s="931"/>
    </row>
    <row r="1074" ht="15.75" customHeight="1">
      <c r="A1074" s="931"/>
      <c r="B1074" s="941" t="s">
        <v>3859</v>
      </c>
      <c r="C1074" s="942" t="s">
        <v>3860</v>
      </c>
      <c r="D1074" s="942" t="s">
        <v>3860</v>
      </c>
      <c r="E1074" s="943" t="s">
        <v>3860</v>
      </c>
      <c r="F1074" s="935"/>
      <c r="G1074" s="944"/>
      <c r="H1074" s="944"/>
      <c r="I1074" s="946" t="s">
        <v>451</v>
      </c>
      <c r="J1074" s="994" t="s">
        <v>717</v>
      </c>
      <c r="K1074" s="954" t="s">
        <v>158</v>
      </c>
      <c r="L1074" s="949">
        <v>60.0</v>
      </c>
      <c r="M1074" s="949">
        <v>65.0</v>
      </c>
      <c r="N1074" s="949">
        <v>65.0</v>
      </c>
      <c r="O1074" s="949">
        <v>134.0</v>
      </c>
      <c r="P1074" s="949">
        <v>114.0</v>
      </c>
      <c r="Q1074" s="949">
        <v>70.0</v>
      </c>
      <c r="R1074" s="949">
        <v>176.0</v>
      </c>
      <c r="S1074" s="949">
        <v>239.0</v>
      </c>
      <c r="T1074" s="949">
        <v>262.0</v>
      </c>
      <c r="U1074" s="949"/>
      <c r="V1074" s="949"/>
      <c r="W1074" s="949"/>
      <c r="X1074" s="949"/>
      <c r="Y1074" s="949"/>
      <c r="Z1074" s="949"/>
      <c r="AA1074" s="949"/>
      <c r="AB1074" s="949"/>
      <c r="AC1074" s="949"/>
      <c r="AD1074" s="949"/>
      <c r="AE1074" s="949"/>
      <c r="AF1074" s="949"/>
      <c r="AG1074" s="949"/>
      <c r="AH1074" s="949"/>
      <c r="AI1074" s="949"/>
      <c r="AJ1074" s="949"/>
      <c r="AK1074" s="949"/>
      <c r="AL1074" s="949"/>
      <c r="AM1074" s="953" t="s">
        <v>1256</v>
      </c>
      <c r="AN1074" s="954"/>
      <c r="AO1074" s="955" t="s">
        <v>1248</v>
      </c>
      <c r="AP1074" s="931"/>
      <c r="AQ1074" s="956"/>
      <c r="AR1074" s="957"/>
      <c r="AS1074" s="931"/>
    </row>
    <row r="1075" ht="15.75" customHeight="1">
      <c r="A1075" s="931"/>
      <c r="B1075" s="941" t="s">
        <v>3861</v>
      </c>
      <c r="C1075" s="942" t="s">
        <v>3862</v>
      </c>
      <c r="D1075" s="942" t="s">
        <v>3862</v>
      </c>
      <c r="E1075" s="943" t="s">
        <v>3862</v>
      </c>
      <c r="F1075" s="935"/>
      <c r="G1075" s="944"/>
      <c r="H1075" s="944"/>
      <c r="I1075" s="946" t="s">
        <v>657</v>
      </c>
      <c r="J1075" s="975" t="s">
        <v>712</v>
      </c>
      <c r="K1075" s="954" t="s">
        <v>158</v>
      </c>
      <c r="L1075" s="949">
        <v>42.0</v>
      </c>
      <c r="M1075" s="949">
        <v>30.0</v>
      </c>
      <c r="N1075" s="949">
        <v>45.0</v>
      </c>
      <c r="O1075" s="949">
        <v>56.0</v>
      </c>
      <c r="P1075" s="949">
        <v>53.0</v>
      </c>
      <c r="Q1075" s="949">
        <v>39.0</v>
      </c>
      <c r="R1075" s="949">
        <v>114.0</v>
      </c>
      <c r="S1075" s="949">
        <v>177.0</v>
      </c>
      <c r="T1075" s="949">
        <v>194.0</v>
      </c>
      <c r="U1075" s="949"/>
      <c r="V1075" s="949"/>
      <c r="W1075" s="949"/>
      <c r="X1075" s="949"/>
      <c r="Y1075" s="949"/>
      <c r="Z1075" s="949"/>
      <c r="AA1075" s="949"/>
      <c r="AB1075" s="949"/>
      <c r="AC1075" s="949"/>
      <c r="AD1075" s="949"/>
      <c r="AE1075" s="949"/>
      <c r="AF1075" s="949"/>
      <c r="AG1075" s="949"/>
      <c r="AH1075" s="949"/>
      <c r="AI1075" s="949"/>
      <c r="AJ1075" s="949"/>
      <c r="AK1075" s="949"/>
      <c r="AL1075" s="949"/>
      <c r="AM1075" s="953" t="s">
        <v>1335</v>
      </c>
      <c r="AN1075" s="953" t="s">
        <v>1165</v>
      </c>
      <c r="AO1075" s="955" t="s">
        <v>1583</v>
      </c>
      <c r="AP1075" s="931"/>
      <c r="AQ1075" s="956"/>
      <c r="AR1075" s="957"/>
      <c r="AS1075" s="931"/>
    </row>
    <row r="1076" ht="15.75" customHeight="1">
      <c r="A1076" s="931"/>
      <c r="B1076" s="941" t="s">
        <v>3863</v>
      </c>
      <c r="C1076" s="942" t="s">
        <v>3864</v>
      </c>
      <c r="D1076" s="942" t="s">
        <v>3864</v>
      </c>
      <c r="E1076" s="943" t="s">
        <v>3864</v>
      </c>
      <c r="F1076" s="935"/>
      <c r="G1076" s="944"/>
      <c r="H1076" s="944"/>
      <c r="I1076" s="946" t="s">
        <v>658</v>
      </c>
      <c r="J1076" s="975" t="s">
        <v>712</v>
      </c>
      <c r="K1076" s="954" t="s">
        <v>158</v>
      </c>
      <c r="L1076" s="949">
        <v>57.0</v>
      </c>
      <c r="M1076" s="949">
        <v>40.0</v>
      </c>
      <c r="N1076" s="949">
        <v>65.0</v>
      </c>
      <c r="O1076" s="949">
        <v>86.0</v>
      </c>
      <c r="P1076" s="949">
        <v>73.0</v>
      </c>
      <c r="Q1076" s="949">
        <v>49.0</v>
      </c>
      <c r="R1076" s="949">
        <v>134.0</v>
      </c>
      <c r="S1076" s="949">
        <v>197.0</v>
      </c>
      <c r="T1076" s="949">
        <v>216.0</v>
      </c>
      <c r="U1076" s="949"/>
      <c r="V1076" s="949"/>
      <c r="W1076" s="949"/>
      <c r="X1076" s="949"/>
      <c r="Y1076" s="949"/>
      <c r="Z1076" s="949"/>
      <c r="AA1076" s="949"/>
      <c r="AB1076" s="949"/>
      <c r="AC1076" s="949"/>
      <c r="AD1076" s="949"/>
      <c r="AE1076" s="949"/>
      <c r="AF1076" s="949"/>
      <c r="AG1076" s="949"/>
      <c r="AH1076" s="949"/>
      <c r="AI1076" s="949"/>
      <c r="AJ1076" s="949"/>
      <c r="AK1076" s="949"/>
      <c r="AL1076" s="949"/>
      <c r="AM1076" s="953" t="s">
        <v>1335</v>
      </c>
      <c r="AN1076" s="953" t="s">
        <v>1165</v>
      </c>
      <c r="AO1076" s="955" t="s">
        <v>1583</v>
      </c>
      <c r="AP1076" s="931"/>
      <c r="AQ1076" s="956"/>
      <c r="AR1076" s="957"/>
      <c r="AS1076" s="931"/>
    </row>
    <row r="1077" ht="15.75" customHeight="1">
      <c r="A1077" s="931"/>
      <c r="B1077" s="941" t="s">
        <v>3865</v>
      </c>
      <c r="C1077" s="942" t="s">
        <v>3866</v>
      </c>
      <c r="D1077" s="942" t="s">
        <v>3866</v>
      </c>
      <c r="E1077" s="943" t="s">
        <v>3866</v>
      </c>
      <c r="F1077" s="935"/>
      <c r="G1077" s="944"/>
      <c r="H1077" s="944"/>
      <c r="I1077" s="946" t="s">
        <v>303</v>
      </c>
      <c r="J1077" s="975" t="s">
        <v>712</v>
      </c>
      <c r="K1077" s="980" t="s">
        <v>720</v>
      </c>
      <c r="L1077" s="949">
        <v>57.0</v>
      </c>
      <c r="M1077" s="949">
        <v>90.0</v>
      </c>
      <c r="N1077" s="949">
        <v>95.0</v>
      </c>
      <c r="O1077" s="949">
        <v>136.0</v>
      </c>
      <c r="P1077" s="949">
        <v>103.0</v>
      </c>
      <c r="Q1077" s="949">
        <v>29.0</v>
      </c>
      <c r="R1077" s="949">
        <v>94.0</v>
      </c>
      <c r="S1077" s="949">
        <v>157.0</v>
      </c>
      <c r="T1077" s="949">
        <v>172.0</v>
      </c>
      <c r="U1077" s="949"/>
      <c r="V1077" s="949"/>
      <c r="W1077" s="949"/>
      <c r="X1077" s="949"/>
      <c r="Y1077" s="949"/>
      <c r="Z1077" s="949"/>
      <c r="AA1077" s="949"/>
      <c r="AB1077" s="949"/>
      <c r="AC1077" s="949"/>
      <c r="AD1077" s="949"/>
      <c r="AE1077" s="949"/>
      <c r="AF1077" s="949"/>
      <c r="AG1077" s="949"/>
      <c r="AH1077" s="949"/>
      <c r="AI1077" s="949"/>
      <c r="AJ1077" s="949"/>
      <c r="AK1077" s="949"/>
      <c r="AL1077" s="949"/>
      <c r="AM1077" s="953" t="s">
        <v>1335</v>
      </c>
      <c r="AN1077" s="953" t="s">
        <v>1165</v>
      </c>
      <c r="AO1077" s="955" t="s">
        <v>1583</v>
      </c>
      <c r="AP1077" s="931"/>
      <c r="AQ1077" s="956"/>
      <c r="AR1077" s="957"/>
      <c r="AS1077" s="931"/>
    </row>
    <row r="1078" ht="15.75" customHeight="1">
      <c r="A1078" s="931"/>
      <c r="B1078" s="941" t="s">
        <v>3867</v>
      </c>
      <c r="C1078" s="942" t="s">
        <v>3868</v>
      </c>
      <c r="D1078" s="942" t="s">
        <v>3868</v>
      </c>
      <c r="E1078" s="943" t="s">
        <v>3868</v>
      </c>
      <c r="F1078" s="935"/>
      <c r="G1078" s="944"/>
      <c r="H1078" s="944"/>
      <c r="I1078" s="946" t="s">
        <v>552</v>
      </c>
      <c r="J1078" s="969" t="s">
        <v>718</v>
      </c>
      <c r="K1078" s="980" t="s">
        <v>720</v>
      </c>
      <c r="L1078" s="949">
        <v>45.0</v>
      </c>
      <c r="M1078" s="949">
        <v>45.0</v>
      </c>
      <c r="N1078" s="949">
        <v>30.0</v>
      </c>
      <c r="O1078" s="949">
        <v>55.0</v>
      </c>
      <c r="P1078" s="949">
        <v>40.0</v>
      </c>
      <c r="Q1078" s="949">
        <v>50.0</v>
      </c>
      <c r="R1078" s="949">
        <v>136.0</v>
      </c>
      <c r="S1078" s="949">
        <v>199.0</v>
      </c>
      <c r="T1078" s="949">
        <v>218.0</v>
      </c>
      <c r="U1078" s="949"/>
      <c r="V1078" s="949"/>
      <c r="W1078" s="949"/>
      <c r="X1078" s="949"/>
      <c r="Y1078" s="949"/>
      <c r="Z1078" s="949"/>
      <c r="AA1078" s="949"/>
      <c r="AB1078" s="949"/>
      <c r="AC1078" s="949"/>
      <c r="AD1078" s="949"/>
      <c r="AE1078" s="949"/>
      <c r="AF1078" s="949"/>
      <c r="AG1078" s="949"/>
      <c r="AH1078" s="949"/>
      <c r="AI1078" s="949"/>
      <c r="AJ1078" s="949"/>
      <c r="AK1078" s="949"/>
      <c r="AL1078" s="949"/>
      <c r="AM1078" s="953" t="s">
        <v>1641</v>
      </c>
      <c r="AN1078" s="953" t="s">
        <v>990</v>
      </c>
      <c r="AO1078" s="955" t="s">
        <v>1702</v>
      </c>
      <c r="AP1078" s="931"/>
      <c r="AQ1078" s="956"/>
      <c r="AR1078" s="957"/>
      <c r="AS1078" s="931"/>
    </row>
    <row r="1079" ht="15.75" customHeight="1">
      <c r="A1079" s="931"/>
      <c r="B1079" s="941" t="s">
        <v>3869</v>
      </c>
      <c r="C1079" s="942" t="s">
        <v>3870</v>
      </c>
      <c r="D1079" s="942" t="s">
        <v>3870</v>
      </c>
      <c r="E1079" s="943" t="s">
        <v>3870</v>
      </c>
      <c r="F1079" s="935"/>
      <c r="G1079" s="944"/>
      <c r="H1079" s="944"/>
      <c r="I1079" s="946" t="s">
        <v>452</v>
      </c>
      <c r="J1079" s="969" t="s">
        <v>718</v>
      </c>
      <c r="K1079" s="980" t="s">
        <v>720</v>
      </c>
      <c r="L1079" s="949">
        <v>65.0</v>
      </c>
      <c r="M1079" s="949">
        <v>60.0</v>
      </c>
      <c r="N1079" s="949">
        <v>45.0</v>
      </c>
      <c r="O1079" s="949">
        <v>75.0</v>
      </c>
      <c r="P1079" s="949">
        <v>55.0</v>
      </c>
      <c r="Q1079" s="949">
        <v>70.0</v>
      </c>
      <c r="R1079" s="949">
        <v>176.0</v>
      </c>
      <c r="S1079" s="949">
        <v>239.0</v>
      </c>
      <c r="T1079" s="949">
        <v>262.0</v>
      </c>
      <c r="U1079" s="949"/>
      <c r="V1079" s="949"/>
      <c r="W1079" s="949"/>
      <c r="X1079" s="949"/>
      <c r="Y1079" s="949"/>
      <c r="Z1079" s="949"/>
      <c r="AA1079" s="949"/>
      <c r="AB1079" s="949"/>
      <c r="AC1079" s="949"/>
      <c r="AD1079" s="949"/>
      <c r="AE1079" s="949"/>
      <c r="AF1079" s="949"/>
      <c r="AG1079" s="949"/>
      <c r="AH1079" s="949"/>
      <c r="AI1079" s="949"/>
      <c r="AJ1079" s="949"/>
      <c r="AK1079" s="949"/>
      <c r="AL1079" s="949"/>
      <c r="AM1079" s="953" t="s">
        <v>1641</v>
      </c>
      <c r="AN1079" s="953" t="s">
        <v>990</v>
      </c>
      <c r="AO1079" s="955" t="s">
        <v>1702</v>
      </c>
      <c r="AP1079" s="931"/>
      <c r="AQ1079" s="956"/>
      <c r="AR1079" s="957"/>
      <c r="AS1079" s="931"/>
    </row>
    <row r="1080" ht="15.75" customHeight="1">
      <c r="A1080" s="931"/>
      <c r="B1080" s="941" t="s">
        <v>3871</v>
      </c>
      <c r="C1080" s="942" t="s">
        <v>3872</v>
      </c>
      <c r="D1080" s="942" t="s">
        <v>3872</v>
      </c>
      <c r="E1080" s="943" t="s">
        <v>3872</v>
      </c>
      <c r="F1080" s="935"/>
      <c r="G1080" s="944"/>
      <c r="H1080" s="944"/>
      <c r="I1080" s="946" t="s">
        <v>349</v>
      </c>
      <c r="J1080" s="969" t="s">
        <v>718</v>
      </c>
      <c r="K1080" s="980" t="s">
        <v>720</v>
      </c>
      <c r="L1080" s="949">
        <v>95.0</v>
      </c>
      <c r="M1080" s="949">
        <v>120.0</v>
      </c>
      <c r="N1080" s="949">
        <v>65.0</v>
      </c>
      <c r="O1080" s="949">
        <v>95.0</v>
      </c>
      <c r="P1080" s="949">
        <v>75.0</v>
      </c>
      <c r="Q1080" s="949">
        <v>60.0</v>
      </c>
      <c r="R1080" s="949">
        <v>156.0</v>
      </c>
      <c r="S1080" s="949">
        <v>219.0</v>
      </c>
      <c r="T1080" s="949">
        <v>240.0</v>
      </c>
      <c r="U1080" s="949"/>
      <c r="V1080" s="949"/>
      <c r="W1080" s="949"/>
      <c r="X1080" s="949"/>
      <c r="Y1080" s="949"/>
      <c r="Z1080" s="949"/>
      <c r="AA1080" s="949"/>
      <c r="AB1080" s="949"/>
      <c r="AC1080" s="949"/>
      <c r="AD1080" s="949"/>
      <c r="AE1080" s="949"/>
      <c r="AF1080" s="949"/>
      <c r="AG1080" s="949"/>
      <c r="AH1080" s="949"/>
      <c r="AI1080" s="949"/>
      <c r="AJ1080" s="949"/>
      <c r="AK1080" s="949"/>
      <c r="AL1080" s="949"/>
      <c r="AM1080" s="953" t="s">
        <v>1641</v>
      </c>
      <c r="AN1080" s="953" t="s">
        <v>990</v>
      </c>
      <c r="AO1080" s="955" t="s">
        <v>1702</v>
      </c>
      <c r="AP1080" s="931"/>
      <c r="AQ1080" s="956"/>
      <c r="AR1080" s="957"/>
      <c r="AS1080" s="931"/>
    </row>
    <row r="1081" ht="15.75" customHeight="1">
      <c r="A1081" s="963"/>
      <c r="B1081" s="941" t="s">
        <v>3873</v>
      </c>
      <c r="C1081" s="971" t="s">
        <v>3874</v>
      </c>
      <c r="D1081" s="971" t="s">
        <v>3874</v>
      </c>
      <c r="E1081" s="966" t="s">
        <v>3874</v>
      </c>
      <c r="F1081" s="935"/>
      <c r="G1081" s="944"/>
      <c r="H1081" s="944"/>
      <c r="I1081" s="959" t="s">
        <v>3875</v>
      </c>
      <c r="J1081" s="1003" t="s">
        <v>718</v>
      </c>
      <c r="K1081" s="991" t="s">
        <v>703</v>
      </c>
      <c r="L1081" s="974">
        <v>93.0</v>
      </c>
      <c r="M1081" s="974">
        <v>90.0</v>
      </c>
      <c r="N1081" s="974">
        <v>101.0</v>
      </c>
      <c r="O1081" s="974">
        <v>60.0</v>
      </c>
      <c r="P1081" s="974">
        <v>81.0</v>
      </c>
      <c r="Q1081" s="974">
        <v>95.0</v>
      </c>
      <c r="R1081" s="949">
        <v>226.0</v>
      </c>
      <c r="S1081" s="949">
        <v>289.0</v>
      </c>
      <c r="T1081" s="949">
        <v>317.0</v>
      </c>
      <c r="U1081" s="949"/>
      <c r="V1081" s="949"/>
      <c r="W1081" s="949"/>
      <c r="X1081" s="949"/>
      <c r="Y1081" s="949"/>
      <c r="Z1081" s="949"/>
      <c r="AA1081" s="949"/>
      <c r="AB1081" s="949"/>
      <c r="AC1081" s="949"/>
      <c r="AD1081" s="949"/>
      <c r="AE1081" s="949"/>
      <c r="AF1081" s="949"/>
      <c r="AG1081" s="949"/>
      <c r="AH1081" s="949"/>
      <c r="AI1081" s="949"/>
      <c r="AJ1081" s="949"/>
      <c r="AK1081" s="949"/>
      <c r="AL1081" s="949"/>
      <c r="AM1081" s="964" t="s">
        <v>1305</v>
      </c>
      <c r="AN1081" s="964" t="s">
        <v>831</v>
      </c>
      <c r="AO1081" s="965" t="s">
        <v>1069</v>
      </c>
      <c r="AP1081" s="931"/>
      <c r="AQ1081" s="956"/>
      <c r="AR1081" s="957"/>
      <c r="AS1081" s="931"/>
    </row>
    <row r="1082" ht="15.75" customHeight="1">
      <c r="A1082" s="931"/>
      <c r="B1082" s="941" t="s">
        <v>3876</v>
      </c>
      <c r="C1082" s="942" t="s">
        <v>3877</v>
      </c>
      <c r="D1082" s="942" t="s">
        <v>3877</v>
      </c>
      <c r="E1082" s="943" t="s">
        <v>3877</v>
      </c>
      <c r="F1082" s="935"/>
      <c r="G1082" s="944"/>
      <c r="H1082" s="944"/>
      <c r="I1082" s="946" t="s">
        <v>3878</v>
      </c>
      <c r="J1082" s="978" t="s">
        <v>719</v>
      </c>
      <c r="K1082" s="954" t="s">
        <v>158</v>
      </c>
      <c r="L1082" s="949">
        <v>70.0</v>
      </c>
      <c r="M1082" s="949">
        <v>110.0</v>
      </c>
      <c r="N1082" s="949">
        <v>100.0</v>
      </c>
      <c r="O1082" s="949">
        <v>50.0</v>
      </c>
      <c r="P1082" s="949">
        <v>60.0</v>
      </c>
      <c r="Q1082" s="949">
        <v>50.0</v>
      </c>
      <c r="R1082" s="949">
        <v>136.0</v>
      </c>
      <c r="S1082" s="949">
        <v>199.0</v>
      </c>
      <c r="T1082" s="949">
        <v>218.0</v>
      </c>
      <c r="U1082" s="949"/>
      <c r="V1082" s="949"/>
      <c r="W1082" s="949"/>
      <c r="X1082" s="949"/>
      <c r="Y1082" s="949"/>
      <c r="Z1082" s="949"/>
      <c r="AA1082" s="949"/>
      <c r="AB1082" s="949"/>
      <c r="AC1082" s="949"/>
      <c r="AD1082" s="949"/>
      <c r="AE1082" s="949"/>
      <c r="AF1082" s="949"/>
      <c r="AG1082" s="949"/>
      <c r="AH1082" s="949"/>
      <c r="AI1082" s="949"/>
      <c r="AJ1082" s="949"/>
      <c r="AK1082" s="949"/>
      <c r="AL1082" s="949"/>
      <c r="AM1082" s="953" t="s">
        <v>1294</v>
      </c>
      <c r="AN1082" s="953" t="s">
        <v>762</v>
      </c>
      <c r="AO1082" s="955" t="s">
        <v>3879</v>
      </c>
      <c r="AP1082" s="931"/>
      <c r="AQ1082" s="956"/>
      <c r="AR1082" s="957"/>
      <c r="AS1082" s="931"/>
    </row>
    <row r="1083" ht="15.75" customHeight="1">
      <c r="A1083" s="931"/>
      <c r="B1083" s="941" t="s">
        <v>3880</v>
      </c>
      <c r="C1083" s="942" t="s">
        <v>3881</v>
      </c>
      <c r="D1083" s="942" t="s">
        <v>3881</v>
      </c>
      <c r="E1083" s="943" t="s">
        <v>3881</v>
      </c>
      <c r="F1083" s="935"/>
      <c r="G1083" s="944"/>
      <c r="H1083" s="944"/>
      <c r="I1083" s="946" t="s">
        <v>3882</v>
      </c>
      <c r="J1083" s="994" t="s">
        <v>717</v>
      </c>
      <c r="K1083" s="954" t="s">
        <v>158</v>
      </c>
      <c r="L1083" s="949">
        <v>60.0</v>
      </c>
      <c r="M1083" s="949">
        <v>95.0</v>
      </c>
      <c r="N1083" s="949">
        <v>50.0</v>
      </c>
      <c r="O1083" s="949">
        <v>145.0</v>
      </c>
      <c r="P1083" s="949">
        <v>130.0</v>
      </c>
      <c r="Q1083" s="949">
        <v>30.0</v>
      </c>
      <c r="R1083" s="949">
        <v>96.0</v>
      </c>
      <c r="S1083" s="949">
        <v>159.0</v>
      </c>
      <c r="T1083" s="949">
        <v>174.0</v>
      </c>
      <c r="U1083" s="949"/>
      <c r="V1083" s="949"/>
      <c r="W1083" s="949"/>
      <c r="X1083" s="949"/>
      <c r="Y1083" s="949"/>
      <c r="Z1083" s="949"/>
      <c r="AA1083" s="949"/>
      <c r="AB1083" s="949"/>
      <c r="AC1083" s="949"/>
      <c r="AD1083" s="949"/>
      <c r="AE1083" s="949"/>
      <c r="AF1083" s="949"/>
      <c r="AG1083" s="949"/>
      <c r="AH1083" s="949"/>
      <c r="AI1083" s="949"/>
      <c r="AJ1083" s="949"/>
      <c r="AK1083" s="949"/>
      <c r="AL1083" s="949"/>
      <c r="AM1083" s="953" t="s">
        <v>1256</v>
      </c>
      <c r="AN1083" s="954"/>
      <c r="AO1083" s="955" t="s">
        <v>3883</v>
      </c>
      <c r="AP1083" s="931"/>
      <c r="AQ1083" s="956"/>
      <c r="AR1083" s="957"/>
      <c r="AS1083" s="931"/>
    </row>
    <row r="1084" ht="15.75" customHeight="1">
      <c r="A1084" s="963"/>
      <c r="B1084" s="941" t="s">
        <v>3884</v>
      </c>
      <c r="C1084" s="971" t="s">
        <v>3885</v>
      </c>
      <c r="D1084" s="971" t="s">
        <v>3885</v>
      </c>
      <c r="E1084" s="966" t="s">
        <v>3885</v>
      </c>
      <c r="F1084" s="935"/>
      <c r="G1084" s="944"/>
      <c r="H1084" s="944"/>
      <c r="I1084" s="959" t="s">
        <v>3886</v>
      </c>
      <c r="J1084" s="987" t="s">
        <v>705</v>
      </c>
      <c r="K1084" s="973" t="s">
        <v>158</v>
      </c>
      <c r="L1084" s="974">
        <v>62.0</v>
      </c>
      <c r="M1084" s="974">
        <v>135.0</v>
      </c>
      <c r="N1084" s="974">
        <v>95.0</v>
      </c>
      <c r="O1084" s="974">
        <v>68.0</v>
      </c>
      <c r="P1084" s="974">
        <v>82.0</v>
      </c>
      <c r="Q1084" s="974">
        <v>65.0</v>
      </c>
      <c r="R1084" s="949">
        <v>166.0</v>
      </c>
      <c r="S1084" s="949">
        <v>229.0</v>
      </c>
      <c r="T1084" s="949">
        <v>251.0</v>
      </c>
      <c r="U1084" s="949"/>
      <c r="V1084" s="949"/>
      <c r="W1084" s="949"/>
      <c r="X1084" s="949"/>
      <c r="Y1084" s="949"/>
      <c r="Z1084" s="949"/>
      <c r="AA1084" s="949"/>
      <c r="AB1084" s="949"/>
      <c r="AC1084" s="949"/>
      <c r="AD1084" s="949"/>
      <c r="AE1084" s="949"/>
      <c r="AF1084" s="949"/>
      <c r="AG1084" s="949"/>
      <c r="AH1084" s="949"/>
      <c r="AI1084" s="949"/>
      <c r="AJ1084" s="949"/>
      <c r="AK1084" s="949"/>
      <c r="AL1084" s="949"/>
      <c r="AM1084" s="964" t="s">
        <v>1108</v>
      </c>
      <c r="AN1084" s="973"/>
      <c r="AO1084" s="965" t="s">
        <v>1205</v>
      </c>
      <c r="AP1084" s="931"/>
      <c r="AQ1084" s="956"/>
      <c r="AR1084" s="957"/>
      <c r="AS1084" s="931"/>
    </row>
    <row r="1085" ht="15.75" customHeight="1">
      <c r="A1085" s="931"/>
      <c r="B1085" s="941" t="s">
        <v>3887</v>
      </c>
      <c r="C1085" s="942" t="s">
        <v>3888</v>
      </c>
      <c r="D1085" s="942" t="s">
        <v>3889</v>
      </c>
      <c r="E1085" s="943" t="s">
        <v>3888</v>
      </c>
      <c r="F1085" s="935"/>
      <c r="G1085" s="944"/>
      <c r="H1085" s="944"/>
      <c r="I1085" s="946" t="s">
        <v>3890</v>
      </c>
      <c r="J1085" s="977" t="s">
        <v>714</v>
      </c>
      <c r="K1085" s="975" t="s">
        <v>712</v>
      </c>
      <c r="L1085" s="949">
        <v>80.0</v>
      </c>
      <c r="M1085" s="949">
        <v>85.0</v>
      </c>
      <c r="N1085" s="949">
        <v>75.0</v>
      </c>
      <c r="O1085" s="949">
        <v>110.0</v>
      </c>
      <c r="P1085" s="949">
        <v>100.0</v>
      </c>
      <c r="Q1085" s="949">
        <v>70.0</v>
      </c>
      <c r="R1085" s="949">
        <v>176.0</v>
      </c>
      <c r="S1085" s="949">
        <v>239.0</v>
      </c>
      <c r="T1085" s="949">
        <v>262.0</v>
      </c>
      <c r="U1085" s="949"/>
      <c r="V1085" s="949"/>
      <c r="W1085" s="949"/>
      <c r="X1085" s="949"/>
      <c r="Y1085" s="949"/>
      <c r="Z1085" s="949"/>
      <c r="AA1085" s="949"/>
      <c r="AB1085" s="949"/>
      <c r="AC1085" s="949"/>
      <c r="AD1085" s="949"/>
      <c r="AE1085" s="949"/>
      <c r="AF1085" s="949"/>
      <c r="AG1085" s="949"/>
      <c r="AH1085" s="949"/>
      <c r="AI1085" s="949"/>
      <c r="AJ1085" s="949"/>
      <c r="AK1085" s="949"/>
      <c r="AL1085" s="949"/>
      <c r="AM1085" s="953" t="s">
        <v>816</v>
      </c>
      <c r="AN1085" s="953" t="s">
        <v>1376</v>
      </c>
      <c r="AO1085" s="955" t="s">
        <v>1217</v>
      </c>
      <c r="AP1085" s="931"/>
      <c r="AQ1085" s="956"/>
      <c r="AR1085" s="957"/>
      <c r="AS1085" s="931"/>
    </row>
    <row r="1086" ht="15.75" customHeight="1">
      <c r="A1086" s="931"/>
      <c r="B1086" s="941" t="s">
        <v>3891</v>
      </c>
      <c r="C1086" s="942" t="s">
        <v>3892</v>
      </c>
      <c r="D1086" s="942" t="s">
        <v>3892</v>
      </c>
      <c r="E1086" s="943" t="s">
        <v>3892</v>
      </c>
      <c r="F1086" s="935"/>
      <c r="G1086" s="944"/>
      <c r="H1086" s="944"/>
      <c r="I1086" s="946" t="s">
        <v>3893</v>
      </c>
      <c r="J1086" s="976" t="s">
        <v>711</v>
      </c>
      <c r="K1086" s="994" t="s">
        <v>717</v>
      </c>
      <c r="L1086" s="949">
        <v>58.0</v>
      </c>
      <c r="M1086" s="949">
        <v>95.0</v>
      </c>
      <c r="N1086" s="949">
        <v>145.0</v>
      </c>
      <c r="O1086" s="949">
        <v>50.0</v>
      </c>
      <c r="P1086" s="949">
        <v>105.0</v>
      </c>
      <c r="Q1086" s="949">
        <v>30.0</v>
      </c>
      <c r="R1086" s="949">
        <v>96.0</v>
      </c>
      <c r="S1086" s="949">
        <v>159.0</v>
      </c>
      <c r="T1086" s="949">
        <v>174.0</v>
      </c>
      <c r="U1086" s="949"/>
      <c r="V1086" s="949"/>
      <c r="W1086" s="949"/>
      <c r="X1086" s="949"/>
      <c r="Y1086" s="949"/>
      <c r="Z1086" s="949"/>
      <c r="AA1086" s="949"/>
      <c r="AB1086" s="949"/>
      <c r="AC1086" s="949"/>
      <c r="AD1086" s="949"/>
      <c r="AE1086" s="949"/>
      <c r="AF1086" s="949"/>
      <c r="AG1086" s="949"/>
      <c r="AH1086" s="949"/>
      <c r="AI1086" s="949"/>
      <c r="AJ1086" s="949"/>
      <c r="AK1086" s="949"/>
      <c r="AL1086" s="949"/>
      <c r="AM1086" s="953" t="s">
        <v>2863</v>
      </c>
      <c r="AN1086" s="954"/>
      <c r="AO1086" s="955"/>
      <c r="AP1086" s="931"/>
      <c r="AQ1086" s="956"/>
      <c r="AR1086" s="957"/>
      <c r="AS1086" s="931"/>
    </row>
    <row r="1087" ht="15.75" customHeight="1">
      <c r="A1087" s="931"/>
      <c r="B1087" s="941" t="s">
        <v>3894</v>
      </c>
      <c r="C1087" s="942" t="s">
        <v>3895</v>
      </c>
      <c r="D1087" s="942" t="s">
        <v>3895</v>
      </c>
      <c r="E1087" s="966" t="s">
        <v>3895</v>
      </c>
      <c r="F1087" s="935"/>
      <c r="G1087" s="944"/>
      <c r="H1087" s="944"/>
      <c r="I1087" s="946" t="s">
        <v>3896</v>
      </c>
      <c r="J1087" s="980" t="s">
        <v>720</v>
      </c>
      <c r="K1087" s="954" t="s">
        <v>158</v>
      </c>
      <c r="L1087" s="949">
        <v>45.0</v>
      </c>
      <c r="M1087" s="949">
        <v>40.0</v>
      </c>
      <c r="N1087" s="949">
        <v>40.0</v>
      </c>
      <c r="O1087" s="949">
        <v>50.0</v>
      </c>
      <c r="P1087" s="949">
        <v>61.0</v>
      </c>
      <c r="Q1087" s="949">
        <v>34.0</v>
      </c>
      <c r="R1087" s="949">
        <v>104.0</v>
      </c>
      <c r="S1087" s="949">
        <v>167.0</v>
      </c>
      <c r="T1087" s="949">
        <v>183.0</v>
      </c>
      <c r="U1087" s="949"/>
      <c r="V1087" s="949"/>
      <c r="W1087" s="949"/>
      <c r="X1087" s="949"/>
      <c r="Y1087" s="949"/>
      <c r="Z1087" s="949"/>
      <c r="AA1087" s="949"/>
      <c r="AB1087" s="949"/>
      <c r="AC1087" s="949"/>
      <c r="AD1087" s="949"/>
      <c r="AE1087" s="949"/>
      <c r="AF1087" s="949"/>
      <c r="AG1087" s="949"/>
      <c r="AH1087" s="949"/>
      <c r="AI1087" s="949"/>
      <c r="AJ1087" s="949"/>
      <c r="AK1087" s="949"/>
      <c r="AL1087" s="949"/>
      <c r="AM1087" s="953" t="s">
        <v>3253</v>
      </c>
      <c r="AN1087" s="954"/>
      <c r="AO1087" s="955" t="s">
        <v>3246</v>
      </c>
      <c r="AP1087" s="931"/>
      <c r="AQ1087" s="956"/>
      <c r="AR1087" s="957"/>
      <c r="AS1087" s="931"/>
    </row>
    <row r="1088" ht="15.75" customHeight="1">
      <c r="A1088" s="931"/>
      <c r="B1088" s="941" t="s">
        <v>3897</v>
      </c>
      <c r="C1088" s="942" t="s">
        <v>3898</v>
      </c>
      <c r="D1088" s="942" t="s">
        <v>3898</v>
      </c>
      <c r="E1088" s="966" t="s">
        <v>3898</v>
      </c>
      <c r="F1088" s="935"/>
      <c r="G1088" s="944"/>
      <c r="H1088" s="944"/>
      <c r="I1088" s="946" t="s">
        <v>3899</v>
      </c>
      <c r="J1088" s="980" t="s">
        <v>720</v>
      </c>
      <c r="K1088" s="954" t="s">
        <v>158</v>
      </c>
      <c r="L1088" s="949">
        <v>65.0</v>
      </c>
      <c r="M1088" s="949">
        <v>60.0</v>
      </c>
      <c r="N1088" s="949">
        <v>75.0</v>
      </c>
      <c r="O1088" s="949">
        <v>110.0</v>
      </c>
      <c r="P1088" s="949">
        <v>121.0</v>
      </c>
      <c r="Q1088" s="949">
        <v>64.0</v>
      </c>
      <c r="R1088" s="949">
        <v>164.0</v>
      </c>
      <c r="S1088" s="949">
        <v>227.0</v>
      </c>
      <c r="T1088" s="949">
        <v>249.0</v>
      </c>
      <c r="U1088" s="949"/>
      <c r="V1088" s="949"/>
      <c r="W1088" s="949"/>
      <c r="X1088" s="949"/>
      <c r="Y1088" s="949"/>
      <c r="Z1088" s="949"/>
      <c r="AA1088" s="949"/>
      <c r="AB1088" s="949"/>
      <c r="AC1088" s="949"/>
      <c r="AD1088" s="949"/>
      <c r="AE1088" s="949"/>
      <c r="AF1088" s="949"/>
      <c r="AG1088" s="949"/>
      <c r="AH1088" s="949"/>
      <c r="AI1088" s="949"/>
      <c r="AJ1088" s="949"/>
      <c r="AK1088" s="949"/>
      <c r="AL1088" s="949"/>
      <c r="AM1088" s="953" t="s">
        <v>3253</v>
      </c>
      <c r="AN1088" s="954"/>
      <c r="AO1088" s="955" t="s">
        <v>3246</v>
      </c>
      <c r="AP1088" s="931"/>
      <c r="AQ1088" s="956"/>
      <c r="AR1088" s="957"/>
      <c r="AS1088" s="931"/>
    </row>
    <row r="1089" ht="15.75" customHeight="1">
      <c r="A1089" s="931"/>
      <c r="B1089" s="941" t="s">
        <v>3900</v>
      </c>
      <c r="C1089" s="942" t="s">
        <v>3901</v>
      </c>
      <c r="D1089" s="942" t="s">
        <v>3901</v>
      </c>
      <c r="E1089" s="966" t="s">
        <v>3901</v>
      </c>
      <c r="F1089" s="935"/>
      <c r="G1089" s="944"/>
      <c r="H1089" s="944"/>
      <c r="I1089" s="946" t="s">
        <v>477</v>
      </c>
      <c r="J1089" s="988" t="s">
        <v>705</v>
      </c>
      <c r="K1089" s="954" t="s">
        <v>158</v>
      </c>
      <c r="L1089" s="949">
        <v>65.0</v>
      </c>
      <c r="M1089" s="949">
        <v>100.0</v>
      </c>
      <c r="N1089" s="949">
        <v>100.0</v>
      </c>
      <c r="O1089" s="949">
        <v>70.0</v>
      </c>
      <c r="P1089" s="949">
        <v>60.0</v>
      </c>
      <c r="Q1089" s="949">
        <v>75.0</v>
      </c>
      <c r="R1089" s="949">
        <v>186.0</v>
      </c>
      <c r="S1089" s="949">
        <v>249.0</v>
      </c>
      <c r="T1089" s="949">
        <v>273.0</v>
      </c>
      <c r="U1089" s="949"/>
      <c r="V1089" s="949"/>
      <c r="W1089" s="949"/>
      <c r="X1089" s="949"/>
      <c r="Y1089" s="949"/>
      <c r="Z1089" s="949"/>
      <c r="AA1089" s="949"/>
      <c r="AB1089" s="949"/>
      <c r="AC1089" s="949"/>
      <c r="AD1089" s="949"/>
      <c r="AE1089" s="949"/>
      <c r="AF1089" s="949"/>
      <c r="AG1089" s="949"/>
      <c r="AH1089" s="949"/>
      <c r="AI1089" s="949"/>
      <c r="AJ1089" s="949"/>
      <c r="AK1089" s="949"/>
      <c r="AL1089" s="949"/>
      <c r="AM1089" s="953" t="s">
        <v>1294</v>
      </c>
      <c r="AN1089" s="954"/>
      <c r="AO1089" s="955" t="s">
        <v>1069</v>
      </c>
      <c r="AP1089" s="931"/>
      <c r="AQ1089" s="956"/>
      <c r="AR1089" s="957"/>
      <c r="AS1089" s="931"/>
    </row>
    <row r="1090" ht="15.75" customHeight="1">
      <c r="A1090" s="931"/>
      <c r="B1090" s="941" t="s">
        <v>3902</v>
      </c>
      <c r="C1090" s="942" t="s">
        <v>3903</v>
      </c>
      <c r="D1090" s="942" t="s">
        <v>3903</v>
      </c>
      <c r="E1090" s="966" t="s">
        <v>3903</v>
      </c>
      <c r="F1090" s="935"/>
      <c r="G1090" s="944"/>
      <c r="H1090" s="944"/>
      <c r="I1090" s="946" t="s">
        <v>467</v>
      </c>
      <c r="J1090" s="970" t="s">
        <v>710</v>
      </c>
      <c r="K1090" s="954" t="s">
        <v>158</v>
      </c>
      <c r="L1090" s="949">
        <v>48.0</v>
      </c>
      <c r="M1090" s="949">
        <v>101.0</v>
      </c>
      <c r="N1090" s="949">
        <v>95.0</v>
      </c>
      <c r="O1090" s="949">
        <v>91.0</v>
      </c>
      <c r="P1090" s="949">
        <v>85.0</v>
      </c>
      <c r="Q1090" s="949">
        <v>15.0</v>
      </c>
      <c r="R1090" s="949">
        <v>66.0</v>
      </c>
      <c r="S1090" s="949">
        <v>129.0</v>
      </c>
      <c r="T1090" s="949">
        <v>141.0</v>
      </c>
      <c r="U1090" s="949"/>
      <c r="V1090" s="949"/>
      <c r="W1090" s="949"/>
      <c r="X1090" s="949"/>
      <c r="Y1090" s="949"/>
      <c r="Z1090" s="949"/>
      <c r="AA1090" s="949"/>
      <c r="AB1090" s="949"/>
      <c r="AC1090" s="949"/>
      <c r="AD1090" s="949"/>
      <c r="AE1090" s="949"/>
      <c r="AF1090" s="949"/>
      <c r="AG1090" s="949"/>
      <c r="AH1090" s="949"/>
      <c r="AI1090" s="949"/>
      <c r="AJ1090" s="949"/>
      <c r="AK1090" s="949"/>
      <c r="AL1090" s="949"/>
      <c r="AM1090" s="953" t="s">
        <v>3904</v>
      </c>
      <c r="AN1090" s="954"/>
      <c r="AO1090" s="955" t="s">
        <v>3636</v>
      </c>
      <c r="AP1090" s="931"/>
      <c r="AQ1090" s="956"/>
      <c r="AR1090" s="957"/>
      <c r="AS1090" s="931"/>
    </row>
    <row r="1091" ht="15.75" customHeight="1">
      <c r="A1091" s="963"/>
      <c r="B1091" s="941" t="s">
        <v>3905</v>
      </c>
      <c r="C1091" s="971" t="s">
        <v>3906</v>
      </c>
      <c r="D1091" s="971" t="s">
        <v>3906</v>
      </c>
      <c r="E1091" s="966" t="s">
        <v>3906</v>
      </c>
      <c r="F1091" s="935"/>
      <c r="G1091" s="944"/>
      <c r="H1091" s="944"/>
      <c r="I1091" s="959" t="s">
        <v>659</v>
      </c>
      <c r="J1091" s="998" t="s">
        <v>714</v>
      </c>
      <c r="K1091" s="999" t="s">
        <v>715</v>
      </c>
      <c r="L1091" s="974">
        <v>30.0</v>
      </c>
      <c r="M1091" s="974">
        <v>25.0</v>
      </c>
      <c r="N1091" s="974">
        <v>35.0</v>
      </c>
      <c r="O1091" s="974">
        <v>45.0</v>
      </c>
      <c r="P1091" s="974">
        <v>30.0</v>
      </c>
      <c r="Q1091" s="974">
        <v>20.0</v>
      </c>
      <c r="R1091" s="949">
        <v>76.0</v>
      </c>
      <c r="S1091" s="949">
        <v>139.0</v>
      </c>
      <c r="T1091" s="949">
        <v>152.0</v>
      </c>
      <c r="U1091" s="949"/>
      <c r="V1091" s="949"/>
      <c r="W1091" s="949"/>
      <c r="X1091" s="949"/>
      <c r="Y1091" s="949"/>
      <c r="Z1091" s="949"/>
      <c r="AA1091" s="949"/>
      <c r="AB1091" s="949"/>
      <c r="AC1091" s="949"/>
      <c r="AD1091" s="949"/>
      <c r="AE1091" s="949"/>
      <c r="AF1091" s="949"/>
      <c r="AG1091" s="949"/>
      <c r="AH1091" s="949"/>
      <c r="AI1091" s="949"/>
      <c r="AJ1091" s="949"/>
      <c r="AK1091" s="949"/>
      <c r="AL1091" s="949"/>
      <c r="AM1091" s="964" t="s">
        <v>786</v>
      </c>
      <c r="AN1091" s="973"/>
      <c r="AO1091" s="965" t="s">
        <v>3907</v>
      </c>
      <c r="AP1091" s="931"/>
      <c r="AQ1091" s="956"/>
      <c r="AR1091" s="957"/>
      <c r="AS1091" s="931"/>
    </row>
    <row r="1092" ht="15.75" customHeight="1">
      <c r="A1092" s="963"/>
      <c r="B1092" s="941" t="s">
        <v>3908</v>
      </c>
      <c r="C1092" s="971" t="s">
        <v>3909</v>
      </c>
      <c r="D1092" s="971" t="s">
        <v>3909</v>
      </c>
      <c r="E1092" s="966" t="s">
        <v>3909</v>
      </c>
      <c r="F1092" s="935"/>
      <c r="G1092" s="944"/>
      <c r="H1092" s="944"/>
      <c r="I1092" s="959" t="s">
        <v>478</v>
      </c>
      <c r="J1092" s="998" t="s">
        <v>714</v>
      </c>
      <c r="K1092" s="999" t="s">
        <v>715</v>
      </c>
      <c r="L1092" s="974">
        <v>70.0</v>
      </c>
      <c r="M1092" s="974">
        <v>65.0</v>
      </c>
      <c r="N1092" s="974">
        <v>60.0</v>
      </c>
      <c r="O1092" s="974">
        <v>125.0</v>
      </c>
      <c r="P1092" s="974">
        <v>90.0</v>
      </c>
      <c r="Q1092" s="974">
        <v>65.0</v>
      </c>
      <c r="R1092" s="949">
        <v>166.0</v>
      </c>
      <c r="S1092" s="949">
        <v>229.0</v>
      </c>
      <c r="T1092" s="949">
        <v>251.0</v>
      </c>
      <c r="U1092" s="949"/>
      <c r="V1092" s="949"/>
      <c r="W1092" s="949"/>
      <c r="X1092" s="949"/>
      <c r="Y1092" s="949"/>
      <c r="Z1092" s="949"/>
      <c r="AA1092" s="949"/>
      <c r="AB1092" s="949"/>
      <c r="AC1092" s="949"/>
      <c r="AD1092" s="949"/>
      <c r="AE1092" s="949"/>
      <c r="AF1092" s="949"/>
      <c r="AG1092" s="949"/>
      <c r="AH1092" s="949"/>
      <c r="AI1092" s="949"/>
      <c r="AJ1092" s="949"/>
      <c r="AK1092" s="949"/>
      <c r="AL1092" s="949"/>
      <c r="AM1092" s="964" t="s">
        <v>786</v>
      </c>
      <c r="AN1092" s="954"/>
      <c r="AO1092" s="965" t="s">
        <v>3907</v>
      </c>
      <c r="AP1092" s="931"/>
      <c r="AQ1092" s="956"/>
      <c r="AR1092" s="957"/>
      <c r="AS1092" s="931"/>
    </row>
    <row r="1093" ht="15.75" customHeight="1">
      <c r="A1093" s="931"/>
      <c r="B1093" s="941" t="s">
        <v>3910</v>
      </c>
      <c r="C1093" s="942" t="s">
        <v>3911</v>
      </c>
      <c r="D1093" s="942" t="s">
        <v>3911</v>
      </c>
      <c r="E1093" s="943" t="s">
        <v>3911</v>
      </c>
      <c r="F1093" s="935"/>
      <c r="G1093" s="944"/>
      <c r="H1093" s="944"/>
      <c r="I1093" s="946" t="s">
        <v>519</v>
      </c>
      <c r="J1093" s="989" t="s">
        <v>713</v>
      </c>
      <c r="K1093" s="954" t="s">
        <v>158</v>
      </c>
      <c r="L1093" s="949">
        <v>100.0</v>
      </c>
      <c r="M1093" s="949">
        <v>125.0</v>
      </c>
      <c r="N1093" s="949">
        <v>135.0</v>
      </c>
      <c r="O1093" s="949">
        <v>20.0</v>
      </c>
      <c r="P1093" s="949">
        <v>20.0</v>
      </c>
      <c r="Q1093" s="949">
        <v>70.0</v>
      </c>
      <c r="R1093" s="949">
        <v>176.0</v>
      </c>
      <c r="S1093" s="949">
        <v>239.0</v>
      </c>
      <c r="T1093" s="949">
        <v>262.0</v>
      </c>
      <c r="U1093" s="949"/>
      <c r="V1093" s="949"/>
      <c r="W1093" s="949"/>
      <c r="X1093" s="949"/>
      <c r="Y1093" s="949"/>
      <c r="Z1093" s="949"/>
      <c r="AA1093" s="949"/>
      <c r="AB1093" s="949"/>
      <c r="AC1093" s="949"/>
      <c r="AD1093" s="949"/>
      <c r="AE1093" s="949"/>
      <c r="AF1093" s="949"/>
      <c r="AG1093" s="949"/>
      <c r="AH1093" s="949"/>
      <c r="AI1093" s="949"/>
      <c r="AJ1093" s="949"/>
      <c r="AK1093" s="949"/>
      <c r="AL1093" s="949"/>
      <c r="AM1093" s="953" t="s">
        <v>3912</v>
      </c>
      <c r="AN1093" s="954"/>
      <c r="AO1093" s="955"/>
      <c r="AP1093" s="931"/>
      <c r="AQ1093" s="956"/>
      <c r="AR1093" s="957"/>
      <c r="AS1093" s="931"/>
    </row>
    <row r="1094" ht="15.75" customHeight="1">
      <c r="A1094" s="931"/>
      <c r="B1094" s="941" t="s">
        <v>3913</v>
      </c>
      <c r="C1094" s="942" t="s">
        <v>3914</v>
      </c>
      <c r="D1094" s="942" t="s">
        <v>3914</v>
      </c>
      <c r="E1094" s="943" t="s">
        <v>3914</v>
      </c>
      <c r="F1094" s="935"/>
      <c r="G1094" s="944"/>
      <c r="H1094" s="944"/>
      <c r="I1094" s="946" t="s">
        <v>493</v>
      </c>
      <c r="J1094" s="977" t="s">
        <v>714</v>
      </c>
      <c r="K1094" s="954" t="s">
        <v>158</v>
      </c>
      <c r="L1094" s="949">
        <v>75.0</v>
      </c>
      <c r="M1094" s="949">
        <v>80.0</v>
      </c>
      <c r="N1094" s="949">
        <v>110.0</v>
      </c>
      <c r="O1094" s="949">
        <v>65.0</v>
      </c>
      <c r="P1094" s="949">
        <v>90.0</v>
      </c>
      <c r="Q1094" s="949">
        <v>50.0</v>
      </c>
      <c r="R1094" s="949">
        <v>136.0</v>
      </c>
      <c r="S1094" s="949">
        <v>199.0</v>
      </c>
      <c r="T1094" s="949">
        <v>218.0</v>
      </c>
      <c r="U1094" s="949"/>
      <c r="V1094" s="949"/>
      <c r="W1094" s="949"/>
      <c r="X1094" s="949"/>
      <c r="Y1094" s="949"/>
      <c r="Z1094" s="949"/>
      <c r="AA1094" s="949"/>
      <c r="AB1094" s="949"/>
      <c r="AC1094" s="949"/>
      <c r="AD1094" s="949"/>
      <c r="AE1094" s="949"/>
      <c r="AF1094" s="949"/>
      <c r="AG1094" s="949"/>
      <c r="AH1094" s="949"/>
      <c r="AI1094" s="949"/>
      <c r="AJ1094" s="949"/>
      <c r="AK1094" s="949"/>
      <c r="AL1094" s="949"/>
      <c r="AM1094" s="953" t="s">
        <v>3915</v>
      </c>
      <c r="AN1094" s="954"/>
      <c r="AO1094" s="955"/>
      <c r="AP1094" s="931"/>
      <c r="AQ1094" s="956"/>
      <c r="AR1094" s="957"/>
      <c r="AS1094" s="931"/>
    </row>
    <row r="1095" ht="15.75" customHeight="1">
      <c r="A1095" s="931"/>
      <c r="B1095" s="941" t="s">
        <v>3916</v>
      </c>
      <c r="C1095" s="942" t="s">
        <v>3917</v>
      </c>
      <c r="D1095" s="942" t="s">
        <v>3917</v>
      </c>
      <c r="E1095" s="943" t="s">
        <v>3917</v>
      </c>
      <c r="F1095" s="935"/>
      <c r="G1095" s="944"/>
      <c r="H1095" s="944"/>
      <c r="I1095" s="946" t="s">
        <v>3918</v>
      </c>
      <c r="J1095" s="977" t="s">
        <v>714</v>
      </c>
      <c r="K1095" s="954" t="s">
        <v>158</v>
      </c>
      <c r="L1095" s="949">
        <v>75.0</v>
      </c>
      <c r="M1095" s="949">
        <v>80.0</v>
      </c>
      <c r="N1095" s="949">
        <v>70.0</v>
      </c>
      <c r="O1095" s="949">
        <v>65.0</v>
      </c>
      <c r="P1095" s="949">
        <v>50.0</v>
      </c>
      <c r="Q1095" s="949">
        <v>130.0</v>
      </c>
      <c r="R1095" s="949">
        <v>296.0</v>
      </c>
      <c r="S1095" s="949">
        <v>359.0</v>
      </c>
      <c r="T1095" s="949">
        <v>394.0</v>
      </c>
      <c r="U1095" s="949"/>
      <c r="V1095" s="949"/>
      <c r="W1095" s="949"/>
      <c r="X1095" s="949"/>
      <c r="Y1095" s="949"/>
      <c r="Z1095" s="949"/>
      <c r="AA1095" s="949"/>
      <c r="AB1095" s="949"/>
      <c r="AC1095" s="949"/>
      <c r="AD1095" s="949"/>
      <c r="AE1095" s="949"/>
      <c r="AF1095" s="949"/>
      <c r="AG1095" s="949"/>
      <c r="AH1095" s="949"/>
      <c r="AI1095" s="949"/>
      <c r="AJ1095" s="949"/>
      <c r="AK1095" s="949"/>
      <c r="AL1095" s="949"/>
      <c r="AM1095" s="953" t="s">
        <v>3915</v>
      </c>
      <c r="AN1095" s="954"/>
      <c r="AO1095" s="955"/>
      <c r="AP1095" s="931"/>
      <c r="AQ1095" s="956"/>
      <c r="AR1095" s="957"/>
      <c r="AS1095" s="931"/>
    </row>
    <row r="1096" ht="15.75" customHeight="1">
      <c r="A1096" s="931"/>
      <c r="B1096" s="941" t="s">
        <v>3919</v>
      </c>
      <c r="C1096" s="942" t="s">
        <v>3920</v>
      </c>
      <c r="D1096" s="942" t="s">
        <v>3920</v>
      </c>
      <c r="E1096" s="943" t="s">
        <v>3921</v>
      </c>
      <c r="F1096" s="935"/>
      <c r="G1096" s="944"/>
      <c r="H1096" s="944"/>
      <c r="I1096" s="946" t="s">
        <v>351</v>
      </c>
      <c r="J1096" s="975" t="s">
        <v>712</v>
      </c>
      <c r="K1096" s="968" t="s">
        <v>703</v>
      </c>
      <c r="L1096" s="949">
        <v>60.0</v>
      </c>
      <c r="M1096" s="949">
        <v>65.0</v>
      </c>
      <c r="N1096" s="949">
        <v>55.0</v>
      </c>
      <c r="O1096" s="949">
        <v>105.0</v>
      </c>
      <c r="P1096" s="949">
        <v>95.0</v>
      </c>
      <c r="Q1096" s="949">
        <v>95.0</v>
      </c>
      <c r="R1096" s="949">
        <v>226.0</v>
      </c>
      <c r="S1096" s="949">
        <v>289.0</v>
      </c>
      <c r="T1096" s="949">
        <v>317.0</v>
      </c>
      <c r="U1096" s="949"/>
      <c r="V1096" s="949"/>
      <c r="W1096" s="949"/>
      <c r="X1096" s="949"/>
      <c r="Y1096" s="949"/>
      <c r="Z1096" s="949"/>
      <c r="AA1096" s="949"/>
      <c r="AB1096" s="949"/>
      <c r="AC1096" s="949"/>
      <c r="AD1096" s="949"/>
      <c r="AE1096" s="949"/>
      <c r="AF1096" s="949"/>
      <c r="AG1096" s="949"/>
      <c r="AH1096" s="949"/>
      <c r="AI1096" s="949"/>
      <c r="AJ1096" s="949"/>
      <c r="AK1096" s="949"/>
      <c r="AL1096" s="949"/>
      <c r="AM1096" s="953" t="s">
        <v>994</v>
      </c>
      <c r="AN1096" s="953" t="s">
        <v>1094</v>
      </c>
      <c r="AO1096" s="955" t="s">
        <v>3641</v>
      </c>
      <c r="AP1096" s="931"/>
      <c r="AQ1096" s="956"/>
      <c r="AR1096" s="957"/>
      <c r="AS1096" s="931"/>
    </row>
    <row r="1097" ht="15.75" customHeight="1">
      <c r="A1097" s="931"/>
      <c r="B1097" s="941" t="s">
        <v>3922</v>
      </c>
      <c r="C1097" s="942" t="s">
        <v>3923</v>
      </c>
      <c r="D1097" s="942" t="s">
        <v>3923</v>
      </c>
      <c r="E1097" s="943" t="s">
        <v>3924</v>
      </c>
      <c r="F1097" s="935"/>
      <c r="G1097" s="944"/>
      <c r="H1097" s="944"/>
      <c r="I1097" s="946" t="s">
        <v>84</v>
      </c>
      <c r="J1097" s="975" t="s">
        <v>712</v>
      </c>
      <c r="K1097" s="968" t="s">
        <v>703</v>
      </c>
      <c r="L1097" s="949">
        <v>70.0</v>
      </c>
      <c r="M1097" s="949">
        <v>55.0</v>
      </c>
      <c r="N1097" s="949">
        <v>65.0</v>
      </c>
      <c r="O1097" s="949">
        <v>95.0</v>
      </c>
      <c r="P1097" s="949">
        <v>105.0</v>
      </c>
      <c r="Q1097" s="949">
        <v>85.0</v>
      </c>
      <c r="R1097" s="949">
        <v>206.0</v>
      </c>
      <c r="S1097" s="949">
        <v>269.0</v>
      </c>
      <c r="T1097" s="949">
        <v>295.0</v>
      </c>
      <c r="U1097" s="949"/>
      <c r="V1097" s="949"/>
      <c r="W1097" s="949"/>
      <c r="X1097" s="949"/>
      <c r="Y1097" s="949"/>
      <c r="Z1097" s="949"/>
      <c r="AA1097" s="949"/>
      <c r="AB1097" s="949"/>
      <c r="AC1097" s="949"/>
      <c r="AD1097" s="949"/>
      <c r="AE1097" s="949"/>
      <c r="AF1097" s="949"/>
      <c r="AG1097" s="949"/>
      <c r="AH1097" s="949"/>
      <c r="AI1097" s="949"/>
      <c r="AJ1097" s="949"/>
      <c r="AK1097" s="949"/>
      <c r="AL1097" s="949"/>
      <c r="AM1097" s="953" t="s">
        <v>1176</v>
      </c>
      <c r="AN1097" s="953" t="s">
        <v>1094</v>
      </c>
      <c r="AO1097" s="955" t="s">
        <v>3641</v>
      </c>
      <c r="AP1097" s="931"/>
      <c r="AQ1097" s="956"/>
      <c r="AR1097" s="957"/>
      <c r="AS1097" s="931"/>
    </row>
    <row r="1098" ht="15.75" customHeight="1">
      <c r="A1098" s="931"/>
      <c r="B1098" s="941" t="s">
        <v>3925</v>
      </c>
      <c r="C1098" s="942" t="s">
        <v>3926</v>
      </c>
      <c r="D1098" s="942" t="s">
        <v>3926</v>
      </c>
      <c r="E1098" s="943" t="s">
        <v>3926</v>
      </c>
      <c r="F1098" s="935"/>
      <c r="G1098" s="944"/>
      <c r="H1098" s="944"/>
      <c r="I1098" s="946" t="s">
        <v>3927</v>
      </c>
      <c r="J1098" s="970" t="s">
        <v>710</v>
      </c>
      <c r="K1098" s="969" t="s">
        <v>718</v>
      </c>
      <c r="L1098" s="949">
        <v>58.0</v>
      </c>
      <c r="M1098" s="949">
        <v>95.0</v>
      </c>
      <c r="N1098" s="949">
        <v>58.0</v>
      </c>
      <c r="O1098" s="949">
        <v>70.0</v>
      </c>
      <c r="P1098" s="949">
        <v>58.0</v>
      </c>
      <c r="Q1098" s="949">
        <v>97.0</v>
      </c>
      <c r="R1098" s="949">
        <v>230.0</v>
      </c>
      <c r="S1098" s="949">
        <v>293.0</v>
      </c>
      <c r="T1098" s="949">
        <v>322.0</v>
      </c>
      <c r="U1098" s="949"/>
      <c r="V1098" s="949"/>
      <c r="W1098" s="949"/>
      <c r="X1098" s="949"/>
      <c r="Y1098" s="949"/>
      <c r="Z1098" s="949"/>
      <c r="AA1098" s="949"/>
      <c r="AB1098" s="949"/>
      <c r="AC1098" s="949"/>
      <c r="AD1098" s="949"/>
      <c r="AE1098" s="949"/>
      <c r="AF1098" s="949"/>
      <c r="AG1098" s="949"/>
      <c r="AH1098" s="949"/>
      <c r="AI1098" s="949"/>
      <c r="AJ1098" s="949"/>
      <c r="AK1098" s="949"/>
      <c r="AL1098" s="949"/>
      <c r="AM1098" s="953" t="s">
        <v>3928</v>
      </c>
      <c r="AN1098" s="954"/>
      <c r="AO1098" s="955"/>
      <c r="AP1098" s="931"/>
      <c r="AQ1098" s="956"/>
      <c r="AR1098" s="957"/>
      <c r="AS1098" s="931"/>
    </row>
    <row r="1099" ht="15.75" customHeight="1">
      <c r="A1099" s="963"/>
      <c r="B1099" s="941" t="s">
        <v>3929</v>
      </c>
      <c r="C1099" s="942" t="s">
        <v>3930</v>
      </c>
      <c r="D1099" s="942" t="s">
        <v>3930</v>
      </c>
      <c r="E1099" s="943" t="s">
        <v>3930</v>
      </c>
      <c r="F1099" s="935"/>
      <c r="G1099" s="944"/>
      <c r="H1099" s="944"/>
      <c r="I1099" s="946" t="s">
        <v>3931</v>
      </c>
      <c r="J1099" s="970" t="s">
        <v>710</v>
      </c>
      <c r="K1099" s="969" t="s">
        <v>718</v>
      </c>
      <c r="L1099" s="949">
        <v>58.0</v>
      </c>
      <c r="M1099" s="949">
        <v>95.0</v>
      </c>
      <c r="N1099" s="949">
        <v>58.0</v>
      </c>
      <c r="O1099" s="949">
        <v>70.0</v>
      </c>
      <c r="P1099" s="949">
        <v>58.0</v>
      </c>
      <c r="Q1099" s="949">
        <v>97.0</v>
      </c>
      <c r="R1099" s="949">
        <v>230.0</v>
      </c>
      <c r="S1099" s="949">
        <v>293.0</v>
      </c>
      <c r="T1099" s="949">
        <v>322.0</v>
      </c>
      <c r="U1099" s="949"/>
      <c r="V1099" s="949"/>
      <c r="W1099" s="949"/>
      <c r="X1099" s="949"/>
      <c r="Y1099" s="949"/>
      <c r="Z1099" s="949"/>
      <c r="AA1099" s="949"/>
      <c r="AB1099" s="949"/>
      <c r="AC1099" s="949"/>
      <c r="AD1099" s="949"/>
      <c r="AE1099" s="949"/>
      <c r="AF1099" s="949"/>
      <c r="AG1099" s="949"/>
      <c r="AH1099" s="949"/>
      <c r="AI1099" s="949"/>
      <c r="AJ1099" s="949"/>
      <c r="AK1099" s="949"/>
      <c r="AL1099" s="949"/>
      <c r="AM1099" s="964" t="s">
        <v>3928</v>
      </c>
      <c r="AN1099" s="973"/>
      <c r="AO1099" s="965"/>
      <c r="AP1099" s="931"/>
      <c r="AQ1099" s="956"/>
      <c r="AR1099" s="957"/>
      <c r="AS1099" s="931"/>
    </row>
    <row r="1100" ht="15.75" customHeight="1">
      <c r="A1100" s="931"/>
      <c r="B1100" s="941" t="s">
        <v>3932</v>
      </c>
      <c r="C1100" s="942" t="s">
        <v>3933</v>
      </c>
      <c r="D1100" s="942" t="s">
        <v>3933</v>
      </c>
      <c r="E1100" s="943" t="s">
        <v>3933</v>
      </c>
      <c r="F1100" s="935"/>
      <c r="G1100" s="944"/>
      <c r="H1100" s="944"/>
      <c r="I1100" s="946" t="s">
        <v>553</v>
      </c>
      <c r="J1100" s="978" t="s">
        <v>719</v>
      </c>
      <c r="K1100" s="954" t="s">
        <v>158</v>
      </c>
      <c r="L1100" s="949">
        <v>72.0</v>
      </c>
      <c r="M1100" s="949">
        <v>80.0</v>
      </c>
      <c r="N1100" s="949">
        <v>49.0</v>
      </c>
      <c r="O1100" s="949">
        <v>40.0</v>
      </c>
      <c r="P1100" s="949">
        <v>49.0</v>
      </c>
      <c r="Q1100" s="949">
        <v>40.0</v>
      </c>
      <c r="R1100" s="949">
        <v>116.0</v>
      </c>
      <c r="S1100" s="949">
        <v>179.0</v>
      </c>
      <c r="T1100" s="949">
        <v>196.0</v>
      </c>
      <c r="U1100" s="949"/>
      <c r="V1100" s="949"/>
      <c r="W1100" s="949"/>
      <c r="X1100" s="949"/>
      <c r="Y1100" s="949"/>
      <c r="Z1100" s="949"/>
      <c r="AA1100" s="949"/>
      <c r="AB1100" s="949"/>
      <c r="AC1100" s="949"/>
      <c r="AD1100" s="949"/>
      <c r="AE1100" s="949"/>
      <c r="AF1100" s="949"/>
      <c r="AG1100" s="949"/>
      <c r="AH1100" s="949"/>
      <c r="AI1100" s="949"/>
      <c r="AJ1100" s="949"/>
      <c r="AK1100" s="949"/>
      <c r="AL1100" s="949"/>
      <c r="AM1100" s="953" t="s">
        <v>949</v>
      </c>
      <c r="AN1100" s="954"/>
      <c r="AO1100" s="955" t="s">
        <v>1983</v>
      </c>
      <c r="AP1100" s="931"/>
      <c r="AQ1100" s="956"/>
      <c r="AR1100" s="957"/>
      <c r="AS1100" s="931"/>
    </row>
    <row r="1101" ht="15.75" customHeight="1">
      <c r="A1101" s="931"/>
      <c r="B1101" s="941" t="s">
        <v>3934</v>
      </c>
      <c r="C1101" s="942" t="s">
        <v>3935</v>
      </c>
      <c r="D1101" s="942" t="s">
        <v>3935</v>
      </c>
      <c r="E1101" s="943" t="s">
        <v>3935</v>
      </c>
      <c r="F1101" s="935"/>
      <c r="G1101" s="944"/>
      <c r="H1101" s="944"/>
      <c r="I1101" s="946" t="s">
        <v>426</v>
      </c>
      <c r="J1101" s="978" t="s">
        <v>719</v>
      </c>
      <c r="K1101" s="954" t="s">
        <v>158</v>
      </c>
      <c r="L1101" s="949">
        <v>122.0</v>
      </c>
      <c r="M1101" s="949">
        <v>130.0</v>
      </c>
      <c r="N1101" s="949">
        <v>69.0</v>
      </c>
      <c r="O1101" s="949">
        <v>80.0</v>
      </c>
      <c r="P1101" s="949">
        <v>69.0</v>
      </c>
      <c r="Q1101" s="949">
        <v>30.0</v>
      </c>
      <c r="R1101" s="949">
        <v>96.0</v>
      </c>
      <c r="S1101" s="949">
        <v>159.0</v>
      </c>
      <c r="T1101" s="949">
        <v>174.0</v>
      </c>
      <c r="U1101" s="949"/>
      <c r="V1101" s="949"/>
      <c r="W1101" s="949"/>
      <c r="X1101" s="949"/>
      <c r="Y1101" s="949"/>
      <c r="Z1101" s="949"/>
      <c r="AA1101" s="949"/>
      <c r="AB1101" s="949"/>
      <c r="AC1101" s="949"/>
      <c r="AD1101" s="949"/>
      <c r="AE1101" s="949"/>
      <c r="AF1101" s="949"/>
      <c r="AG1101" s="949"/>
      <c r="AH1101" s="949"/>
      <c r="AI1101" s="949"/>
      <c r="AJ1101" s="949"/>
      <c r="AK1101" s="949"/>
      <c r="AL1101" s="949"/>
      <c r="AM1101" s="953" t="s">
        <v>949</v>
      </c>
      <c r="AN1101" s="954"/>
      <c r="AO1101" s="955" t="s">
        <v>1983</v>
      </c>
      <c r="AP1101" s="931"/>
      <c r="AQ1101" s="956"/>
      <c r="AR1101" s="957"/>
      <c r="AS1101" s="931"/>
    </row>
    <row r="1102" ht="15.75" customHeight="1">
      <c r="A1102" s="931"/>
      <c r="B1102" s="941" t="s">
        <v>3936</v>
      </c>
      <c r="C1102" s="942" t="s">
        <v>3937</v>
      </c>
      <c r="D1102" s="942" t="s">
        <v>3937</v>
      </c>
      <c r="E1102" s="943" t="s">
        <v>3937</v>
      </c>
      <c r="F1102" s="935"/>
      <c r="G1102" s="944"/>
      <c r="H1102" s="944"/>
      <c r="I1102" s="946" t="s">
        <v>3938</v>
      </c>
      <c r="J1102" s="970" t="s">
        <v>710</v>
      </c>
      <c r="K1102" s="961" t="s">
        <v>716</v>
      </c>
      <c r="L1102" s="949">
        <v>90.0</v>
      </c>
      <c r="M1102" s="949">
        <v>100.0</v>
      </c>
      <c r="N1102" s="949">
        <v>90.0</v>
      </c>
      <c r="O1102" s="949">
        <v>80.0</v>
      </c>
      <c r="P1102" s="949">
        <v>70.0</v>
      </c>
      <c r="Q1102" s="949">
        <v>75.0</v>
      </c>
      <c r="R1102" s="949">
        <v>186.0</v>
      </c>
      <c r="S1102" s="949">
        <v>249.0</v>
      </c>
      <c r="T1102" s="949">
        <v>273.0</v>
      </c>
      <c r="U1102" s="949"/>
      <c r="V1102" s="949"/>
      <c r="W1102" s="949"/>
      <c r="X1102" s="949"/>
      <c r="Y1102" s="949"/>
      <c r="Z1102" s="949"/>
      <c r="AA1102" s="949"/>
      <c r="AB1102" s="949"/>
      <c r="AC1102" s="949"/>
      <c r="AD1102" s="949"/>
      <c r="AE1102" s="949"/>
      <c r="AF1102" s="949"/>
      <c r="AG1102" s="949"/>
      <c r="AH1102" s="949"/>
      <c r="AI1102" s="949"/>
      <c r="AJ1102" s="949"/>
      <c r="AK1102" s="949"/>
      <c r="AL1102" s="949"/>
      <c r="AM1102" s="953" t="s">
        <v>1428</v>
      </c>
      <c r="AN1102" s="953" t="s">
        <v>832</v>
      </c>
      <c r="AO1102" s="955" t="s">
        <v>924</v>
      </c>
      <c r="AP1102" s="931"/>
      <c r="AQ1102" s="956"/>
      <c r="AR1102" s="957"/>
      <c r="AS1102" s="931"/>
    </row>
    <row r="1103" ht="15.75" customHeight="1">
      <c r="A1103" s="963"/>
      <c r="B1103" s="941" t="s">
        <v>3939</v>
      </c>
      <c r="C1103" s="942" t="s">
        <v>3940</v>
      </c>
      <c r="D1103" s="942" t="s">
        <v>3940</v>
      </c>
      <c r="E1103" s="943" t="s">
        <v>3940</v>
      </c>
      <c r="F1103" s="935"/>
      <c r="G1103" s="944"/>
      <c r="H1103" s="944"/>
      <c r="I1103" s="946" t="s">
        <v>3941</v>
      </c>
      <c r="J1103" s="970" t="s">
        <v>710</v>
      </c>
      <c r="K1103" s="977" t="s">
        <v>714</v>
      </c>
      <c r="L1103" s="949">
        <v>90.0</v>
      </c>
      <c r="M1103" s="949">
        <v>100.0</v>
      </c>
      <c r="N1103" s="949">
        <v>90.0</v>
      </c>
      <c r="O1103" s="949">
        <v>90.0</v>
      </c>
      <c r="P1103" s="949">
        <v>80.0</v>
      </c>
      <c r="Q1103" s="949">
        <v>55.0</v>
      </c>
      <c r="R1103" s="949">
        <v>146.0</v>
      </c>
      <c r="S1103" s="949">
        <v>209.0</v>
      </c>
      <c r="T1103" s="949">
        <v>229.0</v>
      </c>
      <c r="U1103" s="949"/>
      <c r="V1103" s="949"/>
      <c r="W1103" s="949"/>
      <c r="X1103" s="949"/>
      <c r="Y1103" s="949"/>
      <c r="Z1103" s="949"/>
      <c r="AA1103" s="949"/>
      <c r="AB1103" s="949"/>
      <c r="AC1103" s="949"/>
      <c r="AD1103" s="949"/>
      <c r="AE1103" s="949"/>
      <c r="AF1103" s="949"/>
      <c r="AG1103" s="949"/>
      <c r="AH1103" s="949"/>
      <c r="AI1103" s="949"/>
      <c r="AJ1103" s="949"/>
      <c r="AK1103" s="949"/>
      <c r="AL1103" s="949"/>
      <c r="AM1103" s="964" t="s">
        <v>1428</v>
      </c>
      <c r="AN1103" s="953" t="s">
        <v>861</v>
      </c>
      <c r="AO1103" s="965" t="s">
        <v>930</v>
      </c>
      <c r="AP1103" s="931"/>
      <c r="AQ1103" s="956"/>
      <c r="AR1103" s="957"/>
      <c r="AS1103" s="931"/>
    </row>
    <row r="1104" ht="15.75" customHeight="1">
      <c r="A1104" s="931"/>
      <c r="B1104" s="941" t="s">
        <v>3942</v>
      </c>
      <c r="C1104" s="942" t="s">
        <v>3943</v>
      </c>
      <c r="D1104" s="942" t="s">
        <v>3943</v>
      </c>
      <c r="E1104" s="943" t="s">
        <v>3943</v>
      </c>
      <c r="F1104" s="935"/>
      <c r="G1104" s="944"/>
      <c r="H1104" s="944"/>
      <c r="I1104" s="946" t="s">
        <v>3944</v>
      </c>
      <c r="J1104" s="962" t="s">
        <v>706</v>
      </c>
      <c r="K1104" s="961" t="s">
        <v>716</v>
      </c>
      <c r="L1104" s="949">
        <v>90.0</v>
      </c>
      <c r="M1104" s="949">
        <v>90.0</v>
      </c>
      <c r="N1104" s="949">
        <v>100.0</v>
      </c>
      <c r="O1104" s="949">
        <v>70.0</v>
      </c>
      <c r="P1104" s="949">
        <v>80.0</v>
      </c>
      <c r="Q1104" s="949">
        <v>75.0</v>
      </c>
      <c r="R1104" s="949">
        <v>186.0</v>
      </c>
      <c r="S1104" s="949">
        <v>249.0</v>
      </c>
      <c r="T1104" s="949">
        <v>273.0</v>
      </c>
      <c r="U1104" s="949"/>
      <c r="V1104" s="949"/>
      <c r="W1104" s="949"/>
      <c r="X1104" s="949"/>
      <c r="Y1104" s="949"/>
      <c r="Z1104" s="949"/>
      <c r="AA1104" s="949"/>
      <c r="AB1104" s="949"/>
      <c r="AC1104" s="949"/>
      <c r="AD1104" s="949"/>
      <c r="AE1104" s="949"/>
      <c r="AF1104" s="949"/>
      <c r="AG1104" s="949"/>
      <c r="AH1104" s="949"/>
      <c r="AI1104" s="949"/>
      <c r="AJ1104" s="949"/>
      <c r="AK1104" s="949"/>
      <c r="AL1104" s="949"/>
      <c r="AM1104" s="953" t="s">
        <v>1084</v>
      </c>
      <c r="AN1104" s="953" t="s">
        <v>2039</v>
      </c>
      <c r="AO1104" s="955" t="s">
        <v>924</v>
      </c>
      <c r="AP1104" s="931"/>
      <c r="AQ1104" s="956"/>
      <c r="AR1104" s="957"/>
      <c r="AS1104" s="931"/>
    </row>
    <row r="1105" ht="15.75" customHeight="1">
      <c r="A1105" s="963"/>
      <c r="B1105" s="941" t="s">
        <v>3945</v>
      </c>
      <c r="C1105" s="971" t="s">
        <v>3946</v>
      </c>
      <c r="D1105" s="971" t="s">
        <v>3946</v>
      </c>
      <c r="E1105" s="966" t="s">
        <v>3946</v>
      </c>
      <c r="F1105" s="935"/>
      <c r="G1105" s="944"/>
      <c r="H1105" s="944"/>
      <c r="I1105" s="959" t="s">
        <v>3947</v>
      </c>
      <c r="J1105" s="986" t="s">
        <v>706</v>
      </c>
      <c r="K1105" s="998" t="s">
        <v>714</v>
      </c>
      <c r="L1105" s="974">
        <v>90.0</v>
      </c>
      <c r="M1105" s="974">
        <v>90.0</v>
      </c>
      <c r="N1105" s="974">
        <v>100.0</v>
      </c>
      <c r="O1105" s="974">
        <v>80.0</v>
      </c>
      <c r="P1105" s="974">
        <v>90.0</v>
      </c>
      <c r="Q1105" s="974">
        <v>55.0</v>
      </c>
      <c r="R1105" s="949">
        <v>146.0</v>
      </c>
      <c r="S1105" s="949">
        <v>209.0</v>
      </c>
      <c r="T1105" s="949">
        <v>229.0</v>
      </c>
      <c r="U1105" s="949"/>
      <c r="V1105" s="949"/>
      <c r="W1105" s="949"/>
      <c r="X1105" s="949"/>
      <c r="Y1105" s="949"/>
      <c r="Z1105" s="949"/>
      <c r="AA1105" s="949"/>
      <c r="AB1105" s="949"/>
      <c r="AC1105" s="949"/>
      <c r="AD1105" s="949"/>
      <c r="AE1105" s="949"/>
      <c r="AF1105" s="949"/>
      <c r="AG1105" s="949"/>
      <c r="AH1105" s="949"/>
      <c r="AI1105" s="949"/>
      <c r="AJ1105" s="949"/>
      <c r="AK1105" s="949"/>
      <c r="AL1105" s="949"/>
      <c r="AM1105" s="964" t="s">
        <v>1084</v>
      </c>
      <c r="AN1105" s="953" t="s">
        <v>1217</v>
      </c>
      <c r="AO1105" s="955" t="s">
        <v>930</v>
      </c>
      <c r="AP1105" s="931"/>
      <c r="AQ1105" s="956"/>
      <c r="AR1105" s="957"/>
      <c r="AS1105" s="931"/>
    </row>
    <row r="1106" ht="15.75" customHeight="1">
      <c r="A1106" s="963"/>
      <c r="B1106" s="941" t="s">
        <v>3948</v>
      </c>
      <c r="C1106" s="971" t="s">
        <v>3949</v>
      </c>
      <c r="D1106" s="971" t="s">
        <v>3949</v>
      </c>
      <c r="E1106" s="966" t="s">
        <v>3949</v>
      </c>
      <c r="F1106" s="935"/>
      <c r="G1106" s="944"/>
      <c r="H1106" s="944"/>
      <c r="I1106" s="959" t="s">
        <v>3950</v>
      </c>
      <c r="J1106" s="1007" t="s">
        <v>719</v>
      </c>
      <c r="K1106" s="1005" t="s">
        <v>716</v>
      </c>
      <c r="L1106" s="974">
        <v>70.0</v>
      </c>
      <c r="M1106" s="974">
        <v>95.0</v>
      </c>
      <c r="N1106" s="974">
        <v>115.0</v>
      </c>
      <c r="O1106" s="974">
        <v>120.0</v>
      </c>
      <c r="P1106" s="974">
        <v>50.0</v>
      </c>
      <c r="Q1106" s="974">
        <v>85.0</v>
      </c>
      <c r="R1106" s="949">
        <v>206.0</v>
      </c>
      <c r="S1106" s="949">
        <v>269.0</v>
      </c>
      <c r="T1106" s="949">
        <v>295.0</v>
      </c>
      <c r="U1106" s="949"/>
      <c r="V1106" s="949"/>
      <c r="W1106" s="949"/>
      <c r="X1106" s="949"/>
      <c r="Y1106" s="949"/>
      <c r="Z1106" s="949"/>
      <c r="AA1106" s="949"/>
      <c r="AB1106" s="949"/>
      <c r="AC1106" s="949"/>
      <c r="AD1106" s="949"/>
      <c r="AE1106" s="949"/>
      <c r="AF1106" s="949"/>
      <c r="AG1106" s="949"/>
      <c r="AH1106" s="949"/>
      <c r="AI1106" s="949"/>
      <c r="AJ1106" s="949"/>
      <c r="AK1106" s="949"/>
      <c r="AL1106" s="949"/>
      <c r="AM1106" s="964" t="s">
        <v>1686</v>
      </c>
      <c r="AN1106" s="964" t="s">
        <v>1983</v>
      </c>
      <c r="AO1106" s="965" t="s">
        <v>3951</v>
      </c>
      <c r="AP1106" s="931"/>
      <c r="AQ1106" s="956"/>
      <c r="AR1106" s="957"/>
      <c r="AS1106" s="931"/>
    </row>
    <row r="1107" ht="15.75" customHeight="1">
      <c r="A1107" s="963"/>
      <c r="B1107" s="941" t="s">
        <v>3952</v>
      </c>
      <c r="C1107" s="971" t="s">
        <v>3953</v>
      </c>
      <c r="D1107" s="971" t="s">
        <v>3953</v>
      </c>
      <c r="E1107" s="966" t="s">
        <v>3953</v>
      </c>
      <c r="F1107" s="935"/>
      <c r="G1107" s="944"/>
      <c r="H1107" s="944"/>
      <c r="I1107" s="959" t="s">
        <v>660</v>
      </c>
      <c r="J1107" s="1005" t="s">
        <v>716</v>
      </c>
      <c r="K1107" s="995" t="s">
        <v>717</v>
      </c>
      <c r="L1107" s="974">
        <v>28.0</v>
      </c>
      <c r="M1107" s="974">
        <v>60.0</v>
      </c>
      <c r="N1107" s="974">
        <v>30.0</v>
      </c>
      <c r="O1107" s="974">
        <v>40.0</v>
      </c>
      <c r="P1107" s="974">
        <v>30.0</v>
      </c>
      <c r="Q1107" s="974">
        <v>82.0</v>
      </c>
      <c r="R1107" s="949">
        <v>200.0</v>
      </c>
      <c r="S1107" s="949">
        <v>263.0</v>
      </c>
      <c r="T1107" s="949">
        <v>289.0</v>
      </c>
      <c r="U1107" s="949"/>
      <c r="V1107" s="949"/>
      <c r="W1107" s="949"/>
      <c r="X1107" s="949"/>
      <c r="Y1107" s="949"/>
      <c r="Z1107" s="949"/>
      <c r="AA1107" s="949"/>
      <c r="AB1107" s="949"/>
      <c r="AC1107" s="949"/>
      <c r="AD1107" s="949"/>
      <c r="AE1107" s="949"/>
      <c r="AF1107" s="949"/>
      <c r="AG1107" s="949"/>
      <c r="AH1107" s="949"/>
      <c r="AI1107" s="949"/>
      <c r="AJ1107" s="949"/>
      <c r="AK1107" s="949"/>
      <c r="AL1107" s="949"/>
      <c r="AM1107" s="964" t="s">
        <v>1127</v>
      </c>
      <c r="AN1107" s="964" t="s">
        <v>995</v>
      </c>
      <c r="AO1107" s="965" t="s">
        <v>1248</v>
      </c>
      <c r="AP1107" s="931"/>
      <c r="AQ1107" s="956"/>
      <c r="AR1107" s="957"/>
      <c r="AS1107" s="931"/>
    </row>
    <row r="1108" ht="15.75" customHeight="1">
      <c r="A1108" s="963"/>
      <c r="B1108" s="941" t="s">
        <v>3954</v>
      </c>
      <c r="C1108" s="971" t="s">
        <v>3955</v>
      </c>
      <c r="D1108" s="971" t="s">
        <v>3955</v>
      </c>
      <c r="E1108" s="966" t="s">
        <v>3955</v>
      </c>
      <c r="F1108" s="935"/>
      <c r="G1108" s="944"/>
      <c r="H1108" s="944"/>
      <c r="I1108" s="959" t="s">
        <v>479</v>
      </c>
      <c r="J1108" s="1005" t="s">
        <v>716</v>
      </c>
      <c r="K1108" s="995" t="s">
        <v>717</v>
      </c>
      <c r="L1108" s="974">
        <v>68.0</v>
      </c>
      <c r="M1108" s="974">
        <v>80.0</v>
      </c>
      <c r="N1108" s="974">
        <v>50.0</v>
      </c>
      <c r="O1108" s="974">
        <v>60.0</v>
      </c>
      <c r="P1108" s="974">
        <v>50.0</v>
      </c>
      <c r="Q1108" s="974">
        <v>102.0</v>
      </c>
      <c r="R1108" s="949">
        <v>240.0</v>
      </c>
      <c r="S1108" s="949">
        <v>303.0</v>
      </c>
      <c r="T1108" s="949">
        <v>333.0</v>
      </c>
      <c r="U1108" s="949"/>
      <c r="V1108" s="949"/>
      <c r="W1108" s="949"/>
      <c r="X1108" s="949"/>
      <c r="Y1108" s="949"/>
      <c r="Z1108" s="949"/>
      <c r="AA1108" s="949"/>
      <c r="AB1108" s="949"/>
      <c r="AC1108" s="949"/>
      <c r="AD1108" s="949"/>
      <c r="AE1108" s="949"/>
      <c r="AF1108" s="949"/>
      <c r="AG1108" s="949"/>
      <c r="AH1108" s="949"/>
      <c r="AI1108" s="949"/>
      <c r="AJ1108" s="949"/>
      <c r="AK1108" s="949"/>
      <c r="AL1108" s="949"/>
      <c r="AM1108" s="964" t="s">
        <v>1127</v>
      </c>
      <c r="AN1108" s="964" t="s">
        <v>995</v>
      </c>
      <c r="AO1108" s="965" t="s">
        <v>1248</v>
      </c>
      <c r="AP1108" s="931"/>
      <c r="AQ1108" s="956"/>
      <c r="AR1108" s="957"/>
      <c r="AS1108" s="931"/>
    </row>
    <row r="1109" ht="15.75" customHeight="1">
      <c r="A1109" s="931"/>
      <c r="B1109" s="941" t="s">
        <v>3956</v>
      </c>
      <c r="C1109" s="942" t="s">
        <v>194</v>
      </c>
      <c r="D1109" s="942" t="s">
        <v>194</v>
      </c>
      <c r="E1109" s="943" t="s">
        <v>194</v>
      </c>
      <c r="F1109" s="935"/>
      <c r="G1109" s="944"/>
      <c r="H1109" s="944"/>
      <c r="I1109" s="946" t="s">
        <v>103</v>
      </c>
      <c r="J1109" s="961" t="s">
        <v>716</v>
      </c>
      <c r="K1109" s="994" t="s">
        <v>717</v>
      </c>
      <c r="L1109" s="949">
        <v>88.0</v>
      </c>
      <c r="M1109" s="949">
        <v>120.0</v>
      </c>
      <c r="N1109" s="949">
        <v>75.0</v>
      </c>
      <c r="O1109" s="949">
        <v>100.0</v>
      </c>
      <c r="P1109" s="949">
        <v>75.0</v>
      </c>
      <c r="Q1109" s="949">
        <v>142.0</v>
      </c>
      <c r="R1109" s="949">
        <v>320.0</v>
      </c>
      <c r="S1109" s="949">
        <v>383.0</v>
      </c>
      <c r="T1109" s="949">
        <v>421.0</v>
      </c>
      <c r="U1109" s="949"/>
      <c r="V1109" s="949"/>
      <c r="W1109" s="949"/>
      <c r="X1109" s="949"/>
      <c r="Y1109" s="949"/>
      <c r="Z1109" s="949"/>
      <c r="AA1109" s="949"/>
      <c r="AB1109" s="949"/>
      <c r="AC1109" s="949"/>
      <c r="AD1109" s="949"/>
      <c r="AE1109" s="949"/>
      <c r="AF1109" s="949"/>
      <c r="AG1109" s="949"/>
      <c r="AH1109" s="949"/>
      <c r="AI1109" s="949"/>
      <c r="AJ1109" s="949"/>
      <c r="AK1109" s="949"/>
      <c r="AL1109" s="949"/>
      <c r="AM1109" s="953" t="s">
        <v>1127</v>
      </c>
      <c r="AN1109" s="953" t="s">
        <v>995</v>
      </c>
      <c r="AO1109" s="955" t="s">
        <v>1248</v>
      </c>
      <c r="AP1109" s="931"/>
      <c r="AQ1109" s="956"/>
      <c r="AR1109" s="957"/>
      <c r="AS1109" s="931"/>
    </row>
    <row r="1110" ht="15.75" customHeight="1">
      <c r="A1110" s="963"/>
      <c r="B1110" s="941" t="s">
        <v>3957</v>
      </c>
      <c r="C1110" s="971" t="s">
        <v>292</v>
      </c>
      <c r="D1110" s="971" t="s">
        <v>292</v>
      </c>
      <c r="E1110" s="966" t="s">
        <v>292</v>
      </c>
      <c r="F1110" s="935"/>
      <c r="G1110" s="944"/>
      <c r="H1110" s="944"/>
      <c r="I1110" s="959" t="s">
        <v>293</v>
      </c>
      <c r="J1110" s="1008" t="s">
        <v>720</v>
      </c>
      <c r="K1110" s="973" t="s">
        <v>158</v>
      </c>
      <c r="L1110" s="974">
        <v>92.0</v>
      </c>
      <c r="M1110" s="974">
        <v>130.0</v>
      </c>
      <c r="N1110" s="974">
        <v>115.0</v>
      </c>
      <c r="O1110" s="974">
        <v>80.0</v>
      </c>
      <c r="P1110" s="974">
        <v>115.0</v>
      </c>
      <c r="Q1110" s="974">
        <v>138.0</v>
      </c>
      <c r="R1110" s="949">
        <v>312.0</v>
      </c>
      <c r="S1110" s="949">
        <v>375.0</v>
      </c>
      <c r="T1110" s="949">
        <v>412.0</v>
      </c>
      <c r="U1110" s="949"/>
      <c r="V1110" s="949"/>
      <c r="W1110" s="949"/>
      <c r="X1110" s="949"/>
      <c r="Y1110" s="949"/>
      <c r="Z1110" s="949"/>
      <c r="AA1110" s="949"/>
      <c r="AB1110" s="949"/>
      <c r="AC1110" s="949"/>
      <c r="AD1110" s="949"/>
      <c r="AE1110" s="949"/>
      <c r="AF1110" s="949"/>
      <c r="AG1110" s="949"/>
      <c r="AH1110" s="949"/>
      <c r="AI1110" s="949"/>
      <c r="AJ1110" s="949"/>
      <c r="AK1110" s="949"/>
      <c r="AL1110" s="949"/>
      <c r="AM1110" s="964" t="s">
        <v>3958</v>
      </c>
      <c r="AN1110" s="973"/>
      <c r="AO1110" s="965"/>
      <c r="AP1110" s="931"/>
      <c r="AQ1110" s="956"/>
      <c r="AR1110" s="957"/>
      <c r="AS1110" s="931"/>
    </row>
    <row r="1111" ht="15.75" customHeight="1">
      <c r="A1111" s="963"/>
      <c r="B1111" s="941" t="s">
        <v>3959</v>
      </c>
      <c r="C1111" s="971" t="s">
        <v>3960</v>
      </c>
      <c r="D1111" s="971" t="s">
        <v>3960</v>
      </c>
      <c r="E1111" s="966" t="s">
        <v>3960</v>
      </c>
      <c r="F1111" s="935"/>
      <c r="G1111" s="944"/>
      <c r="H1111" s="944"/>
      <c r="I1111" s="959" t="s">
        <v>3961</v>
      </c>
      <c r="J1111" s="1008" t="s">
        <v>720</v>
      </c>
      <c r="K1111" s="1007" t="s">
        <v>719</v>
      </c>
      <c r="L1111" s="974">
        <v>92.0</v>
      </c>
      <c r="M1111" s="974">
        <v>170.0</v>
      </c>
      <c r="N1111" s="974">
        <v>115.0</v>
      </c>
      <c r="O1111" s="974">
        <v>80.0</v>
      </c>
      <c r="P1111" s="974">
        <v>115.0</v>
      </c>
      <c r="Q1111" s="974">
        <v>148.0</v>
      </c>
      <c r="R1111" s="949">
        <v>332.0</v>
      </c>
      <c r="S1111" s="949">
        <v>395.0</v>
      </c>
      <c r="T1111" s="949">
        <v>434.0</v>
      </c>
      <c r="U1111" s="949"/>
      <c r="V1111" s="949"/>
      <c r="W1111" s="949"/>
      <c r="X1111" s="949"/>
      <c r="Y1111" s="949"/>
      <c r="Z1111" s="949"/>
      <c r="AA1111" s="949"/>
      <c r="AB1111" s="949"/>
      <c r="AC1111" s="949"/>
      <c r="AD1111" s="949"/>
      <c r="AE1111" s="949"/>
      <c r="AF1111" s="949"/>
      <c r="AG1111" s="949"/>
      <c r="AH1111" s="949"/>
      <c r="AI1111" s="949"/>
      <c r="AJ1111" s="949"/>
      <c r="AK1111" s="949"/>
      <c r="AL1111" s="949"/>
      <c r="AM1111" s="964" t="s">
        <v>3958</v>
      </c>
      <c r="AN1111" s="973"/>
      <c r="AO1111" s="965"/>
      <c r="AP1111" s="931"/>
      <c r="AQ1111" s="956"/>
      <c r="AR1111" s="957"/>
      <c r="AS1111" s="931"/>
    </row>
    <row r="1112" ht="15.75" customHeight="1">
      <c r="A1112" s="931"/>
      <c r="B1112" s="941" t="s">
        <v>3962</v>
      </c>
      <c r="C1112" s="942" t="s">
        <v>295</v>
      </c>
      <c r="D1112" s="942" t="s">
        <v>295</v>
      </c>
      <c r="E1112" s="943" t="s">
        <v>295</v>
      </c>
      <c r="F1112" s="935"/>
      <c r="G1112" s="944"/>
      <c r="H1112" s="944"/>
      <c r="I1112" s="946" t="s">
        <v>296</v>
      </c>
      <c r="J1112" s="988" t="s">
        <v>705</v>
      </c>
      <c r="K1112" s="954" t="s">
        <v>158</v>
      </c>
      <c r="L1112" s="949">
        <v>92.0</v>
      </c>
      <c r="M1112" s="949">
        <v>130.0</v>
      </c>
      <c r="N1112" s="949">
        <v>115.0</v>
      </c>
      <c r="O1112" s="949">
        <v>80.0</v>
      </c>
      <c r="P1112" s="949">
        <v>115.0</v>
      </c>
      <c r="Q1112" s="949">
        <v>138.0</v>
      </c>
      <c r="R1112" s="949">
        <v>312.0</v>
      </c>
      <c r="S1112" s="949">
        <v>375.0</v>
      </c>
      <c r="T1112" s="949">
        <v>412.0</v>
      </c>
      <c r="U1112" s="949"/>
      <c r="V1112" s="949"/>
      <c r="W1112" s="949"/>
      <c r="X1112" s="949"/>
      <c r="Y1112" s="949"/>
      <c r="Z1112" s="949"/>
      <c r="AA1112" s="949"/>
      <c r="AB1112" s="949"/>
      <c r="AC1112" s="949"/>
      <c r="AD1112" s="949"/>
      <c r="AE1112" s="949"/>
      <c r="AF1112" s="949"/>
      <c r="AG1112" s="949"/>
      <c r="AH1112" s="949"/>
      <c r="AI1112" s="949"/>
      <c r="AJ1112" s="949"/>
      <c r="AK1112" s="949"/>
      <c r="AL1112" s="949"/>
      <c r="AM1112" s="953" t="s">
        <v>3963</v>
      </c>
      <c r="AN1112" s="954"/>
      <c r="AO1112" s="955"/>
      <c r="AP1112" s="931"/>
      <c r="AQ1112" s="956"/>
      <c r="AR1112" s="957"/>
      <c r="AS1112" s="931"/>
    </row>
    <row r="1113" ht="15.75" customHeight="1">
      <c r="A1113" s="931"/>
      <c r="B1113" s="941" t="s">
        <v>3964</v>
      </c>
      <c r="C1113" s="942" t="s">
        <v>3965</v>
      </c>
      <c r="D1113" s="942" t="s">
        <v>3965</v>
      </c>
      <c r="E1113" s="943" t="s">
        <v>3965</v>
      </c>
      <c r="F1113" s="935"/>
      <c r="G1113" s="944"/>
      <c r="H1113" s="944"/>
      <c r="I1113" s="946" t="s">
        <v>3966</v>
      </c>
      <c r="J1113" s="988" t="s">
        <v>705</v>
      </c>
      <c r="K1113" s="978" t="s">
        <v>719</v>
      </c>
      <c r="L1113" s="949">
        <v>92.0</v>
      </c>
      <c r="M1113" s="949">
        <v>130.0</v>
      </c>
      <c r="N1113" s="949">
        <v>145.0</v>
      </c>
      <c r="O1113" s="949">
        <v>80.0</v>
      </c>
      <c r="P1113" s="949">
        <v>145.0</v>
      </c>
      <c r="Q1113" s="949">
        <v>128.0</v>
      </c>
      <c r="R1113" s="949">
        <v>292.0</v>
      </c>
      <c r="S1113" s="949">
        <v>355.0</v>
      </c>
      <c r="T1113" s="949">
        <v>390.0</v>
      </c>
      <c r="U1113" s="949"/>
      <c r="V1113" s="949"/>
      <c r="W1113" s="949"/>
      <c r="X1113" s="949"/>
      <c r="Y1113" s="949"/>
      <c r="Z1113" s="949"/>
      <c r="AA1113" s="949"/>
      <c r="AB1113" s="949"/>
      <c r="AC1113" s="949"/>
      <c r="AD1113" s="949"/>
      <c r="AE1113" s="949"/>
      <c r="AF1113" s="949"/>
      <c r="AG1113" s="949"/>
      <c r="AH1113" s="949"/>
      <c r="AI1113" s="949"/>
      <c r="AJ1113" s="949"/>
      <c r="AK1113" s="949"/>
      <c r="AL1113" s="949"/>
      <c r="AM1113" s="953" t="s">
        <v>3963</v>
      </c>
      <c r="AN1113" s="954"/>
      <c r="AO1113" s="955"/>
      <c r="AP1113" s="931"/>
      <c r="AQ1113" s="956"/>
      <c r="AR1113" s="957"/>
      <c r="AS1113" s="931"/>
    </row>
    <row r="1114" ht="15.75" customHeight="1">
      <c r="A1114" s="931"/>
      <c r="B1114" s="941" t="s">
        <v>3967</v>
      </c>
      <c r="C1114" s="942" t="s">
        <v>191</v>
      </c>
      <c r="D1114" s="942" t="s">
        <v>191</v>
      </c>
      <c r="E1114" s="943" t="s">
        <v>191</v>
      </c>
      <c r="F1114" s="935"/>
      <c r="G1114" s="944"/>
      <c r="H1114" s="944"/>
      <c r="I1114" s="946" t="s">
        <v>192</v>
      </c>
      <c r="J1114" s="948" t="s">
        <v>709</v>
      </c>
      <c r="K1114" s="961" t="s">
        <v>716</v>
      </c>
      <c r="L1114" s="949">
        <v>140.0</v>
      </c>
      <c r="M1114" s="949">
        <v>85.0</v>
      </c>
      <c r="N1114" s="949">
        <v>95.0</v>
      </c>
      <c r="O1114" s="949">
        <v>145.0</v>
      </c>
      <c r="P1114" s="949">
        <v>95.0</v>
      </c>
      <c r="Q1114" s="949">
        <v>130.0</v>
      </c>
      <c r="R1114" s="949">
        <v>296.0</v>
      </c>
      <c r="S1114" s="949">
        <v>359.0</v>
      </c>
      <c r="T1114" s="949">
        <v>394.0</v>
      </c>
      <c r="U1114" s="949"/>
      <c r="V1114" s="949"/>
      <c r="W1114" s="949"/>
      <c r="X1114" s="949"/>
      <c r="Y1114" s="949"/>
      <c r="Z1114" s="949"/>
      <c r="AA1114" s="949"/>
      <c r="AB1114" s="949"/>
      <c r="AC1114" s="949"/>
      <c r="AD1114" s="949"/>
      <c r="AE1114" s="949"/>
      <c r="AF1114" s="949"/>
      <c r="AG1114" s="949"/>
      <c r="AH1114" s="949"/>
      <c r="AI1114" s="949"/>
      <c r="AJ1114" s="949"/>
      <c r="AK1114" s="949"/>
      <c r="AL1114" s="949"/>
      <c r="AM1114" s="953" t="s">
        <v>1451</v>
      </c>
      <c r="AN1114" s="954"/>
      <c r="AO1114" s="955"/>
      <c r="AP1114" s="931"/>
      <c r="AQ1114" s="956"/>
      <c r="AR1114" s="957"/>
      <c r="AS1114" s="931"/>
    </row>
    <row r="1115" ht="15.75" customHeight="1">
      <c r="A1115" s="931"/>
      <c r="B1115" s="941" t="s">
        <v>3968</v>
      </c>
      <c r="C1115" s="942" t="s">
        <v>3969</v>
      </c>
      <c r="D1115" s="942" t="s">
        <v>3969</v>
      </c>
      <c r="E1115" s="943" t="s">
        <v>3969</v>
      </c>
      <c r="F1115" s="935"/>
      <c r="G1115" s="944"/>
      <c r="H1115" s="944"/>
      <c r="I1115" s="946" t="s">
        <v>3970</v>
      </c>
      <c r="J1115" s="948" t="s">
        <v>709</v>
      </c>
      <c r="K1115" s="961" t="s">
        <v>716</v>
      </c>
      <c r="L1115" s="949">
        <v>255.0</v>
      </c>
      <c r="M1115" s="949">
        <v>115.0</v>
      </c>
      <c r="N1115" s="949">
        <v>250.0</v>
      </c>
      <c r="O1115" s="949">
        <v>125.0</v>
      </c>
      <c r="P1115" s="949">
        <v>250.0</v>
      </c>
      <c r="Q1115" s="949">
        <v>130.0</v>
      </c>
      <c r="R1115" s="949">
        <v>296.0</v>
      </c>
      <c r="S1115" s="949">
        <v>359.0</v>
      </c>
      <c r="T1115" s="949">
        <v>394.0</v>
      </c>
      <c r="U1115" s="949"/>
      <c r="V1115" s="949"/>
      <c r="W1115" s="949"/>
      <c r="X1115" s="949"/>
      <c r="Y1115" s="949"/>
      <c r="Z1115" s="949"/>
      <c r="AA1115" s="949"/>
      <c r="AB1115" s="949"/>
      <c r="AC1115" s="949"/>
      <c r="AD1115" s="949"/>
      <c r="AE1115" s="949"/>
      <c r="AF1115" s="949"/>
      <c r="AG1115" s="949"/>
      <c r="AH1115" s="949"/>
      <c r="AI1115" s="949"/>
      <c r="AJ1115" s="949"/>
      <c r="AK1115" s="949"/>
      <c r="AL1115" s="949"/>
      <c r="AM1115" s="953" t="s">
        <v>1451</v>
      </c>
      <c r="AN1115" s="954"/>
      <c r="AO1115" s="955"/>
      <c r="AP1115" s="931"/>
      <c r="AQ1115" s="956"/>
      <c r="AR1115" s="957"/>
      <c r="AS1115" s="931"/>
    </row>
    <row r="1116" ht="15.75" customHeight="1">
      <c r="A1116" s="931"/>
      <c r="B1116" s="941" t="s">
        <v>3971</v>
      </c>
      <c r="C1116" s="942" t="s">
        <v>3972</v>
      </c>
      <c r="D1116" s="942" t="s">
        <v>3972</v>
      </c>
      <c r="E1116" s="943" t="s">
        <v>3972</v>
      </c>
      <c r="F1116" s="935"/>
      <c r="G1116" s="944"/>
      <c r="H1116" s="944"/>
      <c r="I1116" s="946" t="s">
        <v>3973</v>
      </c>
      <c r="J1116" s="988" t="s">
        <v>705</v>
      </c>
      <c r="K1116" s="953" t="s">
        <v>158</v>
      </c>
      <c r="L1116" s="949">
        <v>60.0</v>
      </c>
      <c r="M1116" s="949">
        <v>90.0</v>
      </c>
      <c r="N1116" s="949">
        <v>60.0</v>
      </c>
      <c r="O1116" s="949">
        <v>53.0</v>
      </c>
      <c r="P1116" s="949">
        <v>50.0</v>
      </c>
      <c r="Q1116" s="949">
        <v>72.0</v>
      </c>
      <c r="R1116" s="949">
        <v>180.0</v>
      </c>
      <c r="S1116" s="949">
        <v>243.0</v>
      </c>
      <c r="T1116" s="949">
        <v>267.0</v>
      </c>
      <c r="U1116" s="949"/>
      <c r="V1116" s="949"/>
      <c r="W1116" s="949"/>
      <c r="X1116" s="949"/>
      <c r="Y1116" s="949"/>
      <c r="Z1116" s="949"/>
      <c r="AA1116" s="949"/>
      <c r="AB1116" s="949"/>
      <c r="AC1116" s="949"/>
      <c r="AD1116" s="949"/>
      <c r="AE1116" s="949"/>
      <c r="AF1116" s="949"/>
      <c r="AG1116" s="949"/>
      <c r="AH1116" s="949"/>
      <c r="AI1116" s="949"/>
      <c r="AJ1116" s="949"/>
      <c r="AK1116" s="949"/>
      <c r="AL1116" s="949"/>
      <c r="AM1116" s="953" t="s">
        <v>994</v>
      </c>
      <c r="AN1116" s="954"/>
      <c r="AO1116" s="955"/>
      <c r="AP1116" s="931"/>
      <c r="AQ1116" s="956"/>
      <c r="AR1116" s="957"/>
      <c r="AS1116" s="931"/>
    </row>
    <row r="1117" ht="15.75" customHeight="1">
      <c r="A1117" s="931"/>
      <c r="B1117" s="941" t="s">
        <v>3974</v>
      </c>
      <c r="C1117" s="942" t="s">
        <v>3975</v>
      </c>
      <c r="D1117" s="942" t="s">
        <v>3975</v>
      </c>
      <c r="E1117" s="943" t="s">
        <v>3976</v>
      </c>
      <c r="F1117" s="935"/>
      <c r="G1117" s="944"/>
      <c r="H1117" s="944"/>
      <c r="I1117" s="946" t="s">
        <v>3977</v>
      </c>
      <c r="J1117" s="988" t="s">
        <v>705</v>
      </c>
      <c r="K1117" s="969" t="s">
        <v>718</v>
      </c>
      <c r="L1117" s="949">
        <v>100.0</v>
      </c>
      <c r="M1117" s="949">
        <v>130.0</v>
      </c>
      <c r="N1117" s="949">
        <v>100.0</v>
      </c>
      <c r="O1117" s="949">
        <v>63.0</v>
      </c>
      <c r="P1117" s="949">
        <v>60.0</v>
      </c>
      <c r="Q1117" s="949">
        <v>97.0</v>
      </c>
      <c r="R1117" s="949">
        <v>230.0</v>
      </c>
      <c r="S1117" s="949">
        <v>293.0</v>
      </c>
      <c r="T1117" s="949">
        <v>322.0</v>
      </c>
      <c r="U1117" s="949"/>
      <c r="V1117" s="949"/>
      <c r="W1117" s="949"/>
      <c r="X1117" s="949"/>
      <c r="Y1117" s="949"/>
      <c r="Z1117" s="949"/>
      <c r="AA1117" s="949"/>
      <c r="AB1117" s="949"/>
      <c r="AC1117" s="949"/>
      <c r="AD1117" s="949"/>
      <c r="AE1117" s="949"/>
      <c r="AF1117" s="949"/>
      <c r="AG1117" s="949"/>
      <c r="AH1117" s="949"/>
      <c r="AI1117" s="949"/>
      <c r="AJ1117" s="949"/>
      <c r="AK1117" s="949"/>
      <c r="AL1117" s="949"/>
      <c r="AM1117" s="953" t="s">
        <v>3978</v>
      </c>
      <c r="AN1117" s="954"/>
      <c r="AO1117" s="955"/>
      <c r="AP1117" s="931"/>
      <c r="AQ1117" s="956"/>
      <c r="AR1117" s="957"/>
      <c r="AS1117" s="931"/>
    </row>
    <row r="1118" ht="15.75" customHeight="1">
      <c r="A1118" s="931"/>
      <c r="B1118" s="941" t="s">
        <v>3979</v>
      </c>
      <c r="C1118" s="942" t="s">
        <v>3980</v>
      </c>
      <c r="D1118" s="942" t="s">
        <v>3981</v>
      </c>
      <c r="E1118" s="943" t="s">
        <v>3980</v>
      </c>
      <c r="F1118" s="935"/>
      <c r="G1118" s="944"/>
      <c r="H1118" s="944"/>
      <c r="I1118" s="946" t="s">
        <v>3982</v>
      </c>
      <c r="J1118" s="988" t="s">
        <v>705</v>
      </c>
      <c r="K1118" s="962" t="s">
        <v>706</v>
      </c>
      <c r="L1118" s="949">
        <v>100.0</v>
      </c>
      <c r="M1118" s="949">
        <v>130.0</v>
      </c>
      <c r="N1118" s="949">
        <v>100.0</v>
      </c>
      <c r="O1118" s="949">
        <v>63.0</v>
      </c>
      <c r="P1118" s="949">
        <v>60.0</v>
      </c>
      <c r="Q1118" s="949">
        <v>97.0</v>
      </c>
      <c r="R1118" s="949">
        <v>230.0</v>
      </c>
      <c r="S1118" s="949">
        <v>293.0</v>
      </c>
      <c r="T1118" s="949">
        <v>322.0</v>
      </c>
      <c r="U1118" s="949"/>
      <c r="V1118" s="949"/>
      <c r="W1118" s="949"/>
      <c r="X1118" s="949"/>
      <c r="Y1118" s="949"/>
      <c r="Z1118" s="949"/>
      <c r="AA1118" s="949"/>
      <c r="AB1118" s="949"/>
      <c r="AC1118" s="949"/>
      <c r="AD1118" s="949"/>
      <c r="AE1118" s="949"/>
      <c r="AF1118" s="949"/>
      <c r="AG1118" s="949"/>
      <c r="AH1118" s="949"/>
      <c r="AI1118" s="949"/>
      <c r="AJ1118" s="949"/>
      <c r="AK1118" s="949"/>
      <c r="AL1118" s="949"/>
      <c r="AM1118" s="953" t="s">
        <v>3978</v>
      </c>
      <c r="AN1118" s="954"/>
      <c r="AO1118" s="955"/>
      <c r="AP1118" s="931"/>
      <c r="AQ1118" s="956"/>
      <c r="AR1118" s="957"/>
      <c r="AS1118" s="931"/>
    </row>
    <row r="1119" ht="15.75" customHeight="1">
      <c r="A1119" s="931"/>
      <c r="B1119" s="941" t="s">
        <v>3983</v>
      </c>
      <c r="C1119" s="942" t="s">
        <v>3984</v>
      </c>
      <c r="D1119" s="942" t="s">
        <v>3984</v>
      </c>
      <c r="E1119" s="943" t="s">
        <v>3984</v>
      </c>
      <c r="F1119" s="935"/>
      <c r="G1119" s="944"/>
      <c r="H1119" s="944"/>
      <c r="I1119" s="946" t="s">
        <v>3985</v>
      </c>
      <c r="J1119" s="969" t="s">
        <v>718</v>
      </c>
      <c r="K1119" s="947" t="s">
        <v>708</v>
      </c>
      <c r="L1119" s="949">
        <v>105.0</v>
      </c>
      <c r="M1119" s="949">
        <v>120.0</v>
      </c>
      <c r="N1119" s="949">
        <v>105.0</v>
      </c>
      <c r="O1119" s="949">
        <v>70.0</v>
      </c>
      <c r="P1119" s="949">
        <v>95.0</v>
      </c>
      <c r="Q1119" s="949">
        <v>105.0</v>
      </c>
      <c r="R1119" s="949">
        <v>246.0</v>
      </c>
      <c r="S1119" s="949">
        <v>309.0</v>
      </c>
      <c r="T1119" s="949">
        <v>339.0</v>
      </c>
      <c r="U1119" s="949"/>
      <c r="V1119" s="949"/>
      <c r="W1119" s="949"/>
      <c r="X1119" s="949"/>
      <c r="Y1119" s="949"/>
      <c r="Z1119" s="949"/>
      <c r="AA1119" s="949"/>
      <c r="AB1119" s="949"/>
      <c r="AC1119" s="949"/>
      <c r="AD1119" s="949"/>
      <c r="AE1119" s="949"/>
      <c r="AF1119" s="949"/>
      <c r="AG1119" s="949"/>
      <c r="AH1119" s="949"/>
      <c r="AI1119" s="949"/>
      <c r="AJ1119" s="949"/>
      <c r="AK1119" s="949"/>
      <c r="AL1119" s="949"/>
      <c r="AM1119" s="953" t="s">
        <v>1339</v>
      </c>
      <c r="AN1119" s="954"/>
      <c r="AO1119" s="955"/>
      <c r="AP1119" s="931"/>
      <c r="AQ1119" s="956"/>
      <c r="AR1119" s="957"/>
      <c r="AS1119" s="931"/>
    </row>
    <row r="1120" ht="15.75" customHeight="1">
      <c r="A1120" s="931"/>
      <c r="B1120" s="941" t="s">
        <v>3986</v>
      </c>
      <c r="C1120" s="942" t="s">
        <v>3987</v>
      </c>
      <c r="D1120" s="942" t="s">
        <v>3987</v>
      </c>
      <c r="E1120" s="943" t="s">
        <v>3987</v>
      </c>
      <c r="F1120" s="935"/>
      <c r="G1120" s="944"/>
      <c r="H1120" s="944"/>
      <c r="I1120" s="946" t="s">
        <v>3988</v>
      </c>
      <c r="J1120" s="969" t="s">
        <v>718</v>
      </c>
      <c r="K1120" s="947" t="s">
        <v>708</v>
      </c>
      <c r="L1120" s="949">
        <v>105.0</v>
      </c>
      <c r="M1120" s="949">
        <v>120.0</v>
      </c>
      <c r="N1120" s="949">
        <v>105.0</v>
      </c>
      <c r="O1120" s="949">
        <v>70.0</v>
      </c>
      <c r="P1120" s="949">
        <v>95.0</v>
      </c>
      <c r="Q1120" s="949">
        <v>105.0</v>
      </c>
      <c r="R1120" s="949">
        <v>246.0</v>
      </c>
      <c r="S1120" s="949">
        <v>309.0</v>
      </c>
      <c r="T1120" s="949">
        <v>339.0</v>
      </c>
      <c r="U1120" s="949"/>
      <c r="V1120" s="949"/>
      <c r="W1120" s="949"/>
      <c r="X1120" s="949"/>
      <c r="Y1120" s="949"/>
      <c r="Z1120" s="949"/>
      <c r="AA1120" s="949"/>
      <c r="AB1120" s="949"/>
      <c r="AC1120" s="949"/>
      <c r="AD1120" s="949"/>
      <c r="AE1120" s="949"/>
      <c r="AF1120" s="949"/>
      <c r="AG1120" s="949"/>
      <c r="AH1120" s="949"/>
      <c r="AI1120" s="949"/>
      <c r="AJ1120" s="949"/>
      <c r="AK1120" s="949"/>
      <c r="AL1120" s="949"/>
      <c r="AM1120" s="953" t="s">
        <v>1339</v>
      </c>
      <c r="AN1120" s="954"/>
      <c r="AO1120" s="955"/>
      <c r="AP1120" s="931"/>
      <c r="AQ1120" s="956"/>
      <c r="AR1120" s="957"/>
      <c r="AS1120" s="931"/>
    </row>
    <row r="1121" ht="15.75" customHeight="1">
      <c r="A1121" s="931"/>
      <c r="B1121" s="941" t="s">
        <v>3989</v>
      </c>
      <c r="C1121" s="942" t="s">
        <v>3990</v>
      </c>
      <c r="D1121" s="942" t="s">
        <v>3990</v>
      </c>
      <c r="E1121" s="943" t="s">
        <v>3990</v>
      </c>
      <c r="F1121" s="935"/>
      <c r="G1121" s="944"/>
      <c r="H1121" s="944"/>
      <c r="I1121" s="946" t="s">
        <v>3991</v>
      </c>
      <c r="J1121" s="970" t="s">
        <v>710</v>
      </c>
      <c r="K1121" s="953" t="s">
        <v>158</v>
      </c>
      <c r="L1121" s="949">
        <v>80.0</v>
      </c>
      <c r="M1121" s="949">
        <v>100.0</v>
      </c>
      <c r="N1121" s="949">
        <v>50.0</v>
      </c>
      <c r="O1121" s="949">
        <v>100.0</v>
      </c>
      <c r="P1121" s="949">
        <v>50.0</v>
      </c>
      <c r="Q1121" s="949">
        <v>200.0</v>
      </c>
      <c r="R1121" s="949">
        <v>436.0</v>
      </c>
      <c r="S1121" s="949">
        <v>499.0</v>
      </c>
      <c r="T1121" s="949">
        <v>548.0</v>
      </c>
      <c r="U1121" s="949"/>
      <c r="V1121" s="949"/>
      <c r="W1121" s="949"/>
      <c r="X1121" s="949"/>
      <c r="Y1121" s="949"/>
      <c r="Z1121" s="949"/>
      <c r="AA1121" s="949"/>
      <c r="AB1121" s="949"/>
      <c r="AC1121" s="949"/>
      <c r="AD1121" s="949"/>
      <c r="AE1121" s="949"/>
      <c r="AF1121" s="949"/>
      <c r="AG1121" s="949"/>
      <c r="AH1121" s="949"/>
      <c r="AI1121" s="949"/>
      <c r="AJ1121" s="949"/>
      <c r="AK1121" s="949"/>
      <c r="AL1121" s="949"/>
      <c r="AM1121" s="953" t="s">
        <v>3992</v>
      </c>
      <c r="AN1121" s="954"/>
      <c r="AO1121" s="955"/>
      <c r="AP1121" s="931"/>
      <c r="AQ1121" s="956"/>
      <c r="AR1121" s="957"/>
      <c r="AS1121" s="931"/>
    </row>
    <row r="1122" ht="15.75" customHeight="1">
      <c r="A1122" s="931"/>
      <c r="B1122" s="941" t="s">
        <v>3993</v>
      </c>
      <c r="C1122" s="942" t="s">
        <v>3994</v>
      </c>
      <c r="D1122" s="942" t="s">
        <v>3994</v>
      </c>
      <c r="E1122" s="943" t="s">
        <v>3994</v>
      </c>
      <c r="F1122" s="935"/>
      <c r="G1122" s="944"/>
      <c r="H1122" s="944"/>
      <c r="I1122" s="946" t="s">
        <v>3995</v>
      </c>
      <c r="J1122" s="961" t="s">
        <v>716</v>
      </c>
      <c r="K1122" s="953" t="s">
        <v>158</v>
      </c>
      <c r="L1122" s="949">
        <v>200.0</v>
      </c>
      <c r="M1122" s="949">
        <v>100.0</v>
      </c>
      <c r="N1122" s="949">
        <v>50.0</v>
      </c>
      <c r="O1122" s="949">
        <v>100.0</v>
      </c>
      <c r="P1122" s="949">
        <v>50.0</v>
      </c>
      <c r="Q1122" s="949">
        <v>80.0</v>
      </c>
      <c r="R1122" s="949">
        <v>196.0</v>
      </c>
      <c r="S1122" s="949">
        <v>259.0</v>
      </c>
      <c r="T1122" s="949">
        <v>284.0</v>
      </c>
      <c r="U1122" s="949"/>
      <c r="V1122" s="949"/>
      <c r="W1122" s="949"/>
      <c r="X1122" s="949"/>
      <c r="Y1122" s="949"/>
      <c r="Z1122" s="949"/>
      <c r="AA1122" s="949"/>
      <c r="AB1122" s="949"/>
      <c r="AC1122" s="949"/>
      <c r="AD1122" s="949"/>
      <c r="AE1122" s="949"/>
      <c r="AF1122" s="949"/>
      <c r="AG1122" s="949"/>
      <c r="AH1122" s="949"/>
      <c r="AI1122" s="949"/>
      <c r="AJ1122" s="949"/>
      <c r="AK1122" s="949"/>
      <c r="AL1122" s="949"/>
      <c r="AM1122" s="953" t="s">
        <v>3996</v>
      </c>
      <c r="AN1122" s="954"/>
      <c r="AO1122" s="955"/>
      <c r="AP1122" s="931"/>
      <c r="AQ1122" s="956"/>
      <c r="AR1122" s="957"/>
      <c r="AS1122" s="931"/>
    </row>
    <row r="1123" ht="15.75" customHeight="1">
      <c r="A1123" s="931"/>
      <c r="B1123" s="941" t="s">
        <v>3997</v>
      </c>
      <c r="C1123" s="942" t="s">
        <v>3998</v>
      </c>
      <c r="D1123" s="942" t="s">
        <v>3998</v>
      </c>
      <c r="E1123" s="943" t="s">
        <v>3998</v>
      </c>
      <c r="F1123" s="935"/>
      <c r="G1123" s="944"/>
      <c r="H1123" s="944"/>
      <c r="I1123" s="946" t="s">
        <v>3999</v>
      </c>
      <c r="J1123" s="977" t="s">
        <v>714</v>
      </c>
      <c r="K1123" s="953" t="s">
        <v>158</v>
      </c>
      <c r="L1123" s="949">
        <v>100.0</v>
      </c>
      <c r="M1123" s="949">
        <v>145.0</v>
      </c>
      <c r="N1123" s="949">
        <v>130.0</v>
      </c>
      <c r="O1123" s="949">
        <v>65.0</v>
      </c>
      <c r="P1123" s="949">
        <v>110.0</v>
      </c>
      <c r="Q1123" s="949">
        <v>30.0</v>
      </c>
      <c r="R1123" s="949">
        <v>96.0</v>
      </c>
      <c r="S1123" s="949">
        <v>159.0</v>
      </c>
      <c r="T1123" s="949">
        <v>174.0</v>
      </c>
      <c r="U1123" s="949"/>
      <c r="V1123" s="949"/>
      <c r="W1123" s="949"/>
      <c r="X1123" s="949"/>
      <c r="Y1123" s="949"/>
      <c r="Z1123" s="949"/>
      <c r="AA1123" s="949"/>
      <c r="AB1123" s="949"/>
      <c r="AC1123" s="949"/>
      <c r="AD1123" s="949"/>
      <c r="AE1123" s="949"/>
      <c r="AF1123" s="949"/>
      <c r="AG1123" s="949"/>
      <c r="AH1123" s="949"/>
      <c r="AI1123" s="949"/>
      <c r="AJ1123" s="949"/>
      <c r="AK1123" s="949"/>
      <c r="AL1123" s="949"/>
      <c r="AM1123" s="953" t="s">
        <v>4000</v>
      </c>
      <c r="AN1123" s="954"/>
      <c r="AO1123" s="955"/>
      <c r="AP1123" s="931"/>
      <c r="AQ1123" s="956"/>
      <c r="AR1123" s="957"/>
      <c r="AS1123" s="931"/>
    </row>
    <row r="1124" ht="15.75" customHeight="1">
      <c r="A1124" s="931"/>
      <c r="B1124" s="941" t="s">
        <v>4001</v>
      </c>
      <c r="C1124" s="942" t="s">
        <v>4002</v>
      </c>
      <c r="D1124" s="942" t="s">
        <v>4002</v>
      </c>
      <c r="E1124" s="943" t="s">
        <v>4002</v>
      </c>
      <c r="F1124" s="935"/>
      <c r="G1124" s="944"/>
      <c r="H1124" s="944"/>
      <c r="I1124" s="946" t="s">
        <v>4003</v>
      </c>
      <c r="J1124" s="994" t="s">
        <v>717</v>
      </c>
      <c r="K1124" s="953" t="s">
        <v>158</v>
      </c>
      <c r="L1124" s="949">
        <v>100.0</v>
      </c>
      <c r="M1124" s="949">
        <v>65.0</v>
      </c>
      <c r="N1124" s="949">
        <v>60.0</v>
      </c>
      <c r="O1124" s="949">
        <v>145.0</v>
      </c>
      <c r="P1124" s="949">
        <v>80.0</v>
      </c>
      <c r="Q1124" s="949">
        <v>130.0</v>
      </c>
      <c r="R1124" s="949">
        <v>296.0</v>
      </c>
      <c r="S1124" s="949">
        <v>359.0</v>
      </c>
      <c r="T1124" s="949">
        <v>394.0</v>
      </c>
      <c r="U1124" s="949"/>
      <c r="V1124" s="949"/>
      <c r="W1124" s="949"/>
      <c r="X1124" s="949"/>
      <c r="Y1124" s="949"/>
      <c r="Z1124" s="949"/>
      <c r="AA1124" s="949"/>
      <c r="AB1124" s="949"/>
      <c r="AC1124" s="949"/>
      <c r="AD1124" s="949"/>
      <c r="AE1124" s="949"/>
      <c r="AF1124" s="949"/>
      <c r="AG1124" s="949"/>
      <c r="AH1124" s="949"/>
      <c r="AI1124" s="949"/>
      <c r="AJ1124" s="949"/>
      <c r="AK1124" s="949"/>
      <c r="AL1124" s="949"/>
      <c r="AM1124" s="953" t="s">
        <v>4004</v>
      </c>
      <c r="AN1124" s="954"/>
      <c r="AO1124" s="955"/>
      <c r="AP1124" s="931"/>
      <c r="AQ1124" s="956"/>
      <c r="AR1124" s="957"/>
      <c r="AS1124" s="931"/>
    </row>
    <row r="1125" ht="15.75" customHeight="1">
      <c r="A1125" s="963"/>
      <c r="B1125" s="941" t="s">
        <v>4005</v>
      </c>
      <c r="C1125" s="942" t="s">
        <v>4006</v>
      </c>
      <c r="D1125" s="942" t="s">
        <v>4006</v>
      </c>
      <c r="E1125" s="943" t="s">
        <v>4006</v>
      </c>
      <c r="F1125" s="935"/>
      <c r="G1125" s="944"/>
      <c r="H1125" s="944"/>
      <c r="I1125" s="946" t="s">
        <v>4007</v>
      </c>
      <c r="J1125" s="975" t="s">
        <v>712</v>
      </c>
      <c r="K1125" s="947" t="s">
        <v>708</v>
      </c>
      <c r="L1125" s="949">
        <v>100.0</v>
      </c>
      <c r="M1125" s="949">
        <v>80.0</v>
      </c>
      <c r="N1125" s="949">
        <v>80.0</v>
      </c>
      <c r="O1125" s="949">
        <v>80.0</v>
      </c>
      <c r="P1125" s="949">
        <v>80.0</v>
      </c>
      <c r="Q1125" s="949">
        <v>80.0</v>
      </c>
      <c r="R1125" s="949">
        <v>196.0</v>
      </c>
      <c r="S1125" s="949">
        <v>259.0</v>
      </c>
      <c r="T1125" s="949">
        <v>284.0</v>
      </c>
      <c r="U1125" s="949"/>
      <c r="V1125" s="949"/>
      <c r="W1125" s="949"/>
      <c r="X1125" s="949"/>
      <c r="Y1125" s="949"/>
      <c r="Z1125" s="949"/>
      <c r="AA1125" s="949"/>
      <c r="AB1125" s="949"/>
      <c r="AC1125" s="949"/>
      <c r="AD1125" s="949"/>
      <c r="AE1125" s="949"/>
      <c r="AF1125" s="949"/>
      <c r="AG1125" s="949"/>
      <c r="AH1125" s="949"/>
      <c r="AI1125" s="949"/>
      <c r="AJ1125" s="949"/>
      <c r="AK1125" s="949"/>
      <c r="AL1125" s="949"/>
      <c r="AM1125" s="964" t="s">
        <v>855</v>
      </c>
      <c r="AN1125" s="973"/>
      <c r="AO1125" s="965"/>
      <c r="AP1125" s="931"/>
      <c r="AQ1125" s="956"/>
      <c r="AR1125" s="957"/>
      <c r="AS1125" s="931"/>
    </row>
    <row r="1126" ht="15.75" customHeight="1">
      <c r="A1126" s="931"/>
      <c r="B1126" s="941" t="s">
        <v>4008</v>
      </c>
      <c r="C1126" s="942" t="s">
        <v>156</v>
      </c>
      <c r="D1126" s="942" t="s">
        <v>156</v>
      </c>
      <c r="E1126" s="943" t="s">
        <v>4009</v>
      </c>
      <c r="F1126" s="935"/>
      <c r="G1126" s="944"/>
      <c r="H1126" s="944"/>
      <c r="I1126" s="946" t="s">
        <v>4010</v>
      </c>
      <c r="J1126" s="975" t="s">
        <v>712</v>
      </c>
      <c r="K1126" s="977" t="s">
        <v>714</v>
      </c>
      <c r="L1126" s="949">
        <v>100.0</v>
      </c>
      <c r="M1126" s="949">
        <v>165.0</v>
      </c>
      <c r="N1126" s="949">
        <v>150.0</v>
      </c>
      <c r="O1126" s="949">
        <v>85.0</v>
      </c>
      <c r="P1126" s="949">
        <v>130.0</v>
      </c>
      <c r="Q1126" s="949">
        <v>50.0</v>
      </c>
      <c r="R1126" s="949">
        <v>136.0</v>
      </c>
      <c r="S1126" s="949">
        <v>199.0</v>
      </c>
      <c r="T1126" s="949">
        <v>218.0</v>
      </c>
      <c r="U1126" s="949"/>
      <c r="V1126" s="949"/>
      <c r="W1126" s="949"/>
      <c r="X1126" s="949"/>
      <c r="Y1126" s="949"/>
      <c r="Z1126" s="949"/>
      <c r="AA1126" s="949"/>
      <c r="AB1126" s="949"/>
      <c r="AC1126" s="949"/>
      <c r="AD1126" s="949"/>
      <c r="AE1126" s="949"/>
      <c r="AF1126" s="949"/>
      <c r="AG1126" s="949"/>
      <c r="AH1126" s="949"/>
      <c r="AI1126" s="949"/>
      <c r="AJ1126" s="949"/>
      <c r="AK1126" s="949"/>
      <c r="AL1126" s="949"/>
      <c r="AM1126" s="953" t="s">
        <v>4011</v>
      </c>
      <c r="AN1126" s="954"/>
      <c r="AO1126" s="955"/>
      <c r="AP1126" s="931"/>
      <c r="AQ1126" s="956"/>
      <c r="AR1126" s="957"/>
      <c r="AS1126" s="931"/>
    </row>
    <row r="1127" ht="15.75" customHeight="1">
      <c r="A1127" s="963"/>
      <c r="B1127" s="941" t="s">
        <v>4012</v>
      </c>
      <c r="C1127" s="942" t="s">
        <v>160</v>
      </c>
      <c r="D1127" s="942" t="s">
        <v>160</v>
      </c>
      <c r="E1127" s="966" t="s">
        <v>4013</v>
      </c>
      <c r="F1127" s="935"/>
      <c r="G1127" s="944"/>
      <c r="H1127" s="944"/>
      <c r="I1127" s="959" t="s">
        <v>4014</v>
      </c>
      <c r="J1127" s="975" t="s">
        <v>712</v>
      </c>
      <c r="K1127" s="994" t="s">
        <v>717</v>
      </c>
      <c r="L1127" s="949">
        <v>100.0</v>
      </c>
      <c r="M1127" s="949">
        <v>85.0</v>
      </c>
      <c r="N1127" s="949">
        <v>80.0</v>
      </c>
      <c r="O1127" s="949">
        <v>165.0</v>
      </c>
      <c r="P1127" s="949">
        <v>100.0</v>
      </c>
      <c r="Q1127" s="949">
        <v>150.0</v>
      </c>
      <c r="R1127" s="949">
        <v>336.0</v>
      </c>
      <c r="S1127" s="949">
        <v>399.0</v>
      </c>
      <c r="T1127" s="949">
        <v>438.0</v>
      </c>
      <c r="U1127" s="949"/>
      <c r="V1127" s="949"/>
      <c r="W1127" s="949"/>
      <c r="X1127" s="949"/>
      <c r="Y1127" s="949"/>
      <c r="Z1127" s="949"/>
      <c r="AA1127" s="949"/>
      <c r="AB1127" s="949"/>
      <c r="AC1127" s="949"/>
      <c r="AD1127" s="949"/>
      <c r="AE1127" s="949"/>
      <c r="AF1127" s="949"/>
      <c r="AG1127" s="949"/>
      <c r="AH1127" s="949"/>
      <c r="AI1127" s="949"/>
      <c r="AJ1127" s="949"/>
      <c r="AK1127" s="949"/>
      <c r="AL1127" s="949"/>
      <c r="AM1127" s="964" t="s">
        <v>4011</v>
      </c>
      <c r="AN1127" s="973"/>
      <c r="AO1127" s="965"/>
      <c r="AP1127" s="931"/>
      <c r="AQ1127" s="956"/>
      <c r="AR1127" s="957"/>
      <c r="AS1127" s="931"/>
    </row>
    <row r="1128" ht="15.75" customHeight="1">
      <c r="A1128" s="963"/>
      <c r="B1128" s="941" t="s">
        <v>4015</v>
      </c>
      <c r="C1128" s="942" t="s">
        <v>4016</v>
      </c>
      <c r="D1128" s="942" t="s">
        <v>4016</v>
      </c>
      <c r="E1128" s="966" t="s">
        <v>4016</v>
      </c>
      <c r="F1128" s="935"/>
      <c r="G1128" s="944"/>
      <c r="H1128" s="944"/>
      <c r="I1128" s="959" t="s">
        <v>4017</v>
      </c>
      <c r="J1128" s="968" t="s">
        <v>703</v>
      </c>
      <c r="K1128" s="975" t="s">
        <v>712</v>
      </c>
      <c r="L1128" s="949">
        <v>103.0</v>
      </c>
      <c r="M1128" s="949">
        <v>105.0</v>
      </c>
      <c r="N1128" s="949">
        <v>72.0</v>
      </c>
      <c r="O1128" s="949">
        <v>105.0</v>
      </c>
      <c r="P1128" s="949">
        <v>75.0</v>
      </c>
      <c r="Q1128" s="949">
        <v>65.0</v>
      </c>
      <c r="R1128" s="949">
        <v>166.0</v>
      </c>
      <c r="S1128" s="949">
        <v>229.0</v>
      </c>
      <c r="T1128" s="949">
        <v>251.0</v>
      </c>
      <c r="U1128" s="949"/>
      <c r="V1128" s="949"/>
      <c r="W1128" s="949"/>
      <c r="X1128" s="949"/>
      <c r="Y1128" s="949"/>
      <c r="Z1128" s="949"/>
      <c r="AA1128" s="949"/>
      <c r="AB1128" s="949"/>
      <c r="AC1128" s="949"/>
      <c r="AD1128" s="949"/>
      <c r="AE1128" s="949"/>
      <c r="AF1128" s="949"/>
      <c r="AG1128" s="949"/>
      <c r="AH1128" s="949"/>
      <c r="AI1128" s="949"/>
      <c r="AJ1128" s="949"/>
      <c r="AK1128" s="949"/>
      <c r="AL1128" s="949"/>
      <c r="AM1128" s="964" t="s">
        <v>854</v>
      </c>
      <c r="AN1128" s="964" t="s">
        <v>990</v>
      </c>
      <c r="AO1128" s="965" t="s">
        <v>1603</v>
      </c>
      <c r="AP1128" s="931"/>
      <c r="AQ1128" s="956"/>
      <c r="AR1128" s="957"/>
      <c r="AS1128" s="931"/>
    </row>
    <row r="1129" ht="15.75" customHeight="1">
      <c r="A1129" s="931"/>
      <c r="B1129" s="941">
        <v>900.0</v>
      </c>
      <c r="C1129" s="942" t="s">
        <v>4018</v>
      </c>
      <c r="D1129" s="942" t="s">
        <v>4018</v>
      </c>
      <c r="E1129" s="943" t="s">
        <v>4018</v>
      </c>
      <c r="F1129" s="935"/>
      <c r="G1129" s="944"/>
      <c r="H1129" s="944"/>
      <c r="I1129" s="946" t="s">
        <v>4019</v>
      </c>
      <c r="J1129" s="967" t="s">
        <v>715</v>
      </c>
      <c r="K1129" s="989" t="s">
        <v>713</v>
      </c>
      <c r="L1129" s="949">
        <v>70.0</v>
      </c>
      <c r="M1129" s="949">
        <v>130.0</v>
      </c>
      <c r="N1129" s="949">
        <v>95.0</v>
      </c>
      <c r="O1129" s="949">
        <v>45.0</v>
      </c>
      <c r="P1129" s="949">
        <v>75.0</v>
      </c>
      <c r="Q1129" s="949">
        <v>85.0</v>
      </c>
      <c r="R1129" s="949">
        <v>206.0</v>
      </c>
      <c r="S1129" s="949">
        <v>269.0</v>
      </c>
      <c r="T1129" s="949">
        <v>295.0</v>
      </c>
      <c r="U1129" s="949"/>
      <c r="V1129" s="949"/>
      <c r="W1129" s="949"/>
      <c r="X1129" s="949"/>
      <c r="Y1129" s="949"/>
      <c r="Z1129" s="949"/>
      <c r="AA1129" s="949"/>
      <c r="AB1129" s="949"/>
      <c r="AC1129" s="949"/>
      <c r="AD1129" s="949"/>
      <c r="AE1129" s="949"/>
      <c r="AF1129" s="949"/>
      <c r="AG1129" s="949"/>
      <c r="AH1129" s="949"/>
      <c r="AI1129" s="949"/>
      <c r="AJ1129" s="949"/>
      <c r="AK1129" s="949"/>
      <c r="AL1129" s="949"/>
      <c r="AM1129" s="953" t="s">
        <v>806</v>
      </c>
      <c r="AN1129" s="953" t="s">
        <v>949</v>
      </c>
      <c r="AO1129" s="955" t="s">
        <v>1108</v>
      </c>
      <c r="AP1129" s="931"/>
      <c r="AQ1129" s="956"/>
      <c r="AR1129" s="957"/>
      <c r="AS1129" s="931"/>
    </row>
    <row r="1130" ht="15.75" customHeight="1">
      <c r="A1130" s="931"/>
      <c r="B1130" s="941">
        <v>901.0</v>
      </c>
      <c r="C1130" s="942" t="s">
        <v>4020</v>
      </c>
      <c r="D1130" s="942" t="s">
        <v>4020</v>
      </c>
      <c r="E1130" s="943" t="s">
        <v>4020</v>
      </c>
      <c r="F1130" s="935"/>
      <c r="G1130" s="944"/>
      <c r="H1130" s="944"/>
      <c r="I1130" s="946" t="s">
        <v>4021</v>
      </c>
      <c r="J1130" s="976" t="s">
        <v>711</v>
      </c>
      <c r="K1130" s="968" t="s">
        <v>703</v>
      </c>
      <c r="L1130" s="949">
        <v>130.0</v>
      </c>
      <c r="M1130" s="949">
        <v>140.0</v>
      </c>
      <c r="N1130" s="949">
        <v>105.0</v>
      </c>
      <c r="O1130" s="949">
        <v>45.0</v>
      </c>
      <c r="P1130" s="949">
        <v>80.0</v>
      </c>
      <c r="Q1130" s="949">
        <v>50.0</v>
      </c>
      <c r="R1130" s="949">
        <v>136.0</v>
      </c>
      <c r="S1130" s="949">
        <v>199.0</v>
      </c>
      <c r="T1130" s="949">
        <v>218.0</v>
      </c>
      <c r="U1130" s="949"/>
      <c r="V1130" s="949"/>
      <c r="W1130" s="949"/>
      <c r="X1130" s="949"/>
      <c r="Y1130" s="949"/>
      <c r="Z1130" s="949"/>
      <c r="AA1130" s="949"/>
      <c r="AB1130" s="949"/>
      <c r="AC1130" s="949"/>
      <c r="AD1130" s="949"/>
      <c r="AE1130" s="949"/>
      <c r="AF1130" s="949"/>
      <c r="AG1130" s="949"/>
      <c r="AH1130" s="949"/>
      <c r="AI1130" s="949"/>
      <c r="AJ1130" s="949"/>
      <c r="AK1130" s="949"/>
      <c r="AL1130" s="949"/>
      <c r="AM1130" s="953" t="s">
        <v>831</v>
      </c>
      <c r="AN1130" s="953" t="s">
        <v>3133</v>
      </c>
      <c r="AO1130" s="955" t="s">
        <v>855</v>
      </c>
      <c r="AP1130" s="931"/>
      <c r="AQ1130" s="956"/>
      <c r="AR1130" s="957"/>
      <c r="AS1130" s="931"/>
    </row>
    <row r="1131" ht="15.75" customHeight="1">
      <c r="A1131" s="931"/>
      <c r="B1131" s="941">
        <v>902.0</v>
      </c>
      <c r="C1131" s="942" t="s">
        <v>4022</v>
      </c>
      <c r="D1131" s="942" t="s">
        <v>4022</v>
      </c>
      <c r="E1131" s="943" t="s">
        <v>4022</v>
      </c>
      <c r="F1131" s="935"/>
      <c r="G1131" s="944"/>
      <c r="H1131" s="944"/>
      <c r="I1131" s="946" t="s">
        <v>4023</v>
      </c>
      <c r="J1131" s="962" t="s">
        <v>706</v>
      </c>
      <c r="K1131" s="994" t="s">
        <v>717</v>
      </c>
      <c r="L1131" s="949">
        <v>120.0</v>
      </c>
      <c r="M1131" s="949">
        <v>112.0</v>
      </c>
      <c r="N1131" s="949">
        <v>65.0</v>
      </c>
      <c r="O1131" s="949">
        <v>80.0</v>
      </c>
      <c r="P1131" s="949">
        <v>75.0</v>
      </c>
      <c r="Q1131" s="949">
        <v>78.0</v>
      </c>
      <c r="R1131" s="949">
        <v>192.0</v>
      </c>
      <c r="S1131" s="949">
        <v>255.0</v>
      </c>
      <c r="T1131" s="949">
        <v>280.0</v>
      </c>
      <c r="U1131" s="949"/>
      <c r="V1131" s="949"/>
      <c r="W1131" s="949"/>
      <c r="X1131" s="949"/>
      <c r="Y1131" s="949"/>
      <c r="Z1131" s="949"/>
      <c r="AA1131" s="949"/>
      <c r="AB1131" s="949"/>
      <c r="AC1131" s="949"/>
      <c r="AD1131" s="949"/>
      <c r="AE1131" s="949"/>
      <c r="AF1131" s="949"/>
      <c r="AG1131" s="949"/>
      <c r="AH1131" s="949"/>
      <c r="AI1131" s="949"/>
      <c r="AJ1131" s="949"/>
      <c r="AK1131" s="949"/>
      <c r="AL1131" s="949"/>
      <c r="AM1131" s="953" t="s">
        <v>1046</v>
      </c>
      <c r="AN1131" s="953" t="s">
        <v>811</v>
      </c>
      <c r="AO1131" s="955" t="s">
        <v>1391</v>
      </c>
      <c r="AP1131" s="931"/>
      <c r="AQ1131" s="956"/>
      <c r="AR1131" s="957"/>
      <c r="AS1131" s="931"/>
    </row>
    <row r="1132" ht="15.75" customHeight="1">
      <c r="A1132" s="931"/>
      <c r="B1132" s="941" t="s">
        <v>4024</v>
      </c>
      <c r="C1132" s="942" t="s">
        <v>4025</v>
      </c>
      <c r="D1132" s="942" t="s">
        <v>4026</v>
      </c>
      <c r="E1132" s="943" t="s">
        <v>4025</v>
      </c>
      <c r="F1132" s="935"/>
      <c r="G1132" s="944"/>
      <c r="H1132" s="944"/>
      <c r="I1132" s="946" t="s">
        <v>4027</v>
      </c>
      <c r="J1132" s="962" t="s">
        <v>706</v>
      </c>
      <c r="K1132" s="994" t="s">
        <v>717</v>
      </c>
      <c r="L1132" s="949">
        <v>120.0</v>
      </c>
      <c r="M1132" s="949">
        <v>92.0</v>
      </c>
      <c r="N1132" s="949">
        <v>65.0</v>
      </c>
      <c r="O1132" s="949">
        <v>100.0</v>
      </c>
      <c r="P1132" s="949">
        <v>75.0</v>
      </c>
      <c r="Q1132" s="949">
        <v>78.0</v>
      </c>
      <c r="R1132" s="949">
        <v>192.0</v>
      </c>
      <c r="S1132" s="949">
        <v>255.0</v>
      </c>
      <c r="T1132" s="949">
        <v>280.0</v>
      </c>
      <c r="U1132" s="949"/>
      <c r="V1132" s="949"/>
      <c r="W1132" s="949"/>
      <c r="X1132" s="949"/>
      <c r="Y1132" s="949"/>
      <c r="Z1132" s="949"/>
      <c r="AA1132" s="949"/>
      <c r="AB1132" s="949"/>
      <c r="AC1132" s="949"/>
      <c r="AD1132" s="949"/>
      <c r="AE1132" s="949"/>
      <c r="AF1132" s="949"/>
      <c r="AG1132" s="949"/>
      <c r="AH1132" s="949"/>
      <c r="AI1132" s="949"/>
      <c r="AJ1132" s="949"/>
      <c r="AK1132" s="949"/>
      <c r="AL1132" s="949"/>
      <c r="AM1132" s="953" t="s">
        <v>1046</v>
      </c>
      <c r="AN1132" s="953" t="s">
        <v>811</v>
      </c>
      <c r="AO1132" s="955" t="s">
        <v>1391</v>
      </c>
      <c r="AP1132" s="931"/>
      <c r="AQ1132" s="956"/>
      <c r="AR1132" s="957"/>
      <c r="AS1132" s="931"/>
    </row>
    <row r="1133" ht="15.75" customHeight="1">
      <c r="A1133" s="931"/>
      <c r="B1133" s="941" t="s">
        <v>4028</v>
      </c>
      <c r="C1133" s="942" t="s">
        <v>4029</v>
      </c>
      <c r="D1133" s="942" t="s">
        <v>4029</v>
      </c>
      <c r="E1133" s="943" t="s">
        <v>4029</v>
      </c>
      <c r="F1133" s="935"/>
      <c r="G1133" s="944"/>
      <c r="H1133" s="944"/>
      <c r="I1133" s="946" t="s">
        <v>4030</v>
      </c>
      <c r="J1133" s="988" t="s">
        <v>705</v>
      </c>
      <c r="K1133" s="948" t="s">
        <v>709</v>
      </c>
      <c r="L1133" s="949">
        <v>80.0</v>
      </c>
      <c r="M1133" s="949">
        <v>130.0</v>
      </c>
      <c r="N1133" s="949">
        <v>60.0</v>
      </c>
      <c r="O1133" s="949">
        <v>40.0</v>
      </c>
      <c r="P1133" s="949">
        <v>80.0</v>
      </c>
      <c r="Q1133" s="949">
        <v>120.0</v>
      </c>
      <c r="R1133" s="949">
        <v>276.0</v>
      </c>
      <c r="S1133" s="949">
        <v>339.0</v>
      </c>
      <c r="T1133" s="949">
        <v>372.0</v>
      </c>
      <c r="U1133" s="949"/>
      <c r="V1133" s="949"/>
      <c r="W1133" s="949"/>
      <c r="X1133" s="949"/>
      <c r="Y1133" s="949"/>
      <c r="Z1133" s="949"/>
      <c r="AA1133" s="949"/>
      <c r="AB1133" s="949"/>
      <c r="AC1133" s="949"/>
      <c r="AD1133" s="949"/>
      <c r="AE1133" s="949"/>
      <c r="AF1133" s="949"/>
      <c r="AG1133" s="949"/>
      <c r="AH1133" s="949"/>
      <c r="AI1133" s="949"/>
      <c r="AJ1133" s="949"/>
      <c r="AK1133" s="949"/>
      <c r="AL1133" s="949"/>
      <c r="AM1133" s="953" t="s">
        <v>1451</v>
      </c>
      <c r="AN1133" s="953" t="s">
        <v>1306</v>
      </c>
      <c r="AO1133" s="955" t="s">
        <v>1224</v>
      </c>
      <c r="AP1133" s="931"/>
      <c r="AQ1133" s="956"/>
      <c r="AR1133" s="957"/>
      <c r="AS1133" s="931"/>
    </row>
    <row r="1134" ht="15.75" customHeight="1">
      <c r="A1134" s="931"/>
      <c r="B1134" s="941" t="s">
        <v>4031</v>
      </c>
      <c r="C1134" s="942" t="s">
        <v>4032</v>
      </c>
      <c r="D1134" s="942" t="s">
        <v>4032</v>
      </c>
      <c r="E1134" s="943" t="s">
        <v>4032</v>
      </c>
      <c r="F1134" s="935"/>
      <c r="G1134" s="944"/>
      <c r="H1134" s="944"/>
      <c r="I1134" s="946" t="s">
        <v>4033</v>
      </c>
      <c r="J1134" s="969" t="s">
        <v>718</v>
      </c>
      <c r="K1134" s="948" t="s">
        <v>709</v>
      </c>
      <c r="L1134" s="949">
        <v>85.0</v>
      </c>
      <c r="M1134" s="949">
        <v>115.0</v>
      </c>
      <c r="N1134" s="949">
        <v>95.0</v>
      </c>
      <c r="O1134" s="949">
        <v>65.0</v>
      </c>
      <c r="P1134" s="949">
        <v>65.0</v>
      </c>
      <c r="Q1134" s="949">
        <v>85.0</v>
      </c>
      <c r="R1134" s="949">
        <v>206.0</v>
      </c>
      <c r="S1134" s="949">
        <v>269.0</v>
      </c>
      <c r="T1134" s="949">
        <v>295.0</v>
      </c>
      <c r="U1134" s="949"/>
      <c r="V1134" s="949"/>
      <c r="W1134" s="949"/>
      <c r="X1134" s="949"/>
      <c r="Y1134" s="949"/>
      <c r="Z1134" s="949"/>
      <c r="AA1134" s="949"/>
      <c r="AB1134" s="949"/>
      <c r="AC1134" s="949"/>
      <c r="AD1134" s="949"/>
      <c r="AE1134" s="949"/>
      <c r="AF1134" s="949"/>
      <c r="AG1134" s="949"/>
      <c r="AH1134" s="949"/>
      <c r="AI1134" s="949"/>
      <c r="AJ1134" s="949"/>
      <c r="AK1134" s="949"/>
      <c r="AL1134" s="949"/>
      <c r="AM1134" s="953" t="s">
        <v>942</v>
      </c>
      <c r="AN1134" s="953" t="s">
        <v>1062</v>
      </c>
      <c r="AO1134" s="955" t="s">
        <v>854</v>
      </c>
      <c r="AP1134" s="931"/>
      <c r="AQ1134" s="956"/>
      <c r="AR1134" s="957"/>
      <c r="AS1134" s="931"/>
    </row>
    <row r="1135" ht="15.75" customHeight="1">
      <c r="A1135" s="931"/>
      <c r="B1135" s="941" t="s">
        <v>4034</v>
      </c>
      <c r="C1135" s="942" t="s">
        <v>4035</v>
      </c>
      <c r="D1135" s="942" t="s">
        <v>4035</v>
      </c>
      <c r="E1135" s="943" t="s">
        <v>4035</v>
      </c>
      <c r="F1135" s="935"/>
      <c r="G1135" s="944"/>
      <c r="H1135" s="944"/>
      <c r="I1135" s="946" t="s">
        <v>4036</v>
      </c>
      <c r="J1135" s="980" t="s">
        <v>720</v>
      </c>
      <c r="K1135" s="960" t="s">
        <v>707</v>
      </c>
      <c r="L1135" s="949">
        <v>74.0</v>
      </c>
      <c r="M1135" s="949">
        <v>115.0</v>
      </c>
      <c r="N1135" s="949">
        <v>70.0</v>
      </c>
      <c r="O1135" s="949">
        <v>135.0</v>
      </c>
      <c r="P1135" s="949">
        <v>80.0</v>
      </c>
      <c r="Q1135" s="949">
        <v>106.0</v>
      </c>
      <c r="R1135" s="949">
        <v>248.0</v>
      </c>
      <c r="S1135" s="949">
        <v>311.0</v>
      </c>
      <c r="T1135" s="949">
        <v>342.0</v>
      </c>
      <c r="U1135" s="949"/>
      <c r="V1135" s="949"/>
      <c r="W1135" s="949"/>
      <c r="X1135" s="949"/>
      <c r="Y1135" s="949"/>
      <c r="Z1135" s="949"/>
      <c r="AA1135" s="949"/>
      <c r="AB1135" s="949"/>
      <c r="AC1135" s="949"/>
      <c r="AD1135" s="949"/>
      <c r="AE1135" s="949"/>
      <c r="AF1135" s="949"/>
      <c r="AG1135" s="949"/>
      <c r="AH1135" s="949"/>
      <c r="AI1135" s="949"/>
      <c r="AJ1135" s="949"/>
      <c r="AK1135" s="949"/>
      <c r="AL1135" s="949"/>
      <c r="AM1135" s="953" t="s">
        <v>1335</v>
      </c>
      <c r="AN1135" s="954"/>
      <c r="AO1135" s="955" t="s">
        <v>1693</v>
      </c>
      <c r="AP1135" s="931"/>
      <c r="AQ1135" s="956"/>
      <c r="AR1135" s="957"/>
      <c r="AS1135" s="931"/>
    </row>
    <row r="1136" ht="15.75" customHeight="1">
      <c r="A1136" s="931"/>
      <c r="B1136" s="941" t="s">
        <v>4037</v>
      </c>
      <c r="C1136" s="942" t="s">
        <v>4038</v>
      </c>
      <c r="D1136" s="942" t="s">
        <v>4038</v>
      </c>
      <c r="E1136" s="943" t="s">
        <v>4038</v>
      </c>
      <c r="F1136" s="935"/>
      <c r="G1136" s="944"/>
      <c r="H1136" s="944"/>
      <c r="I1136" s="959" t="s">
        <v>4039</v>
      </c>
      <c r="J1136" s="980" t="s">
        <v>720</v>
      </c>
      <c r="K1136" s="960" t="s">
        <v>707</v>
      </c>
      <c r="L1136" s="949">
        <v>74.0</v>
      </c>
      <c r="M1136" s="949">
        <v>115.0</v>
      </c>
      <c r="N1136" s="949">
        <v>110.0</v>
      </c>
      <c r="O1136" s="949">
        <v>135.0</v>
      </c>
      <c r="P1136" s="949">
        <v>100.0</v>
      </c>
      <c r="Q1136" s="949">
        <v>46.0</v>
      </c>
      <c r="R1136" s="949">
        <v>128.0</v>
      </c>
      <c r="S1136" s="949">
        <v>191.0</v>
      </c>
      <c r="T1136" s="949">
        <v>210.0</v>
      </c>
      <c r="U1136" s="949"/>
      <c r="V1136" s="949"/>
      <c r="W1136" s="949"/>
      <c r="X1136" s="949"/>
      <c r="Y1136" s="949"/>
      <c r="Z1136" s="949"/>
      <c r="AA1136" s="949"/>
      <c r="AB1136" s="949"/>
      <c r="AC1136" s="949"/>
      <c r="AD1136" s="949"/>
      <c r="AE1136" s="949"/>
      <c r="AF1136" s="949"/>
      <c r="AG1136" s="949"/>
      <c r="AH1136" s="949"/>
      <c r="AI1136" s="949"/>
      <c r="AJ1136" s="949"/>
      <c r="AK1136" s="949"/>
      <c r="AL1136" s="949"/>
      <c r="AM1136" s="953" t="s">
        <v>1239</v>
      </c>
      <c r="AN1136" s="954"/>
      <c r="AO1136" s="955"/>
      <c r="AP1136" s="931"/>
      <c r="AQ1136" s="956"/>
      <c r="AR1136" s="957"/>
      <c r="AS1136" s="931"/>
    </row>
    <row r="1137" ht="15.75" customHeight="1">
      <c r="A1137" s="931"/>
      <c r="B1137" s="941" t="s">
        <v>4040</v>
      </c>
      <c r="C1137" s="942" t="s">
        <v>4041</v>
      </c>
      <c r="D1137" s="942" t="s">
        <v>4041</v>
      </c>
      <c r="E1137" s="943" t="s">
        <v>4041</v>
      </c>
      <c r="F1137" s="935"/>
      <c r="G1137" s="944"/>
      <c r="H1137" s="944"/>
      <c r="I1137" s="946" t="s">
        <v>661</v>
      </c>
      <c r="J1137" s="947" t="s">
        <v>708</v>
      </c>
      <c r="K1137" s="953"/>
      <c r="L1137" s="949">
        <v>40.0</v>
      </c>
      <c r="M1137" s="949">
        <v>61.0</v>
      </c>
      <c r="N1137" s="949">
        <v>54.0</v>
      </c>
      <c r="O1137" s="949">
        <v>45.0</v>
      </c>
      <c r="P1137" s="949">
        <v>45.0</v>
      </c>
      <c r="Q1137" s="949">
        <v>65.0</v>
      </c>
      <c r="R1137" s="949">
        <v>166.0</v>
      </c>
      <c r="S1137" s="949">
        <v>229.0</v>
      </c>
      <c r="T1137" s="949">
        <v>251.0</v>
      </c>
      <c r="U1137" s="949"/>
      <c r="V1137" s="949"/>
      <c r="W1137" s="949"/>
      <c r="X1137" s="949"/>
      <c r="Y1137" s="949"/>
      <c r="Z1137" s="949"/>
      <c r="AA1137" s="949"/>
      <c r="AB1137" s="949"/>
      <c r="AC1137" s="949"/>
      <c r="AD1137" s="949"/>
      <c r="AE1137" s="949"/>
      <c r="AF1137" s="949"/>
      <c r="AG1137" s="949"/>
      <c r="AH1137" s="949"/>
      <c r="AI1137" s="949"/>
      <c r="AJ1137" s="949"/>
      <c r="AK1137" s="949"/>
      <c r="AL1137" s="949"/>
      <c r="AM1137" s="953" t="s">
        <v>735</v>
      </c>
      <c r="AN1137" s="954"/>
      <c r="AO1137" s="955" t="s">
        <v>2146</v>
      </c>
      <c r="AP1137" s="931"/>
      <c r="AQ1137" s="956"/>
      <c r="AR1137" s="957"/>
      <c r="AS1137" s="931"/>
    </row>
    <row r="1138" ht="15.75" customHeight="1">
      <c r="A1138" s="931"/>
      <c r="B1138" s="941">
        <v>907.0</v>
      </c>
      <c r="C1138" s="942" t="s">
        <v>4042</v>
      </c>
      <c r="D1138" s="942" t="s">
        <v>4042</v>
      </c>
      <c r="E1138" s="943" t="s">
        <v>4042</v>
      </c>
      <c r="F1138" s="935"/>
      <c r="G1138" s="944"/>
      <c r="H1138" s="944"/>
      <c r="I1138" s="946" t="s">
        <v>520</v>
      </c>
      <c r="J1138" s="947" t="s">
        <v>708</v>
      </c>
      <c r="K1138" s="953"/>
      <c r="L1138" s="949">
        <v>61.0</v>
      </c>
      <c r="M1138" s="949">
        <v>80.0</v>
      </c>
      <c r="N1138" s="949">
        <v>63.0</v>
      </c>
      <c r="O1138" s="949">
        <v>60.0</v>
      </c>
      <c r="P1138" s="949">
        <v>63.0</v>
      </c>
      <c r="Q1138" s="949">
        <v>83.0</v>
      </c>
      <c r="R1138" s="949">
        <v>202.0</v>
      </c>
      <c r="S1138" s="949">
        <v>265.0</v>
      </c>
      <c r="T1138" s="949">
        <v>291.0</v>
      </c>
      <c r="U1138" s="949"/>
      <c r="V1138" s="949"/>
      <c r="W1138" s="949"/>
      <c r="X1138" s="949"/>
      <c r="Y1138" s="949"/>
      <c r="Z1138" s="949"/>
      <c r="AA1138" s="949"/>
      <c r="AB1138" s="949"/>
      <c r="AC1138" s="949"/>
      <c r="AD1138" s="949"/>
      <c r="AE1138" s="949"/>
      <c r="AF1138" s="949"/>
      <c r="AG1138" s="949"/>
      <c r="AH1138" s="949"/>
      <c r="AI1138" s="949"/>
      <c r="AJ1138" s="949"/>
      <c r="AK1138" s="949"/>
      <c r="AL1138" s="949"/>
      <c r="AM1138" s="953" t="s">
        <v>735</v>
      </c>
      <c r="AN1138" s="954"/>
      <c r="AO1138" s="955" t="s">
        <v>2146</v>
      </c>
      <c r="AP1138" s="931"/>
      <c r="AQ1138" s="956"/>
      <c r="AR1138" s="957"/>
      <c r="AS1138" s="931"/>
    </row>
    <row r="1139" ht="15.75" customHeight="1">
      <c r="A1139" s="931"/>
      <c r="B1139" s="941">
        <v>908.0</v>
      </c>
      <c r="C1139" s="942" t="s">
        <v>224</v>
      </c>
      <c r="D1139" s="942" t="s">
        <v>224</v>
      </c>
      <c r="E1139" s="943" t="s">
        <v>224</v>
      </c>
      <c r="F1139" s="935"/>
      <c r="G1139" s="944"/>
      <c r="H1139" s="944"/>
      <c r="I1139" s="946" t="s">
        <v>71</v>
      </c>
      <c r="J1139" s="947" t="s">
        <v>708</v>
      </c>
      <c r="K1139" s="969" t="s">
        <v>718</v>
      </c>
      <c r="L1139" s="949">
        <v>76.0</v>
      </c>
      <c r="M1139" s="949">
        <v>110.0</v>
      </c>
      <c r="N1139" s="949">
        <v>70.0</v>
      </c>
      <c r="O1139" s="949">
        <v>81.0</v>
      </c>
      <c r="P1139" s="949">
        <v>70.0</v>
      </c>
      <c r="Q1139" s="949">
        <v>123.0</v>
      </c>
      <c r="R1139" s="949">
        <v>282.0</v>
      </c>
      <c r="S1139" s="949">
        <v>345.0</v>
      </c>
      <c r="T1139" s="949">
        <v>379.0</v>
      </c>
      <c r="U1139" s="949"/>
      <c r="V1139" s="949"/>
      <c r="W1139" s="949"/>
      <c r="X1139" s="949"/>
      <c r="Y1139" s="949"/>
      <c r="Z1139" s="949"/>
      <c r="AA1139" s="949"/>
      <c r="AB1139" s="949"/>
      <c r="AC1139" s="949"/>
      <c r="AD1139" s="949"/>
      <c r="AE1139" s="949"/>
      <c r="AF1139" s="949"/>
      <c r="AG1139" s="949"/>
      <c r="AH1139" s="949"/>
      <c r="AI1139" s="949"/>
      <c r="AJ1139" s="949"/>
      <c r="AK1139" s="949"/>
      <c r="AL1139" s="949"/>
      <c r="AM1139" s="953" t="s">
        <v>735</v>
      </c>
      <c r="AN1139" s="954"/>
      <c r="AO1139" s="955" t="s">
        <v>2146</v>
      </c>
      <c r="AP1139" s="931"/>
      <c r="AQ1139" s="956"/>
      <c r="AR1139" s="957"/>
      <c r="AS1139" s="931"/>
    </row>
    <row r="1140" ht="15.75" customHeight="1">
      <c r="A1140" s="931"/>
      <c r="B1140" s="941">
        <v>909.0</v>
      </c>
      <c r="C1140" s="942" t="s">
        <v>4043</v>
      </c>
      <c r="D1140" s="942" t="s">
        <v>4043</v>
      </c>
      <c r="E1140" s="943" t="s">
        <v>4043</v>
      </c>
      <c r="F1140" s="935"/>
      <c r="G1140" s="944"/>
      <c r="H1140" s="944"/>
      <c r="I1140" s="946" t="s">
        <v>662</v>
      </c>
      <c r="J1140" s="958" t="s">
        <v>704</v>
      </c>
      <c r="K1140" s="953"/>
      <c r="L1140" s="949">
        <v>67.0</v>
      </c>
      <c r="M1140" s="949">
        <v>45.0</v>
      </c>
      <c r="N1140" s="949">
        <v>59.0</v>
      </c>
      <c r="O1140" s="949">
        <v>63.0</v>
      </c>
      <c r="P1140" s="949">
        <v>40.0</v>
      </c>
      <c r="Q1140" s="949">
        <v>36.0</v>
      </c>
      <c r="R1140" s="949">
        <v>108.0</v>
      </c>
      <c r="S1140" s="949">
        <v>171.0</v>
      </c>
      <c r="T1140" s="949">
        <v>188.0</v>
      </c>
      <c r="U1140" s="949"/>
      <c r="V1140" s="949"/>
      <c r="W1140" s="949"/>
      <c r="X1140" s="949"/>
      <c r="Y1140" s="949"/>
      <c r="Z1140" s="949"/>
      <c r="AA1140" s="949"/>
      <c r="AB1140" s="949"/>
      <c r="AC1140" s="949"/>
      <c r="AD1140" s="949"/>
      <c r="AE1140" s="949"/>
      <c r="AF1140" s="949"/>
      <c r="AG1140" s="949"/>
      <c r="AH1140" s="949"/>
      <c r="AI1140" s="949"/>
      <c r="AJ1140" s="949"/>
      <c r="AK1140" s="949"/>
      <c r="AL1140" s="949"/>
      <c r="AM1140" s="953" t="s">
        <v>750</v>
      </c>
      <c r="AN1140" s="954"/>
      <c r="AO1140" s="955" t="s">
        <v>968</v>
      </c>
      <c r="AP1140" s="931"/>
      <c r="AQ1140" s="956"/>
      <c r="AR1140" s="957"/>
      <c r="AS1140" s="931"/>
    </row>
    <row r="1141" ht="15.75" customHeight="1">
      <c r="A1141" s="931"/>
      <c r="B1141" s="941">
        <v>910.0</v>
      </c>
      <c r="C1141" s="942" t="s">
        <v>4044</v>
      </c>
      <c r="D1141" s="942" t="s">
        <v>4044</v>
      </c>
      <c r="E1141" s="943" t="s">
        <v>4044</v>
      </c>
      <c r="F1141" s="935"/>
      <c r="G1141" s="944"/>
      <c r="H1141" s="944"/>
      <c r="I1141" s="959" t="s">
        <v>663</v>
      </c>
      <c r="J1141" s="958" t="s">
        <v>704</v>
      </c>
      <c r="K1141" s="953"/>
      <c r="L1141" s="949">
        <v>81.0</v>
      </c>
      <c r="M1141" s="949">
        <v>55.0</v>
      </c>
      <c r="N1141" s="949">
        <v>78.0</v>
      </c>
      <c r="O1141" s="949">
        <v>90.0</v>
      </c>
      <c r="P1141" s="949">
        <v>58.0</v>
      </c>
      <c r="Q1141" s="949">
        <v>49.0</v>
      </c>
      <c r="R1141" s="949">
        <v>134.0</v>
      </c>
      <c r="S1141" s="949">
        <v>197.0</v>
      </c>
      <c r="T1141" s="949">
        <v>216.0</v>
      </c>
      <c r="U1141" s="949"/>
      <c r="V1141" s="949"/>
      <c r="W1141" s="949"/>
      <c r="X1141" s="949"/>
      <c r="Y1141" s="949"/>
      <c r="Z1141" s="949"/>
      <c r="AA1141" s="949"/>
      <c r="AB1141" s="949"/>
      <c r="AC1141" s="949"/>
      <c r="AD1141" s="949"/>
      <c r="AE1141" s="949"/>
      <c r="AF1141" s="949"/>
      <c r="AG1141" s="949"/>
      <c r="AH1141" s="949"/>
      <c r="AI1141" s="949"/>
      <c r="AJ1141" s="949"/>
      <c r="AK1141" s="949"/>
      <c r="AL1141" s="949"/>
      <c r="AM1141" s="953" t="s">
        <v>750</v>
      </c>
      <c r="AN1141" s="954"/>
      <c r="AO1141" s="955" t="s">
        <v>968</v>
      </c>
      <c r="AP1141" s="931"/>
      <c r="AQ1141" s="956"/>
      <c r="AR1141" s="957"/>
      <c r="AS1141" s="931"/>
    </row>
    <row r="1142" ht="15.75" customHeight="1">
      <c r="A1142" s="931"/>
      <c r="B1142" s="941">
        <v>911.0</v>
      </c>
      <c r="C1142" s="942" t="s">
        <v>190</v>
      </c>
      <c r="D1142" s="942" t="s">
        <v>190</v>
      </c>
      <c r="E1142" s="943" t="s">
        <v>190</v>
      </c>
      <c r="F1142" s="935"/>
      <c r="G1142" s="944"/>
      <c r="H1142" s="944"/>
      <c r="I1142" s="946" t="s">
        <v>90</v>
      </c>
      <c r="J1142" s="958" t="s">
        <v>704</v>
      </c>
      <c r="K1142" s="994" t="s">
        <v>717</v>
      </c>
      <c r="L1142" s="949">
        <v>104.0</v>
      </c>
      <c r="M1142" s="949">
        <v>75.0</v>
      </c>
      <c r="N1142" s="949">
        <v>100.0</v>
      </c>
      <c r="O1142" s="949">
        <v>110.0</v>
      </c>
      <c r="P1142" s="949">
        <v>75.0</v>
      </c>
      <c r="Q1142" s="949">
        <v>66.0</v>
      </c>
      <c r="R1142" s="949">
        <v>168.0</v>
      </c>
      <c r="S1142" s="949">
        <v>231.0</v>
      </c>
      <c r="T1142" s="949">
        <v>254.0</v>
      </c>
      <c r="U1142" s="949"/>
      <c r="V1142" s="949"/>
      <c r="W1142" s="949"/>
      <c r="X1142" s="949"/>
      <c r="Y1142" s="949"/>
      <c r="Z1142" s="949"/>
      <c r="AA1142" s="949"/>
      <c r="AB1142" s="949"/>
      <c r="AC1142" s="949"/>
      <c r="AD1142" s="949"/>
      <c r="AE1142" s="949"/>
      <c r="AF1142" s="949"/>
      <c r="AG1142" s="949"/>
      <c r="AH1142" s="949"/>
      <c r="AI1142" s="949"/>
      <c r="AJ1142" s="949"/>
      <c r="AK1142" s="949"/>
      <c r="AL1142" s="949"/>
      <c r="AM1142" s="953" t="s">
        <v>750</v>
      </c>
      <c r="AN1142" s="954"/>
      <c r="AO1142" s="955" t="s">
        <v>968</v>
      </c>
      <c r="AP1142" s="931"/>
      <c r="AQ1142" s="956"/>
      <c r="AR1142" s="957"/>
      <c r="AS1142" s="931"/>
    </row>
    <row r="1143" ht="15.75" customHeight="1">
      <c r="A1143" s="931"/>
      <c r="B1143" s="941">
        <v>912.0</v>
      </c>
      <c r="C1143" s="942" t="s">
        <v>4045</v>
      </c>
      <c r="D1143" s="942" t="s">
        <v>4045</v>
      </c>
      <c r="E1143" s="943" t="s">
        <v>4045</v>
      </c>
      <c r="F1143" s="935"/>
      <c r="G1143" s="944"/>
      <c r="H1143" s="944"/>
      <c r="I1143" s="946" t="s">
        <v>664</v>
      </c>
      <c r="J1143" s="962" t="s">
        <v>706</v>
      </c>
      <c r="K1143" s="953"/>
      <c r="L1143" s="949">
        <v>55.0</v>
      </c>
      <c r="M1143" s="949">
        <v>65.0</v>
      </c>
      <c r="N1143" s="949">
        <v>45.0</v>
      </c>
      <c r="O1143" s="949">
        <v>50.0</v>
      </c>
      <c r="P1143" s="949">
        <v>45.0</v>
      </c>
      <c r="Q1143" s="949">
        <v>50.0</v>
      </c>
      <c r="R1143" s="949">
        <v>136.0</v>
      </c>
      <c r="S1143" s="949">
        <v>199.0</v>
      </c>
      <c r="T1143" s="949">
        <v>218.0</v>
      </c>
      <c r="U1143" s="949"/>
      <c r="V1143" s="949"/>
      <c r="W1143" s="949"/>
      <c r="X1143" s="949"/>
      <c r="Y1143" s="949"/>
      <c r="Z1143" s="949"/>
      <c r="AA1143" s="949"/>
      <c r="AB1143" s="949"/>
      <c r="AC1143" s="949"/>
      <c r="AD1143" s="949"/>
      <c r="AE1143" s="949"/>
      <c r="AF1143" s="949"/>
      <c r="AG1143" s="949"/>
      <c r="AH1143" s="949"/>
      <c r="AI1143" s="949"/>
      <c r="AJ1143" s="949"/>
      <c r="AK1143" s="949"/>
      <c r="AL1143" s="949"/>
      <c r="AM1143" s="953" t="s">
        <v>771</v>
      </c>
      <c r="AN1143" s="954"/>
      <c r="AO1143" s="955" t="s">
        <v>1392</v>
      </c>
      <c r="AP1143" s="931"/>
      <c r="AQ1143" s="956"/>
      <c r="AR1143" s="957"/>
      <c r="AS1143" s="931"/>
    </row>
    <row r="1144" ht="15.75" customHeight="1">
      <c r="A1144" s="931"/>
      <c r="B1144" s="941">
        <v>913.0</v>
      </c>
      <c r="C1144" s="942" t="s">
        <v>4046</v>
      </c>
      <c r="D1144" s="942" t="s">
        <v>4046</v>
      </c>
      <c r="E1144" s="943" t="s">
        <v>4046</v>
      </c>
      <c r="F1144" s="935"/>
      <c r="G1144" s="944"/>
      <c r="H1144" s="944"/>
      <c r="I1144" s="946" t="s">
        <v>665</v>
      </c>
      <c r="J1144" s="962" t="s">
        <v>706</v>
      </c>
      <c r="K1144" s="953"/>
      <c r="L1144" s="949">
        <v>70.0</v>
      </c>
      <c r="M1144" s="949">
        <v>85.0</v>
      </c>
      <c r="N1144" s="949">
        <v>65.0</v>
      </c>
      <c r="O1144" s="949">
        <v>65.0</v>
      </c>
      <c r="P1144" s="949">
        <v>60.0</v>
      </c>
      <c r="Q1144" s="949">
        <v>65.0</v>
      </c>
      <c r="R1144" s="949">
        <v>166.0</v>
      </c>
      <c r="S1144" s="949">
        <v>229.0</v>
      </c>
      <c r="T1144" s="949">
        <v>251.0</v>
      </c>
      <c r="U1144" s="949"/>
      <c r="V1144" s="949"/>
      <c r="W1144" s="949"/>
      <c r="X1144" s="949"/>
      <c r="Y1144" s="949"/>
      <c r="Z1144" s="949"/>
      <c r="AA1144" s="949"/>
      <c r="AB1144" s="949"/>
      <c r="AC1144" s="949"/>
      <c r="AD1144" s="949"/>
      <c r="AE1144" s="949"/>
      <c r="AF1144" s="949"/>
      <c r="AG1144" s="949"/>
      <c r="AH1144" s="949"/>
      <c r="AI1144" s="949"/>
      <c r="AJ1144" s="949"/>
      <c r="AK1144" s="949"/>
      <c r="AL1144" s="949"/>
      <c r="AM1144" s="953" t="s">
        <v>771</v>
      </c>
      <c r="AN1144" s="954"/>
      <c r="AO1144" s="955" t="s">
        <v>1392</v>
      </c>
      <c r="AP1144" s="931"/>
      <c r="AQ1144" s="956"/>
      <c r="AR1144" s="957"/>
      <c r="AS1144" s="931"/>
    </row>
    <row r="1145" ht="15.75" customHeight="1">
      <c r="A1145" s="931"/>
      <c r="B1145" s="941">
        <v>914.0</v>
      </c>
      <c r="C1145" s="942" t="s">
        <v>177</v>
      </c>
      <c r="D1145" s="942" t="s">
        <v>177</v>
      </c>
      <c r="E1145" s="943" t="s">
        <v>177</v>
      </c>
      <c r="F1145" s="935"/>
      <c r="G1145" s="944"/>
      <c r="H1145" s="944"/>
      <c r="I1145" s="946" t="s">
        <v>89</v>
      </c>
      <c r="J1145" s="962" t="s">
        <v>706</v>
      </c>
      <c r="K1145" s="988" t="s">
        <v>705</v>
      </c>
      <c r="L1145" s="949">
        <v>85.0</v>
      </c>
      <c r="M1145" s="949">
        <v>120.0</v>
      </c>
      <c r="N1145" s="949">
        <v>80.0</v>
      </c>
      <c r="O1145" s="949">
        <v>85.0</v>
      </c>
      <c r="P1145" s="949">
        <v>75.0</v>
      </c>
      <c r="Q1145" s="949">
        <v>85.0</v>
      </c>
      <c r="R1145" s="949">
        <v>206.0</v>
      </c>
      <c r="S1145" s="949">
        <v>269.0</v>
      </c>
      <c r="T1145" s="949">
        <v>295.0</v>
      </c>
      <c r="U1145" s="949"/>
      <c r="V1145" s="949"/>
      <c r="W1145" s="949"/>
      <c r="X1145" s="949"/>
      <c r="Y1145" s="949"/>
      <c r="Z1145" s="949"/>
      <c r="AA1145" s="949"/>
      <c r="AB1145" s="949"/>
      <c r="AC1145" s="949"/>
      <c r="AD1145" s="949"/>
      <c r="AE1145" s="949"/>
      <c r="AF1145" s="949"/>
      <c r="AG1145" s="949"/>
      <c r="AH1145" s="949"/>
      <c r="AI1145" s="949"/>
      <c r="AJ1145" s="949"/>
      <c r="AK1145" s="949"/>
      <c r="AL1145" s="949"/>
      <c r="AM1145" s="953" t="s">
        <v>771</v>
      </c>
      <c r="AN1145" s="954"/>
      <c r="AO1145" s="955" t="s">
        <v>1392</v>
      </c>
      <c r="AP1145" s="931"/>
      <c r="AQ1145" s="956"/>
      <c r="AR1145" s="957"/>
      <c r="AS1145" s="931"/>
    </row>
    <row r="1146" ht="15.75" customHeight="1">
      <c r="A1146" s="931"/>
      <c r="B1146" s="941">
        <v>915.0</v>
      </c>
      <c r="C1146" s="942" t="s">
        <v>4047</v>
      </c>
      <c r="D1146" s="942" t="s">
        <v>4047</v>
      </c>
      <c r="E1146" s="943" t="s">
        <v>4047</v>
      </c>
      <c r="F1146" s="935"/>
      <c r="G1146" s="944"/>
      <c r="H1146" s="944"/>
      <c r="I1146" s="946" t="s">
        <v>666</v>
      </c>
      <c r="J1146" s="968" t="s">
        <v>703</v>
      </c>
      <c r="K1146" s="953"/>
      <c r="L1146" s="949">
        <v>54.0</v>
      </c>
      <c r="M1146" s="949">
        <v>45.0</v>
      </c>
      <c r="N1146" s="949">
        <v>40.0</v>
      </c>
      <c r="O1146" s="949">
        <v>35.0</v>
      </c>
      <c r="P1146" s="949">
        <v>45.0</v>
      </c>
      <c r="Q1146" s="949">
        <v>35.0</v>
      </c>
      <c r="R1146" s="949">
        <v>106.0</v>
      </c>
      <c r="S1146" s="949">
        <v>169.0</v>
      </c>
      <c r="T1146" s="949">
        <v>185.0</v>
      </c>
      <c r="U1146" s="949"/>
      <c r="V1146" s="949"/>
      <c r="W1146" s="949"/>
      <c r="X1146" s="949"/>
      <c r="Y1146" s="949"/>
      <c r="Z1146" s="949"/>
      <c r="AA1146" s="949"/>
      <c r="AB1146" s="949"/>
      <c r="AC1146" s="949"/>
      <c r="AD1146" s="949"/>
      <c r="AE1146" s="949"/>
      <c r="AF1146" s="949"/>
      <c r="AG1146" s="949"/>
      <c r="AH1146" s="949"/>
      <c r="AI1146" s="949"/>
      <c r="AJ1146" s="949"/>
      <c r="AK1146" s="949"/>
      <c r="AL1146" s="949"/>
      <c r="AM1146" s="953" t="s">
        <v>3246</v>
      </c>
      <c r="AN1146" s="953" t="s">
        <v>837</v>
      </c>
      <c r="AO1146" s="955" t="s">
        <v>746</v>
      </c>
      <c r="AP1146" s="931"/>
      <c r="AQ1146" s="956"/>
      <c r="AR1146" s="957"/>
      <c r="AS1146" s="931"/>
    </row>
    <row r="1147" ht="15.75" customHeight="1">
      <c r="A1147" s="931"/>
      <c r="B1147" s="941">
        <v>916.0</v>
      </c>
      <c r="C1147" s="942" t="s">
        <v>4048</v>
      </c>
      <c r="D1147" s="942" t="s">
        <v>4048</v>
      </c>
      <c r="E1147" s="943" t="s">
        <v>4048</v>
      </c>
      <c r="F1147" s="935"/>
      <c r="G1147" s="944"/>
      <c r="H1147" s="944"/>
      <c r="I1147" s="946" t="s">
        <v>494</v>
      </c>
      <c r="J1147" s="968" t="s">
        <v>703</v>
      </c>
      <c r="K1147" s="953"/>
      <c r="L1147" s="949">
        <v>110.0</v>
      </c>
      <c r="M1147" s="949">
        <v>100.0</v>
      </c>
      <c r="N1147" s="949">
        <v>75.0</v>
      </c>
      <c r="O1147" s="949">
        <v>59.0</v>
      </c>
      <c r="P1147" s="949">
        <v>80.0</v>
      </c>
      <c r="Q1147" s="949">
        <v>65.0</v>
      </c>
      <c r="R1147" s="949">
        <v>166.0</v>
      </c>
      <c r="S1147" s="949">
        <v>229.0</v>
      </c>
      <c r="T1147" s="949">
        <v>251.0</v>
      </c>
      <c r="U1147" s="949"/>
      <c r="V1147" s="949"/>
      <c r="W1147" s="949"/>
      <c r="X1147" s="949"/>
      <c r="Y1147" s="949"/>
      <c r="Z1147" s="949"/>
      <c r="AA1147" s="949"/>
      <c r="AB1147" s="949"/>
      <c r="AC1147" s="949"/>
      <c r="AD1147" s="949"/>
      <c r="AE1147" s="949"/>
      <c r="AF1147" s="949"/>
      <c r="AG1147" s="949"/>
      <c r="AH1147" s="949"/>
      <c r="AI1147" s="949"/>
      <c r="AJ1147" s="949"/>
      <c r="AK1147" s="949"/>
      <c r="AL1147" s="949"/>
      <c r="AM1147" s="953" t="s">
        <v>4049</v>
      </c>
      <c r="AN1147" s="953" t="s">
        <v>837</v>
      </c>
      <c r="AO1147" s="955" t="s">
        <v>746</v>
      </c>
      <c r="AP1147" s="931"/>
      <c r="AQ1147" s="956"/>
      <c r="AR1147" s="957"/>
      <c r="AS1147" s="931"/>
    </row>
    <row r="1148" ht="15.75" customHeight="1">
      <c r="A1148" s="931"/>
      <c r="B1148" s="941" t="s">
        <v>4050</v>
      </c>
      <c r="C1148" s="942" t="s">
        <v>4051</v>
      </c>
      <c r="D1148" s="942" t="s">
        <v>4052</v>
      </c>
      <c r="E1148" s="943" t="s">
        <v>4051</v>
      </c>
      <c r="F1148" s="935"/>
      <c r="G1148" s="944"/>
      <c r="H1148" s="944"/>
      <c r="I1148" s="946" t="s">
        <v>4053</v>
      </c>
      <c r="J1148" s="968" t="s">
        <v>703</v>
      </c>
      <c r="K1148" s="953"/>
      <c r="L1148" s="949">
        <v>125.0</v>
      </c>
      <c r="M1148" s="949">
        <v>100.0</v>
      </c>
      <c r="N1148" s="949">
        <v>80.0</v>
      </c>
      <c r="O1148" s="949">
        <v>85.0</v>
      </c>
      <c r="P1148" s="949">
        <v>75.0</v>
      </c>
      <c r="Q1148" s="949">
        <v>55.0</v>
      </c>
      <c r="R1148" s="949">
        <v>146.0</v>
      </c>
      <c r="S1148" s="949">
        <v>209.0</v>
      </c>
      <c r="T1148" s="949">
        <v>229.0</v>
      </c>
      <c r="U1148" s="949"/>
      <c r="V1148" s="949"/>
      <c r="W1148" s="949"/>
      <c r="X1148" s="949"/>
      <c r="Y1148" s="949"/>
      <c r="Z1148" s="949"/>
      <c r="AA1148" s="949"/>
      <c r="AB1148" s="949"/>
      <c r="AC1148" s="949"/>
      <c r="AD1148" s="949"/>
      <c r="AE1148" s="949"/>
      <c r="AF1148" s="949"/>
      <c r="AG1148" s="949"/>
      <c r="AH1148" s="949"/>
      <c r="AI1148" s="949"/>
      <c r="AJ1148" s="949"/>
      <c r="AK1148" s="949"/>
      <c r="AL1148" s="949"/>
      <c r="AM1148" s="953" t="s">
        <v>3246</v>
      </c>
      <c r="AN1148" s="953" t="s">
        <v>837</v>
      </c>
      <c r="AO1148" s="955" t="s">
        <v>746</v>
      </c>
      <c r="AP1148" s="931"/>
      <c r="AQ1148" s="956"/>
      <c r="AR1148" s="957"/>
      <c r="AS1148" s="931"/>
    </row>
    <row r="1149" ht="15.75" customHeight="1">
      <c r="A1149" s="931"/>
      <c r="B1149" s="941" t="s">
        <v>4054</v>
      </c>
      <c r="C1149" s="942" t="s">
        <v>4055</v>
      </c>
      <c r="D1149" s="942" t="s">
        <v>4055</v>
      </c>
      <c r="E1149" s="943" t="s">
        <v>4055</v>
      </c>
      <c r="F1149" s="935"/>
      <c r="G1149" s="944"/>
      <c r="H1149" s="944"/>
      <c r="I1149" s="946" t="s">
        <v>409</v>
      </c>
      <c r="J1149" s="968" t="s">
        <v>703</v>
      </c>
      <c r="K1149" s="953"/>
      <c r="L1149" s="949">
        <v>125.0</v>
      </c>
      <c r="M1149" s="949">
        <v>100.0</v>
      </c>
      <c r="N1149" s="949">
        <v>80.0</v>
      </c>
      <c r="O1149" s="949">
        <v>85.0</v>
      </c>
      <c r="P1149" s="949">
        <v>75.0</v>
      </c>
      <c r="Q1149" s="949">
        <v>55.0</v>
      </c>
      <c r="R1149" s="949">
        <v>146.0</v>
      </c>
      <c r="S1149" s="949">
        <v>209.0</v>
      </c>
      <c r="T1149" s="949">
        <v>229.0</v>
      </c>
      <c r="U1149" s="949"/>
      <c r="V1149" s="949"/>
      <c r="W1149" s="949"/>
      <c r="X1149" s="949"/>
      <c r="Y1149" s="949"/>
      <c r="Z1149" s="949"/>
      <c r="AA1149" s="949"/>
      <c r="AB1149" s="949"/>
      <c r="AC1149" s="949"/>
      <c r="AD1149" s="949"/>
      <c r="AE1149" s="949"/>
      <c r="AF1149" s="949"/>
      <c r="AG1149" s="949"/>
      <c r="AH1149" s="949"/>
      <c r="AI1149" s="949"/>
      <c r="AJ1149" s="949"/>
      <c r="AK1149" s="949"/>
      <c r="AL1149" s="949"/>
      <c r="AM1149" s="953" t="s">
        <v>1334</v>
      </c>
      <c r="AN1149" s="953" t="s">
        <v>787</v>
      </c>
      <c r="AO1149" s="955" t="s">
        <v>1046</v>
      </c>
      <c r="AP1149" s="931"/>
      <c r="AQ1149" s="956"/>
      <c r="AR1149" s="957"/>
      <c r="AS1149" s="931"/>
    </row>
    <row r="1150" ht="15.75" customHeight="1">
      <c r="A1150" s="963"/>
      <c r="B1150" s="941">
        <v>918.0</v>
      </c>
      <c r="C1150" s="971" t="s">
        <v>4056</v>
      </c>
      <c r="D1150" s="971" t="s">
        <v>4056</v>
      </c>
      <c r="E1150" s="966" t="s">
        <v>4056</v>
      </c>
      <c r="F1150" s="935"/>
      <c r="G1150" s="944"/>
      <c r="H1150" s="944"/>
      <c r="I1150" s="959" t="s">
        <v>667</v>
      </c>
      <c r="J1150" s="999" t="s">
        <v>715</v>
      </c>
      <c r="K1150" s="964"/>
      <c r="L1150" s="974">
        <v>35.0</v>
      </c>
      <c r="M1150" s="974">
        <v>41.0</v>
      </c>
      <c r="N1150" s="974">
        <v>45.0</v>
      </c>
      <c r="O1150" s="974">
        <v>29.0</v>
      </c>
      <c r="P1150" s="974">
        <v>40.0</v>
      </c>
      <c r="Q1150" s="974">
        <v>20.0</v>
      </c>
      <c r="R1150" s="949">
        <v>76.0</v>
      </c>
      <c r="S1150" s="949">
        <v>139.0</v>
      </c>
      <c r="T1150" s="949">
        <v>152.0</v>
      </c>
      <c r="U1150" s="949"/>
      <c r="V1150" s="949"/>
      <c r="W1150" s="949"/>
      <c r="X1150" s="949"/>
      <c r="Y1150" s="949"/>
      <c r="Z1150" s="949"/>
      <c r="AA1150" s="949"/>
      <c r="AB1150" s="949"/>
      <c r="AC1150" s="949"/>
      <c r="AD1150" s="949"/>
      <c r="AE1150" s="949"/>
      <c r="AF1150" s="949"/>
      <c r="AG1150" s="949"/>
      <c r="AH1150" s="949"/>
      <c r="AI1150" s="949"/>
      <c r="AJ1150" s="949"/>
      <c r="AK1150" s="949"/>
      <c r="AL1150" s="949"/>
      <c r="AM1150" s="964" t="s">
        <v>1259</v>
      </c>
      <c r="AN1150" s="964"/>
      <c r="AO1150" s="965" t="s">
        <v>3430</v>
      </c>
      <c r="AP1150" s="931"/>
      <c r="AQ1150" s="956"/>
      <c r="AR1150" s="957"/>
      <c r="AS1150" s="931"/>
    </row>
    <row r="1151" ht="15.75" customHeight="1">
      <c r="A1151" s="931"/>
      <c r="B1151" s="941">
        <v>919.0</v>
      </c>
      <c r="C1151" s="942" t="s">
        <v>4057</v>
      </c>
      <c r="D1151" s="942" t="s">
        <v>4057</v>
      </c>
      <c r="E1151" s="943" t="s">
        <v>4057</v>
      </c>
      <c r="F1151" s="935"/>
      <c r="G1151" s="944"/>
      <c r="H1151" s="944"/>
      <c r="I1151" s="946" t="s">
        <v>554</v>
      </c>
      <c r="J1151" s="967" t="s">
        <v>715</v>
      </c>
      <c r="K1151" s="953"/>
      <c r="L1151" s="949">
        <v>60.0</v>
      </c>
      <c r="M1151" s="949">
        <v>79.0</v>
      </c>
      <c r="N1151" s="949">
        <v>92.0</v>
      </c>
      <c r="O1151" s="949">
        <v>52.0</v>
      </c>
      <c r="P1151" s="949">
        <v>86.0</v>
      </c>
      <c r="Q1151" s="949">
        <v>35.0</v>
      </c>
      <c r="R1151" s="949">
        <v>106.0</v>
      </c>
      <c r="S1151" s="949">
        <v>169.0</v>
      </c>
      <c r="T1151" s="949">
        <v>185.0</v>
      </c>
      <c r="U1151" s="949"/>
      <c r="V1151" s="949"/>
      <c r="W1151" s="949"/>
      <c r="X1151" s="949"/>
      <c r="Y1151" s="949"/>
      <c r="Z1151" s="949"/>
      <c r="AA1151" s="949"/>
      <c r="AB1151" s="949"/>
      <c r="AC1151" s="949"/>
      <c r="AD1151" s="949"/>
      <c r="AE1151" s="949"/>
      <c r="AF1151" s="949"/>
      <c r="AG1151" s="949"/>
      <c r="AH1151" s="949"/>
      <c r="AI1151" s="949"/>
      <c r="AJ1151" s="949"/>
      <c r="AK1151" s="949"/>
      <c r="AL1151" s="949"/>
      <c r="AM1151" s="953" t="s">
        <v>1259</v>
      </c>
      <c r="AN1151" s="953"/>
      <c r="AO1151" s="955" t="s">
        <v>3430</v>
      </c>
      <c r="AP1151" s="931"/>
      <c r="AQ1151" s="956"/>
      <c r="AR1151" s="957"/>
      <c r="AS1151" s="931"/>
    </row>
    <row r="1152" ht="15.75" customHeight="1">
      <c r="A1152" s="963"/>
      <c r="B1152" s="941">
        <v>920.0</v>
      </c>
      <c r="C1152" s="971" t="s">
        <v>4058</v>
      </c>
      <c r="D1152" s="971" t="s">
        <v>4058</v>
      </c>
      <c r="E1152" s="966" t="s">
        <v>4058</v>
      </c>
      <c r="F1152" s="935"/>
      <c r="G1152" s="944"/>
      <c r="H1152" s="944"/>
      <c r="I1152" s="959" t="s">
        <v>668</v>
      </c>
      <c r="J1152" s="999" t="s">
        <v>715</v>
      </c>
      <c r="K1152" s="964"/>
      <c r="L1152" s="974">
        <v>33.0</v>
      </c>
      <c r="M1152" s="974">
        <v>46.0</v>
      </c>
      <c r="N1152" s="974">
        <v>40.0</v>
      </c>
      <c r="O1152" s="974">
        <v>21.0</v>
      </c>
      <c r="P1152" s="974">
        <v>25.0</v>
      </c>
      <c r="Q1152" s="974">
        <v>45.0</v>
      </c>
      <c r="R1152" s="949">
        <v>126.0</v>
      </c>
      <c r="S1152" s="949">
        <v>189.0</v>
      </c>
      <c r="T1152" s="949">
        <v>207.0</v>
      </c>
      <c r="U1152" s="949"/>
      <c r="V1152" s="949"/>
      <c r="W1152" s="949"/>
      <c r="X1152" s="949"/>
      <c r="Y1152" s="949"/>
      <c r="Z1152" s="949"/>
      <c r="AA1152" s="949"/>
      <c r="AB1152" s="949"/>
      <c r="AC1152" s="949"/>
      <c r="AD1152" s="949"/>
      <c r="AE1152" s="949"/>
      <c r="AF1152" s="949"/>
      <c r="AG1152" s="949"/>
      <c r="AH1152" s="949"/>
      <c r="AI1152" s="949"/>
      <c r="AJ1152" s="949"/>
      <c r="AK1152" s="949"/>
      <c r="AL1152" s="949"/>
      <c r="AM1152" s="964" t="s">
        <v>806</v>
      </c>
      <c r="AN1152" s="954"/>
      <c r="AO1152" s="955" t="s">
        <v>796</v>
      </c>
      <c r="AP1152" s="931"/>
      <c r="AQ1152" s="956"/>
      <c r="AR1152" s="957"/>
      <c r="AS1152" s="931"/>
    </row>
    <row r="1153" ht="15.75" customHeight="1">
      <c r="A1153" s="963"/>
      <c r="B1153" s="941">
        <v>921.0</v>
      </c>
      <c r="C1153" s="971" t="s">
        <v>4059</v>
      </c>
      <c r="D1153" s="971" t="s">
        <v>4059</v>
      </c>
      <c r="E1153" s="966" t="s">
        <v>4059</v>
      </c>
      <c r="F1153" s="935"/>
      <c r="G1153" s="944"/>
      <c r="H1153" s="944"/>
      <c r="I1153" s="959" t="s">
        <v>453</v>
      </c>
      <c r="J1153" s="999" t="s">
        <v>715</v>
      </c>
      <c r="K1153" s="1003" t="s">
        <v>718</v>
      </c>
      <c r="L1153" s="974">
        <v>71.0</v>
      </c>
      <c r="M1153" s="974">
        <v>102.0</v>
      </c>
      <c r="N1153" s="974">
        <v>78.0</v>
      </c>
      <c r="O1153" s="974">
        <v>52.0</v>
      </c>
      <c r="P1153" s="974">
        <v>55.0</v>
      </c>
      <c r="Q1153" s="974">
        <v>92.0</v>
      </c>
      <c r="R1153" s="949">
        <v>220.0</v>
      </c>
      <c r="S1153" s="949">
        <v>283.0</v>
      </c>
      <c r="T1153" s="949">
        <v>311.0</v>
      </c>
      <c r="U1153" s="949"/>
      <c r="V1153" s="949"/>
      <c r="W1153" s="949"/>
      <c r="X1153" s="949"/>
      <c r="Y1153" s="949"/>
      <c r="Z1153" s="949"/>
      <c r="AA1153" s="949"/>
      <c r="AB1153" s="949"/>
      <c r="AC1153" s="949"/>
      <c r="AD1153" s="949"/>
      <c r="AE1153" s="949"/>
      <c r="AF1153" s="949"/>
      <c r="AG1153" s="949"/>
      <c r="AH1153" s="949"/>
      <c r="AI1153" s="949"/>
      <c r="AJ1153" s="949"/>
      <c r="AK1153" s="949"/>
      <c r="AL1153" s="949"/>
      <c r="AM1153" s="964" t="s">
        <v>806</v>
      </c>
      <c r="AN1153" s="954"/>
      <c r="AO1153" s="955" t="s">
        <v>796</v>
      </c>
      <c r="AP1153" s="931"/>
      <c r="AQ1153" s="956"/>
      <c r="AR1153" s="957"/>
      <c r="AS1153" s="931"/>
    </row>
    <row r="1154" ht="15.75" customHeight="1">
      <c r="A1154" s="931"/>
      <c r="B1154" s="941">
        <v>922.0</v>
      </c>
      <c r="C1154" s="942" t="s">
        <v>4060</v>
      </c>
      <c r="D1154" s="942" t="s">
        <v>4060</v>
      </c>
      <c r="E1154" s="943" t="s">
        <v>4060</v>
      </c>
      <c r="F1154" s="935"/>
      <c r="G1154" s="944"/>
      <c r="H1154" s="944"/>
      <c r="I1154" s="946" t="s">
        <v>669</v>
      </c>
      <c r="J1154" s="967" t="s">
        <v>715</v>
      </c>
      <c r="K1154" s="953"/>
      <c r="L1154" s="949">
        <v>41.0</v>
      </c>
      <c r="M1154" s="949">
        <v>50.0</v>
      </c>
      <c r="N1154" s="949">
        <v>60.0</v>
      </c>
      <c r="O1154" s="949">
        <v>31.0</v>
      </c>
      <c r="P1154" s="949">
        <v>58.0</v>
      </c>
      <c r="Q1154" s="949">
        <v>30.0</v>
      </c>
      <c r="R1154" s="949">
        <v>96.0</v>
      </c>
      <c r="S1154" s="949">
        <v>159.0</v>
      </c>
      <c r="T1154" s="949">
        <v>174.0</v>
      </c>
      <c r="U1154" s="949"/>
      <c r="V1154" s="949"/>
      <c r="W1154" s="949"/>
      <c r="X1154" s="949"/>
      <c r="Y1154" s="949"/>
      <c r="Z1154" s="949"/>
      <c r="AA1154" s="949"/>
      <c r="AB1154" s="949"/>
      <c r="AC1154" s="949"/>
      <c r="AD1154" s="949"/>
      <c r="AE1154" s="949"/>
      <c r="AF1154" s="949"/>
      <c r="AG1154" s="949"/>
      <c r="AH1154" s="949"/>
      <c r="AI1154" s="949"/>
      <c r="AJ1154" s="949"/>
      <c r="AK1154" s="949"/>
      <c r="AL1154" s="949"/>
      <c r="AM1154" s="953" t="s">
        <v>4061</v>
      </c>
      <c r="AN1154" s="954"/>
      <c r="AO1154" s="955" t="s">
        <v>791</v>
      </c>
      <c r="AP1154" s="931"/>
      <c r="AQ1154" s="956"/>
      <c r="AR1154" s="957"/>
      <c r="AS1154" s="931"/>
    </row>
    <row r="1155" ht="15.75" customHeight="1">
      <c r="A1155" s="931"/>
      <c r="B1155" s="941">
        <v>923.0</v>
      </c>
      <c r="C1155" s="942" t="s">
        <v>4062</v>
      </c>
      <c r="D1155" s="942" t="s">
        <v>4062</v>
      </c>
      <c r="E1155" s="943" t="s">
        <v>4062</v>
      </c>
      <c r="F1155" s="935"/>
      <c r="G1155" s="944"/>
      <c r="H1155" s="944"/>
      <c r="I1155" s="946" t="s">
        <v>401</v>
      </c>
      <c r="J1155" s="967" t="s">
        <v>715</v>
      </c>
      <c r="K1155" s="975" t="s">
        <v>712</v>
      </c>
      <c r="L1155" s="949">
        <v>75.0</v>
      </c>
      <c r="M1155" s="949">
        <v>50.0</v>
      </c>
      <c r="N1155" s="949">
        <v>85.0</v>
      </c>
      <c r="O1155" s="949">
        <v>115.0</v>
      </c>
      <c r="P1155" s="949">
        <v>100.0</v>
      </c>
      <c r="Q1155" s="949">
        <v>45.0</v>
      </c>
      <c r="R1155" s="949">
        <v>126.0</v>
      </c>
      <c r="S1155" s="949">
        <v>189.0</v>
      </c>
      <c r="T1155" s="949">
        <v>207.0</v>
      </c>
      <c r="U1155" s="949"/>
      <c r="V1155" s="949"/>
      <c r="W1155" s="949"/>
      <c r="X1155" s="949"/>
      <c r="Y1155" s="949"/>
      <c r="Z1155" s="949"/>
      <c r="AA1155" s="949"/>
      <c r="AB1155" s="949"/>
      <c r="AC1155" s="949"/>
      <c r="AD1155" s="949"/>
      <c r="AE1155" s="949"/>
      <c r="AF1155" s="949"/>
      <c r="AG1155" s="949"/>
      <c r="AH1155" s="949"/>
      <c r="AI1155" s="949"/>
      <c r="AJ1155" s="949"/>
      <c r="AK1155" s="949"/>
      <c r="AL1155" s="949"/>
      <c r="AM1155" s="953" t="s">
        <v>1094</v>
      </c>
      <c r="AN1155" s="954"/>
      <c r="AO1155" s="955" t="s">
        <v>1657</v>
      </c>
      <c r="AP1155" s="931"/>
      <c r="AQ1155" s="956"/>
      <c r="AR1155" s="957"/>
      <c r="AS1155" s="931"/>
    </row>
    <row r="1156" ht="15.75" customHeight="1">
      <c r="A1156" s="931"/>
      <c r="B1156" s="941">
        <v>924.0</v>
      </c>
      <c r="C1156" s="942" t="s">
        <v>4063</v>
      </c>
      <c r="D1156" s="942" t="s">
        <v>4063</v>
      </c>
      <c r="E1156" s="943" t="s">
        <v>4063</v>
      </c>
      <c r="F1156" s="935"/>
      <c r="G1156" s="944"/>
      <c r="H1156" s="944"/>
      <c r="I1156" s="946" t="s">
        <v>555</v>
      </c>
      <c r="J1156" s="994" t="s">
        <v>717</v>
      </c>
      <c r="K1156" s="953"/>
      <c r="L1156" s="949">
        <v>50.0</v>
      </c>
      <c r="M1156" s="949">
        <v>61.0</v>
      </c>
      <c r="N1156" s="949">
        <v>60.0</v>
      </c>
      <c r="O1156" s="949">
        <v>30.0</v>
      </c>
      <c r="P1156" s="949">
        <v>55.0</v>
      </c>
      <c r="Q1156" s="949">
        <v>34.0</v>
      </c>
      <c r="R1156" s="949">
        <v>104.0</v>
      </c>
      <c r="S1156" s="949">
        <v>167.0</v>
      </c>
      <c r="T1156" s="949">
        <v>183.0</v>
      </c>
      <c r="U1156" s="949"/>
      <c r="V1156" s="949"/>
      <c r="W1156" s="949"/>
      <c r="X1156" s="949"/>
      <c r="Y1156" s="949"/>
      <c r="Z1156" s="949"/>
      <c r="AA1156" s="949"/>
      <c r="AB1156" s="949"/>
      <c r="AC1156" s="949"/>
      <c r="AD1156" s="949"/>
      <c r="AE1156" s="949"/>
      <c r="AF1156" s="949"/>
      <c r="AG1156" s="949"/>
      <c r="AH1156" s="949"/>
      <c r="AI1156" s="949"/>
      <c r="AJ1156" s="949"/>
      <c r="AK1156" s="949"/>
      <c r="AL1156" s="949"/>
      <c r="AM1156" s="953" t="s">
        <v>1040</v>
      </c>
      <c r="AN1156" s="954"/>
      <c r="AO1156" s="955" t="s">
        <v>3513</v>
      </c>
      <c r="AP1156" s="931"/>
      <c r="AQ1156" s="956"/>
      <c r="AR1156" s="957"/>
      <c r="AS1156" s="931"/>
    </row>
    <row r="1157" ht="15.75" customHeight="1">
      <c r="A1157" s="931"/>
      <c r="B1157" s="941">
        <v>925.0</v>
      </c>
      <c r="C1157" s="942" t="s">
        <v>4064</v>
      </c>
      <c r="D1157" s="942" t="s">
        <v>4064</v>
      </c>
      <c r="E1157" s="943" t="s">
        <v>4064</v>
      </c>
      <c r="F1157" s="935"/>
      <c r="G1157" s="944"/>
      <c r="H1157" s="944"/>
      <c r="I1157" s="946" t="s">
        <v>395</v>
      </c>
      <c r="J1157" s="994" t="s">
        <v>717</v>
      </c>
      <c r="K1157" s="953"/>
      <c r="L1157" s="949">
        <v>72.0</v>
      </c>
      <c r="M1157" s="949">
        <v>101.0</v>
      </c>
      <c r="N1157" s="949">
        <v>100.0</v>
      </c>
      <c r="O1157" s="949">
        <v>50.0</v>
      </c>
      <c r="P1157" s="949">
        <v>97.0</v>
      </c>
      <c r="Q1157" s="949">
        <v>68.0</v>
      </c>
      <c r="R1157" s="949">
        <v>172.0</v>
      </c>
      <c r="S1157" s="949">
        <v>235.0</v>
      </c>
      <c r="T1157" s="949">
        <v>258.0</v>
      </c>
      <c r="U1157" s="949"/>
      <c r="V1157" s="949"/>
      <c r="W1157" s="949"/>
      <c r="X1157" s="949"/>
      <c r="Y1157" s="949"/>
      <c r="Z1157" s="949"/>
      <c r="AA1157" s="949"/>
      <c r="AB1157" s="949"/>
      <c r="AC1157" s="949"/>
      <c r="AD1157" s="949"/>
      <c r="AE1157" s="949"/>
      <c r="AF1157" s="949"/>
      <c r="AG1157" s="949"/>
      <c r="AH1157" s="949"/>
      <c r="AI1157" s="949"/>
      <c r="AJ1157" s="949"/>
      <c r="AK1157" s="949"/>
      <c r="AL1157" s="949"/>
      <c r="AM1157" s="953" t="s">
        <v>924</v>
      </c>
      <c r="AN1157" s="954"/>
      <c r="AO1157" s="955" t="s">
        <v>3513</v>
      </c>
      <c r="AP1157" s="931"/>
      <c r="AQ1157" s="956"/>
      <c r="AR1157" s="957"/>
      <c r="AS1157" s="931"/>
    </row>
    <row r="1158" ht="15.75" customHeight="1">
      <c r="A1158" s="931"/>
      <c r="B1158" s="941">
        <v>926.0</v>
      </c>
      <c r="C1158" s="942" t="s">
        <v>4065</v>
      </c>
      <c r="D1158" s="942" t="s">
        <v>4065</v>
      </c>
      <c r="E1158" s="943" t="s">
        <v>4065</v>
      </c>
      <c r="F1158" s="935"/>
      <c r="G1158" s="944"/>
      <c r="H1158" s="944"/>
      <c r="I1158" s="946" t="s">
        <v>556</v>
      </c>
      <c r="J1158" s="975" t="s">
        <v>712</v>
      </c>
      <c r="K1158" s="953"/>
      <c r="L1158" s="949">
        <v>30.0</v>
      </c>
      <c r="M1158" s="949">
        <v>35.0</v>
      </c>
      <c r="N1158" s="949">
        <v>30.0</v>
      </c>
      <c r="O1158" s="949">
        <v>55.0</v>
      </c>
      <c r="P1158" s="949">
        <v>40.0</v>
      </c>
      <c r="Q1158" s="949">
        <v>75.0</v>
      </c>
      <c r="R1158" s="949">
        <v>186.0</v>
      </c>
      <c r="S1158" s="949">
        <v>249.0</v>
      </c>
      <c r="T1158" s="949">
        <v>273.0</v>
      </c>
      <c r="U1158" s="949"/>
      <c r="V1158" s="949"/>
      <c r="W1158" s="949"/>
      <c r="X1158" s="949"/>
      <c r="Y1158" s="949"/>
      <c r="Z1158" s="949"/>
      <c r="AA1158" s="949"/>
      <c r="AB1158" s="949"/>
      <c r="AC1158" s="949"/>
      <c r="AD1158" s="949"/>
      <c r="AE1158" s="949"/>
      <c r="AF1158" s="949"/>
      <c r="AG1158" s="949"/>
      <c r="AH1158" s="949"/>
      <c r="AI1158" s="949"/>
      <c r="AJ1158" s="949"/>
      <c r="AK1158" s="949"/>
      <c r="AL1158" s="949"/>
      <c r="AM1158" s="953" t="s">
        <v>1165</v>
      </c>
      <c r="AN1158" s="953" t="s">
        <v>990</v>
      </c>
      <c r="AO1158" s="955" t="s">
        <v>1626</v>
      </c>
      <c r="AP1158" s="931"/>
      <c r="AQ1158" s="956"/>
      <c r="AR1158" s="957"/>
      <c r="AS1158" s="931"/>
    </row>
    <row r="1159" ht="15.75" customHeight="1">
      <c r="A1159" s="963"/>
      <c r="B1159" s="941">
        <v>927.0</v>
      </c>
      <c r="C1159" s="971" t="s">
        <v>235</v>
      </c>
      <c r="D1159" s="971" t="s">
        <v>235</v>
      </c>
      <c r="E1159" s="966" t="s">
        <v>235</v>
      </c>
      <c r="F1159" s="935"/>
      <c r="G1159" s="944"/>
      <c r="H1159" s="944"/>
      <c r="I1159" s="959" t="s">
        <v>117</v>
      </c>
      <c r="J1159" s="990" t="s">
        <v>712</v>
      </c>
      <c r="K1159" s="964"/>
      <c r="L1159" s="974">
        <v>95.0</v>
      </c>
      <c r="M1159" s="974">
        <v>60.0</v>
      </c>
      <c r="N1159" s="974">
        <v>60.0</v>
      </c>
      <c r="O1159" s="974">
        <v>101.0</v>
      </c>
      <c r="P1159" s="974">
        <v>60.0</v>
      </c>
      <c r="Q1159" s="974">
        <v>105.0</v>
      </c>
      <c r="R1159" s="949">
        <v>246.0</v>
      </c>
      <c r="S1159" s="949">
        <v>309.0</v>
      </c>
      <c r="T1159" s="949">
        <v>339.0</v>
      </c>
      <c r="U1159" s="949"/>
      <c r="V1159" s="949"/>
      <c r="W1159" s="949"/>
      <c r="X1159" s="949"/>
      <c r="Y1159" s="949"/>
      <c r="Z1159" s="949"/>
      <c r="AA1159" s="949"/>
      <c r="AB1159" s="949"/>
      <c r="AC1159" s="949"/>
      <c r="AD1159" s="949"/>
      <c r="AE1159" s="949"/>
      <c r="AF1159" s="949"/>
      <c r="AG1159" s="949"/>
      <c r="AH1159" s="949"/>
      <c r="AI1159" s="949"/>
      <c r="AJ1159" s="949"/>
      <c r="AK1159" s="949"/>
      <c r="AL1159" s="949"/>
      <c r="AM1159" s="964" t="s">
        <v>4066</v>
      </c>
      <c r="AN1159" s="964" t="s">
        <v>990</v>
      </c>
      <c r="AO1159" s="965" t="s">
        <v>1626</v>
      </c>
      <c r="AP1159" s="931"/>
      <c r="AQ1159" s="956"/>
      <c r="AR1159" s="957"/>
      <c r="AS1159" s="931"/>
    </row>
    <row r="1160" ht="15.75" customHeight="1">
      <c r="A1160" s="963"/>
      <c r="B1160" s="941">
        <v>928.0</v>
      </c>
      <c r="C1160" s="971" t="s">
        <v>167</v>
      </c>
      <c r="D1160" s="971" t="s">
        <v>167</v>
      </c>
      <c r="E1160" s="966" t="s">
        <v>167</v>
      </c>
      <c r="F1160" s="935"/>
      <c r="G1160" s="944"/>
      <c r="H1160" s="944"/>
      <c r="I1160" s="959" t="s">
        <v>83</v>
      </c>
      <c r="J1160" s="991" t="s">
        <v>703</v>
      </c>
      <c r="K1160" s="990" t="s">
        <v>712</v>
      </c>
      <c r="L1160" s="974">
        <v>120.0</v>
      </c>
      <c r="M1160" s="974">
        <v>90.0</v>
      </c>
      <c r="N1160" s="974">
        <v>70.0</v>
      </c>
      <c r="O1160" s="974">
        <v>110.0</v>
      </c>
      <c r="P1160" s="974">
        <v>70.0</v>
      </c>
      <c r="Q1160" s="974">
        <v>60.0</v>
      </c>
      <c r="R1160" s="949">
        <v>156.0</v>
      </c>
      <c r="S1160" s="949">
        <v>219.0</v>
      </c>
      <c r="T1160" s="949">
        <v>240.0</v>
      </c>
      <c r="U1160" s="949"/>
      <c r="V1160" s="949"/>
      <c r="W1160" s="949"/>
      <c r="X1160" s="949"/>
      <c r="Y1160" s="949"/>
      <c r="Z1160" s="949"/>
      <c r="AA1160" s="949"/>
      <c r="AB1160" s="949"/>
      <c r="AC1160" s="949"/>
      <c r="AD1160" s="949"/>
      <c r="AE1160" s="949"/>
      <c r="AF1160" s="949"/>
      <c r="AG1160" s="949"/>
      <c r="AH1160" s="949"/>
      <c r="AI1160" s="949"/>
      <c r="AJ1160" s="949"/>
      <c r="AK1160" s="949"/>
      <c r="AL1160" s="949"/>
      <c r="AM1160" s="964" t="s">
        <v>4067</v>
      </c>
      <c r="AN1160" s="964" t="s">
        <v>4068</v>
      </c>
      <c r="AO1160" s="965" t="s">
        <v>1603</v>
      </c>
      <c r="AP1160" s="931"/>
      <c r="AQ1160" s="956"/>
      <c r="AR1160" s="957"/>
      <c r="AS1160" s="931"/>
    </row>
    <row r="1161" ht="15.75" customHeight="1">
      <c r="A1161" s="931"/>
      <c r="B1161" s="941">
        <v>929.0</v>
      </c>
      <c r="C1161" s="942" t="s">
        <v>4069</v>
      </c>
      <c r="D1161" s="942" t="s">
        <v>4069</v>
      </c>
      <c r="E1161" s="943" t="s">
        <v>4069</v>
      </c>
      <c r="F1161" s="935"/>
      <c r="G1161" s="944"/>
      <c r="H1161" s="944"/>
      <c r="I1161" s="946" t="s">
        <v>670</v>
      </c>
      <c r="J1161" s="962" t="s">
        <v>706</v>
      </c>
      <c r="K1161" s="953"/>
      <c r="L1161" s="949">
        <v>10.0</v>
      </c>
      <c r="M1161" s="949">
        <v>55.0</v>
      </c>
      <c r="N1161" s="949">
        <v>25.0</v>
      </c>
      <c r="O1161" s="949">
        <v>35.0</v>
      </c>
      <c r="P1161" s="949">
        <v>25.0</v>
      </c>
      <c r="Q1161" s="949">
        <v>95.0</v>
      </c>
      <c r="R1161" s="949">
        <v>226.0</v>
      </c>
      <c r="S1161" s="949">
        <v>289.0</v>
      </c>
      <c r="T1161" s="949">
        <v>317.0</v>
      </c>
      <c r="U1161" s="949"/>
      <c r="V1161" s="949"/>
      <c r="W1161" s="949"/>
      <c r="X1161" s="949"/>
      <c r="Y1161" s="949"/>
      <c r="Z1161" s="949"/>
      <c r="AA1161" s="949"/>
      <c r="AB1161" s="949"/>
      <c r="AC1161" s="949"/>
      <c r="AD1161" s="949"/>
      <c r="AE1161" s="949"/>
      <c r="AF1161" s="949"/>
      <c r="AG1161" s="949"/>
      <c r="AH1161" s="949"/>
      <c r="AI1161" s="949"/>
      <c r="AJ1161" s="949"/>
      <c r="AK1161" s="949"/>
      <c r="AL1161" s="949"/>
      <c r="AM1161" s="953" t="s">
        <v>3305</v>
      </c>
      <c r="AN1161" s="953" t="s">
        <v>1046</v>
      </c>
      <c r="AO1161" s="955" t="s">
        <v>923</v>
      </c>
      <c r="AP1161" s="931"/>
      <c r="AQ1161" s="956"/>
      <c r="AR1161" s="957"/>
      <c r="AS1161" s="931"/>
    </row>
    <row r="1162" ht="15.75" customHeight="1">
      <c r="A1162" s="931"/>
      <c r="B1162" s="941">
        <v>930.0</v>
      </c>
      <c r="C1162" s="942" t="s">
        <v>4070</v>
      </c>
      <c r="D1162" s="942" t="s">
        <v>4070</v>
      </c>
      <c r="E1162" s="943" t="s">
        <v>4070</v>
      </c>
      <c r="F1162" s="935"/>
      <c r="G1162" s="944"/>
      <c r="H1162" s="944"/>
      <c r="I1162" s="946" t="s">
        <v>521</v>
      </c>
      <c r="J1162" s="962" t="s">
        <v>706</v>
      </c>
      <c r="K1162" s="953"/>
      <c r="L1162" s="949">
        <v>35.0</v>
      </c>
      <c r="M1162" s="949">
        <v>100.0</v>
      </c>
      <c r="N1162" s="949">
        <v>50.0</v>
      </c>
      <c r="O1162" s="949">
        <v>50.0</v>
      </c>
      <c r="P1162" s="949">
        <v>70.0</v>
      </c>
      <c r="Q1162" s="949">
        <v>120.0</v>
      </c>
      <c r="R1162" s="949">
        <v>276.0</v>
      </c>
      <c r="S1162" s="949">
        <v>339.0</v>
      </c>
      <c r="T1162" s="949">
        <v>372.0</v>
      </c>
      <c r="U1162" s="949"/>
      <c r="V1162" s="949"/>
      <c r="W1162" s="949"/>
      <c r="X1162" s="949"/>
      <c r="Y1162" s="949"/>
      <c r="Z1162" s="949"/>
      <c r="AA1162" s="949"/>
      <c r="AB1162" s="949"/>
      <c r="AC1162" s="949"/>
      <c r="AD1162" s="949"/>
      <c r="AE1162" s="949"/>
      <c r="AF1162" s="949"/>
      <c r="AG1162" s="949"/>
      <c r="AH1162" s="949"/>
      <c r="AI1162" s="949"/>
      <c r="AJ1162" s="949"/>
      <c r="AK1162" s="949"/>
      <c r="AL1162" s="949"/>
      <c r="AM1162" s="953" t="s">
        <v>3305</v>
      </c>
      <c r="AN1162" s="953" t="s">
        <v>1046</v>
      </c>
      <c r="AO1162" s="955" t="s">
        <v>923</v>
      </c>
      <c r="AP1162" s="931"/>
      <c r="AQ1162" s="956"/>
      <c r="AR1162" s="957"/>
      <c r="AS1162" s="931"/>
    </row>
    <row r="1163" ht="15.75" customHeight="1">
      <c r="A1163" s="931"/>
      <c r="B1163" s="941">
        <v>931.0</v>
      </c>
      <c r="C1163" s="942" t="s">
        <v>255</v>
      </c>
      <c r="D1163" s="942" t="s">
        <v>255</v>
      </c>
      <c r="E1163" s="943" t="s">
        <v>255</v>
      </c>
      <c r="F1163" s="935"/>
      <c r="G1163" s="944"/>
      <c r="H1163" s="944"/>
      <c r="I1163" s="946" t="s">
        <v>64</v>
      </c>
      <c r="J1163" s="962" t="s">
        <v>706</v>
      </c>
      <c r="K1163" s="953"/>
      <c r="L1163" s="949">
        <v>150.0</v>
      </c>
      <c r="M1163" s="949">
        <v>100.0</v>
      </c>
      <c r="N1163" s="949">
        <v>115.0</v>
      </c>
      <c r="O1163" s="949">
        <v>65.0</v>
      </c>
      <c r="P1163" s="949">
        <v>65.0</v>
      </c>
      <c r="Q1163" s="949">
        <v>35.0</v>
      </c>
      <c r="R1163" s="949">
        <v>106.0</v>
      </c>
      <c r="S1163" s="949">
        <v>169.0</v>
      </c>
      <c r="T1163" s="949">
        <v>185.0</v>
      </c>
      <c r="U1163" s="949"/>
      <c r="V1163" s="949"/>
      <c r="W1163" s="949"/>
      <c r="X1163" s="949"/>
      <c r="Y1163" s="949"/>
      <c r="Z1163" s="949"/>
      <c r="AA1163" s="949"/>
      <c r="AB1163" s="949"/>
      <c r="AC1163" s="949"/>
      <c r="AD1163" s="949"/>
      <c r="AE1163" s="949"/>
      <c r="AF1163" s="949"/>
      <c r="AG1163" s="949"/>
      <c r="AH1163" s="949"/>
      <c r="AI1163" s="949"/>
      <c r="AJ1163" s="949"/>
      <c r="AK1163" s="949"/>
      <c r="AL1163" s="949"/>
      <c r="AM1163" s="953" t="s">
        <v>968</v>
      </c>
      <c r="AN1163" s="953" t="s">
        <v>1175</v>
      </c>
      <c r="AO1163" s="955" t="s">
        <v>1355</v>
      </c>
      <c r="AP1163" s="931"/>
      <c r="AQ1163" s="956"/>
      <c r="AR1163" s="957"/>
      <c r="AS1163" s="931"/>
    </row>
    <row r="1164" ht="15.75" customHeight="1">
      <c r="A1164" s="931"/>
      <c r="B1164" s="941">
        <v>932.0</v>
      </c>
      <c r="C1164" s="942" t="s">
        <v>4071</v>
      </c>
      <c r="D1164" s="942" t="s">
        <v>4071</v>
      </c>
      <c r="E1164" s="943" t="s">
        <v>4071</v>
      </c>
      <c r="F1164" s="935"/>
      <c r="G1164" s="944"/>
      <c r="H1164" s="944"/>
      <c r="I1164" s="946" t="s">
        <v>480</v>
      </c>
      <c r="J1164" s="962" t="s">
        <v>706</v>
      </c>
      <c r="K1164" s="975" t="s">
        <v>712</v>
      </c>
      <c r="L1164" s="949">
        <v>90.0</v>
      </c>
      <c r="M1164" s="949">
        <v>102.0</v>
      </c>
      <c r="N1164" s="949">
        <v>73.0</v>
      </c>
      <c r="O1164" s="949">
        <v>78.0</v>
      </c>
      <c r="P1164" s="949">
        <v>65.0</v>
      </c>
      <c r="Q1164" s="949">
        <v>70.0</v>
      </c>
      <c r="R1164" s="949">
        <v>176.0</v>
      </c>
      <c r="S1164" s="949">
        <v>239.0</v>
      </c>
      <c r="T1164" s="949">
        <v>262.0</v>
      </c>
      <c r="U1164" s="949"/>
      <c r="V1164" s="949"/>
      <c r="W1164" s="949"/>
      <c r="X1164" s="949"/>
      <c r="Y1164" s="949"/>
      <c r="Z1164" s="949"/>
      <c r="AA1164" s="949"/>
      <c r="AB1164" s="949"/>
      <c r="AC1164" s="949"/>
      <c r="AD1164" s="949"/>
      <c r="AE1164" s="949"/>
      <c r="AF1164" s="949"/>
      <c r="AG1164" s="949"/>
      <c r="AH1164" s="949"/>
      <c r="AI1164" s="949"/>
      <c r="AJ1164" s="949"/>
      <c r="AK1164" s="949"/>
      <c r="AL1164" s="949"/>
      <c r="AM1164" s="953" t="s">
        <v>1391</v>
      </c>
      <c r="AN1164" s="953"/>
      <c r="AO1164" s="955" t="s">
        <v>4072</v>
      </c>
      <c r="AP1164" s="931"/>
      <c r="AQ1164" s="956"/>
      <c r="AR1164" s="957"/>
      <c r="AS1164" s="931"/>
    </row>
    <row r="1165" ht="15.75" customHeight="1">
      <c r="A1165" s="931"/>
      <c r="B1165" s="941">
        <v>933.0</v>
      </c>
      <c r="C1165" s="942" t="s">
        <v>4073</v>
      </c>
      <c r="D1165" s="942" t="s">
        <v>4073</v>
      </c>
      <c r="E1165" s="943" t="s">
        <v>4073</v>
      </c>
      <c r="F1165" s="935"/>
      <c r="G1165" s="944"/>
      <c r="H1165" s="944"/>
      <c r="I1165" s="946" t="s">
        <v>4074</v>
      </c>
      <c r="J1165" s="962" t="s">
        <v>706</v>
      </c>
      <c r="K1165" s="953"/>
      <c r="L1165" s="949">
        <v>70.0</v>
      </c>
      <c r="M1165" s="949">
        <v>45.0</v>
      </c>
      <c r="N1165" s="949">
        <v>40.0</v>
      </c>
      <c r="O1165" s="949">
        <v>45.0</v>
      </c>
      <c r="P1165" s="949">
        <v>40.0</v>
      </c>
      <c r="Q1165" s="949">
        <v>75.0</v>
      </c>
      <c r="R1165" s="949">
        <v>186.0</v>
      </c>
      <c r="S1165" s="949">
        <v>249.0</v>
      </c>
      <c r="T1165" s="949">
        <v>273.0</v>
      </c>
      <c r="U1165" s="949"/>
      <c r="V1165" s="949"/>
      <c r="W1165" s="949"/>
      <c r="X1165" s="949"/>
      <c r="Y1165" s="949"/>
      <c r="Z1165" s="949"/>
      <c r="AA1165" s="949"/>
      <c r="AB1165" s="949"/>
      <c r="AC1165" s="949"/>
      <c r="AD1165" s="949"/>
      <c r="AE1165" s="949"/>
      <c r="AF1165" s="949"/>
      <c r="AG1165" s="949"/>
      <c r="AH1165" s="949"/>
      <c r="AI1165" s="949"/>
      <c r="AJ1165" s="949"/>
      <c r="AK1165" s="949"/>
      <c r="AL1165" s="949"/>
      <c r="AM1165" s="953" t="s">
        <v>1355</v>
      </c>
      <c r="AN1165" s="953"/>
      <c r="AO1165" s="955"/>
      <c r="AP1165" s="931"/>
      <c r="AQ1165" s="956"/>
      <c r="AR1165" s="957"/>
      <c r="AS1165" s="931"/>
    </row>
    <row r="1166" ht="15.75" customHeight="1">
      <c r="A1166" s="931"/>
      <c r="B1166" s="941">
        <v>934.0</v>
      </c>
      <c r="C1166" s="942" t="s">
        <v>206</v>
      </c>
      <c r="D1166" s="942" t="s">
        <v>206</v>
      </c>
      <c r="E1166" s="943" t="s">
        <v>206</v>
      </c>
      <c r="F1166" s="935"/>
      <c r="G1166" s="944"/>
      <c r="H1166" s="944"/>
      <c r="I1166" s="946" t="s">
        <v>91</v>
      </c>
      <c r="J1166" s="962" t="s">
        <v>706</v>
      </c>
      <c r="K1166" s="953"/>
      <c r="L1166" s="949">
        <v>100.0</v>
      </c>
      <c r="M1166" s="949">
        <v>70.0</v>
      </c>
      <c r="N1166" s="949">
        <v>72.0</v>
      </c>
      <c r="O1166" s="949">
        <v>53.0</v>
      </c>
      <c r="P1166" s="949">
        <v>62.0</v>
      </c>
      <c r="Q1166" s="949">
        <v>100.0</v>
      </c>
      <c r="R1166" s="949">
        <v>236.0</v>
      </c>
      <c r="S1166" s="949">
        <v>299.0</v>
      </c>
      <c r="T1166" s="949">
        <v>328.0</v>
      </c>
      <c r="U1166" s="949"/>
      <c r="V1166" s="949"/>
      <c r="W1166" s="949"/>
      <c r="X1166" s="949"/>
      <c r="Y1166" s="949"/>
      <c r="Z1166" s="949"/>
      <c r="AA1166" s="949"/>
      <c r="AB1166" s="949"/>
      <c r="AC1166" s="949"/>
      <c r="AD1166" s="949"/>
      <c r="AE1166" s="949"/>
      <c r="AF1166" s="949"/>
      <c r="AG1166" s="949"/>
      <c r="AH1166" s="949"/>
      <c r="AI1166" s="949"/>
      <c r="AJ1166" s="949"/>
      <c r="AK1166" s="949"/>
      <c r="AL1166" s="949"/>
      <c r="AM1166" s="953" t="s">
        <v>4075</v>
      </c>
      <c r="AN1166" s="954"/>
      <c r="AO1166" s="955"/>
      <c r="AP1166" s="931"/>
      <c r="AQ1166" s="956"/>
      <c r="AR1166" s="957"/>
      <c r="AS1166" s="931"/>
    </row>
    <row r="1167" ht="15.75" customHeight="1">
      <c r="A1167" s="931"/>
      <c r="B1167" s="941" t="s">
        <v>4076</v>
      </c>
      <c r="C1167" s="942" t="s">
        <v>206</v>
      </c>
      <c r="D1167" s="942" t="s">
        <v>4077</v>
      </c>
      <c r="E1167" s="943" t="s">
        <v>4077</v>
      </c>
      <c r="F1167" s="935"/>
      <c r="G1167" s="944"/>
      <c r="H1167" s="944"/>
      <c r="I1167" s="946" t="s">
        <v>4078</v>
      </c>
      <c r="J1167" s="962" t="s">
        <v>706</v>
      </c>
      <c r="K1167" s="953"/>
      <c r="L1167" s="949">
        <v>100.0</v>
      </c>
      <c r="M1167" s="949">
        <v>160.0</v>
      </c>
      <c r="N1167" s="949">
        <v>97.0</v>
      </c>
      <c r="O1167" s="949">
        <v>106.0</v>
      </c>
      <c r="P1167" s="949">
        <v>87.0</v>
      </c>
      <c r="Q1167" s="949">
        <v>100.0</v>
      </c>
      <c r="R1167" s="949">
        <v>236.0</v>
      </c>
      <c r="S1167" s="949">
        <v>299.0</v>
      </c>
      <c r="T1167" s="949">
        <v>328.0</v>
      </c>
      <c r="U1167" s="949"/>
      <c r="V1167" s="949"/>
      <c r="W1167" s="949"/>
      <c r="X1167" s="949"/>
      <c r="Y1167" s="949"/>
      <c r="Z1167" s="949"/>
      <c r="AA1167" s="949"/>
      <c r="AB1167" s="949"/>
      <c r="AC1167" s="949"/>
      <c r="AD1167" s="949"/>
      <c r="AE1167" s="949"/>
      <c r="AF1167" s="949"/>
      <c r="AG1167" s="949"/>
      <c r="AH1167" s="949"/>
      <c r="AI1167" s="949"/>
      <c r="AJ1167" s="949"/>
      <c r="AK1167" s="949"/>
      <c r="AL1167" s="949"/>
      <c r="AM1167" s="953" t="s">
        <v>4075</v>
      </c>
      <c r="AN1167" s="954"/>
      <c r="AO1167" s="955"/>
      <c r="AP1167" s="931"/>
      <c r="AQ1167" s="956"/>
      <c r="AR1167" s="957"/>
      <c r="AS1167" s="931"/>
    </row>
    <row r="1168" ht="15.75" customHeight="1">
      <c r="A1168" s="931"/>
      <c r="B1168" s="941" t="s">
        <v>4079</v>
      </c>
      <c r="C1168" s="942" t="s">
        <v>4080</v>
      </c>
      <c r="D1168" s="942" t="s">
        <v>4080</v>
      </c>
      <c r="E1168" s="943" t="s">
        <v>4080</v>
      </c>
      <c r="F1168" s="935"/>
      <c r="G1168" s="944"/>
      <c r="H1168" s="944"/>
      <c r="I1168" s="946" t="s">
        <v>671</v>
      </c>
      <c r="J1168" s="947" t="s">
        <v>708</v>
      </c>
      <c r="K1168" s="968" t="s">
        <v>703</v>
      </c>
      <c r="L1168" s="949">
        <v>41.0</v>
      </c>
      <c r="M1168" s="949">
        <v>35.0</v>
      </c>
      <c r="N1168" s="949">
        <v>45.0</v>
      </c>
      <c r="O1168" s="949">
        <v>58.0</v>
      </c>
      <c r="P1168" s="949">
        <v>51.0</v>
      </c>
      <c r="Q1168" s="949">
        <v>30.0</v>
      </c>
      <c r="R1168" s="949">
        <v>96.0</v>
      </c>
      <c r="S1168" s="949">
        <v>159.0</v>
      </c>
      <c r="T1168" s="949">
        <v>174.0</v>
      </c>
      <c r="U1168" s="949"/>
      <c r="V1168" s="949"/>
      <c r="W1168" s="949"/>
      <c r="X1168" s="949"/>
      <c r="Y1168" s="949"/>
      <c r="Z1168" s="949"/>
      <c r="AA1168" s="949"/>
      <c r="AB1168" s="949"/>
      <c r="AC1168" s="949"/>
      <c r="AD1168" s="949"/>
      <c r="AE1168" s="949"/>
      <c r="AF1168" s="949"/>
      <c r="AG1168" s="949"/>
      <c r="AH1168" s="949"/>
      <c r="AI1168" s="949"/>
      <c r="AJ1168" s="949"/>
      <c r="AK1168" s="949"/>
      <c r="AL1168" s="949"/>
      <c r="AM1168" s="953" t="s">
        <v>1209</v>
      </c>
      <c r="AN1168" s="954"/>
      <c r="AO1168" s="955" t="s">
        <v>1283</v>
      </c>
      <c r="AP1168" s="931"/>
      <c r="AQ1168" s="956"/>
      <c r="AR1168" s="957"/>
      <c r="AS1168" s="931"/>
    </row>
    <row r="1169" ht="15.75" customHeight="1">
      <c r="A1169" s="931"/>
      <c r="B1169" s="941">
        <v>936.0</v>
      </c>
      <c r="C1169" s="942" t="s">
        <v>4081</v>
      </c>
      <c r="D1169" s="942" t="s">
        <v>4081</v>
      </c>
      <c r="E1169" s="943" t="s">
        <v>4081</v>
      </c>
      <c r="F1169" s="935"/>
      <c r="G1169" s="944"/>
      <c r="H1169" s="944"/>
      <c r="I1169" s="946" t="s">
        <v>672</v>
      </c>
      <c r="J1169" s="947" t="s">
        <v>708</v>
      </c>
      <c r="K1169" s="968" t="s">
        <v>703</v>
      </c>
      <c r="L1169" s="949">
        <v>52.0</v>
      </c>
      <c r="M1169" s="949">
        <v>53.0</v>
      </c>
      <c r="N1169" s="949">
        <v>60.0</v>
      </c>
      <c r="O1169" s="949">
        <v>78.0</v>
      </c>
      <c r="P1169" s="949">
        <v>78.0</v>
      </c>
      <c r="Q1169" s="949">
        <v>33.0</v>
      </c>
      <c r="R1169" s="949">
        <v>102.0</v>
      </c>
      <c r="S1169" s="949">
        <v>165.0</v>
      </c>
      <c r="T1169" s="949">
        <v>181.0</v>
      </c>
      <c r="U1169" s="949"/>
      <c r="V1169" s="949"/>
      <c r="W1169" s="949"/>
      <c r="X1169" s="949"/>
      <c r="Y1169" s="949"/>
      <c r="Z1169" s="949"/>
      <c r="AA1169" s="949"/>
      <c r="AB1169" s="949"/>
      <c r="AC1169" s="949"/>
      <c r="AD1169" s="949"/>
      <c r="AE1169" s="949"/>
      <c r="AF1169" s="949"/>
      <c r="AG1169" s="949"/>
      <c r="AH1169" s="949"/>
      <c r="AI1169" s="949"/>
      <c r="AJ1169" s="949"/>
      <c r="AK1169" s="949"/>
      <c r="AL1169" s="949"/>
      <c r="AM1169" s="953" t="s">
        <v>1209</v>
      </c>
      <c r="AN1169" s="954"/>
      <c r="AO1169" s="955" t="s">
        <v>1283</v>
      </c>
      <c r="AP1169" s="931"/>
      <c r="AQ1169" s="956"/>
      <c r="AR1169" s="957"/>
      <c r="AS1169" s="931"/>
    </row>
    <row r="1170" ht="15.75" customHeight="1">
      <c r="A1170" s="931"/>
      <c r="B1170" s="941">
        <v>937.0</v>
      </c>
      <c r="C1170" s="942" t="s">
        <v>180</v>
      </c>
      <c r="D1170" s="942" t="s">
        <v>180</v>
      </c>
      <c r="E1170" s="943" t="s">
        <v>180</v>
      </c>
      <c r="F1170" s="935"/>
      <c r="G1170" s="944"/>
      <c r="H1170" s="944"/>
      <c r="I1170" s="946" t="s">
        <v>95</v>
      </c>
      <c r="J1170" s="947" t="s">
        <v>708</v>
      </c>
      <c r="K1170" s="968" t="s">
        <v>703</v>
      </c>
      <c r="L1170" s="949">
        <v>78.0</v>
      </c>
      <c r="M1170" s="949">
        <v>69.0</v>
      </c>
      <c r="N1170" s="949">
        <v>90.0</v>
      </c>
      <c r="O1170" s="949">
        <v>125.0</v>
      </c>
      <c r="P1170" s="949">
        <v>109.0</v>
      </c>
      <c r="Q1170" s="949">
        <v>39.0</v>
      </c>
      <c r="R1170" s="949">
        <v>114.0</v>
      </c>
      <c r="S1170" s="949">
        <v>177.0</v>
      </c>
      <c r="T1170" s="949">
        <v>194.0</v>
      </c>
      <c r="U1170" s="949"/>
      <c r="V1170" s="949"/>
      <c r="W1170" s="949"/>
      <c r="X1170" s="949"/>
      <c r="Y1170" s="949"/>
      <c r="Z1170" s="949"/>
      <c r="AA1170" s="949"/>
      <c r="AB1170" s="949"/>
      <c r="AC1170" s="949"/>
      <c r="AD1170" s="949"/>
      <c r="AE1170" s="949"/>
      <c r="AF1170" s="949"/>
      <c r="AG1170" s="949"/>
      <c r="AH1170" s="949"/>
      <c r="AI1170" s="949"/>
      <c r="AJ1170" s="949"/>
      <c r="AK1170" s="949"/>
      <c r="AL1170" s="949"/>
      <c r="AM1170" s="953" t="s">
        <v>4082</v>
      </c>
      <c r="AN1170" s="954"/>
      <c r="AO1170" s="955" t="s">
        <v>1283</v>
      </c>
      <c r="AP1170" s="931"/>
      <c r="AQ1170" s="956"/>
      <c r="AR1170" s="957"/>
      <c r="AS1170" s="931"/>
    </row>
    <row r="1171" ht="15.75" customHeight="1">
      <c r="A1171" s="931"/>
      <c r="B1171" s="941">
        <v>938.0</v>
      </c>
      <c r="C1171" s="942" t="s">
        <v>4083</v>
      </c>
      <c r="D1171" s="942" t="s">
        <v>4083</v>
      </c>
      <c r="E1171" s="943" t="s">
        <v>4083</v>
      </c>
      <c r="F1171" s="935"/>
      <c r="G1171" s="944"/>
      <c r="H1171" s="944"/>
      <c r="I1171" s="946" t="s">
        <v>557</v>
      </c>
      <c r="J1171" s="947" t="s">
        <v>708</v>
      </c>
      <c r="K1171" s="953"/>
      <c r="L1171" s="949">
        <v>52.0</v>
      </c>
      <c r="M1171" s="949">
        <v>62.0</v>
      </c>
      <c r="N1171" s="949">
        <v>40.0</v>
      </c>
      <c r="O1171" s="949">
        <v>62.0</v>
      </c>
      <c r="P1171" s="949">
        <v>40.0</v>
      </c>
      <c r="Q1171" s="949">
        <v>50.0</v>
      </c>
      <c r="R1171" s="949">
        <v>136.0</v>
      </c>
      <c r="S1171" s="949">
        <v>199.0</v>
      </c>
      <c r="T1171" s="949">
        <v>218.0</v>
      </c>
      <c r="U1171" s="949"/>
      <c r="V1171" s="949"/>
      <c r="W1171" s="949"/>
      <c r="X1171" s="949"/>
      <c r="Y1171" s="949"/>
      <c r="Z1171" s="949"/>
      <c r="AA1171" s="949"/>
      <c r="AB1171" s="949"/>
      <c r="AC1171" s="949"/>
      <c r="AD1171" s="949"/>
      <c r="AE1171" s="949"/>
      <c r="AF1171" s="949"/>
      <c r="AG1171" s="949"/>
      <c r="AH1171" s="949"/>
      <c r="AI1171" s="949"/>
      <c r="AJ1171" s="949"/>
      <c r="AK1171" s="949"/>
      <c r="AL1171" s="949"/>
      <c r="AM1171" s="953" t="s">
        <v>736</v>
      </c>
      <c r="AN1171" s="953" t="s">
        <v>1259</v>
      </c>
      <c r="AO1171" s="955" t="s">
        <v>2390</v>
      </c>
      <c r="AP1171" s="931"/>
      <c r="AQ1171" s="956"/>
      <c r="AR1171" s="957"/>
      <c r="AS1171" s="931"/>
    </row>
    <row r="1172" ht="15.75" customHeight="1">
      <c r="A1172" s="931"/>
      <c r="B1172" s="941">
        <v>939.0</v>
      </c>
      <c r="C1172" s="942" t="s">
        <v>4084</v>
      </c>
      <c r="D1172" s="942" t="s">
        <v>4084</v>
      </c>
      <c r="E1172" s="943" t="s">
        <v>4084</v>
      </c>
      <c r="F1172" s="935"/>
      <c r="G1172" s="944"/>
      <c r="H1172" s="944"/>
      <c r="I1172" s="946" t="s">
        <v>404</v>
      </c>
      <c r="J1172" s="947" t="s">
        <v>708</v>
      </c>
      <c r="K1172" s="958" t="s">
        <v>704</v>
      </c>
      <c r="L1172" s="949">
        <v>65.0</v>
      </c>
      <c r="M1172" s="949">
        <v>108.0</v>
      </c>
      <c r="N1172" s="949">
        <v>65.0</v>
      </c>
      <c r="O1172" s="949">
        <v>108.0</v>
      </c>
      <c r="P1172" s="949">
        <v>65.0</v>
      </c>
      <c r="Q1172" s="949">
        <v>75.0</v>
      </c>
      <c r="R1172" s="949">
        <v>186.0</v>
      </c>
      <c r="S1172" s="949">
        <v>249.0</v>
      </c>
      <c r="T1172" s="949">
        <v>273.0</v>
      </c>
      <c r="U1172" s="949"/>
      <c r="V1172" s="949"/>
      <c r="W1172" s="949"/>
      <c r="X1172" s="949"/>
      <c r="Y1172" s="949"/>
      <c r="Z1172" s="949"/>
      <c r="AA1172" s="949"/>
      <c r="AB1172" s="949"/>
      <c r="AC1172" s="949"/>
      <c r="AD1172" s="949"/>
      <c r="AE1172" s="949"/>
      <c r="AF1172" s="949"/>
      <c r="AG1172" s="949"/>
      <c r="AH1172" s="949"/>
      <c r="AI1172" s="949"/>
      <c r="AJ1172" s="949"/>
      <c r="AK1172" s="949"/>
      <c r="AL1172" s="949"/>
      <c r="AM1172" s="953" t="s">
        <v>736</v>
      </c>
      <c r="AN1172" s="953" t="s">
        <v>1259</v>
      </c>
      <c r="AO1172" s="955" t="s">
        <v>1733</v>
      </c>
      <c r="AP1172" s="931"/>
      <c r="AQ1172" s="956"/>
      <c r="AR1172" s="957"/>
      <c r="AS1172" s="931"/>
    </row>
    <row r="1173" ht="15.75" customHeight="1">
      <c r="A1173" s="931"/>
      <c r="B1173" s="941">
        <v>940.0</v>
      </c>
      <c r="C1173" s="942" t="s">
        <v>4085</v>
      </c>
      <c r="D1173" s="942" t="s">
        <v>4085</v>
      </c>
      <c r="E1173" s="943" t="s">
        <v>4085</v>
      </c>
      <c r="F1173" s="935"/>
      <c r="G1173" s="944"/>
      <c r="H1173" s="944"/>
      <c r="I1173" s="946" t="s">
        <v>673</v>
      </c>
      <c r="J1173" s="970" t="s">
        <v>710</v>
      </c>
      <c r="K1173" s="953"/>
      <c r="L1173" s="949">
        <v>61.0</v>
      </c>
      <c r="M1173" s="949">
        <v>31.0</v>
      </c>
      <c r="N1173" s="949">
        <v>41.0</v>
      </c>
      <c r="O1173" s="949">
        <v>59.0</v>
      </c>
      <c r="P1173" s="949">
        <v>35.0</v>
      </c>
      <c r="Q1173" s="949">
        <v>45.0</v>
      </c>
      <c r="R1173" s="949">
        <v>126.0</v>
      </c>
      <c r="S1173" s="949">
        <v>189.0</v>
      </c>
      <c r="T1173" s="949">
        <v>207.0</v>
      </c>
      <c r="U1173" s="949"/>
      <c r="V1173" s="949"/>
      <c r="W1173" s="949"/>
      <c r="X1173" s="949"/>
      <c r="Y1173" s="949"/>
      <c r="Z1173" s="949"/>
      <c r="AA1173" s="949"/>
      <c r="AB1173" s="949"/>
      <c r="AC1173" s="949"/>
      <c r="AD1173" s="949"/>
      <c r="AE1173" s="949"/>
      <c r="AF1173" s="949"/>
      <c r="AG1173" s="949"/>
      <c r="AH1173" s="949"/>
      <c r="AI1173" s="949"/>
      <c r="AJ1173" s="949"/>
      <c r="AK1173" s="949"/>
      <c r="AL1173" s="949"/>
      <c r="AM1173" s="953" t="s">
        <v>1176</v>
      </c>
      <c r="AN1173" s="953" t="s">
        <v>861</v>
      </c>
      <c r="AO1173" s="955" t="s">
        <v>1014</v>
      </c>
      <c r="AP1173" s="931"/>
      <c r="AQ1173" s="956"/>
      <c r="AR1173" s="957"/>
      <c r="AS1173" s="931"/>
    </row>
    <row r="1174" ht="15.75" customHeight="1">
      <c r="A1174" s="931"/>
      <c r="B1174" s="941">
        <v>941.0</v>
      </c>
      <c r="C1174" s="942" t="s">
        <v>4086</v>
      </c>
      <c r="D1174" s="942" t="s">
        <v>4086</v>
      </c>
      <c r="E1174" s="943" t="s">
        <v>4086</v>
      </c>
      <c r="F1174" s="935"/>
      <c r="G1174" s="944"/>
      <c r="H1174" s="944"/>
      <c r="I1174" s="959" t="s">
        <v>371</v>
      </c>
      <c r="J1174" s="970" t="s">
        <v>710</v>
      </c>
      <c r="K1174" s="953"/>
      <c r="L1174" s="949">
        <v>109.0</v>
      </c>
      <c r="M1174" s="949">
        <v>64.0</v>
      </c>
      <c r="N1174" s="949">
        <v>91.0</v>
      </c>
      <c r="O1174" s="949">
        <v>103.0</v>
      </c>
      <c r="P1174" s="949">
        <v>83.0</v>
      </c>
      <c r="Q1174" s="949">
        <v>45.0</v>
      </c>
      <c r="R1174" s="949">
        <v>126.0</v>
      </c>
      <c r="S1174" s="949">
        <v>189.0</v>
      </c>
      <c r="T1174" s="949">
        <v>207.0</v>
      </c>
      <c r="U1174" s="949"/>
      <c r="V1174" s="949"/>
      <c r="W1174" s="949"/>
      <c r="X1174" s="949"/>
      <c r="Y1174" s="949"/>
      <c r="Z1174" s="949"/>
      <c r="AA1174" s="949"/>
      <c r="AB1174" s="949"/>
      <c r="AC1174" s="949"/>
      <c r="AD1174" s="949"/>
      <c r="AE1174" s="949"/>
      <c r="AF1174" s="949"/>
      <c r="AG1174" s="949"/>
      <c r="AH1174" s="949"/>
      <c r="AI1174" s="949"/>
      <c r="AJ1174" s="949"/>
      <c r="AK1174" s="949"/>
      <c r="AL1174" s="949"/>
      <c r="AM1174" s="953" t="s">
        <v>4087</v>
      </c>
      <c r="AN1174" s="953" t="s">
        <v>861</v>
      </c>
      <c r="AO1174" s="955" t="s">
        <v>1014</v>
      </c>
      <c r="AP1174" s="931"/>
      <c r="AQ1174" s="956"/>
      <c r="AR1174" s="957"/>
      <c r="AS1174" s="931"/>
    </row>
    <row r="1175" ht="15.75" customHeight="1">
      <c r="A1175" s="931"/>
      <c r="B1175" s="941">
        <v>942.0</v>
      </c>
      <c r="C1175" s="942" t="s">
        <v>4088</v>
      </c>
      <c r="D1175" s="942" t="s">
        <v>4088</v>
      </c>
      <c r="E1175" s="943" t="s">
        <v>4088</v>
      </c>
      <c r="F1175" s="935"/>
      <c r="G1175" s="944"/>
      <c r="H1175" s="944"/>
      <c r="I1175" s="959" t="s">
        <v>522</v>
      </c>
      <c r="J1175" s="978" t="s">
        <v>719</v>
      </c>
      <c r="K1175" s="948" t="s">
        <v>709</v>
      </c>
      <c r="L1175" s="949">
        <v>45.0</v>
      </c>
      <c r="M1175" s="949">
        <v>70.0</v>
      </c>
      <c r="N1175" s="949">
        <v>63.0</v>
      </c>
      <c r="O1175" s="949">
        <v>30.0</v>
      </c>
      <c r="P1175" s="949">
        <v>45.0</v>
      </c>
      <c r="Q1175" s="949">
        <v>47.0</v>
      </c>
      <c r="R1175" s="949">
        <v>130.0</v>
      </c>
      <c r="S1175" s="949">
        <v>193.0</v>
      </c>
      <c r="T1175" s="949">
        <v>212.0</v>
      </c>
      <c r="U1175" s="949"/>
      <c r="V1175" s="949"/>
      <c r="W1175" s="949"/>
      <c r="X1175" s="949"/>
      <c r="Y1175" s="949"/>
      <c r="Z1175" s="949"/>
      <c r="AA1175" s="949"/>
      <c r="AB1175" s="949"/>
      <c r="AC1175" s="949"/>
      <c r="AD1175" s="949"/>
      <c r="AE1175" s="949"/>
      <c r="AF1175" s="949"/>
      <c r="AG1175" s="949"/>
      <c r="AH1175" s="949"/>
      <c r="AI1175" s="949"/>
      <c r="AJ1175" s="949"/>
      <c r="AK1175" s="949"/>
      <c r="AL1175" s="949"/>
      <c r="AM1175" s="953" t="s">
        <v>1239</v>
      </c>
      <c r="AN1175" s="953"/>
      <c r="AO1175" s="955" t="s">
        <v>2564</v>
      </c>
      <c r="AP1175" s="931"/>
      <c r="AQ1175" s="956"/>
      <c r="AR1175" s="957"/>
      <c r="AS1175" s="931"/>
    </row>
    <row r="1176" ht="15.75" customHeight="1">
      <c r="A1176" s="931"/>
      <c r="B1176" s="941">
        <v>943.0</v>
      </c>
      <c r="C1176" s="942" t="s">
        <v>4089</v>
      </c>
      <c r="D1176" s="942" t="s">
        <v>4089</v>
      </c>
      <c r="E1176" s="943" t="s">
        <v>4089</v>
      </c>
      <c r="F1176" s="935"/>
      <c r="G1176" s="944"/>
      <c r="H1176" s="944"/>
      <c r="I1176" s="946" t="s">
        <v>454</v>
      </c>
      <c r="J1176" s="978" t="s">
        <v>719</v>
      </c>
      <c r="K1176" s="948" t="s">
        <v>709</v>
      </c>
      <c r="L1176" s="949">
        <v>80.0</v>
      </c>
      <c r="M1176" s="949">
        <v>119.0</v>
      </c>
      <c r="N1176" s="949">
        <v>90.0</v>
      </c>
      <c r="O1176" s="949">
        <v>54.0</v>
      </c>
      <c r="P1176" s="949">
        <v>67.0</v>
      </c>
      <c r="Q1176" s="949">
        <v>90.0</v>
      </c>
      <c r="R1176" s="949">
        <v>216.0</v>
      </c>
      <c r="S1176" s="949">
        <v>279.0</v>
      </c>
      <c r="T1176" s="949">
        <v>306.0</v>
      </c>
      <c r="U1176" s="949"/>
      <c r="V1176" s="949"/>
      <c r="W1176" s="949"/>
      <c r="X1176" s="949"/>
      <c r="Y1176" s="949"/>
      <c r="Z1176" s="949"/>
      <c r="AA1176" s="949"/>
      <c r="AB1176" s="949"/>
      <c r="AC1176" s="949"/>
      <c r="AD1176" s="949"/>
      <c r="AE1176" s="949"/>
      <c r="AF1176" s="949"/>
      <c r="AG1176" s="949"/>
      <c r="AH1176" s="949"/>
      <c r="AI1176" s="949"/>
      <c r="AJ1176" s="949"/>
      <c r="AK1176" s="949"/>
      <c r="AL1176" s="949"/>
      <c r="AM1176" s="953" t="s">
        <v>1239</v>
      </c>
      <c r="AN1176" s="953"/>
      <c r="AO1176" s="955" t="s">
        <v>1370</v>
      </c>
      <c r="AP1176" s="931"/>
      <c r="AQ1176" s="956"/>
      <c r="AR1176" s="957"/>
      <c r="AS1176" s="931"/>
    </row>
    <row r="1177" ht="15.75" customHeight="1">
      <c r="A1177" s="931"/>
      <c r="B1177" s="941">
        <v>944.0</v>
      </c>
      <c r="C1177" s="942" t="s">
        <v>246</v>
      </c>
      <c r="D1177" s="942" t="s">
        <v>246</v>
      </c>
      <c r="E1177" s="943" t="s">
        <v>246</v>
      </c>
      <c r="F1177" s="935"/>
      <c r="G1177" s="944"/>
      <c r="H1177" s="944"/>
      <c r="I1177" s="946" t="s">
        <v>106</v>
      </c>
      <c r="J1177" s="978" t="s">
        <v>719</v>
      </c>
      <c r="K1177" s="953"/>
      <c r="L1177" s="949">
        <v>70.0</v>
      </c>
      <c r="M1177" s="949">
        <v>85.0</v>
      </c>
      <c r="N1177" s="949">
        <v>145.0</v>
      </c>
      <c r="O1177" s="949">
        <v>60.0</v>
      </c>
      <c r="P1177" s="949">
        <v>55.0</v>
      </c>
      <c r="Q1177" s="949">
        <v>65.0</v>
      </c>
      <c r="R1177" s="949">
        <v>166.0</v>
      </c>
      <c r="S1177" s="949">
        <v>229.0</v>
      </c>
      <c r="T1177" s="949">
        <v>251.0</v>
      </c>
      <c r="U1177" s="949"/>
      <c r="V1177" s="949"/>
      <c r="W1177" s="949"/>
      <c r="X1177" s="949"/>
      <c r="Y1177" s="949"/>
      <c r="Z1177" s="949"/>
      <c r="AA1177" s="949"/>
      <c r="AB1177" s="949"/>
      <c r="AC1177" s="949"/>
      <c r="AD1177" s="949"/>
      <c r="AE1177" s="949"/>
      <c r="AF1177" s="949"/>
      <c r="AG1177" s="949"/>
      <c r="AH1177" s="949"/>
      <c r="AI1177" s="949"/>
      <c r="AJ1177" s="949"/>
      <c r="AK1177" s="949"/>
      <c r="AL1177" s="949"/>
      <c r="AM1177" s="953" t="s">
        <v>4090</v>
      </c>
      <c r="AN1177" s="954"/>
      <c r="AO1177" s="955" t="s">
        <v>923</v>
      </c>
      <c r="AP1177" s="931"/>
      <c r="AQ1177" s="956"/>
      <c r="AR1177" s="957"/>
      <c r="AS1177" s="931"/>
    </row>
    <row r="1178" ht="15.75" customHeight="1">
      <c r="A1178" s="931"/>
      <c r="B1178" s="941">
        <v>945.0</v>
      </c>
      <c r="C1178" s="942" t="s">
        <v>4091</v>
      </c>
      <c r="D1178" s="942" t="s">
        <v>4091</v>
      </c>
      <c r="E1178" s="943" t="s">
        <v>4091</v>
      </c>
      <c r="F1178" s="935"/>
      <c r="G1178" s="944"/>
      <c r="H1178" s="944"/>
      <c r="I1178" s="946" t="s">
        <v>558</v>
      </c>
      <c r="J1178" s="968" t="s">
        <v>703</v>
      </c>
      <c r="K1178" s="953"/>
      <c r="L1178" s="949">
        <v>50.0</v>
      </c>
      <c r="M1178" s="949">
        <v>50.0</v>
      </c>
      <c r="N1178" s="949">
        <v>45.0</v>
      </c>
      <c r="O1178" s="949">
        <v>40.0</v>
      </c>
      <c r="P1178" s="949">
        <v>45.0</v>
      </c>
      <c r="Q1178" s="949">
        <v>75.0</v>
      </c>
      <c r="R1178" s="949">
        <v>186.0</v>
      </c>
      <c r="S1178" s="949">
        <v>249.0</v>
      </c>
      <c r="T1178" s="949">
        <v>273.0</v>
      </c>
      <c r="U1178" s="949"/>
      <c r="V1178" s="949"/>
      <c r="W1178" s="949"/>
      <c r="X1178" s="949"/>
      <c r="Y1178" s="949"/>
      <c r="Z1178" s="949"/>
      <c r="AA1178" s="949"/>
      <c r="AB1178" s="949"/>
      <c r="AC1178" s="949"/>
      <c r="AD1178" s="949"/>
      <c r="AE1178" s="949"/>
      <c r="AF1178" s="949"/>
      <c r="AG1178" s="949"/>
      <c r="AH1178" s="949"/>
      <c r="AI1178" s="949"/>
      <c r="AJ1178" s="949"/>
      <c r="AK1178" s="949"/>
      <c r="AL1178" s="949"/>
      <c r="AM1178" s="953" t="s">
        <v>787</v>
      </c>
      <c r="AN1178" s="953" t="s">
        <v>1040</v>
      </c>
      <c r="AO1178" s="955" t="s">
        <v>1176</v>
      </c>
      <c r="AP1178" s="931"/>
      <c r="AQ1178" s="956"/>
      <c r="AR1178" s="957"/>
      <c r="AS1178" s="931"/>
    </row>
    <row r="1179" ht="15.75" customHeight="1">
      <c r="A1179" s="931"/>
      <c r="B1179" s="941">
        <v>946.0</v>
      </c>
      <c r="C1179" s="942" t="s">
        <v>188</v>
      </c>
      <c r="D1179" s="942" t="s">
        <v>188</v>
      </c>
      <c r="E1179" s="943" t="s">
        <v>188</v>
      </c>
      <c r="F1179" s="935"/>
      <c r="G1179" s="944"/>
      <c r="H1179" s="944"/>
      <c r="I1179" s="946" t="s">
        <v>69</v>
      </c>
      <c r="J1179" s="968" t="s">
        <v>703</v>
      </c>
      <c r="K1179" s="953"/>
      <c r="L1179" s="949">
        <v>74.0</v>
      </c>
      <c r="M1179" s="949">
        <v>75.0</v>
      </c>
      <c r="N1179" s="949">
        <v>70.0</v>
      </c>
      <c r="O1179" s="949">
        <v>65.0</v>
      </c>
      <c r="P1179" s="949">
        <v>75.0</v>
      </c>
      <c r="Q1179" s="949">
        <v>111.0</v>
      </c>
      <c r="R1179" s="949">
        <v>258.0</v>
      </c>
      <c r="S1179" s="949">
        <v>321.0</v>
      </c>
      <c r="T1179" s="949">
        <v>353.0</v>
      </c>
      <c r="U1179" s="949"/>
      <c r="V1179" s="949"/>
      <c r="W1179" s="949"/>
      <c r="X1179" s="949"/>
      <c r="Y1179" s="949"/>
      <c r="Z1179" s="949"/>
      <c r="AA1179" s="949"/>
      <c r="AB1179" s="949"/>
      <c r="AC1179" s="949"/>
      <c r="AD1179" s="949"/>
      <c r="AE1179" s="949"/>
      <c r="AF1179" s="949"/>
      <c r="AG1179" s="949"/>
      <c r="AH1179" s="949"/>
      <c r="AI1179" s="949"/>
      <c r="AJ1179" s="949"/>
      <c r="AK1179" s="949"/>
      <c r="AL1179" s="949"/>
      <c r="AM1179" s="953" t="s">
        <v>964</v>
      </c>
      <c r="AN1179" s="953" t="s">
        <v>3165</v>
      </c>
      <c r="AO1179" s="955" t="s">
        <v>1041</v>
      </c>
      <c r="AP1179" s="931"/>
      <c r="AQ1179" s="956"/>
      <c r="AR1179" s="957"/>
      <c r="AS1179" s="931"/>
    </row>
    <row r="1180" ht="15.75" customHeight="1">
      <c r="A1180" s="931"/>
      <c r="B1180" s="941">
        <v>947.0</v>
      </c>
      <c r="C1180" s="942" t="s">
        <v>4092</v>
      </c>
      <c r="D1180" s="942" t="s">
        <v>4092</v>
      </c>
      <c r="E1180" s="943" t="s">
        <v>4092</v>
      </c>
      <c r="F1180" s="935"/>
      <c r="G1180" s="944"/>
      <c r="H1180" s="944"/>
      <c r="I1180" s="959" t="s">
        <v>674</v>
      </c>
      <c r="J1180" s="977" t="s">
        <v>714</v>
      </c>
      <c r="K1180" s="953"/>
      <c r="L1180" s="949">
        <v>108.0</v>
      </c>
      <c r="M1180" s="949">
        <v>68.0</v>
      </c>
      <c r="N1180" s="949">
        <v>45.0</v>
      </c>
      <c r="O1180" s="949">
        <v>30.0</v>
      </c>
      <c r="P1180" s="949">
        <v>40.0</v>
      </c>
      <c r="Q1180" s="949">
        <v>43.0</v>
      </c>
      <c r="R1180" s="949">
        <v>122.0</v>
      </c>
      <c r="S1180" s="949">
        <v>185.0</v>
      </c>
      <c r="T1180" s="949">
        <v>203.0</v>
      </c>
      <c r="U1180" s="949"/>
      <c r="V1180" s="949"/>
      <c r="W1180" s="949"/>
      <c r="X1180" s="949"/>
      <c r="Y1180" s="949"/>
      <c r="Z1180" s="949"/>
      <c r="AA1180" s="949"/>
      <c r="AB1180" s="949"/>
      <c r="AC1180" s="949"/>
      <c r="AD1180" s="949"/>
      <c r="AE1180" s="949"/>
      <c r="AF1180" s="949"/>
      <c r="AG1180" s="949"/>
      <c r="AH1180" s="949"/>
      <c r="AI1180" s="949"/>
      <c r="AJ1180" s="949"/>
      <c r="AK1180" s="949"/>
      <c r="AL1180" s="949"/>
      <c r="AM1180" s="953" t="s">
        <v>746</v>
      </c>
      <c r="AN1180" s="953" t="s">
        <v>929</v>
      </c>
      <c r="AO1180" s="955" t="s">
        <v>949</v>
      </c>
      <c r="AP1180" s="931"/>
      <c r="AQ1180" s="956"/>
      <c r="AR1180" s="957"/>
      <c r="AS1180" s="931"/>
    </row>
    <row r="1181" ht="15.75" customHeight="1">
      <c r="A1181" s="931"/>
      <c r="B1181" s="941">
        <v>948.0</v>
      </c>
      <c r="C1181" s="942" t="s">
        <v>182</v>
      </c>
      <c r="D1181" s="942" t="s">
        <v>182</v>
      </c>
      <c r="E1181" s="943" t="s">
        <v>182</v>
      </c>
      <c r="F1181" s="935"/>
      <c r="G1181" s="944"/>
      <c r="H1181" s="944"/>
      <c r="I1181" s="946" t="s">
        <v>108</v>
      </c>
      <c r="J1181" s="977" t="s">
        <v>714</v>
      </c>
      <c r="K1181" s="953"/>
      <c r="L1181" s="949">
        <v>170.0</v>
      </c>
      <c r="M1181" s="949">
        <v>113.0</v>
      </c>
      <c r="N1181" s="949">
        <v>65.0</v>
      </c>
      <c r="O1181" s="949">
        <v>45.0</v>
      </c>
      <c r="P1181" s="949">
        <v>55.0</v>
      </c>
      <c r="Q1181" s="949">
        <v>73.0</v>
      </c>
      <c r="R1181" s="949">
        <v>182.0</v>
      </c>
      <c r="S1181" s="949">
        <v>245.0</v>
      </c>
      <c r="T1181" s="949">
        <v>269.0</v>
      </c>
      <c r="U1181" s="949"/>
      <c r="V1181" s="949"/>
      <c r="W1181" s="949"/>
      <c r="X1181" s="949"/>
      <c r="Y1181" s="949"/>
      <c r="Z1181" s="949"/>
      <c r="AA1181" s="949"/>
      <c r="AB1181" s="949"/>
      <c r="AC1181" s="949"/>
      <c r="AD1181" s="949"/>
      <c r="AE1181" s="949"/>
      <c r="AF1181" s="949"/>
      <c r="AG1181" s="949"/>
      <c r="AH1181" s="949"/>
      <c r="AI1181" s="949"/>
      <c r="AJ1181" s="949"/>
      <c r="AK1181" s="949"/>
      <c r="AL1181" s="949"/>
      <c r="AM1181" s="953" t="s">
        <v>746</v>
      </c>
      <c r="AN1181" s="953" t="s">
        <v>930</v>
      </c>
      <c r="AO1181" s="955" t="s">
        <v>949</v>
      </c>
      <c r="AP1181" s="931"/>
      <c r="AQ1181" s="956"/>
      <c r="AR1181" s="957"/>
      <c r="AS1181" s="931"/>
    </row>
    <row r="1182" ht="15.75" customHeight="1">
      <c r="A1182" s="931"/>
      <c r="B1182" s="941">
        <v>949.0</v>
      </c>
      <c r="C1182" s="942" t="s">
        <v>4093</v>
      </c>
      <c r="D1182" s="942" t="s">
        <v>4093</v>
      </c>
      <c r="E1182" s="943" t="s">
        <v>4093</v>
      </c>
      <c r="F1182" s="935"/>
      <c r="G1182" s="944"/>
      <c r="H1182" s="944"/>
      <c r="I1182" s="946" t="s">
        <v>675</v>
      </c>
      <c r="J1182" s="961" t="s">
        <v>716</v>
      </c>
      <c r="K1182" s="977" t="s">
        <v>714</v>
      </c>
      <c r="L1182" s="949">
        <v>65.0</v>
      </c>
      <c r="M1182" s="949">
        <v>75.0</v>
      </c>
      <c r="N1182" s="949">
        <v>45.0</v>
      </c>
      <c r="O1182" s="949">
        <v>35.0</v>
      </c>
      <c r="P1182" s="949">
        <v>45.0</v>
      </c>
      <c r="Q1182" s="949">
        <v>55.0</v>
      </c>
      <c r="R1182" s="949">
        <v>146.0</v>
      </c>
      <c r="S1182" s="949">
        <v>209.0</v>
      </c>
      <c r="T1182" s="949">
        <v>229.0</v>
      </c>
      <c r="U1182" s="949"/>
      <c r="V1182" s="949"/>
      <c r="W1182" s="949"/>
      <c r="X1182" s="949"/>
      <c r="Y1182" s="949"/>
      <c r="Z1182" s="949"/>
      <c r="AA1182" s="949"/>
      <c r="AB1182" s="949"/>
      <c r="AC1182" s="949"/>
      <c r="AD1182" s="949"/>
      <c r="AE1182" s="949"/>
      <c r="AF1182" s="949"/>
      <c r="AG1182" s="949"/>
      <c r="AH1182" s="949"/>
      <c r="AI1182" s="949"/>
      <c r="AJ1182" s="949"/>
      <c r="AK1182" s="949"/>
      <c r="AL1182" s="949"/>
      <c r="AM1182" s="953" t="s">
        <v>4094</v>
      </c>
      <c r="AN1182" s="953"/>
      <c r="AO1182" s="955" t="s">
        <v>1217</v>
      </c>
      <c r="AP1182" s="931"/>
      <c r="AQ1182" s="956"/>
      <c r="AR1182" s="957"/>
      <c r="AS1182" s="931"/>
    </row>
    <row r="1183" ht="15.75" customHeight="1">
      <c r="A1183" s="931"/>
      <c r="B1183" s="941">
        <v>950.0</v>
      </c>
      <c r="C1183" s="942" t="s">
        <v>4095</v>
      </c>
      <c r="D1183" s="942" t="s">
        <v>4095</v>
      </c>
      <c r="E1183" s="943" t="s">
        <v>4095</v>
      </c>
      <c r="F1183" s="935"/>
      <c r="G1183" s="944"/>
      <c r="H1183" s="944"/>
      <c r="I1183" s="946" t="s">
        <v>559</v>
      </c>
      <c r="J1183" s="961" t="s">
        <v>716</v>
      </c>
      <c r="K1183" s="977" t="s">
        <v>714</v>
      </c>
      <c r="L1183" s="949">
        <v>90.0</v>
      </c>
      <c r="M1183" s="949">
        <v>95.0</v>
      </c>
      <c r="N1183" s="949">
        <v>66.0</v>
      </c>
      <c r="O1183" s="949">
        <v>45.0</v>
      </c>
      <c r="P1183" s="949">
        <v>65.0</v>
      </c>
      <c r="Q1183" s="949">
        <v>62.0</v>
      </c>
      <c r="R1183" s="949">
        <v>160.0</v>
      </c>
      <c r="S1183" s="949">
        <v>223.0</v>
      </c>
      <c r="T1183" s="949">
        <v>245.0</v>
      </c>
      <c r="U1183" s="949"/>
      <c r="V1183" s="949"/>
      <c r="W1183" s="949"/>
      <c r="X1183" s="949"/>
      <c r="Y1183" s="949"/>
      <c r="Z1183" s="949"/>
      <c r="AA1183" s="949"/>
      <c r="AB1183" s="949"/>
      <c r="AC1183" s="949"/>
      <c r="AD1183" s="949"/>
      <c r="AE1183" s="949"/>
      <c r="AF1183" s="949"/>
      <c r="AG1183" s="949"/>
      <c r="AH1183" s="949"/>
      <c r="AI1183" s="949"/>
      <c r="AJ1183" s="949"/>
      <c r="AK1183" s="949"/>
      <c r="AL1183" s="949"/>
      <c r="AM1183" s="953" t="s">
        <v>4094</v>
      </c>
      <c r="AN1183" s="953"/>
      <c r="AO1183" s="955" t="s">
        <v>1217</v>
      </c>
      <c r="AP1183" s="931"/>
      <c r="AQ1183" s="956"/>
      <c r="AR1183" s="957"/>
      <c r="AS1183" s="931"/>
    </row>
    <row r="1184" ht="15.75" customHeight="1">
      <c r="A1184" s="931"/>
      <c r="B1184" s="941">
        <v>951.0</v>
      </c>
      <c r="C1184" s="942" t="s">
        <v>261</v>
      </c>
      <c r="D1184" s="942" t="s">
        <v>261</v>
      </c>
      <c r="E1184" s="943" t="s">
        <v>261</v>
      </c>
      <c r="F1184" s="935"/>
      <c r="G1184" s="944"/>
      <c r="H1184" s="944"/>
      <c r="I1184" s="946" t="s">
        <v>94</v>
      </c>
      <c r="J1184" s="961" t="s">
        <v>716</v>
      </c>
      <c r="K1184" s="977" t="s">
        <v>714</v>
      </c>
      <c r="L1184" s="949">
        <v>115.0</v>
      </c>
      <c r="M1184" s="949">
        <v>145.0</v>
      </c>
      <c r="N1184" s="949">
        <v>92.0</v>
      </c>
      <c r="O1184" s="949">
        <v>75.0</v>
      </c>
      <c r="P1184" s="949">
        <v>86.0</v>
      </c>
      <c r="Q1184" s="949">
        <v>87.0</v>
      </c>
      <c r="R1184" s="949">
        <v>210.0</v>
      </c>
      <c r="S1184" s="949">
        <v>273.0</v>
      </c>
      <c r="T1184" s="949">
        <v>300.0</v>
      </c>
      <c r="U1184" s="949"/>
      <c r="V1184" s="949"/>
      <c r="W1184" s="949"/>
      <c r="X1184" s="949"/>
      <c r="Y1184" s="949"/>
      <c r="Z1184" s="949"/>
      <c r="AA1184" s="949"/>
      <c r="AB1184" s="949"/>
      <c r="AC1184" s="949"/>
      <c r="AD1184" s="949"/>
      <c r="AE1184" s="949"/>
      <c r="AF1184" s="949"/>
      <c r="AG1184" s="949"/>
      <c r="AH1184" s="949"/>
      <c r="AI1184" s="949"/>
      <c r="AJ1184" s="949"/>
      <c r="AK1184" s="949"/>
      <c r="AL1184" s="949"/>
      <c r="AM1184" s="953" t="s">
        <v>4094</v>
      </c>
      <c r="AN1184" s="954"/>
      <c r="AO1184" s="955" t="s">
        <v>1217</v>
      </c>
      <c r="AP1184" s="931"/>
      <c r="AQ1184" s="956"/>
      <c r="AR1184" s="957"/>
      <c r="AS1184" s="931"/>
    </row>
    <row r="1185" ht="15.75" customHeight="1">
      <c r="A1185" s="931"/>
      <c r="B1185" s="941">
        <v>952.0</v>
      </c>
      <c r="C1185" s="942" t="s">
        <v>256</v>
      </c>
      <c r="D1185" s="942" t="s">
        <v>256</v>
      </c>
      <c r="E1185" s="943" t="s">
        <v>256</v>
      </c>
      <c r="F1185" s="935"/>
      <c r="G1185" s="944"/>
      <c r="H1185" s="944"/>
      <c r="I1185" s="946" t="s">
        <v>74</v>
      </c>
      <c r="J1185" s="961" t="s">
        <v>716</v>
      </c>
      <c r="K1185" s="962" t="s">
        <v>706</v>
      </c>
      <c r="L1185" s="949">
        <v>68.0</v>
      </c>
      <c r="M1185" s="949">
        <v>50.0</v>
      </c>
      <c r="N1185" s="949">
        <v>60.0</v>
      </c>
      <c r="O1185" s="949">
        <v>120.0</v>
      </c>
      <c r="P1185" s="949">
        <v>95.0</v>
      </c>
      <c r="Q1185" s="949">
        <v>82.0</v>
      </c>
      <c r="R1185" s="949">
        <v>200.0</v>
      </c>
      <c r="S1185" s="949">
        <v>263.0</v>
      </c>
      <c r="T1185" s="949">
        <v>289.0</v>
      </c>
      <c r="U1185" s="949"/>
      <c r="V1185" s="949"/>
      <c r="W1185" s="949"/>
      <c r="X1185" s="949"/>
      <c r="Y1185" s="949"/>
      <c r="Z1185" s="949"/>
      <c r="AA1185" s="949"/>
      <c r="AB1185" s="949"/>
      <c r="AC1185" s="949"/>
      <c r="AD1185" s="949"/>
      <c r="AE1185" s="949"/>
      <c r="AF1185" s="949"/>
      <c r="AG1185" s="949"/>
      <c r="AH1185" s="949"/>
      <c r="AI1185" s="949"/>
      <c r="AJ1185" s="949"/>
      <c r="AK1185" s="949"/>
      <c r="AL1185" s="949"/>
      <c r="AM1185" s="953" t="s">
        <v>4096</v>
      </c>
      <c r="AN1185" s="954"/>
      <c r="AO1185" s="955" t="s">
        <v>2113</v>
      </c>
      <c r="AP1185" s="931"/>
      <c r="AQ1185" s="956"/>
      <c r="AR1185" s="957"/>
      <c r="AS1185" s="931"/>
    </row>
    <row r="1186" ht="15.75" customHeight="1">
      <c r="A1186" s="931"/>
      <c r="B1186" s="941">
        <v>953.0</v>
      </c>
      <c r="C1186" s="942" t="s">
        <v>4097</v>
      </c>
      <c r="D1186" s="942" t="s">
        <v>4097</v>
      </c>
      <c r="E1186" s="943" t="s">
        <v>4097</v>
      </c>
      <c r="F1186" s="935"/>
      <c r="G1186" s="944"/>
      <c r="H1186" s="944"/>
      <c r="I1186" s="946" t="s">
        <v>402</v>
      </c>
      <c r="J1186" s="961" t="s">
        <v>716</v>
      </c>
      <c r="K1186" s="968" t="s">
        <v>703</v>
      </c>
      <c r="L1186" s="949">
        <v>70.0</v>
      </c>
      <c r="M1186" s="949">
        <v>95.0</v>
      </c>
      <c r="N1186" s="949">
        <v>65.0</v>
      </c>
      <c r="O1186" s="949">
        <v>85.0</v>
      </c>
      <c r="P1186" s="949">
        <v>65.0</v>
      </c>
      <c r="Q1186" s="949">
        <v>121.0</v>
      </c>
      <c r="R1186" s="949">
        <v>278.0</v>
      </c>
      <c r="S1186" s="949">
        <v>341.0</v>
      </c>
      <c r="T1186" s="949">
        <v>375.0</v>
      </c>
      <c r="U1186" s="949"/>
      <c r="V1186" s="949"/>
      <c r="W1186" s="949"/>
      <c r="X1186" s="949"/>
      <c r="Y1186" s="949"/>
      <c r="Z1186" s="949"/>
      <c r="AA1186" s="949"/>
      <c r="AB1186" s="949"/>
      <c r="AC1186" s="949"/>
      <c r="AD1186" s="949"/>
      <c r="AE1186" s="949"/>
      <c r="AF1186" s="949"/>
      <c r="AG1186" s="949"/>
      <c r="AH1186" s="949"/>
      <c r="AI1186" s="949"/>
      <c r="AJ1186" s="949"/>
      <c r="AK1186" s="949"/>
      <c r="AL1186" s="949"/>
      <c r="AM1186" s="953" t="s">
        <v>791</v>
      </c>
      <c r="AN1186" s="954"/>
      <c r="AO1186" s="955" t="s">
        <v>1177</v>
      </c>
      <c r="AP1186" s="931"/>
      <c r="AQ1186" s="956"/>
      <c r="AR1186" s="957"/>
      <c r="AS1186" s="931"/>
    </row>
    <row r="1187" ht="15.75" customHeight="1">
      <c r="A1187" s="963"/>
      <c r="B1187" s="941">
        <v>954.0</v>
      </c>
      <c r="C1187" s="971" t="s">
        <v>4098</v>
      </c>
      <c r="D1187" s="971" t="s">
        <v>4098</v>
      </c>
      <c r="E1187" s="966" t="s">
        <v>4098</v>
      </c>
      <c r="F1187" s="935"/>
      <c r="G1187" s="944"/>
      <c r="H1187" s="944"/>
      <c r="I1187" s="959" t="s">
        <v>676</v>
      </c>
      <c r="J1187" s="972" t="s">
        <v>710</v>
      </c>
      <c r="K1187" s="964"/>
      <c r="L1187" s="974">
        <v>45.0</v>
      </c>
      <c r="M1187" s="974">
        <v>50.0</v>
      </c>
      <c r="N1187" s="974">
        <v>20.0</v>
      </c>
      <c r="O1187" s="974">
        <v>40.0</v>
      </c>
      <c r="P1187" s="974">
        <v>25.0</v>
      </c>
      <c r="Q1187" s="974">
        <v>60.0</v>
      </c>
      <c r="R1187" s="949">
        <v>156.0</v>
      </c>
      <c r="S1187" s="949">
        <v>219.0</v>
      </c>
      <c r="T1187" s="949">
        <v>240.0</v>
      </c>
      <c r="U1187" s="949"/>
      <c r="V1187" s="949"/>
      <c r="W1187" s="949"/>
      <c r="X1187" s="949"/>
      <c r="Y1187" s="949"/>
      <c r="Z1187" s="949"/>
      <c r="AA1187" s="949"/>
      <c r="AB1187" s="949"/>
      <c r="AC1187" s="949"/>
      <c r="AD1187" s="949"/>
      <c r="AE1187" s="949"/>
      <c r="AF1187" s="949"/>
      <c r="AG1187" s="949"/>
      <c r="AH1187" s="949"/>
      <c r="AI1187" s="949"/>
      <c r="AJ1187" s="949"/>
      <c r="AK1187" s="949"/>
      <c r="AL1187" s="949"/>
      <c r="AM1187" s="964" t="s">
        <v>861</v>
      </c>
      <c r="AN1187" s="964" t="s">
        <v>1333</v>
      </c>
      <c r="AO1187" s="965" t="s">
        <v>1310</v>
      </c>
      <c r="AP1187" s="931"/>
      <c r="AQ1187" s="956"/>
      <c r="AR1187" s="957"/>
      <c r="AS1187" s="931"/>
    </row>
    <row r="1188" ht="15.75" customHeight="1">
      <c r="A1188" s="931"/>
      <c r="B1188" s="941">
        <v>955.0</v>
      </c>
      <c r="C1188" s="942" t="s">
        <v>4099</v>
      </c>
      <c r="D1188" s="942" t="s">
        <v>4099</v>
      </c>
      <c r="E1188" s="943" t="s">
        <v>4099</v>
      </c>
      <c r="F1188" s="935"/>
      <c r="G1188" s="944"/>
      <c r="H1188" s="944"/>
      <c r="I1188" s="946" t="s">
        <v>560</v>
      </c>
      <c r="J1188" s="970" t="s">
        <v>710</v>
      </c>
      <c r="K1188" s="988" t="s">
        <v>705</v>
      </c>
      <c r="L1188" s="949">
        <v>60.0</v>
      </c>
      <c r="M1188" s="949">
        <v>75.0</v>
      </c>
      <c r="N1188" s="949">
        <v>40.0</v>
      </c>
      <c r="O1188" s="949">
        <v>50.0</v>
      </c>
      <c r="P1188" s="949">
        <v>40.0</v>
      </c>
      <c r="Q1188" s="949">
        <v>85.0</v>
      </c>
      <c r="R1188" s="949">
        <v>206.0</v>
      </c>
      <c r="S1188" s="949">
        <v>269.0</v>
      </c>
      <c r="T1188" s="949">
        <v>295.0</v>
      </c>
      <c r="U1188" s="949"/>
      <c r="V1188" s="949"/>
      <c r="W1188" s="949"/>
      <c r="X1188" s="949"/>
      <c r="Y1188" s="949"/>
      <c r="Z1188" s="949"/>
      <c r="AA1188" s="949"/>
      <c r="AB1188" s="949"/>
      <c r="AC1188" s="949"/>
      <c r="AD1188" s="949"/>
      <c r="AE1188" s="949"/>
      <c r="AF1188" s="949"/>
      <c r="AG1188" s="949"/>
      <c r="AH1188" s="949"/>
      <c r="AI1188" s="949"/>
      <c r="AJ1188" s="949"/>
      <c r="AK1188" s="949"/>
      <c r="AL1188" s="949"/>
      <c r="AM1188" s="953" t="s">
        <v>1428</v>
      </c>
      <c r="AN1188" s="953" t="s">
        <v>1333</v>
      </c>
      <c r="AO1188" s="955" t="s">
        <v>1310</v>
      </c>
      <c r="AP1188" s="931"/>
      <c r="AQ1188" s="956"/>
      <c r="AR1188" s="957"/>
      <c r="AS1188" s="931"/>
    </row>
    <row r="1189" ht="15.75" customHeight="1">
      <c r="A1189" s="931"/>
      <c r="B1189" s="941">
        <v>956.0</v>
      </c>
      <c r="C1189" s="942" t="s">
        <v>210</v>
      </c>
      <c r="D1189" s="942" t="s">
        <v>210</v>
      </c>
      <c r="E1189" s="943" t="s">
        <v>210</v>
      </c>
      <c r="F1189" s="935"/>
      <c r="G1189" s="944"/>
      <c r="H1189" s="944"/>
      <c r="I1189" s="946" t="s">
        <v>97</v>
      </c>
      <c r="J1189" s="970" t="s">
        <v>710</v>
      </c>
      <c r="K1189" s="988" t="s">
        <v>705</v>
      </c>
      <c r="L1189" s="949">
        <v>70.0</v>
      </c>
      <c r="M1189" s="949">
        <v>115.0</v>
      </c>
      <c r="N1189" s="949">
        <v>70.0</v>
      </c>
      <c r="O1189" s="949">
        <v>70.0</v>
      </c>
      <c r="P1189" s="949">
        <v>60.0</v>
      </c>
      <c r="Q1189" s="949">
        <v>105.0</v>
      </c>
      <c r="R1189" s="949">
        <v>246.0</v>
      </c>
      <c r="S1189" s="949">
        <v>309.0</v>
      </c>
      <c r="T1189" s="949">
        <v>339.0</v>
      </c>
      <c r="U1189" s="949"/>
      <c r="V1189" s="949"/>
      <c r="W1189" s="949"/>
      <c r="X1189" s="949"/>
      <c r="Y1189" s="949"/>
      <c r="Z1189" s="949"/>
      <c r="AA1189" s="949"/>
      <c r="AB1189" s="949"/>
      <c r="AC1189" s="949"/>
      <c r="AD1189" s="949"/>
      <c r="AE1189" s="949"/>
      <c r="AF1189" s="949"/>
      <c r="AG1189" s="949"/>
      <c r="AH1189" s="949"/>
      <c r="AI1189" s="949"/>
      <c r="AJ1189" s="949"/>
      <c r="AK1189" s="949"/>
      <c r="AL1189" s="949"/>
      <c r="AM1189" s="953" t="s">
        <v>1428</v>
      </c>
      <c r="AN1189" s="953" t="s">
        <v>1333</v>
      </c>
      <c r="AO1189" s="955" t="s">
        <v>1310</v>
      </c>
      <c r="AP1189" s="931"/>
      <c r="AQ1189" s="956"/>
      <c r="AR1189" s="957"/>
      <c r="AS1189" s="931"/>
    </row>
    <row r="1190" ht="15.75" customHeight="1">
      <c r="A1190" s="931"/>
      <c r="B1190" s="941">
        <v>957.0</v>
      </c>
      <c r="C1190" s="942" t="s">
        <v>4100</v>
      </c>
      <c r="D1190" s="942" t="s">
        <v>4100</v>
      </c>
      <c r="E1190" s="943" t="s">
        <v>4100</v>
      </c>
      <c r="F1190" s="935"/>
      <c r="G1190" s="944"/>
      <c r="H1190" s="944"/>
      <c r="I1190" s="946" t="s">
        <v>677</v>
      </c>
      <c r="J1190" s="970" t="s">
        <v>710</v>
      </c>
      <c r="K1190" s="960" t="s">
        <v>707</v>
      </c>
      <c r="L1190" s="949">
        <v>40.0</v>
      </c>
      <c r="M1190" s="949">
        <v>40.0</v>
      </c>
      <c r="N1190" s="949">
        <v>35.0</v>
      </c>
      <c r="O1190" s="949">
        <v>55.0</v>
      </c>
      <c r="P1190" s="949">
        <v>40.0</v>
      </c>
      <c r="Q1190" s="949">
        <v>70.0</v>
      </c>
      <c r="R1190" s="949">
        <v>176.0</v>
      </c>
      <c r="S1190" s="949">
        <v>239.0</v>
      </c>
      <c r="T1190" s="949">
        <v>262.0</v>
      </c>
      <c r="U1190" s="949"/>
      <c r="V1190" s="949"/>
      <c r="W1190" s="949"/>
      <c r="X1190" s="949"/>
      <c r="Y1190" s="949"/>
      <c r="Z1190" s="949"/>
      <c r="AA1190" s="949"/>
      <c r="AB1190" s="949"/>
      <c r="AC1190" s="949"/>
      <c r="AD1190" s="949"/>
      <c r="AE1190" s="949"/>
      <c r="AF1190" s="949"/>
      <c r="AG1190" s="949"/>
      <c r="AH1190" s="949"/>
      <c r="AI1190" s="949"/>
      <c r="AJ1190" s="949"/>
      <c r="AK1190" s="949"/>
      <c r="AL1190" s="949"/>
      <c r="AM1190" s="953" t="s">
        <v>4101</v>
      </c>
      <c r="AN1190" s="953" t="s">
        <v>1428</v>
      </c>
      <c r="AO1190" s="955" t="s">
        <v>987</v>
      </c>
      <c r="AP1190" s="931"/>
      <c r="AQ1190" s="956"/>
      <c r="AR1190" s="957"/>
      <c r="AS1190" s="931"/>
    </row>
    <row r="1191" ht="15.75" customHeight="1">
      <c r="A1191" s="931"/>
      <c r="B1191" s="941">
        <v>958.0</v>
      </c>
      <c r="C1191" s="942" t="s">
        <v>164</v>
      </c>
      <c r="D1191" s="942" t="s">
        <v>164</v>
      </c>
      <c r="E1191" s="943" t="s">
        <v>164</v>
      </c>
      <c r="F1191" s="935"/>
      <c r="G1191" s="944"/>
      <c r="H1191" s="944"/>
      <c r="I1191" s="946" t="s">
        <v>75</v>
      </c>
      <c r="J1191" s="970" t="s">
        <v>710</v>
      </c>
      <c r="K1191" s="960" t="s">
        <v>707</v>
      </c>
      <c r="L1191" s="949">
        <v>70.0</v>
      </c>
      <c r="M1191" s="949">
        <v>70.0</v>
      </c>
      <c r="N1191" s="949">
        <v>60.0</v>
      </c>
      <c r="O1191" s="949">
        <v>105.0</v>
      </c>
      <c r="P1191" s="949">
        <v>60.0</v>
      </c>
      <c r="Q1191" s="949">
        <v>125.0</v>
      </c>
      <c r="R1191" s="949">
        <v>286.0</v>
      </c>
      <c r="S1191" s="949">
        <v>349.0</v>
      </c>
      <c r="T1191" s="949">
        <v>383.0</v>
      </c>
      <c r="U1191" s="949"/>
      <c r="V1191" s="949"/>
      <c r="W1191" s="949"/>
      <c r="X1191" s="949"/>
      <c r="Y1191" s="949"/>
      <c r="Z1191" s="949"/>
      <c r="AA1191" s="949"/>
      <c r="AB1191" s="949"/>
      <c r="AC1191" s="949"/>
      <c r="AD1191" s="949"/>
      <c r="AE1191" s="949"/>
      <c r="AF1191" s="949"/>
      <c r="AG1191" s="949"/>
      <c r="AH1191" s="949"/>
      <c r="AI1191" s="949"/>
      <c r="AJ1191" s="949"/>
      <c r="AK1191" s="949"/>
      <c r="AL1191" s="949"/>
      <c r="AM1191" s="953" t="s">
        <v>4101</v>
      </c>
      <c r="AN1191" s="964" t="s">
        <v>1428</v>
      </c>
      <c r="AO1191" s="965" t="s">
        <v>987</v>
      </c>
      <c r="AP1191" s="931"/>
      <c r="AQ1191" s="956"/>
      <c r="AR1191" s="957"/>
      <c r="AS1191" s="931"/>
    </row>
    <row r="1192" ht="15.75" customHeight="1">
      <c r="A1192" s="931"/>
      <c r="B1192" s="941">
        <v>959.0</v>
      </c>
      <c r="C1192" s="942" t="s">
        <v>4102</v>
      </c>
      <c r="D1192" s="942" t="s">
        <v>4102</v>
      </c>
      <c r="E1192" s="943" t="s">
        <v>4102</v>
      </c>
      <c r="F1192" s="935"/>
      <c r="G1192" s="944"/>
      <c r="H1192" s="944"/>
      <c r="I1192" s="946" t="s">
        <v>468</v>
      </c>
      <c r="J1192" s="960" t="s">
        <v>707</v>
      </c>
      <c r="K1192" s="969" t="s">
        <v>718</v>
      </c>
      <c r="L1192" s="949">
        <v>70.0</v>
      </c>
      <c r="M1192" s="949">
        <v>103.0</v>
      </c>
      <c r="N1192" s="949">
        <v>85.0</v>
      </c>
      <c r="O1192" s="949">
        <v>60.0</v>
      </c>
      <c r="P1192" s="949">
        <v>85.0</v>
      </c>
      <c r="Q1192" s="949">
        <v>82.0</v>
      </c>
      <c r="R1192" s="949">
        <v>200.0</v>
      </c>
      <c r="S1192" s="949">
        <v>263.0</v>
      </c>
      <c r="T1192" s="949">
        <v>289.0</v>
      </c>
      <c r="U1192" s="949"/>
      <c r="V1192" s="949"/>
      <c r="W1192" s="949"/>
      <c r="X1192" s="949"/>
      <c r="Y1192" s="949"/>
      <c r="Z1192" s="949"/>
      <c r="AA1192" s="949"/>
      <c r="AB1192" s="949"/>
      <c r="AC1192" s="949"/>
      <c r="AD1192" s="949"/>
      <c r="AE1192" s="949"/>
      <c r="AF1192" s="949"/>
      <c r="AG1192" s="949"/>
      <c r="AH1192" s="949"/>
      <c r="AI1192" s="949"/>
      <c r="AJ1192" s="949"/>
      <c r="AK1192" s="949"/>
      <c r="AL1192" s="949"/>
      <c r="AM1192" s="953" t="s">
        <v>817</v>
      </c>
      <c r="AN1192" s="953" t="s">
        <v>815</v>
      </c>
      <c r="AO1192" s="955" t="s">
        <v>4103</v>
      </c>
      <c r="AP1192" s="931"/>
      <c r="AQ1192" s="956"/>
      <c r="AR1192" s="957"/>
      <c r="AS1192" s="931"/>
    </row>
    <row r="1193" ht="15.75" customHeight="1">
      <c r="A1193" s="931"/>
      <c r="B1193" s="941">
        <v>960.0</v>
      </c>
      <c r="C1193" s="942" t="s">
        <v>4104</v>
      </c>
      <c r="D1193" s="942" t="s">
        <v>4104</v>
      </c>
      <c r="E1193" s="943" t="s">
        <v>4104</v>
      </c>
      <c r="F1193" s="935"/>
      <c r="G1193" s="944"/>
      <c r="H1193" s="944"/>
      <c r="I1193" s="946" t="s">
        <v>481</v>
      </c>
      <c r="J1193" s="968" t="s">
        <v>703</v>
      </c>
      <c r="K1193" s="960" t="s">
        <v>707</v>
      </c>
      <c r="L1193" s="949">
        <v>82.0</v>
      </c>
      <c r="M1193" s="949">
        <v>96.0</v>
      </c>
      <c r="N1193" s="949">
        <v>51.0</v>
      </c>
      <c r="O1193" s="949">
        <v>45.0</v>
      </c>
      <c r="P1193" s="949">
        <v>51.0</v>
      </c>
      <c r="Q1193" s="949">
        <v>92.0</v>
      </c>
      <c r="R1193" s="949">
        <v>220.0</v>
      </c>
      <c r="S1193" s="949">
        <v>283.0</v>
      </c>
      <c r="T1193" s="949">
        <v>311.0</v>
      </c>
      <c r="U1193" s="949"/>
      <c r="V1193" s="949"/>
      <c r="W1193" s="949"/>
      <c r="X1193" s="949"/>
      <c r="Y1193" s="949"/>
      <c r="Z1193" s="949"/>
      <c r="AA1193" s="949"/>
      <c r="AB1193" s="949"/>
      <c r="AC1193" s="949"/>
      <c r="AD1193" s="949"/>
      <c r="AE1193" s="949"/>
      <c r="AF1193" s="949"/>
      <c r="AG1193" s="949"/>
      <c r="AH1193" s="949"/>
      <c r="AI1193" s="949"/>
      <c r="AJ1193" s="949"/>
      <c r="AK1193" s="949"/>
      <c r="AL1193" s="949"/>
      <c r="AM1193" s="953" t="s">
        <v>854</v>
      </c>
      <c r="AN1193" s="953" t="s">
        <v>832</v>
      </c>
      <c r="AO1193" s="955" t="s">
        <v>831</v>
      </c>
      <c r="AP1193" s="931"/>
      <c r="AQ1193" s="956"/>
      <c r="AR1193" s="957"/>
      <c r="AS1193" s="931"/>
    </row>
    <row r="1194" ht="15.75" customHeight="1">
      <c r="A1194" s="931"/>
      <c r="B1194" s="941">
        <v>961.0</v>
      </c>
      <c r="C1194" s="942" t="s">
        <v>252</v>
      </c>
      <c r="D1194" s="942" t="s">
        <v>252</v>
      </c>
      <c r="E1194" s="943" t="s">
        <v>252</v>
      </c>
      <c r="F1194" s="935"/>
      <c r="G1194" s="944"/>
      <c r="H1194" s="944"/>
      <c r="I1194" s="946" t="s">
        <v>130</v>
      </c>
      <c r="J1194" s="960" t="s">
        <v>707</v>
      </c>
      <c r="K1194" s="988" t="s">
        <v>705</v>
      </c>
      <c r="L1194" s="949">
        <v>82.0</v>
      </c>
      <c r="M1194" s="949">
        <v>115.0</v>
      </c>
      <c r="N1194" s="949">
        <v>74.0</v>
      </c>
      <c r="O1194" s="949">
        <v>75.0</v>
      </c>
      <c r="P1194" s="949">
        <v>64.0</v>
      </c>
      <c r="Q1194" s="949">
        <v>90.0</v>
      </c>
      <c r="R1194" s="949">
        <v>216.0</v>
      </c>
      <c r="S1194" s="949">
        <v>279.0</v>
      </c>
      <c r="T1194" s="949">
        <v>306.0</v>
      </c>
      <c r="U1194" s="949"/>
      <c r="V1194" s="949"/>
      <c r="W1194" s="949"/>
      <c r="X1194" s="949"/>
      <c r="Y1194" s="949"/>
      <c r="Z1194" s="949"/>
      <c r="AA1194" s="949"/>
      <c r="AB1194" s="949"/>
      <c r="AC1194" s="949"/>
      <c r="AD1194" s="949"/>
      <c r="AE1194" s="949"/>
      <c r="AF1194" s="949"/>
      <c r="AG1194" s="949"/>
      <c r="AH1194" s="949"/>
      <c r="AI1194" s="949"/>
      <c r="AJ1194" s="949"/>
      <c r="AK1194" s="949"/>
      <c r="AL1194" s="949"/>
      <c r="AM1194" s="953" t="s">
        <v>1205</v>
      </c>
      <c r="AN1194" s="953" t="s">
        <v>816</v>
      </c>
      <c r="AO1194" s="955" t="s">
        <v>4105</v>
      </c>
      <c r="AP1194" s="931"/>
      <c r="AQ1194" s="956"/>
      <c r="AR1194" s="957"/>
      <c r="AS1194" s="931"/>
    </row>
    <row r="1195" ht="15.75" customHeight="1">
      <c r="A1195" s="931"/>
      <c r="B1195" s="941">
        <v>962.0</v>
      </c>
      <c r="C1195" s="942" t="s">
        <v>4106</v>
      </c>
      <c r="D1195" s="942" t="s">
        <v>4106</v>
      </c>
      <c r="E1195" s="943" t="s">
        <v>4106</v>
      </c>
      <c r="F1195" s="935"/>
      <c r="G1195" s="944"/>
      <c r="H1195" s="944"/>
      <c r="I1195" s="946" t="s">
        <v>482</v>
      </c>
      <c r="J1195" s="989" t="s">
        <v>713</v>
      </c>
      <c r="K1195" s="953"/>
      <c r="L1195" s="949">
        <v>70.0</v>
      </c>
      <c r="M1195" s="949">
        <v>100.0</v>
      </c>
      <c r="N1195" s="949">
        <v>115.0</v>
      </c>
      <c r="O1195" s="949">
        <v>35.0</v>
      </c>
      <c r="P1195" s="949">
        <v>55.0</v>
      </c>
      <c r="Q1195" s="949">
        <v>75.0</v>
      </c>
      <c r="R1195" s="949">
        <v>186.0</v>
      </c>
      <c r="S1195" s="949">
        <v>249.0</v>
      </c>
      <c r="T1195" s="949">
        <v>273.0</v>
      </c>
      <c r="U1195" s="949"/>
      <c r="V1195" s="949"/>
      <c r="W1195" s="949"/>
      <c r="X1195" s="949"/>
      <c r="Y1195" s="949"/>
      <c r="Z1195" s="949"/>
      <c r="AA1195" s="949"/>
      <c r="AB1195" s="949"/>
      <c r="AC1195" s="949"/>
      <c r="AD1195" s="949"/>
      <c r="AE1195" s="949"/>
      <c r="AF1195" s="949"/>
      <c r="AG1195" s="949"/>
      <c r="AH1195" s="949"/>
      <c r="AI1195" s="949"/>
      <c r="AJ1195" s="949"/>
      <c r="AK1195" s="949"/>
      <c r="AL1195" s="949"/>
      <c r="AM1195" s="953" t="s">
        <v>4107</v>
      </c>
      <c r="AN1195" s="953" t="s">
        <v>1192</v>
      </c>
      <c r="AO1195" s="955" t="s">
        <v>1177</v>
      </c>
      <c r="AP1195" s="931"/>
      <c r="AQ1195" s="956"/>
      <c r="AR1195" s="957"/>
      <c r="AS1195" s="931"/>
    </row>
    <row r="1196" ht="15.75" customHeight="1">
      <c r="A1196" s="931"/>
      <c r="B1196" s="941">
        <v>963.0</v>
      </c>
      <c r="C1196" s="942" t="s">
        <v>4108</v>
      </c>
      <c r="D1196" s="942" t="s">
        <v>4108</v>
      </c>
      <c r="E1196" s="943" t="s">
        <v>4108</v>
      </c>
      <c r="F1196" s="935"/>
      <c r="G1196" s="944"/>
      <c r="H1196" s="944"/>
      <c r="I1196" s="946" t="s">
        <v>678</v>
      </c>
      <c r="J1196" s="989" t="s">
        <v>713</v>
      </c>
      <c r="K1196" s="953"/>
      <c r="L1196" s="949">
        <v>55.0</v>
      </c>
      <c r="M1196" s="949">
        <v>55.0</v>
      </c>
      <c r="N1196" s="949">
        <v>75.0</v>
      </c>
      <c r="O1196" s="949">
        <v>35.0</v>
      </c>
      <c r="P1196" s="949">
        <v>35.0</v>
      </c>
      <c r="Q1196" s="949">
        <v>25.0</v>
      </c>
      <c r="R1196" s="949">
        <v>86.0</v>
      </c>
      <c r="S1196" s="949">
        <v>149.0</v>
      </c>
      <c r="T1196" s="949">
        <v>163.0</v>
      </c>
      <c r="U1196" s="949"/>
      <c r="V1196" s="949"/>
      <c r="W1196" s="949"/>
      <c r="X1196" s="949"/>
      <c r="Y1196" s="949"/>
      <c r="Z1196" s="949"/>
      <c r="AA1196" s="949"/>
      <c r="AB1196" s="949"/>
      <c r="AC1196" s="949"/>
      <c r="AD1196" s="949"/>
      <c r="AE1196" s="949"/>
      <c r="AF1196" s="949"/>
      <c r="AG1196" s="949"/>
      <c r="AH1196" s="949"/>
      <c r="AI1196" s="949"/>
      <c r="AJ1196" s="949"/>
      <c r="AK1196" s="949"/>
      <c r="AL1196" s="949"/>
      <c r="AM1196" s="953" t="s">
        <v>4109</v>
      </c>
      <c r="AN1196" s="953" t="s">
        <v>1135</v>
      </c>
      <c r="AO1196" s="955" t="s">
        <v>1127</v>
      </c>
      <c r="AP1196" s="931"/>
      <c r="AQ1196" s="956"/>
      <c r="AR1196" s="957"/>
      <c r="AS1196" s="931"/>
    </row>
    <row r="1197" ht="15.75" customHeight="1">
      <c r="A1197" s="963"/>
      <c r="B1197" s="941">
        <v>964.0</v>
      </c>
      <c r="C1197" s="971" t="s">
        <v>4110</v>
      </c>
      <c r="D1197" s="971" t="s">
        <v>4110</v>
      </c>
      <c r="E1197" s="966" t="s">
        <v>4110</v>
      </c>
      <c r="F1197" s="935"/>
      <c r="G1197" s="944"/>
      <c r="H1197" s="944"/>
      <c r="I1197" s="959" t="s">
        <v>495</v>
      </c>
      <c r="J1197" s="996" t="s">
        <v>713</v>
      </c>
      <c r="K1197" s="964"/>
      <c r="L1197" s="974">
        <v>60.0</v>
      </c>
      <c r="M1197" s="974">
        <v>60.0</v>
      </c>
      <c r="N1197" s="974">
        <v>100.0</v>
      </c>
      <c r="O1197" s="974">
        <v>35.0</v>
      </c>
      <c r="P1197" s="974">
        <v>65.0</v>
      </c>
      <c r="Q1197" s="974">
        <v>35.0</v>
      </c>
      <c r="R1197" s="949">
        <v>106.0</v>
      </c>
      <c r="S1197" s="949">
        <v>169.0</v>
      </c>
      <c r="T1197" s="949">
        <v>185.0</v>
      </c>
      <c r="U1197" s="949"/>
      <c r="V1197" s="949"/>
      <c r="W1197" s="949"/>
      <c r="X1197" s="949"/>
      <c r="Y1197" s="949"/>
      <c r="Z1197" s="949"/>
      <c r="AA1197" s="949"/>
      <c r="AB1197" s="949"/>
      <c r="AC1197" s="949"/>
      <c r="AD1197" s="949"/>
      <c r="AE1197" s="949"/>
      <c r="AF1197" s="949"/>
      <c r="AG1197" s="949"/>
      <c r="AH1197" s="949"/>
      <c r="AI1197" s="949"/>
      <c r="AJ1197" s="949"/>
      <c r="AK1197" s="949"/>
      <c r="AL1197" s="949"/>
      <c r="AM1197" s="964" t="s">
        <v>4109</v>
      </c>
      <c r="AN1197" s="964" t="s">
        <v>1135</v>
      </c>
      <c r="AO1197" s="965" t="s">
        <v>1127</v>
      </c>
      <c r="AP1197" s="931"/>
      <c r="AQ1197" s="956"/>
      <c r="AR1197" s="957"/>
      <c r="AS1197" s="931"/>
    </row>
    <row r="1198" ht="15.75" customHeight="1">
      <c r="A1198" s="931"/>
      <c r="B1198" s="941">
        <v>965.0</v>
      </c>
      <c r="C1198" s="942" t="s">
        <v>181</v>
      </c>
      <c r="D1198" s="971" t="s">
        <v>181</v>
      </c>
      <c r="E1198" s="966" t="s">
        <v>181</v>
      </c>
      <c r="F1198" s="935"/>
      <c r="G1198" s="944"/>
      <c r="H1198" s="944"/>
      <c r="I1198" s="946" t="s">
        <v>102</v>
      </c>
      <c r="J1198" s="989" t="s">
        <v>713</v>
      </c>
      <c r="K1198" s="953"/>
      <c r="L1198" s="949">
        <v>100.0</v>
      </c>
      <c r="M1198" s="949">
        <v>100.0</v>
      </c>
      <c r="N1198" s="949">
        <v>130.0</v>
      </c>
      <c r="O1198" s="949">
        <v>45.0</v>
      </c>
      <c r="P1198" s="949">
        <v>90.0</v>
      </c>
      <c r="Q1198" s="949">
        <v>35.0</v>
      </c>
      <c r="R1198" s="949">
        <v>106.0</v>
      </c>
      <c r="S1198" s="949">
        <v>169.0</v>
      </c>
      <c r="T1198" s="949">
        <v>185.0</v>
      </c>
      <c r="U1198" s="949"/>
      <c r="V1198" s="949"/>
      <c r="W1198" s="949"/>
      <c r="X1198" s="949"/>
      <c r="Y1198" s="949"/>
      <c r="Z1198" s="949"/>
      <c r="AA1198" s="949"/>
      <c r="AB1198" s="949"/>
      <c r="AC1198" s="949"/>
      <c r="AD1198" s="949"/>
      <c r="AE1198" s="949"/>
      <c r="AF1198" s="949"/>
      <c r="AG1198" s="949"/>
      <c r="AH1198" s="949"/>
      <c r="AI1198" s="949"/>
      <c r="AJ1198" s="949"/>
      <c r="AK1198" s="949"/>
      <c r="AL1198" s="949"/>
      <c r="AM1198" s="953" t="s">
        <v>4109</v>
      </c>
      <c r="AN1198" s="953" t="s">
        <v>1135</v>
      </c>
      <c r="AO1198" s="955" t="s">
        <v>1127</v>
      </c>
      <c r="AP1198" s="931"/>
      <c r="AQ1198" s="956"/>
      <c r="AR1198" s="957"/>
      <c r="AS1198" s="931"/>
    </row>
    <row r="1199" ht="15.75" customHeight="1">
      <c r="A1199" s="931"/>
      <c r="B1199" s="941">
        <v>966.0</v>
      </c>
      <c r="C1199" s="942" t="s">
        <v>4111</v>
      </c>
      <c r="D1199" s="942" t="s">
        <v>4111</v>
      </c>
      <c r="E1199" s="943" t="s">
        <v>4111</v>
      </c>
      <c r="F1199" s="935"/>
      <c r="G1199" s="944"/>
      <c r="H1199" s="944"/>
      <c r="I1199" s="946" t="s">
        <v>679</v>
      </c>
      <c r="J1199" s="989" t="s">
        <v>713</v>
      </c>
      <c r="K1199" s="948" t="s">
        <v>709</v>
      </c>
      <c r="L1199" s="949">
        <v>48.0</v>
      </c>
      <c r="M1199" s="949">
        <v>35.0</v>
      </c>
      <c r="N1199" s="949">
        <v>42.0</v>
      </c>
      <c r="O1199" s="949">
        <v>105.0</v>
      </c>
      <c r="P1199" s="949">
        <v>60.0</v>
      </c>
      <c r="Q1199" s="949">
        <v>60.0</v>
      </c>
      <c r="R1199" s="949">
        <v>156.0</v>
      </c>
      <c r="S1199" s="949">
        <v>219.0</v>
      </c>
      <c r="T1199" s="949">
        <v>240.0</v>
      </c>
      <c r="U1199" s="949"/>
      <c r="V1199" s="949"/>
      <c r="W1199" s="949"/>
      <c r="X1199" s="949"/>
      <c r="Y1199" s="949"/>
      <c r="Z1199" s="949"/>
      <c r="AA1199" s="949"/>
      <c r="AB1199" s="949"/>
      <c r="AC1199" s="949"/>
      <c r="AD1199" s="949"/>
      <c r="AE1199" s="949"/>
      <c r="AF1199" s="949"/>
      <c r="AG1199" s="949"/>
      <c r="AH1199" s="949"/>
      <c r="AI1199" s="949"/>
      <c r="AJ1199" s="949"/>
      <c r="AK1199" s="949"/>
      <c r="AL1199" s="949"/>
      <c r="AM1199" s="953" t="s">
        <v>4112</v>
      </c>
      <c r="AN1199" s="953"/>
      <c r="AO1199" s="955" t="s">
        <v>3507</v>
      </c>
      <c r="AP1199" s="931"/>
      <c r="AQ1199" s="956"/>
      <c r="AR1199" s="957"/>
      <c r="AS1199" s="931"/>
    </row>
    <row r="1200" ht="15.75" customHeight="1">
      <c r="A1200" s="931"/>
      <c r="B1200" s="941">
        <v>967.0</v>
      </c>
      <c r="C1200" s="942" t="s">
        <v>4113</v>
      </c>
      <c r="D1200" s="942" t="s">
        <v>4113</v>
      </c>
      <c r="E1200" s="943" t="s">
        <v>4113</v>
      </c>
      <c r="F1200" s="935"/>
      <c r="G1200" s="944"/>
      <c r="H1200" s="944"/>
      <c r="I1200" s="946" t="s">
        <v>262</v>
      </c>
      <c r="J1200" s="989" t="s">
        <v>713</v>
      </c>
      <c r="K1200" s="948" t="s">
        <v>709</v>
      </c>
      <c r="L1200" s="949">
        <v>83.0</v>
      </c>
      <c r="M1200" s="949">
        <v>55.0</v>
      </c>
      <c r="N1200" s="949">
        <v>90.0</v>
      </c>
      <c r="O1200" s="949">
        <v>130.0</v>
      </c>
      <c r="P1200" s="949">
        <v>81.0</v>
      </c>
      <c r="Q1200" s="949">
        <v>86.0</v>
      </c>
      <c r="R1200" s="949">
        <v>208.0</v>
      </c>
      <c r="S1200" s="949">
        <v>271.0</v>
      </c>
      <c r="T1200" s="949">
        <v>298.0</v>
      </c>
      <c r="U1200" s="949"/>
      <c r="V1200" s="949"/>
      <c r="W1200" s="949"/>
      <c r="X1200" s="949"/>
      <c r="Y1200" s="949"/>
      <c r="Z1200" s="949"/>
      <c r="AA1200" s="949"/>
      <c r="AB1200" s="949"/>
      <c r="AC1200" s="949"/>
      <c r="AD1200" s="949"/>
      <c r="AE1200" s="949"/>
      <c r="AF1200" s="949"/>
      <c r="AG1200" s="949"/>
      <c r="AH1200" s="949"/>
      <c r="AI1200" s="949"/>
      <c r="AJ1200" s="949"/>
      <c r="AK1200" s="949"/>
      <c r="AL1200" s="949"/>
      <c r="AM1200" s="953" t="s">
        <v>4112</v>
      </c>
      <c r="AN1200" s="953"/>
      <c r="AO1200" s="955" t="s">
        <v>3507</v>
      </c>
      <c r="AP1200" s="931"/>
      <c r="AQ1200" s="956"/>
      <c r="AR1200" s="957"/>
      <c r="AS1200" s="931"/>
    </row>
    <row r="1201" ht="15.75" customHeight="1">
      <c r="A1201" s="931"/>
      <c r="B1201" s="941">
        <v>968.0</v>
      </c>
      <c r="C1201" s="942" t="s">
        <v>4114</v>
      </c>
      <c r="D1201" s="942" t="s">
        <v>4114</v>
      </c>
      <c r="E1201" s="943" t="s">
        <v>4114</v>
      </c>
      <c r="F1201" s="935"/>
      <c r="G1201" s="944"/>
      <c r="H1201" s="944"/>
      <c r="I1201" s="959" t="s">
        <v>523</v>
      </c>
      <c r="J1201" s="948" t="s">
        <v>709</v>
      </c>
      <c r="K1201" s="968" t="s">
        <v>703</v>
      </c>
      <c r="L1201" s="949">
        <v>40.0</v>
      </c>
      <c r="M1201" s="949">
        <v>65.0</v>
      </c>
      <c r="N1201" s="949">
        <v>35.0</v>
      </c>
      <c r="O1201" s="949">
        <v>40.0</v>
      </c>
      <c r="P1201" s="949">
        <v>35.0</v>
      </c>
      <c r="Q1201" s="949">
        <v>75.0</v>
      </c>
      <c r="R1201" s="949">
        <v>186.0</v>
      </c>
      <c r="S1201" s="949">
        <v>249.0</v>
      </c>
      <c r="T1201" s="949">
        <v>273.0</v>
      </c>
      <c r="U1201" s="949"/>
      <c r="V1201" s="949"/>
      <c r="W1201" s="949"/>
      <c r="X1201" s="949"/>
      <c r="Y1201" s="949"/>
      <c r="Z1201" s="949"/>
      <c r="AA1201" s="949"/>
      <c r="AB1201" s="949"/>
      <c r="AC1201" s="949"/>
      <c r="AD1201" s="949"/>
      <c r="AE1201" s="949"/>
      <c r="AF1201" s="949"/>
      <c r="AG1201" s="949"/>
      <c r="AH1201" s="949"/>
      <c r="AI1201" s="949"/>
      <c r="AJ1201" s="949"/>
      <c r="AK1201" s="949"/>
      <c r="AL1201" s="949"/>
      <c r="AM1201" s="953" t="s">
        <v>1306</v>
      </c>
      <c r="AN1201" s="953" t="s">
        <v>1702</v>
      </c>
      <c r="AO1201" s="955" t="s">
        <v>1641</v>
      </c>
      <c r="AP1201" s="931"/>
      <c r="AQ1201" s="956"/>
      <c r="AR1201" s="957"/>
      <c r="AS1201" s="931"/>
    </row>
    <row r="1202" ht="15.75" customHeight="1">
      <c r="A1202" s="963"/>
      <c r="B1202" s="941">
        <v>969.0</v>
      </c>
      <c r="C1202" s="971" t="s">
        <v>196</v>
      </c>
      <c r="D1202" s="971" t="s">
        <v>196</v>
      </c>
      <c r="E1202" s="966" t="s">
        <v>196</v>
      </c>
      <c r="F1202" s="935"/>
      <c r="G1202" s="944"/>
      <c r="H1202" s="944"/>
      <c r="I1202" s="959" t="s">
        <v>115</v>
      </c>
      <c r="J1202" s="983" t="s">
        <v>709</v>
      </c>
      <c r="K1202" s="991" t="s">
        <v>703</v>
      </c>
      <c r="L1202" s="974">
        <v>63.0</v>
      </c>
      <c r="M1202" s="974">
        <v>95.0</v>
      </c>
      <c r="N1202" s="974">
        <v>65.0</v>
      </c>
      <c r="O1202" s="974">
        <v>80.0</v>
      </c>
      <c r="P1202" s="974">
        <v>72.0</v>
      </c>
      <c r="Q1202" s="974">
        <v>110.0</v>
      </c>
      <c r="R1202" s="949">
        <v>256.0</v>
      </c>
      <c r="S1202" s="949">
        <v>319.0</v>
      </c>
      <c r="T1202" s="949">
        <v>350.0</v>
      </c>
      <c r="U1202" s="949"/>
      <c r="V1202" s="949"/>
      <c r="W1202" s="949"/>
      <c r="X1202" s="949"/>
      <c r="Y1202" s="949"/>
      <c r="Z1202" s="949"/>
      <c r="AA1202" s="949"/>
      <c r="AB1202" s="949"/>
      <c r="AC1202" s="949"/>
      <c r="AD1202" s="949"/>
      <c r="AE1202" s="949"/>
      <c r="AF1202" s="949"/>
      <c r="AG1202" s="949"/>
      <c r="AH1202" s="949"/>
      <c r="AI1202" s="949"/>
      <c r="AJ1202" s="949"/>
      <c r="AK1202" s="949"/>
      <c r="AL1202" s="949"/>
      <c r="AM1202" s="964" t="s">
        <v>1306</v>
      </c>
      <c r="AN1202" s="953" t="s">
        <v>1224</v>
      </c>
      <c r="AO1202" s="955" t="s">
        <v>1641</v>
      </c>
      <c r="AP1202" s="931"/>
      <c r="AQ1202" s="956"/>
      <c r="AR1202" s="957"/>
      <c r="AS1202" s="931"/>
    </row>
    <row r="1203" ht="15.75" customHeight="1">
      <c r="A1203" s="931"/>
      <c r="B1203" s="941">
        <v>970.0</v>
      </c>
      <c r="C1203" s="942" t="s">
        <v>4115</v>
      </c>
      <c r="D1203" s="942" t="s">
        <v>4115</v>
      </c>
      <c r="E1203" s="943" t="s">
        <v>4115</v>
      </c>
      <c r="F1203" s="935"/>
      <c r="G1203" s="944"/>
      <c r="H1203" s="944"/>
      <c r="I1203" s="946" t="s">
        <v>680</v>
      </c>
      <c r="J1203" s="980" t="s">
        <v>720</v>
      </c>
      <c r="K1203" s="953"/>
      <c r="L1203" s="949">
        <v>37.0</v>
      </c>
      <c r="M1203" s="949">
        <v>55.0</v>
      </c>
      <c r="N1203" s="949">
        <v>70.0</v>
      </c>
      <c r="O1203" s="949">
        <v>30.0</v>
      </c>
      <c r="P1203" s="949">
        <v>55.0</v>
      </c>
      <c r="Q1203" s="949">
        <v>65.0</v>
      </c>
      <c r="R1203" s="949">
        <v>166.0</v>
      </c>
      <c r="S1203" s="949">
        <v>229.0</v>
      </c>
      <c r="T1203" s="949">
        <v>251.0</v>
      </c>
      <c r="U1203" s="949"/>
      <c r="V1203" s="949"/>
      <c r="W1203" s="949"/>
      <c r="X1203" s="949"/>
      <c r="Y1203" s="949"/>
      <c r="Z1203" s="949"/>
      <c r="AA1203" s="949"/>
      <c r="AB1203" s="949"/>
      <c r="AC1203" s="949"/>
      <c r="AD1203" s="949"/>
      <c r="AE1203" s="949"/>
      <c r="AF1203" s="949"/>
      <c r="AG1203" s="949"/>
      <c r="AH1203" s="949"/>
      <c r="AI1203" s="949"/>
      <c r="AJ1203" s="949"/>
      <c r="AK1203" s="949"/>
      <c r="AL1203" s="949"/>
      <c r="AM1203" s="953" t="s">
        <v>1176</v>
      </c>
      <c r="AN1203" s="953"/>
      <c r="AO1203" s="955" t="s">
        <v>2390</v>
      </c>
      <c r="AP1203" s="931"/>
      <c r="AQ1203" s="956"/>
      <c r="AR1203" s="957"/>
      <c r="AS1203" s="931"/>
    </row>
    <row r="1204" ht="15.75" customHeight="1">
      <c r="A1204" s="931"/>
      <c r="B1204" s="941">
        <v>971.0</v>
      </c>
      <c r="C1204" s="942" t="s">
        <v>4116</v>
      </c>
      <c r="D1204" s="942" t="s">
        <v>4116</v>
      </c>
      <c r="E1204" s="943" t="s">
        <v>4116</v>
      </c>
      <c r="F1204" s="935"/>
      <c r="G1204" s="944"/>
      <c r="H1204" s="944"/>
      <c r="I1204" s="946" t="s">
        <v>306</v>
      </c>
      <c r="J1204" s="980" t="s">
        <v>720</v>
      </c>
      <c r="K1204" s="953"/>
      <c r="L1204" s="949">
        <v>57.0</v>
      </c>
      <c r="M1204" s="949">
        <v>80.0</v>
      </c>
      <c r="N1204" s="949">
        <v>115.0</v>
      </c>
      <c r="O1204" s="949">
        <v>50.0</v>
      </c>
      <c r="P1204" s="949">
        <v>80.0</v>
      </c>
      <c r="Q1204" s="949">
        <v>95.0</v>
      </c>
      <c r="R1204" s="949">
        <v>226.0</v>
      </c>
      <c r="S1204" s="949">
        <v>289.0</v>
      </c>
      <c r="T1204" s="949">
        <v>317.0</v>
      </c>
      <c r="U1204" s="949"/>
      <c r="V1204" s="949"/>
      <c r="W1204" s="949"/>
      <c r="X1204" s="949"/>
      <c r="Y1204" s="949"/>
      <c r="Z1204" s="949"/>
      <c r="AA1204" s="949"/>
      <c r="AB1204" s="949"/>
      <c r="AC1204" s="949"/>
      <c r="AD1204" s="949"/>
      <c r="AE1204" s="949"/>
      <c r="AF1204" s="949"/>
      <c r="AG1204" s="949"/>
      <c r="AH1204" s="949"/>
      <c r="AI1204" s="949"/>
      <c r="AJ1204" s="949"/>
      <c r="AK1204" s="949"/>
      <c r="AL1204" s="949"/>
      <c r="AM1204" s="953" t="s">
        <v>4117</v>
      </c>
      <c r="AN1204" s="953"/>
      <c r="AO1204" s="955" t="s">
        <v>3246</v>
      </c>
      <c r="AP1204" s="931"/>
      <c r="AQ1204" s="956"/>
      <c r="AR1204" s="957"/>
      <c r="AS1204" s="931"/>
    </row>
    <row r="1205" ht="15.75" customHeight="1">
      <c r="A1205" s="963"/>
      <c r="B1205" s="941">
        <v>972.0</v>
      </c>
      <c r="C1205" s="942" t="s">
        <v>4118</v>
      </c>
      <c r="D1205" s="942" t="s">
        <v>4118</v>
      </c>
      <c r="E1205" s="943" t="s">
        <v>4118</v>
      </c>
      <c r="F1205" s="935"/>
      <c r="G1205" s="944"/>
      <c r="H1205" s="944"/>
      <c r="I1205" s="946" t="s">
        <v>561</v>
      </c>
      <c r="J1205" s="969" t="s">
        <v>718</v>
      </c>
      <c r="K1205" s="953"/>
      <c r="L1205" s="949">
        <v>60.0</v>
      </c>
      <c r="M1205" s="949">
        <v>78.0</v>
      </c>
      <c r="N1205" s="949">
        <v>60.0</v>
      </c>
      <c r="O1205" s="949">
        <v>40.0</v>
      </c>
      <c r="P1205" s="949">
        <v>51.0</v>
      </c>
      <c r="Q1205" s="949">
        <v>51.0</v>
      </c>
      <c r="R1205" s="949">
        <v>138.0</v>
      </c>
      <c r="S1205" s="949">
        <v>201.0</v>
      </c>
      <c r="T1205" s="949">
        <v>221.0</v>
      </c>
      <c r="U1205" s="949"/>
      <c r="V1205" s="949"/>
      <c r="W1205" s="949"/>
      <c r="X1205" s="949"/>
      <c r="Y1205" s="949"/>
      <c r="Z1205" s="949"/>
      <c r="AA1205" s="949"/>
      <c r="AB1205" s="949"/>
      <c r="AC1205" s="949"/>
      <c r="AD1205" s="949"/>
      <c r="AE1205" s="949"/>
      <c r="AF1205" s="949"/>
      <c r="AG1205" s="949"/>
      <c r="AH1205" s="949"/>
      <c r="AI1205" s="949"/>
      <c r="AJ1205" s="949"/>
      <c r="AK1205" s="949"/>
      <c r="AL1205" s="949"/>
      <c r="AM1205" s="964" t="s">
        <v>854</v>
      </c>
      <c r="AN1205" s="964" t="s">
        <v>787</v>
      </c>
      <c r="AO1205" s="965" t="s">
        <v>3430</v>
      </c>
      <c r="AP1205" s="931"/>
      <c r="AQ1205" s="956"/>
      <c r="AR1205" s="957"/>
      <c r="AS1205" s="931"/>
    </row>
    <row r="1206" ht="15.75" customHeight="1">
      <c r="A1206" s="931"/>
      <c r="B1206" s="941">
        <v>973.0</v>
      </c>
      <c r="C1206" s="942" t="s">
        <v>4119</v>
      </c>
      <c r="D1206" s="942" t="s">
        <v>4119</v>
      </c>
      <c r="E1206" s="943" t="s">
        <v>4119</v>
      </c>
      <c r="F1206" s="935"/>
      <c r="G1206" s="944"/>
      <c r="H1206" s="944"/>
      <c r="I1206" s="946" t="s">
        <v>422</v>
      </c>
      <c r="J1206" s="969" t="s">
        <v>718</v>
      </c>
      <c r="K1206" s="953"/>
      <c r="L1206" s="949">
        <v>80.0</v>
      </c>
      <c r="M1206" s="949">
        <v>120.0</v>
      </c>
      <c r="N1206" s="949">
        <v>90.0</v>
      </c>
      <c r="O1206" s="949">
        <v>60.0</v>
      </c>
      <c r="P1206" s="949">
        <v>70.0</v>
      </c>
      <c r="Q1206" s="949">
        <v>85.0</v>
      </c>
      <c r="R1206" s="949">
        <v>206.0</v>
      </c>
      <c r="S1206" s="949">
        <v>269.0</v>
      </c>
      <c r="T1206" s="949">
        <v>295.0</v>
      </c>
      <c r="U1206" s="949"/>
      <c r="V1206" s="949"/>
      <c r="W1206" s="949"/>
      <c r="X1206" s="949"/>
      <c r="Y1206" s="949"/>
      <c r="Z1206" s="949"/>
      <c r="AA1206" s="949"/>
      <c r="AB1206" s="949"/>
      <c r="AC1206" s="949"/>
      <c r="AD1206" s="949"/>
      <c r="AE1206" s="949"/>
      <c r="AF1206" s="949"/>
      <c r="AG1206" s="949"/>
      <c r="AH1206" s="949"/>
      <c r="AI1206" s="949"/>
      <c r="AJ1206" s="949"/>
      <c r="AK1206" s="949"/>
      <c r="AL1206" s="949"/>
      <c r="AM1206" s="953" t="s">
        <v>854</v>
      </c>
      <c r="AN1206" s="953" t="s">
        <v>4120</v>
      </c>
      <c r="AO1206" s="955" t="s">
        <v>3430</v>
      </c>
      <c r="AP1206" s="931"/>
      <c r="AQ1206" s="956"/>
      <c r="AR1206" s="957"/>
      <c r="AS1206" s="931"/>
    </row>
    <row r="1207" ht="15.75" customHeight="1">
      <c r="A1207" s="931"/>
      <c r="B1207" s="941">
        <v>974.0</v>
      </c>
      <c r="C1207" s="942" t="s">
        <v>4121</v>
      </c>
      <c r="D1207" s="942" t="s">
        <v>4121</v>
      </c>
      <c r="E1207" s="943" t="s">
        <v>4121</v>
      </c>
      <c r="F1207" s="935"/>
      <c r="G1207" s="944"/>
      <c r="H1207" s="944"/>
      <c r="I1207" s="959" t="s">
        <v>681</v>
      </c>
      <c r="J1207" s="947" t="s">
        <v>708</v>
      </c>
      <c r="K1207" s="994" t="s">
        <v>717</v>
      </c>
      <c r="L1207" s="949">
        <v>40.0</v>
      </c>
      <c r="M1207" s="949">
        <v>65.0</v>
      </c>
      <c r="N1207" s="949">
        <v>30.0</v>
      </c>
      <c r="O1207" s="949">
        <v>45.0</v>
      </c>
      <c r="P1207" s="949">
        <v>35.0</v>
      </c>
      <c r="Q1207" s="949">
        <v>60.0</v>
      </c>
      <c r="R1207" s="949">
        <v>156.0</v>
      </c>
      <c r="S1207" s="949">
        <v>219.0</v>
      </c>
      <c r="T1207" s="949">
        <v>240.0</v>
      </c>
      <c r="U1207" s="949"/>
      <c r="V1207" s="949"/>
      <c r="W1207" s="949"/>
      <c r="X1207" s="949"/>
      <c r="Y1207" s="949"/>
      <c r="Z1207" s="949"/>
      <c r="AA1207" s="949"/>
      <c r="AB1207" s="949"/>
      <c r="AC1207" s="949"/>
      <c r="AD1207" s="949"/>
      <c r="AE1207" s="949"/>
      <c r="AF1207" s="949"/>
      <c r="AG1207" s="949"/>
      <c r="AH1207" s="949"/>
      <c r="AI1207" s="949"/>
      <c r="AJ1207" s="949"/>
      <c r="AK1207" s="949"/>
      <c r="AL1207" s="949"/>
      <c r="AM1207" s="953" t="s">
        <v>4122</v>
      </c>
      <c r="AN1207" s="953"/>
      <c r="AO1207" s="955" t="s">
        <v>995</v>
      </c>
      <c r="AP1207" s="931"/>
      <c r="AQ1207" s="956"/>
      <c r="AR1207" s="957"/>
      <c r="AS1207" s="931"/>
    </row>
    <row r="1208" ht="15.75" customHeight="1">
      <c r="A1208" s="931"/>
      <c r="B1208" s="941">
        <v>975.0</v>
      </c>
      <c r="C1208" s="942" t="s">
        <v>4123</v>
      </c>
      <c r="D1208" s="942" t="s">
        <v>4123</v>
      </c>
      <c r="E1208" s="943" t="s">
        <v>4123</v>
      </c>
      <c r="F1208" s="935"/>
      <c r="G1208" s="944"/>
      <c r="H1208" s="944"/>
      <c r="I1208" s="959" t="s">
        <v>405</v>
      </c>
      <c r="J1208" s="947" t="s">
        <v>708</v>
      </c>
      <c r="K1208" s="994" t="s">
        <v>717</v>
      </c>
      <c r="L1208" s="949">
        <v>55.0</v>
      </c>
      <c r="M1208" s="949">
        <v>115.0</v>
      </c>
      <c r="N1208" s="949">
        <v>70.0</v>
      </c>
      <c r="O1208" s="949">
        <v>80.0</v>
      </c>
      <c r="P1208" s="949">
        <v>70.0</v>
      </c>
      <c r="Q1208" s="949">
        <v>90.0</v>
      </c>
      <c r="R1208" s="949">
        <v>216.0</v>
      </c>
      <c r="S1208" s="949">
        <v>279.0</v>
      </c>
      <c r="T1208" s="949">
        <v>306.0</v>
      </c>
      <c r="U1208" s="949"/>
      <c r="V1208" s="949"/>
      <c r="W1208" s="949"/>
      <c r="X1208" s="949"/>
      <c r="Y1208" s="949"/>
      <c r="Z1208" s="949"/>
      <c r="AA1208" s="949"/>
      <c r="AB1208" s="949"/>
      <c r="AC1208" s="949"/>
      <c r="AD1208" s="949"/>
      <c r="AE1208" s="949"/>
      <c r="AF1208" s="949"/>
      <c r="AG1208" s="949"/>
      <c r="AH1208" s="949"/>
      <c r="AI1208" s="949"/>
      <c r="AJ1208" s="949"/>
      <c r="AK1208" s="949"/>
      <c r="AL1208" s="949"/>
      <c r="AM1208" s="953" t="s">
        <v>4122</v>
      </c>
      <c r="AN1208" s="953"/>
      <c r="AO1208" s="955" t="s">
        <v>995</v>
      </c>
      <c r="AP1208" s="931"/>
      <c r="AQ1208" s="956"/>
      <c r="AR1208" s="957"/>
      <c r="AS1208" s="931"/>
    </row>
    <row r="1209" ht="15.75" customHeight="1">
      <c r="A1209" s="931"/>
      <c r="B1209" s="941">
        <v>976.0</v>
      </c>
      <c r="C1209" s="942" t="s">
        <v>4124</v>
      </c>
      <c r="D1209" s="942" t="s">
        <v>4124</v>
      </c>
      <c r="E1209" s="943" t="s">
        <v>4124</v>
      </c>
      <c r="F1209" s="935"/>
      <c r="G1209" s="944"/>
      <c r="H1209" s="944"/>
      <c r="I1209" s="959" t="s">
        <v>682</v>
      </c>
      <c r="J1209" s="994" t="s">
        <v>717</v>
      </c>
      <c r="K1209" s="953"/>
      <c r="L1209" s="949">
        <v>45.0</v>
      </c>
      <c r="M1209" s="949">
        <v>30.0</v>
      </c>
      <c r="N1209" s="949">
        <v>70.0</v>
      </c>
      <c r="O1209" s="949">
        <v>75.0</v>
      </c>
      <c r="P1209" s="949">
        <v>70.0</v>
      </c>
      <c r="Q1209" s="949">
        <v>10.0</v>
      </c>
      <c r="R1209" s="949">
        <v>56.0</v>
      </c>
      <c r="S1209" s="949">
        <v>119.0</v>
      </c>
      <c r="T1209" s="949">
        <v>130.0</v>
      </c>
      <c r="U1209" s="949"/>
      <c r="V1209" s="949"/>
      <c r="W1209" s="949"/>
      <c r="X1209" s="949"/>
      <c r="Y1209" s="949"/>
      <c r="Z1209" s="949"/>
      <c r="AA1209" s="949"/>
      <c r="AB1209" s="949"/>
      <c r="AC1209" s="949"/>
      <c r="AD1209" s="949"/>
      <c r="AE1209" s="949"/>
      <c r="AF1209" s="949"/>
      <c r="AG1209" s="949"/>
      <c r="AH1209" s="949"/>
      <c r="AI1209" s="949"/>
      <c r="AJ1209" s="949"/>
      <c r="AK1209" s="949"/>
      <c r="AL1209" s="949"/>
      <c r="AM1209" s="953" t="s">
        <v>1046</v>
      </c>
      <c r="AN1209" s="954"/>
      <c r="AO1209" s="955"/>
      <c r="AP1209" s="931"/>
      <c r="AQ1209" s="956"/>
      <c r="AR1209" s="957"/>
      <c r="AS1209" s="931"/>
    </row>
    <row r="1210" ht="15.75" customHeight="1">
      <c r="A1210" s="963"/>
      <c r="B1210" s="941">
        <v>977.0</v>
      </c>
      <c r="C1210" s="971" t="s">
        <v>4125</v>
      </c>
      <c r="D1210" s="971" t="s">
        <v>4125</v>
      </c>
      <c r="E1210" s="966" t="s">
        <v>4125</v>
      </c>
      <c r="F1210" s="935"/>
      <c r="G1210" s="944"/>
      <c r="H1210" s="944"/>
      <c r="I1210" s="959" t="s">
        <v>57</v>
      </c>
      <c r="J1210" s="995" t="s">
        <v>717</v>
      </c>
      <c r="K1210" s="1007" t="s">
        <v>719</v>
      </c>
      <c r="L1210" s="974">
        <v>87.0</v>
      </c>
      <c r="M1210" s="974">
        <v>60.0</v>
      </c>
      <c r="N1210" s="974">
        <v>95.0</v>
      </c>
      <c r="O1210" s="974">
        <v>133.0</v>
      </c>
      <c r="P1210" s="974">
        <v>91.0</v>
      </c>
      <c r="Q1210" s="974">
        <v>84.0</v>
      </c>
      <c r="R1210" s="949">
        <v>204.0</v>
      </c>
      <c r="S1210" s="949">
        <v>267.0</v>
      </c>
      <c r="T1210" s="949">
        <v>293.0</v>
      </c>
      <c r="U1210" s="949"/>
      <c r="V1210" s="949"/>
      <c r="W1210" s="949"/>
      <c r="X1210" s="949"/>
      <c r="Y1210" s="949"/>
      <c r="Z1210" s="949"/>
      <c r="AA1210" s="949"/>
      <c r="AB1210" s="949"/>
      <c r="AC1210" s="949"/>
      <c r="AD1210" s="949"/>
      <c r="AE1210" s="949"/>
      <c r="AF1210" s="949"/>
      <c r="AG1210" s="949"/>
      <c r="AH1210" s="949"/>
      <c r="AI1210" s="949"/>
      <c r="AJ1210" s="949"/>
      <c r="AK1210" s="949"/>
      <c r="AL1210" s="949"/>
      <c r="AM1210" s="964" t="s">
        <v>4126</v>
      </c>
      <c r="AN1210" s="973"/>
      <c r="AO1210" s="965"/>
      <c r="AP1210" s="931"/>
      <c r="AQ1210" s="956"/>
      <c r="AR1210" s="957"/>
      <c r="AS1210" s="931"/>
    </row>
    <row r="1211" ht="15.75" customHeight="1">
      <c r="A1211" s="931"/>
      <c r="B1211" s="941">
        <v>978.0</v>
      </c>
      <c r="C1211" s="942" t="s">
        <v>4127</v>
      </c>
      <c r="D1211" s="942" t="s">
        <v>4128</v>
      </c>
      <c r="E1211" s="943" t="s">
        <v>4127</v>
      </c>
      <c r="F1211" s="935"/>
      <c r="G1211" s="944"/>
      <c r="H1211" s="944"/>
      <c r="I1211" s="946" t="s">
        <v>4129</v>
      </c>
      <c r="J1211" s="976" t="s">
        <v>711</v>
      </c>
      <c r="K1211" s="988" t="s">
        <v>705</v>
      </c>
      <c r="L1211" s="949">
        <v>115.0</v>
      </c>
      <c r="M1211" s="949">
        <v>131.0</v>
      </c>
      <c r="N1211" s="949">
        <v>131.0</v>
      </c>
      <c r="O1211" s="949">
        <v>53.0</v>
      </c>
      <c r="P1211" s="949">
        <v>53.0</v>
      </c>
      <c r="Q1211" s="949">
        <v>87.0</v>
      </c>
      <c r="R1211" s="949">
        <v>210.0</v>
      </c>
      <c r="S1211" s="949">
        <v>273.0</v>
      </c>
      <c r="T1211" s="949">
        <v>300.0</v>
      </c>
      <c r="U1211" s="949"/>
      <c r="V1211" s="949"/>
      <c r="W1211" s="949"/>
      <c r="X1211" s="949"/>
      <c r="Y1211" s="949"/>
      <c r="Z1211" s="949"/>
      <c r="AA1211" s="949"/>
      <c r="AB1211" s="949"/>
      <c r="AC1211" s="949"/>
      <c r="AD1211" s="949"/>
      <c r="AE1211" s="949"/>
      <c r="AF1211" s="949"/>
      <c r="AG1211" s="949"/>
      <c r="AH1211" s="949"/>
      <c r="AI1211" s="949"/>
      <c r="AJ1211" s="949"/>
      <c r="AK1211" s="949"/>
      <c r="AL1211" s="949"/>
      <c r="AM1211" s="953" t="s">
        <v>4130</v>
      </c>
      <c r="AN1211" s="954"/>
      <c r="AO1211" s="955"/>
      <c r="AP1211" s="931"/>
      <c r="AQ1211" s="956"/>
      <c r="AR1211" s="957"/>
      <c r="AS1211" s="931"/>
    </row>
    <row r="1212" ht="15.75" customHeight="1">
      <c r="A1212" s="931"/>
      <c r="B1212" s="941">
        <v>979.0</v>
      </c>
      <c r="C1212" s="942" t="s">
        <v>4131</v>
      </c>
      <c r="D1212" s="942" t="s">
        <v>4132</v>
      </c>
      <c r="E1212" s="943" t="s">
        <v>4131</v>
      </c>
      <c r="F1212" s="935"/>
      <c r="G1212" s="944"/>
      <c r="H1212" s="944"/>
      <c r="I1212" s="946" t="s">
        <v>4133</v>
      </c>
      <c r="J1212" s="947" t="s">
        <v>708</v>
      </c>
      <c r="K1212" s="969" t="s">
        <v>718</v>
      </c>
      <c r="L1212" s="949">
        <v>115.0</v>
      </c>
      <c r="M1212" s="949">
        <v>127.0</v>
      </c>
      <c r="N1212" s="949">
        <v>99.0</v>
      </c>
      <c r="O1212" s="949">
        <v>79.0</v>
      </c>
      <c r="P1212" s="949">
        <v>99.0</v>
      </c>
      <c r="Q1212" s="949">
        <v>55.0</v>
      </c>
      <c r="R1212" s="949">
        <v>146.0</v>
      </c>
      <c r="S1212" s="949">
        <v>209.0</v>
      </c>
      <c r="T1212" s="949">
        <v>229.0</v>
      </c>
      <c r="U1212" s="949"/>
      <c r="V1212" s="949"/>
      <c r="W1212" s="949"/>
      <c r="X1212" s="949"/>
      <c r="Y1212" s="949"/>
      <c r="Z1212" s="949"/>
      <c r="AA1212" s="949"/>
      <c r="AB1212" s="949"/>
      <c r="AC1212" s="949"/>
      <c r="AD1212" s="949"/>
      <c r="AE1212" s="949"/>
      <c r="AF1212" s="949"/>
      <c r="AG1212" s="949"/>
      <c r="AH1212" s="949"/>
      <c r="AI1212" s="949"/>
      <c r="AJ1212" s="949"/>
      <c r="AK1212" s="949"/>
      <c r="AL1212" s="949"/>
      <c r="AM1212" s="953" t="s">
        <v>4130</v>
      </c>
      <c r="AN1212" s="954"/>
      <c r="AO1212" s="955"/>
      <c r="AP1212" s="931"/>
      <c r="AQ1212" s="956"/>
      <c r="AR1212" s="957"/>
      <c r="AS1212" s="931"/>
    </row>
    <row r="1213" ht="15.75" customHeight="1">
      <c r="A1213" s="963"/>
      <c r="B1213" s="941">
        <v>980.0</v>
      </c>
      <c r="C1213" s="971" t="s">
        <v>4134</v>
      </c>
      <c r="D1213" s="971" t="s">
        <v>4135</v>
      </c>
      <c r="E1213" s="966" t="s">
        <v>4134</v>
      </c>
      <c r="F1213" s="935"/>
      <c r="G1213" s="944"/>
      <c r="H1213" s="944"/>
      <c r="I1213" s="959" t="s">
        <v>4136</v>
      </c>
      <c r="J1213" s="964"/>
      <c r="K1213" s="964"/>
      <c r="L1213" s="974"/>
      <c r="M1213" s="974"/>
      <c r="N1213" s="974"/>
      <c r="O1213" s="974"/>
      <c r="P1213" s="974"/>
      <c r="Q1213" s="974"/>
      <c r="R1213" s="949" t="s">
        <v>2801</v>
      </c>
      <c r="S1213" s="949" t="s">
        <v>2801</v>
      </c>
      <c r="T1213" s="949" t="s">
        <v>2801</v>
      </c>
      <c r="U1213" s="949"/>
      <c r="V1213" s="949"/>
      <c r="W1213" s="949"/>
      <c r="X1213" s="949"/>
      <c r="Y1213" s="949"/>
      <c r="Z1213" s="949"/>
      <c r="AA1213" s="949"/>
      <c r="AB1213" s="949"/>
      <c r="AC1213" s="949"/>
      <c r="AD1213" s="949"/>
      <c r="AE1213" s="949"/>
      <c r="AF1213" s="949"/>
      <c r="AG1213" s="949"/>
      <c r="AH1213" s="949"/>
      <c r="AI1213" s="949"/>
      <c r="AJ1213" s="949"/>
      <c r="AK1213" s="949"/>
      <c r="AL1213" s="949"/>
      <c r="AM1213" s="964"/>
      <c r="AN1213" s="973"/>
      <c r="AO1213" s="965"/>
      <c r="AP1213" s="931"/>
      <c r="AQ1213" s="956"/>
      <c r="AR1213" s="957"/>
      <c r="AS1213" s="931"/>
    </row>
    <row r="1214" ht="15.75" customHeight="1">
      <c r="A1214" s="931"/>
      <c r="B1214" s="941">
        <v>981.0</v>
      </c>
      <c r="C1214" s="942" t="s">
        <v>4137</v>
      </c>
      <c r="D1214" s="942" t="s">
        <v>4138</v>
      </c>
      <c r="E1214" s="943" t="s">
        <v>4137</v>
      </c>
      <c r="F1214" s="935"/>
      <c r="G1214" s="944"/>
      <c r="H1214" s="944"/>
      <c r="I1214" s="946" t="s">
        <v>4139</v>
      </c>
      <c r="J1214" s="970" t="s">
        <v>710</v>
      </c>
      <c r="K1214" s="976" t="s">
        <v>711</v>
      </c>
      <c r="L1214" s="949">
        <v>85.0</v>
      </c>
      <c r="M1214" s="949">
        <v>81.0</v>
      </c>
      <c r="N1214" s="949">
        <v>97.0</v>
      </c>
      <c r="O1214" s="949">
        <v>121.0</v>
      </c>
      <c r="P1214" s="949">
        <v>85.0</v>
      </c>
      <c r="Q1214" s="949">
        <v>101.0</v>
      </c>
      <c r="R1214" s="949">
        <v>238.0</v>
      </c>
      <c r="S1214" s="949">
        <v>301.0</v>
      </c>
      <c r="T1214" s="949">
        <v>331.0</v>
      </c>
      <c r="U1214" s="949"/>
      <c r="V1214" s="949"/>
      <c r="W1214" s="949"/>
      <c r="X1214" s="949"/>
      <c r="Y1214" s="949"/>
      <c r="Z1214" s="949"/>
      <c r="AA1214" s="949"/>
      <c r="AB1214" s="949"/>
      <c r="AC1214" s="949"/>
      <c r="AD1214" s="949"/>
      <c r="AE1214" s="949"/>
      <c r="AF1214" s="949"/>
      <c r="AG1214" s="949"/>
      <c r="AH1214" s="949"/>
      <c r="AI1214" s="949"/>
      <c r="AJ1214" s="949"/>
      <c r="AK1214" s="949"/>
      <c r="AL1214" s="949"/>
      <c r="AM1214" s="953" t="s">
        <v>4130</v>
      </c>
      <c r="AN1214" s="954"/>
      <c r="AO1214" s="955"/>
      <c r="AP1214" s="931"/>
      <c r="AQ1214" s="956"/>
      <c r="AR1214" s="957"/>
      <c r="AS1214" s="931"/>
    </row>
    <row r="1215" ht="15.75" customHeight="1">
      <c r="A1215" s="931"/>
      <c r="B1215" s="941">
        <v>982.0</v>
      </c>
      <c r="C1215" s="942" t="s">
        <v>4140</v>
      </c>
      <c r="D1215" s="942" t="s">
        <v>4141</v>
      </c>
      <c r="E1215" s="943" t="s">
        <v>4140</v>
      </c>
      <c r="F1215" s="935"/>
      <c r="G1215" s="944"/>
      <c r="H1215" s="944"/>
      <c r="I1215" s="959" t="s">
        <v>4142</v>
      </c>
      <c r="J1215" s="980" t="s">
        <v>720</v>
      </c>
      <c r="K1215" s="975" t="s">
        <v>712</v>
      </c>
      <c r="L1215" s="949">
        <v>115.0</v>
      </c>
      <c r="M1215" s="949">
        <v>65.0</v>
      </c>
      <c r="N1215" s="949">
        <v>99.0</v>
      </c>
      <c r="O1215" s="949">
        <v>65.0</v>
      </c>
      <c r="P1215" s="949">
        <v>115.0</v>
      </c>
      <c r="Q1215" s="949">
        <v>111.0</v>
      </c>
      <c r="R1215" s="949">
        <v>258.0</v>
      </c>
      <c r="S1215" s="949">
        <v>321.0</v>
      </c>
      <c r="T1215" s="949">
        <v>353.0</v>
      </c>
      <c r="U1215" s="949"/>
      <c r="V1215" s="949"/>
      <c r="W1215" s="949"/>
      <c r="X1215" s="949"/>
      <c r="Y1215" s="949"/>
      <c r="Z1215" s="949"/>
      <c r="AA1215" s="949"/>
      <c r="AB1215" s="949"/>
      <c r="AC1215" s="949"/>
      <c r="AD1215" s="949"/>
      <c r="AE1215" s="949"/>
      <c r="AF1215" s="949"/>
      <c r="AG1215" s="949"/>
      <c r="AH1215" s="949"/>
      <c r="AI1215" s="949"/>
      <c r="AJ1215" s="949"/>
      <c r="AK1215" s="949"/>
      <c r="AL1215" s="949"/>
      <c r="AM1215" s="953" t="s">
        <v>4130</v>
      </c>
      <c r="AN1215" s="954"/>
      <c r="AO1215" s="955"/>
      <c r="AP1215" s="931"/>
      <c r="AQ1215" s="956"/>
      <c r="AR1215" s="957"/>
      <c r="AS1215" s="931"/>
    </row>
    <row r="1216" ht="15.75" customHeight="1">
      <c r="A1216" s="931"/>
      <c r="B1216" s="941">
        <v>983.0</v>
      </c>
      <c r="C1216" s="942" t="s">
        <v>4143</v>
      </c>
      <c r="D1216" s="942" t="s">
        <v>4144</v>
      </c>
      <c r="E1216" s="943" t="s">
        <v>4143</v>
      </c>
      <c r="F1216" s="935"/>
      <c r="G1216" s="944"/>
      <c r="H1216" s="944"/>
      <c r="I1216" s="946" t="s">
        <v>4145</v>
      </c>
      <c r="J1216" s="994" t="s">
        <v>717</v>
      </c>
      <c r="K1216" s="980" t="s">
        <v>720</v>
      </c>
      <c r="L1216" s="949">
        <v>55.0</v>
      </c>
      <c r="M1216" s="949">
        <v>55.0</v>
      </c>
      <c r="N1216" s="949">
        <v>55.0</v>
      </c>
      <c r="O1216" s="949">
        <v>135.0</v>
      </c>
      <c r="P1216" s="949">
        <v>135.0</v>
      </c>
      <c r="Q1216" s="949">
        <v>135.0</v>
      </c>
      <c r="R1216" s="949">
        <v>306.0</v>
      </c>
      <c r="S1216" s="949">
        <v>369.0</v>
      </c>
      <c r="T1216" s="949">
        <v>405.0</v>
      </c>
      <c r="U1216" s="949"/>
      <c r="V1216" s="949"/>
      <c r="W1216" s="949"/>
      <c r="X1216" s="949"/>
      <c r="Y1216" s="949"/>
      <c r="Z1216" s="949"/>
      <c r="AA1216" s="949"/>
      <c r="AB1216" s="949"/>
      <c r="AC1216" s="949"/>
      <c r="AD1216" s="949"/>
      <c r="AE1216" s="949"/>
      <c r="AF1216" s="949"/>
      <c r="AG1216" s="949"/>
      <c r="AH1216" s="949"/>
      <c r="AI1216" s="949"/>
      <c r="AJ1216" s="949"/>
      <c r="AK1216" s="949"/>
      <c r="AL1216" s="949"/>
      <c r="AM1216" s="953" t="s">
        <v>4130</v>
      </c>
      <c r="AN1216" s="954"/>
      <c r="AO1216" s="955"/>
      <c r="AP1216" s="931"/>
      <c r="AQ1216" s="956"/>
      <c r="AR1216" s="957"/>
      <c r="AS1216" s="931"/>
    </row>
    <row r="1217" ht="15.75" customHeight="1">
      <c r="A1217" s="931"/>
      <c r="B1217" s="941">
        <v>984.0</v>
      </c>
      <c r="C1217" s="942" t="s">
        <v>4146</v>
      </c>
      <c r="D1217" s="942" t="s">
        <v>4147</v>
      </c>
      <c r="E1217" s="943" t="s">
        <v>4146</v>
      </c>
      <c r="F1217" s="935"/>
      <c r="G1217" s="944"/>
      <c r="H1217" s="944"/>
      <c r="I1217" s="946" t="s">
        <v>4148</v>
      </c>
      <c r="J1217" s="967" t="s">
        <v>715</v>
      </c>
      <c r="K1217" s="988" t="s">
        <v>705</v>
      </c>
      <c r="L1217" s="949">
        <v>85.0</v>
      </c>
      <c r="M1217" s="949">
        <v>135.0</v>
      </c>
      <c r="N1217" s="949">
        <v>79.0</v>
      </c>
      <c r="O1217" s="949">
        <v>85.0</v>
      </c>
      <c r="P1217" s="949">
        <v>105.0</v>
      </c>
      <c r="Q1217" s="949">
        <v>81.0</v>
      </c>
      <c r="R1217" s="949">
        <v>198.0</v>
      </c>
      <c r="S1217" s="949">
        <v>261.0</v>
      </c>
      <c r="T1217" s="949">
        <v>287.0</v>
      </c>
      <c r="U1217" s="949"/>
      <c r="V1217" s="949"/>
      <c r="W1217" s="949"/>
      <c r="X1217" s="949"/>
      <c r="Y1217" s="949"/>
      <c r="Z1217" s="949"/>
      <c r="AA1217" s="949"/>
      <c r="AB1217" s="949"/>
      <c r="AC1217" s="949"/>
      <c r="AD1217" s="949"/>
      <c r="AE1217" s="949"/>
      <c r="AF1217" s="949"/>
      <c r="AG1217" s="949"/>
      <c r="AH1217" s="949"/>
      <c r="AI1217" s="949"/>
      <c r="AJ1217" s="949"/>
      <c r="AK1217" s="949"/>
      <c r="AL1217" s="949"/>
      <c r="AM1217" s="953" t="s">
        <v>4130</v>
      </c>
      <c r="AN1217" s="954"/>
      <c r="AO1217" s="955"/>
      <c r="AP1217" s="931"/>
      <c r="AQ1217" s="956"/>
      <c r="AR1217" s="957"/>
      <c r="AS1217" s="931"/>
    </row>
    <row r="1218" ht="15.75" customHeight="1">
      <c r="A1218" s="963"/>
      <c r="B1218" s="941">
        <v>985.0</v>
      </c>
      <c r="C1218" s="942" t="s">
        <v>4149</v>
      </c>
      <c r="D1218" s="942" t="s">
        <v>4150</v>
      </c>
      <c r="E1218" s="943" t="s">
        <v>4149</v>
      </c>
      <c r="F1218" s="935"/>
      <c r="G1218" s="944"/>
      <c r="H1218" s="944"/>
      <c r="I1218" s="946" t="s">
        <v>4151</v>
      </c>
      <c r="J1218" s="961" t="s">
        <v>716</v>
      </c>
      <c r="K1218" s="969" t="s">
        <v>718</v>
      </c>
      <c r="L1218" s="949">
        <v>105.0</v>
      </c>
      <c r="M1218" s="949">
        <v>139.0</v>
      </c>
      <c r="N1218" s="949">
        <v>71.0</v>
      </c>
      <c r="O1218" s="949">
        <v>55.0</v>
      </c>
      <c r="P1218" s="949">
        <v>101.0</v>
      </c>
      <c r="Q1218" s="949">
        <v>119.0</v>
      </c>
      <c r="R1218" s="949">
        <v>274.0</v>
      </c>
      <c r="S1218" s="949">
        <v>337.0</v>
      </c>
      <c r="T1218" s="949">
        <v>370.0</v>
      </c>
      <c r="U1218" s="949"/>
      <c r="V1218" s="949"/>
      <c r="W1218" s="949"/>
      <c r="X1218" s="949"/>
      <c r="Y1218" s="949"/>
      <c r="Z1218" s="949"/>
      <c r="AA1218" s="949"/>
      <c r="AB1218" s="949"/>
      <c r="AC1218" s="949"/>
      <c r="AD1218" s="949"/>
      <c r="AE1218" s="949"/>
      <c r="AF1218" s="949"/>
      <c r="AG1218" s="949"/>
      <c r="AH1218" s="949"/>
      <c r="AI1218" s="949"/>
      <c r="AJ1218" s="949"/>
      <c r="AK1218" s="949"/>
      <c r="AL1218" s="949"/>
      <c r="AM1218" s="964" t="s">
        <v>4130</v>
      </c>
      <c r="AN1218" s="954"/>
      <c r="AO1218" s="965"/>
      <c r="AP1218" s="931"/>
      <c r="AQ1218" s="956"/>
      <c r="AR1218" s="957"/>
      <c r="AS1218" s="931"/>
    </row>
    <row r="1219" ht="15.75" customHeight="1">
      <c r="A1219" s="931"/>
      <c r="B1219" s="941">
        <v>986.0</v>
      </c>
      <c r="C1219" s="942" t="s">
        <v>4152</v>
      </c>
      <c r="D1219" s="942" t="s">
        <v>4153</v>
      </c>
      <c r="E1219" s="943" t="s">
        <v>4152</v>
      </c>
      <c r="F1219" s="935"/>
      <c r="G1219" s="944"/>
      <c r="H1219" s="944"/>
      <c r="I1219" s="946" t="s">
        <v>4154</v>
      </c>
      <c r="J1219" s="976" t="s">
        <v>711</v>
      </c>
      <c r="K1219" s="978" t="s">
        <v>719</v>
      </c>
      <c r="L1219" s="949">
        <v>90.0</v>
      </c>
      <c r="M1219" s="949">
        <v>112.0</v>
      </c>
      <c r="N1219" s="949">
        <v>120.0</v>
      </c>
      <c r="O1219" s="949">
        <v>72.0</v>
      </c>
      <c r="P1219" s="949">
        <v>70.0</v>
      </c>
      <c r="Q1219" s="949">
        <v>106.0</v>
      </c>
      <c r="R1219" s="949">
        <v>248.0</v>
      </c>
      <c r="S1219" s="949">
        <v>311.0</v>
      </c>
      <c r="T1219" s="949">
        <v>342.0</v>
      </c>
      <c r="U1219" s="949"/>
      <c r="V1219" s="949"/>
      <c r="W1219" s="949"/>
      <c r="X1219" s="949"/>
      <c r="Y1219" s="949"/>
      <c r="Z1219" s="949"/>
      <c r="AA1219" s="949"/>
      <c r="AB1219" s="949"/>
      <c r="AC1219" s="949"/>
      <c r="AD1219" s="949"/>
      <c r="AE1219" s="949"/>
      <c r="AF1219" s="949"/>
      <c r="AG1219" s="949"/>
      <c r="AH1219" s="949"/>
      <c r="AI1219" s="949"/>
      <c r="AJ1219" s="949"/>
      <c r="AK1219" s="949"/>
      <c r="AL1219" s="949"/>
      <c r="AM1219" s="953" t="s">
        <v>4155</v>
      </c>
      <c r="AN1219" s="954"/>
      <c r="AO1219" s="955"/>
      <c r="AP1219" s="931"/>
      <c r="AQ1219" s="956"/>
      <c r="AR1219" s="957"/>
      <c r="AS1219" s="931"/>
    </row>
    <row r="1220" ht="15.75" customHeight="1">
      <c r="A1220" s="931"/>
      <c r="B1220" s="941">
        <v>987.0</v>
      </c>
      <c r="C1220" s="942" t="s">
        <v>4156</v>
      </c>
      <c r="D1220" s="942" t="s">
        <v>4157</v>
      </c>
      <c r="E1220" s="943" t="s">
        <v>4134</v>
      </c>
      <c r="F1220" s="935"/>
      <c r="G1220" s="944"/>
      <c r="H1220" s="944"/>
      <c r="I1220" s="946" t="s">
        <v>4158</v>
      </c>
      <c r="J1220" s="953"/>
      <c r="K1220" s="953"/>
      <c r="L1220" s="949"/>
      <c r="M1220" s="949"/>
      <c r="N1220" s="949"/>
      <c r="O1220" s="949"/>
      <c r="P1220" s="949"/>
      <c r="Q1220" s="949"/>
      <c r="R1220" s="949" t="s">
        <v>2801</v>
      </c>
      <c r="S1220" s="949" t="s">
        <v>2801</v>
      </c>
      <c r="T1220" s="949" t="s">
        <v>2801</v>
      </c>
      <c r="U1220" s="949"/>
      <c r="V1220" s="949"/>
      <c r="W1220" s="949"/>
      <c r="X1220" s="949"/>
      <c r="Y1220" s="949"/>
      <c r="Z1220" s="949"/>
      <c r="AA1220" s="949"/>
      <c r="AB1220" s="949"/>
      <c r="AC1220" s="949"/>
      <c r="AD1220" s="949"/>
      <c r="AE1220" s="949"/>
      <c r="AF1220" s="949"/>
      <c r="AG1220" s="949"/>
      <c r="AH1220" s="949"/>
      <c r="AI1220" s="949"/>
      <c r="AJ1220" s="949"/>
      <c r="AK1220" s="949"/>
      <c r="AL1220" s="949"/>
      <c r="AM1220" s="953"/>
      <c r="AN1220" s="954"/>
      <c r="AO1220" s="955"/>
      <c r="AP1220" s="931"/>
      <c r="AQ1220" s="956"/>
      <c r="AR1220" s="957"/>
      <c r="AS1220" s="931"/>
    </row>
    <row r="1221" ht="15.75" customHeight="1">
      <c r="A1221" s="931"/>
      <c r="B1221" s="941">
        <v>988.0</v>
      </c>
      <c r="C1221" s="942" t="s">
        <v>4159</v>
      </c>
      <c r="D1221" s="942" t="s">
        <v>4160</v>
      </c>
      <c r="E1221" s="943" t="s">
        <v>4159</v>
      </c>
      <c r="F1221" s="935"/>
      <c r="G1221" s="944"/>
      <c r="H1221" s="944"/>
      <c r="I1221" s="946" t="s">
        <v>4161</v>
      </c>
      <c r="J1221" s="958" t="s">
        <v>704</v>
      </c>
      <c r="K1221" s="948" t="s">
        <v>709</v>
      </c>
      <c r="L1221" s="949">
        <v>80.0</v>
      </c>
      <c r="M1221" s="949">
        <v>70.0</v>
      </c>
      <c r="N1221" s="949">
        <v>60.0</v>
      </c>
      <c r="O1221" s="949">
        <v>140.0</v>
      </c>
      <c r="P1221" s="949">
        <v>110.0</v>
      </c>
      <c r="Q1221" s="949">
        <v>110.0</v>
      </c>
      <c r="R1221" s="949">
        <v>256.0</v>
      </c>
      <c r="S1221" s="949">
        <v>319.0</v>
      </c>
      <c r="T1221" s="949">
        <v>350.0</v>
      </c>
      <c r="U1221" s="949"/>
      <c r="V1221" s="949"/>
      <c r="W1221" s="949"/>
      <c r="X1221" s="949"/>
      <c r="Y1221" s="949"/>
      <c r="Z1221" s="949"/>
      <c r="AA1221" s="949"/>
      <c r="AB1221" s="949"/>
      <c r="AC1221" s="949"/>
      <c r="AD1221" s="949"/>
      <c r="AE1221" s="949"/>
      <c r="AF1221" s="949"/>
      <c r="AG1221" s="949"/>
      <c r="AH1221" s="949"/>
      <c r="AI1221" s="949"/>
      <c r="AJ1221" s="949"/>
      <c r="AK1221" s="949"/>
      <c r="AL1221" s="949"/>
      <c r="AM1221" s="953" t="s">
        <v>4155</v>
      </c>
      <c r="AN1221" s="954"/>
      <c r="AO1221" s="955"/>
      <c r="AP1221" s="931"/>
      <c r="AQ1221" s="956"/>
      <c r="AR1221" s="957"/>
      <c r="AS1221" s="931"/>
    </row>
    <row r="1222" ht="15.75" customHeight="1">
      <c r="A1222" s="931"/>
      <c r="B1222" s="941">
        <v>989.0</v>
      </c>
      <c r="C1222" s="942" t="s">
        <v>4162</v>
      </c>
      <c r="D1222" s="942" t="s">
        <v>4163</v>
      </c>
      <c r="E1222" s="943" t="s">
        <v>4162</v>
      </c>
      <c r="F1222" s="935"/>
      <c r="G1222" s="944"/>
      <c r="H1222" s="944"/>
      <c r="I1222" s="959" t="s">
        <v>4164</v>
      </c>
      <c r="J1222" s="988" t="s">
        <v>705</v>
      </c>
      <c r="K1222" s="970" t="s">
        <v>710</v>
      </c>
      <c r="L1222" s="949">
        <v>154.0</v>
      </c>
      <c r="M1222" s="949">
        <v>140.0</v>
      </c>
      <c r="N1222" s="949">
        <v>108.0</v>
      </c>
      <c r="O1222" s="949">
        <v>50.0</v>
      </c>
      <c r="P1222" s="949">
        <v>68.0</v>
      </c>
      <c r="Q1222" s="949">
        <v>50.0</v>
      </c>
      <c r="R1222" s="949">
        <v>136.0</v>
      </c>
      <c r="S1222" s="949">
        <v>199.0</v>
      </c>
      <c r="T1222" s="949">
        <v>218.0</v>
      </c>
      <c r="U1222" s="949"/>
      <c r="V1222" s="949"/>
      <c r="W1222" s="949"/>
      <c r="X1222" s="949"/>
      <c r="Y1222" s="949"/>
      <c r="Z1222" s="949"/>
      <c r="AA1222" s="949"/>
      <c r="AB1222" s="949"/>
      <c r="AC1222" s="949"/>
      <c r="AD1222" s="949"/>
      <c r="AE1222" s="949"/>
      <c r="AF1222" s="949"/>
      <c r="AG1222" s="949"/>
      <c r="AH1222" s="949"/>
      <c r="AI1222" s="949"/>
      <c r="AJ1222" s="949"/>
      <c r="AK1222" s="949"/>
      <c r="AL1222" s="949"/>
      <c r="AM1222" s="953" t="s">
        <v>4155</v>
      </c>
      <c r="AN1222" s="954"/>
      <c r="AO1222" s="955"/>
      <c r="AP1222" s="931"/>
      <c r="AQ1222" s="956"/>
      <c r="AR1222" s="957"/>
      <c r="AS1222" s="931"/>
    </row>
    <row r="1223" ht="15.75" customHeight="1">
      <c r="A1223" s="963"/>
      <c r="B1223" s="941">
        <v>990.0</v>
      </c>
      <c r="C1223" s="942" t="s">
        <v>4165</v>
      </c>
      <c r="D1223" s="942" t="s">
        <v>4166</v>
      </c>
      <c r="E1223" s="943" t="s">
        <v>4165</v>
      </c>
      <c r="F1223" s="935"/>
      <c r="G1223" s="944"/>
      <c r="H1223" s="944"/>
      <c r="I1223" s="959" t="s">
        <v>4167</v>
      </c>
      <c r="J1223" s="969" t="s">
        <v>718</v>
      </c>
      <c r="K1223" s="960" t="s">
        <v>707</v>
      </c>
      <c r="L1223" s="949">
        <v>94.0</v>
      </c>
      <c r="M1223" s="949">
        <v>80.0</v>
      </c>
      <c r="N1223" s="949">
        <v>86.0</v>
      </c>
      <c r="O1223" s="949">
        <v>122.0</v>
      </c>
      <c r="P1223" s="949">
        <v>80.0</v>
      </c>
      <c r="Q1223" s="949">
        <v>108.0</v>
      </c>
      <c r="R1223" s="949">
        <v>252.0</v>
      </c>
      <c r="S1223" s="949">
        <v>315.0</v>
      </c>
      <c r="T1223" s="949">
        <v>346.0</v>
      </c>
      <c r="U1223" s="949"/>
      <c r="V1223" s="949"/>
      <c r="W1223" s="949"/>
      <c r="X1223" s="949"/>
      <c r="Y1223" s="949"/>
      <c r="Z1223" s="949"/>
      <c r="AA1223" s="949"/>
      <c r="AB1223" s="949"/>
      <c r="AC1223" s="949"/>
      <c r="AD1223" s="949"/>
      <c r="AE1223" s="949"/>
      <c r="AF1223" s="949"/>
      <c r="AG1223" s="949"/>
      <c r="AH1223" s="949"/>
      <c r="AI1223" s="949"/>
      <c r="AJ1223" s="949"/>
      <c r="AK1223" s="949"/>
      <c r="AL1223" s="949"/>
      <c r="AM1223" s="964" t="s">
        <v>4155</v>
      </c>
      <c r="AN1223" s="954"/>
      <c r="AO1223" s="955"/>
      <c r="AP1223" s="931"/>
      <c r="AQ1223" s="956"/>
      <c r="AR1223" s="957"/>
      <c r="AS1223" s="931"/>
    </row>
    <row r="1224" ht="15.75" customHeight="1">
      <c r="A1224" s="963"/>
      <c r="B1224" s="941">
        <v>991.0</v>
      </c>
      <c r="C1224" s="942" t="s">
        <v>4168</v>
      </c>
      <c r="D1224" s="942" t="s">
        <v>4169</v>
      </c>
      <c r="E1224" s="943" t="s">
        <v>4168</v>
      </c>
      <c r="F1224" s="935"/>
      <c r="G1224" s="944"/>
      <c r="H1224" s="944"/>
      <c r="I1224" s="946" t="s">
        <v>4170</v>
      </c>
      <c r="J1224" s="989" t="s">
        <v>713</v>
      </c>
      <c r="K1224" s="970" t="s">
        <v>710</v>
      </c>
      <c r="L1224" s="949">
        <v>100.0</v>
      </c>
      <c r="M1224" s="949">
        <v>134.0</v>
      </c>
      <c r="N1224" s="949">
        <v>110.0</v>
      </c>
      <c r="O1224" s="949">
        <v>70.0</v>
      </c>
      <c r="P1224" s="949">
        <v>84.0</v>
      </c>
      <c r="Q1224" s="949">
        <v>72.0</v>
      </c>
      <c r="R1224" s="949">
        <v>180.0</v>
      </c>
      <c r="S1224" s="949">
        <v>243.0</v>
      </c>
      <c r="T1224" s="949">
        <v>267.0</v>
      </c>
      <c r="U1224" s="949"/>
      <c r="V1224" s="949"/>
      <c r="W1224" s="949"/>
      <c r="X1224" s="949"/>
      <c r="Y1224" s="949"/>
      <c r="Z1224" s="949"/>
      <c r="AA1224" s="949"/>
      <c r="AB1224" s="949"/>
      <c r="AC1224" s="949"/>
      <c r="AD1224" s="949"/>
      <c r="AE1224" s="949"/>
      <c r="AF1224" s="949"/>
      <c r="AG1224" s="949"/>
      <c r="AH1224" s="949"/>
      <c r="AI1224" s="949"/>
      <c r="AJ1224" s="949"/>
      <c r="AK1224" s="949"/>
      <c r="AL1224" s="949"/>
      <c r="AM1224" s="964" t="s">
        <v>4155</v>
      </c>
      <c r="AN1224" s="954"/>
      <c r="AO1224" s="955"/>
      <c r="AP1224" s="931"/>
      <c r="AQ1224" s="956"/>
      <c r="AR1224" s="957"/>
      <c r="AS1224" s="931"/>
    </row>
    <row r="1225" ht="15.75" customHeight="1">
      <c r="A1225" s="963"/>
      <c r="B1225" s="941">
        <v>992.0</v>
      </c>
      <c r="C1225" s="942" t="s">
        <v>4171</v>
      </c>
      <c r="D1225" s="942" t="s">
        <v>4172</v>
      </c>
      <c r="E1225" s="943" t="s">
        <v>4171</v>
      </c>
      <c r="F1225" s="935"/>
      <c r="G1225" s="944"/>
      <c r="H1225" s="944"/>
      <c r="I1225" s="959" t="s">
        <v>4173</v>
      </c>
      <c r="J1225" s="977" t="s">
        <v>714</v>
      </c>
      <c r="K1225" s="962" t="s">
        <v>706</v>
      </c>
      <c r="L1225" s="949">
        <v>56.0</v>
      </c>
      <c r="M1225" s="949">
        <v>80.0</v>
      </c>
      <c r="N1225" s="949">
        <v>114.0</v>
      </c>
      <c r="O1225" s="949">
        <v>124.0</v>
      </c>
      <c r="P1225" s="949">
        <v>60.0</v>
      </c>
      <c r="Q1225" s="949">
        <v>136.0</v>
      </c>
      <c r="R1225" s="949">
        <v>308.0</v>
      </c>
      <c r="S1225" s="949">
        <v>371.0</v>
      </c>
      <c r="T1225" s="949">
        <v>408.0</v>
      </c>
      <c r="U1225" s="949"/>
      <c r="V1225" s="949"/>
      <c r="W1225" s="949"/>
      <c r="X1225" s="949"/>
      <c r="Y1225" s="949"/>
      <c r="Z1225" s="949"/>
      <c r="AA1225" s="949"/>
      <c r="AB1225" s="949"/>
      <c r="AC1225" s="949"/>
      <c r="AD1225" s="949"/>
      <c r="AE1225" s="949"/>
      <c r="AF1225" s="949"/>
      <c r="AG1225" s="949"/>
      <c r="AH1225" s="949"/>
      <c r="AI1225" s="949"/>
      <c r="AJ1225" s="949"/>
      <c r="AK1225" s="949"/>
      <c r="AL1225" s="949"/>
      <c r="AM1225" s="964" t="s">
        <v>4155</v>
      </c>
      <c r="AN1225" s="954"/>
      <c r="AO1225" s="955"/>
      <c r="AP1225" s="931"/>
      <c r="AQ1225" s="956"/>
      <c r="AR1225" s="957"/>
      <c r="AS1225" s="931"/>
    </row>
    <row r="1226" ht="15.75" customHeight="1">
      <c r="A1226" s="963"/>
      <c r="B1226" s="941">
        <v>993.0</v>
      </c>
      <c r="C1226" s="942" t="s">
        <v>4174</v>
      </c>
      <c r="D1226" s="942" t="s">
        <v>4175</v>
      </c>
      <c r="E1226" s="943" t="s">
        <v>4174</v>
      </c>
      <c r="F1226" s="935"/>
      <c r="G1226" s="944"/>
      <c r="H1226" s="944"/>
      <c r="I1226" s="946" t="s">
        <v>4176</v>
      </c>
      <c r="J1226" s="980" t="s">
        <v>720</v>
      </c>
      <c r="K1226" s="988" t="s">
        <v>705</v>
      </c>
      <c r="L1226" s="949">
        <v>74.0</v>
      </c>
      <c r="M1226" s="949">
        <v>130.0</v>
      </c>
      <c r="N1226" s="949">
        <v>90.0</v>
      </c>
      <c r="O1226" s="949">
        <v>120.0</v>
      </c>
      <c r="P1226" s="949">
        <v>60.0</v>
      </c>
      <c r="Q1226" s="949">
        <v>116.0</v>
      </c>
      <c r="R1226" s="949">
        <v>268.0</v>
      </c>
      <c r="S1226" s="949">
        <v>331.0</v>
      </c>
      <c r="T1226" s="949">
        <v>364.0</v>
      </c>
      <c r="U1226" s="949"/>
      <c r="V1226" s="949"/>
      <c r="W1226" s="949"/>
      <c r="X1226" s="949"/>
      <c r="Y1226" s="949"/>
      <c r="Z1226" s="949"/>
      <c r="AA1226" s="949"/>
      <c r="AB1226" s="949"/>
      <c r="AC1226" s="949"/>
      <c r="AD1226" s="949"/>
      <c r="AE1226" s="949"/>
      <c r="AF1226" s="949"/>
      <c r="AG1226" s="949"/>
      <c r="AH1226" s="949"/>
      <c r="AI1226" s="949"/>
      <c r="AJ1226" s="949"/>
      <c r="AK1226" s="949"/>
      <c r="AL1226" s="949"/>
      <c r="AM1226" s="964" t="s">
        <v>4155</v>
      </c>
      <c r="AN1226" s="954"/>
      <c r="AO1226" s="955"/>
      <c r="AP1226" s="931"/>
      <c r="AQ1226" s="956"/>
      <c r="AR1226" s="957"/>
      <c r="AS1226" s="931"/>
    </row>
    <row r="1227" ht="15.75" customHeight="1">
      <c r="A1227" s="931"/>
      <c r="B1227" s="941">
        <v>994.0</v>
      </c>
      <c r="C1227" s="942" t="s">
        <v>4177</v>
      </c>
      <c r="D1227" s="942" t="s">
        <v>4178</v>
      </c>
      <c r="E1227" s="943" t="s">
        <v>4177</v>
      </c>
      <c r="F1227" s="935"/>
      <c r="G1227" s="944"/>
      <c r="H1227" s="944"/>
      <c r="I1227" s="946" t="s">
        <v>4179</v>
      </c>
      <c r="J1227" s="969" t="s">
        <v>718</v>
      </c>
      <c r="K1227" s="976" t="s">
        <v>711</v>
      </c>
      <c r="L1227" s="949">
        <v>155.0</v>
      </c>
      <c r="M1227" s="949">
        <v>110.0</v>
      </c>
      <c r="N1227" s="949">
        <v>130.0</v>
      </c>
      <c r="O1227" s="949">
        <v>50.0</v>
      </c>
      <c r="P1227" s="949">
        <v>80.0</v>
      </c>
      <c r="Q1227" s="949">
        <v>45.0</v>
      </c>
      <c r="R1227" s="949">
        <v>126.0</v>
      </c>
      <c r="S1227" s="949">
        <v>189.0</v>
      </c>
      <c r="T1227" s="949">
        <v>207.0</v>
      </c>
      <c r="U1227" s="949"/>
      <c r="V1227" s="949"/>
      <c r="W1227" s="949"/>
      <c r="X1227" s="949"/>
      <c r="Y1227" s="949"/>
      <c r="Z1227" s="949"/>
      <c r="AA1227" s="949"/>
      <c r="AB1227" s="949"/>
      <c r="AC1227" s="949"/>
      <c r="AD1227" s="949"/>
      <c r="AE1227" s="949"/>
      <c r="AF1227" s="949"/>
      <c r="AG1227" s="949"/>
      <c r="AH1227" s="949"/>
      <c r="AI1227" s="949"/>
      <c r="AJ1227" s="949"/>
      <c r="AK1227" s="949"/>
      <c r="AL1227" s="949"/>
      <c r="AM1227" s="953" t="s">
        <v>4180</v>
      </c>
      <c r="AN1227" s="954"/>
      <c r="AO1227" s="955"/>
      <c r="AP1227" s="931"/>
      <c r="AQ1227" s="956"/>
      <c r="AR1227" s="957"/>
      <c r="AS1227" s="931"/>
    </row>
    <row r="1228" ht="15.75" customHeight="1">
      <c r="A1228" s="931"/>
      <c r="B1228" s="941">
        <v>995.0</v>
      </c>
      <c r="C1228" s="942" t="s">
        <v>4181</v>
      </c>
      <c r="D1228" s="942" t="s">
        <v>4182</v>
      </c>
      <c r="E1228" s="943" t="s">
        <v>4181</v>
      </c>
      <c r="F1228" s="935"/>
      <c r="G1228" s="944"/>
      <c r="H1228" s="944"/>
      <c r="I1228" s="946" t="s">
        <v>4183</v>
      </c>
      <c r="J1228" s="969" t="s">
        <v>718</v>
      </c>
      <c r="K1228" s="977" t="s">
        <v>714</v>
      </c>
      <c r="L1228" s="949">
        <v>80.0</v>
      </c>
      <c r="M1228" s="949">
        <v>120.0</v>
      </c>
      <c r="N1228" s="949">
        <v>80.0</v>
      </c>
      <c r="O1228" s="949">
        <v>90.0</v>
      </c>
      <c r="P1228" s="949">
        <v>65.0</v>
      </c>
      <c r="Q1228" s="949">
        <v>135.0</v>
      </c>
      <c r="R1228" s="949">
        <v>306.0</v>
      </c>
      <c r="S1228" s="949">
        <v>369.0</v>
      </c>
      <c r="T1228" s="949">
        <v>405.0</v>
      </c>
      <c r="U1228" s="949"/>
      <c r="V1228" s="949"/>
      <c r="W1228" s="949"/>
      <c r="X1228" s="949"/>
      <c r="Y1228" s="949"/>
      <c r="Z1228" s="949"/>
      <c r="AA1228" s="949"/>
      <c r="AB1228" s="949"/>
      <c r="AC1228" s="949"/>
      <c r="AD1228" s="949"/>
      <c r="AE1228" s="949"/>
      <c r="AF1228" s="949"/>
      <c r="AG1228" s="949"/>
      <c r="AH1228" s="949"/>
      <c r="AI1228" s="949"/>
      <c r="AJ1228" s="949"/>
      <c r="AK1228" s="949"/>
      <c r="AL1228" s="949"/>
      <c r="AM1228" s="953" t="s">
        <v>4184</v>
      </c>
      <c r="AN1228" s="954"/>
      <c r="AO1228" s="955"/>
      <c r="AP1228" s="931"/>
      <c r="AQ1228" s="956"/>
      <c r="AR1228" s="957"/>
      <c r="AS1228" s="931"/>
    </row>
    <row r="1229" ht="15.75" customHeight="1">
      <c r="A1229" s="963"/>
      <c r="B1229" s="941">
        <v>996.0</v>
      </c>
      <c r="C1229" s="971" t="s">
        <v>4185</v>
      </c>
      <c r="D1229" s="971" t="s">
        <v>4186</v>
      </c>
      <c r="E1229" s="943" t="s">
        <v>4185</v>
      </c>
      <c r="F1229" s="935"/>
      <c r="G1229" s="944"/>
      <c r="H1229" s="944"/>
      <c r="I1229" s="959" t="s">
        <v>4187</v>
      </c>
      <c r="J1229" s="1003" t="s">
        <v>718</v>
      </c>
      <c r="K1229" s="1002" t="s">
        <v>708</v>
      </c>
      <c r="L1229" s="974">
        <v>85.0</v>
      </c>
      <c r="M1229" s="974">
        <v>85.0</v>
      </c>
      <c r="N1229" s="974">
        <v>100.0</v>
      </c>
      <c r="O1229" s="974">
        <v>95.0</v>
      </c>
      <c r="P1229" s="974">
        <v>135.0</v>
      </c>
      <c r="Q1229" s="974">
        <v>70.0</v>
      </c>
      <c r="R1229" s="949">
        <v>176.0</v>
      </c>
      <c r="S1229" s="949">
        <v>239.0</v>
      </c>
      <c r="T1229" s="949">
        <v>262.0</v>
      </c>
      <c r="U1229" s="949"/>
      <c r="V1229" s="949"/>
      <c r="W1229" s="949"/>
      <c r="X1229" s="949"/>
      <c r="Y1229" s="949"/>
      <c r="Z1229" s="949"/>
      <c r="AA1229" s="949"/>
      <c r="AB1229" s="949"/>
      <c r="AC1229" s="949"/>
      <c r="AD1229" s="949"/>
      <c r="AE1229" s="949"/>
      <c r="AF1229" s="949"/>
      <c r="AG1229" s="949"/>
      <c r="AH1229" s="949"/>
      <c r="AI1229" s="949"/>
      <c r="AJ1229" s="949"/>
      <c r="AK1229" s="949"/>
      <c r="AL1229" s="949"/>
      <c r="AM1229" s="964" t="s">
        <v>4188</v>
      </c>
      <c r="AN1229" s="954"/>
      <c r="AO1229" s="955"/>
      <c r="AP1229" s="931"/>
      <c r="AQ1229" s="956"/>
      <c r="AR1229" s="957"/>
      <c r="AS1229" s="931"/>
    </row>
    <row r="1230" ht="15.75" customHeight="1">
      <c r="A1230" s="963"/>
      <c r="B1230" s="941">
        <v>997.0</v>
      </c>
      <c r="C1230" s="971" t="s">
        <v>4189</v>
      </c>
      <c r="D1230" s="971" t="s">
        <v>4190</v>
      </c>
      <c r="E1230" s="966" t="s">
        <v>4189</v>
      </c>
      <c r="F1230" s="935"/>
      <c r="G1230" s="944"/>
      <c r="H1230" s="944"/>
      <c r="I1230" s="959" t="s">
        <v>4191</v>
      </c>
      <c r="J1230" s="1003" t="s">
        <v>718</v>
      </c>
      <c r="K1230" s="981" t="s">
        <v>704</v>
      </c>
      <c r="L1230" s="974">
        <v>55.0</v>
      </c>
      <c r="M1230" s="974">
        <v>80.0</v>
      </c>
      <c r="N1230" s="974">
        <v>80.0</v>
      </c>
      <c r="O1230" s="974">
        <v>135.0</v>
      </c>
      <c r="P1230" s="974">
        <v>120.0</v>
      </c>
      <c r="Q1230" s="974">
        <v>100.0</v>
      </c>
      <c r="R1230" s="949">
        <v>236.0</v>
      </c>
      <c r="S1230" s="949">
        <v>299.0</v>
      </c>
      <c r="T1230" s="949">
        <v>328.0</v>
      </c>
      <c r="U1230" s="949"/>
      <c r="V1230" s="949"/>
      <c r="W1230" s="949"/>
      <c r="X1230" s="949"/>
      <c r="Y1230" s="949"/>
      <c r="Z1230" s="949"/>
      <c r="AA1230" s="949"/>
      <c r="AB1230" s="949"/>
      <c r="AC1230" s="949"/>
      <c r="AD1230" s="949"/>
      <c r="AE1230" s="949"/>
      <c r="AF1230" s="949"/>
      <c r="AG1230" s="949"/>
      <c r="AH1230" s="949"/>
      <c r="AI1230" s="949"/>
      <c r="AJ1230" s="949"/>
      <c r="AK1230" s="949"/>
      <c r="AL1230" s="949"/>
      <c r="AM1230" s="964" t="s">
        <v>4192</v>
      </c>
      <c r="AN1230" s="954"/>
      <c r="AO1230" s="955"/>
      <c r="AP1230" s="931"/>
      <c r="AQ1230" s="956"/>
      <c r="AR1230" s="957"/>
      <c r="AS1230" s="931"/>
    </row>
    <row r="1231" ht="15.75" customHeight="1">
      <c r="A1231" s="931"/>
      <c r="B1231" s="941">
        <v>998.0</v>
      </c>
      <c r="C1231" s="942" t="s">
        <v>4193</v>
      </c>
      <c r="D1231" s="942" t="s">
        <v>4193</v>
      </c>
      <c r="E1231" s="943" t="s">
        <v>4193</v>
      </c>
      <c r="F1231" s="935"/>
      <c r="G1231" s="944"/>
      <c r="H1231" s="944"/>
      <c r="I1231" s="946" t="s">
        <v>4194</v>
      </c>
      <c r="J1231" s="988" t="s">
        <v>705</v>
      </c>
      <c r="K1231" s="961" t="s">
        <v>716</v>
      </c>
      <c r="L1231" s="949">
        <v>100.0</v>
      </c>
      <c r="M1231" s="949">
        <v>135.0</v>
      </c>
      <c r="N1231" s="949">
        <v>115.0</v>
      </c>
      <c r="O1231" s="949">
        <v>85.0</v>
      </c>
      <c r="P1231" s="949">
        <v>100.0</v>
      </c>
      <c r="Q1231" s="949">
        <v>135.0</v>
      </c>
      <c r="R1231" s="949">
        <v>306.0</v>
      </c>
      <c r="S1231" s="949">
        <v>369.0</v>
      </c>
      <c r="T1231" s="949">
        <v>405.0</v>
      </c>
      <c r="U1231" s="949"/>
      <c r="V1231" s="949"/>
      <c r="W1231" s="949"/>
      <c r="X1231" s="949"/>
      <c r="Y1231" s="949"/>
      <c r="Z1231" s="949"/>
      <c r="AA1231" s="949"/>
      <c r="AB1231" s="949"/>
      <c r="AC1231" s="949"/>
      <c r="AD1231" s="949"/>
      <c r="AE1231" s="949"/>
      <c r="AF1231" s="949"/>
      <c r="AG1231" s="949"/>
      <c r="AH1231" s="949"/>
      <c r="AI1231" s="949"/>
      <c r="AJ1231" s="949"/>
      <c r="AK1231" s="949"/>
      <c r="AL1231" s="949"/>
      <c r="AM1231" s="953" t="s">
        <v>4195</v>
      </c>
      <c r="AN1231" s="954"/>
      <c r="AO1231" s="955"/>
      <c r="AP1231" s="931"/>
      <c r="AQ1231" s="956"/>
      <c r="AR1231" s="957"/>
      <c r="AS1231" s="931"/>
    </row>
    <row r="1232" ht="15.75" customHeight="1">
      <c r="A1232" s="931"/>
      <c r="B1232" s="941">
        <v>999.0</v>
      </c>
      <c r="C1232" s="942" t="s">
        <v>4196</v>
      </c>
      <c r="D1232" s="942" t="s">
        <v>4196</v>
      </c>
      <c r="E1232" s="943" t="s">
        <v>4196</v>
      </c>
      <c r="F1232" s="935"/>
      <c r="G1232" s="944"/>
      <c r="H1232" s="944"/>
      <c r="I1232" s="946" t="s">
        <v>4197</v>
      </c>
      <c r="J1232" s="970" t="s">
        <v>710</v>
      </c>
      <c r="K1232" s="961" t="s">
        <v>716</v>
      </c>
      <c r="L1232" s="949">
        <v>100.0</v>
      </c>
      <c r="M1232" s="949">
        <v>85.0</v>
      </c>
      <c r="N1232" s="949">
        <v>100.0</v>
      </c>
      <c r="O1232" s="949">
        <v>135.0</v>
      </c>
      <c r="P1232" s="949">
        <v>115.0</v>
      </c>
      <c r="Q1232" s="949">
        <v>135.0</v>
      </c>
      <c r="R1232" s="949">
        <v>306.0</v>
      </c>
      <c r="S1232" s="949">
        <v>369.0</v>
      </c>
      <c r="T1232" s="949">
        <v>405.0</v>
      </c>
      <c r="U1232" s="949"/>
      <c r="V1232" s="949"/>
      <c r="W1232" s="949"/>
      <c r="X1232" s="949"/>
      <c r="Y1232" s="949"/>
      <c r="Z1232" s="949"/>
      <c r="AA1232" s="949"/>
      <c r="AB1232" s="949"/>
      <c r="AC1232" s="949"/>
      <c r="AD1232" s="949"/>
      <c r="AE1232" s="949"/>
      <c r="AF1232" s="949"/>
      <c r="AG1232" s="949"/>
      <c r="AH1232" s="949"/>
      <c r="AI1232" s="949"/>
      <c r="AJ1232" s="949"/>
      <c r="AK1232" s="949"/>
      <c r="AL1232" s="949"/>
      <c r="AM1232" s="953" t="s">
        <v>4198</v>
      </c>
      <c r="AN1232" s="954"/>
      <c r="AO1232" s="955"/>
      <c r="AP1232" s="931"/>
      <c r="AQ1232" s="956"/>
      <c r="AR1232" s="957"/>
      <c r="AS1232" s="931"/>
    </row>
    <row r="1233" ht="15.75" customHeight="1">
      <c r="A1233" s="931"/>
      <c r="B1233" s="941">
        <v>1000.0</v>
      </c>
      <c r="C1233" s="942" t="s">
        <v>4199</v>
      </c>
      <c r="D1233" s="942" t="s">
        <v>4199</v>
      </c>
      <c r="E1233" s="943" t="s">
        <v>4199</v>
      </c>
      <c r="F1233" s="935"/>
      <c r="G1233" s="944"/>
      <c r="H1233" s="944"/>
      <c r="I1233" s="946" t="s">
        <v>562</v>
      </c>
      <c r="J1233" s="980" t="s">
        <v>720</v>
      </c>
      <c r="K1233" s="978" t="s">
        <v>719</v>
      </c>
      <c r="L1233" s="949">
        <v>50.0</v>
      </c>
      <c r="M1233" s="949">
        <v>45.0</v>
      </c>
      <c r="N1233" s="949">
        <v>45.0</v>
      </c>
      <c r="O1233" s="949">
        <v>35.0</v>
      </c>
      <c r="P1233" s="949">
        <v>64.0</v>
      </c>
      <c r="Q1233" s="949">
        <v>58.0</v>
      </c>
      <c r="R1233" s="949">
        <v>152.0</v>
      </c>
      <c r="S1233" s="949">
        <v>215.0</v>
      </c>
      <c r="T1233" s="949">
        <v>236.0</v>
      </c>
      <c r="U1233" s="949"/>
      <c r="V1233" s="949"/>
      <c r="W1233" s="949"/>
      <c r="X1233" s="949"/>
      <c r="Y1233" s="949"/>
      <c r="Z1233" s="949"/>
      <c r="AA1233" s="949"/>
      <c r="AB1233" s="949"/>
      <c r="AC1233" s="949"/>
      <c r="AD1233" s="949"/>
      <c r="AE1233" s="949"/>
      <c r="AF1233" s="949"/>
      <c r="AG1233" s="949"/>
      <c r="AH1233" s="949"/>
      <c r="AI1233" s="949"/>
      <c r="AJ1233" s="949"/>
      <c r="AK1233" s="949"/>
      <c r="AL1233" s="949"/>
      <c r="AM1233" s="953" t="s">
        <v>1391</v>
      </c>
      <c r="AN1233" s="953" t="s">
        <v>1176</v>
      </c>
      <c r="AO1233" s="955" t="s">
        <v>1702</v>
      </c>
      <c r="AP1233" s="931"/>
      <c r="AQ1233" s="956"/>
      <c r="AR1233" s="957"/>
      <c r="AS1233" s="931"/>
    </row>
    <row r="1234" ht="15.75" customHeight="1">
      <c r="A1234" s="931"/>
      <c r="B1234" s="941">
        <v>1001.0</v>
      </c>
      <c r="C1234" s="942" t="s">
        <v>4200</v>
      </c>
      <c r="D1234" s="942" t="s">
        <v>4200</v>
      </c>
      <c r="E1234" s="943" t="s">
        <v>4200</v>
      </c>
      <c r="F1234" s="935"/>
      <c r="G1234" s="944"/>
      <c r="H1234" s="944"/>
      <c r="I1234" s="946" t="s">
        <v>524</v>
      </c>
      <c r="J1234" s="980" t="s">
        <v>720</v>
      </c>
      <c r="K1234" s="978" t="s">
        <v>719</v>
      </c>
      <c r="L1234" s="949">
        <v>65.0</v>
      </c>
      <c r="M1234" s="949">
        <v>55.0</v>
      </c>
      <c r="N1234" s="949">
        <v>55.0</v>
      </c>
      <c r="O1234" s="949">
        <v>45.0</v>
      </c>
      <c r="P1234" s="949">
        <v>82.0</v>
      </c>
      <c r="Q1234" s="949">
        <v>78.0</v>
      </c>
      <c r="R1234" s="949">
        <v>192.0</v>
      </c>
      <c r="S1234" s="949">
        <v>255.0</v>
      </c>
      <c r="T1234" s="949">
        <v>280.0</v>
      </c>
      <c r="U1234" s="949"/>
      <c r="V1234" s="949"/>
      <c r="W1234" s="949"/>
      <c r="X1234" s="949"/>
      <c r="Y1234" s="949"/>
      <c r="Z1234" s="949"/>
      <c r="AA1234" s="949"/>
      <c r="AB1234" s="949"/>
      <c r="AC1234" s="949"/>
      <c r="AD1234" s="949"/>
      <c r="AE1234" s="949"/>
      <c r="AF1234" s="949"/>
      <c r="AG1234" s="949"/>
      <c r="AH1234" s="949"/>
      <c r="AI1234" s="949"/>
      <c r="AJ1234" s="949"/>
      <c r="AK1234" s="949"/>
      <c r="AL1234" s="949"/>
      <c r="AM1234" s="953" t="s">
        <v>1391</v>
      </c>
      <c r="AN1234" s="953" t="s">
        <v>1176</v>
      </c>
      <c r="AO1234" s="955" t="s">
        <v>1702</v>
      </c>
      <c r="AP1234" s="931"/>
      <c r="AQ1234" s="956"/>
      <c r="AR1234" s="957"/>
      <c r="AS1234" s="931"/>
    </row>
    <row r="1235" ht="15.75" customHeight="1">
      <c r="A1235" s="931"/>
      <c r="B1235" s="941">
        <v>1002.0</v>
      </c>
      <c r="C1235" s="942" t="s">
        <v>4201</v>
      </c>
      <c r="D1235" s="942" t="s">
        <v>4201</v>
      </c>
      <c r="E1235" s="943" t="s">
        <v>4201</v>
      </c>
      <c r="F1235" s="935"/>
      <c r="G1235" s="944"/>
      <c r="H1235" s="944"/>
      <c r="I1235" s="946" t="s">
        <v>364</v>
      </c>
      <c r="J1235" s="980" t="s">
        <v>720</v>
      </c>
      <c r="K1235" s="978" t="s">
        <v>719</v>
      </c>
      <c r="L1235" s="949">
        <v>85.0</v>
      </c>
      <c r="M1235" s="949">
        <v>75.0</v>
      </c>
      <c r="N1235" s="949">
        <v>77.0</v>
      </c>
      <c r="O1235" s="949">
        <v>70.0</v>
      </c>
      <c r="P1235" s="949">
        <v>105.0</v>
      </c>
      <c r="Q1235" s="949">
        <v>94.0</v>
      </c>
      <c r="R1235" s="949">
        <v>224.0</v>
      </c>
      <c r="S1235" s="949">
        <v>287.0</v>
      </c>
      <c r="T1235" s="949">
        <v>315.0</v>
      </c>
      <c r="U1235" s="949"/>
      <c r="V1235" s="949"/>
      <c r="W1235" s="949"/>
      <c r="X1235" s="949"/>
      <c r="Y1235" s="949"/>
      <c r="Z1235" s="949"/>
      <c r="AA1235" s="949"/>
      <c r="AB1235" s="949"/>
      <c r="AC1235" s="949"/>
      <c r="AD1235" s="949"/>
      <c r="AE1235" s="949"/>
      <c r="AF1235" s="949"/>
      <c r="AG1235" s="949"/>
      <c r="AH1235" s="949"/>
      <c r="AI1235" s="949"/>
      <c r="AJ1235" s="949"/>
      <c r="AK1235" s="949"/>
      <c r="AL1235" s="949"/>
      <c r="AM1235" s="953" t="s">
        <v>1391</v>
      </c>
      <c r="AN1235" s="953" t="s">
        <v>1176</v>
      </c>
      <c r="AO1235" s="955" t="s">
        <v>1702</v>
      </c>
      <c r="AP1235" s="931"/>
      <c r="AQ1235" s="956"/>
      <c r="AR1235" s="957"/>
      <c r="AS1235" s="931"/>
    </row>
    <row r="1236" ht="15.75" customHeight="1">
      <c r="A1236" s="931"/>
      <c r="B1236" s="941">
        <v>1003.0</v>
      </c>
      <c r="C1236" s="942" t="s">
        <v>4202</v>
      </c>
      <c r="D1236" s="942" t="s">
        <v>4202</v>
      </c>
      <c r="E1236" s="943" t="s">
        <v>4202</v>
      </c>
      <c r="F1236" s="935"/>
      <c r="G1236" s="944"/>
      <c r="H1236" s="944"/>
      <c r="I1236" s="946" t="s">
        <v>683</v>
      </c>
      <c r="J1236" s="958" t="s">
        <v>704</v>
      </c>
      <c r="K1236" s="953"/>
      <c r="L1236" s="949">
        <v>40.0</v>
      </c>
      <c r="M1236" s="949">
        <v>50.0</v>
      </c>
      <c r="N1236" s="949">
        <v>40.0</v>
      </c>
      <c r="O1236" s="949">
        <v>50.0</v>
      </c>
      <c r="P1236" s="949">
        <v>40.0</v>
      </c>
      <c r="Q1236" s="949">
        <v>30.0</v>
      </c>
      <c r="R1236" s="949">
        <v>96.0</v>
      </c>
      <c r="S1236" s="949">
        <v>159.0</v>
      </c>
      <c r="T1236" s="949">
        <v>174.0</v>
      </c>
      <c r="U1236" s="949"/>
      <c r="V1236" s="949"/>
      <c r="W1236" s="949"/>
      <c r="X1236" s="949"/>
      <c r="Y1236" s="949"/>
      <c r="Z1236" s="949"/>
      <c r="AA1236" s="949"/>
      <c r="AB1236" s="949"/>
      <c r="AC1236" s="949"/>
      <c r="AD1236" s="949"/>
      <c r="AE1236" s="949"/>
      <c r="AF1236" s="949"/>
      <c r="AG1236" s="949"/>
      <c r="AH1236" s="949"/>
      <c r="AI1236" s="949"/>
      <c r="AJ1236" s="949"/>
      <c r="AK1236" s="949"/>
      <c r="AL1236" s="949"/>
      <c r="AM1236" s="953" t="s">
        <v>972</v>
      </c>
      <c r="AN1236" s="954"/>
      <c r="AO1236" s="955" t="s">
        <v>1159</v>
      </c>
      <c r="AP1236" s="931"/>
      <c r="AQ1236" s="956"/>
      <c r="AR1236" s="957"/>
      <c r="AS1236" s="931"/>
    </row>
    <row r="1237" ht="15.75" customHeight="1">
      <c r="A1237" s="931"/>
      <c r="B1237" s="941">
        <v>1004.0</v>
      </c>
      <c r="C1237" s="942" t="s">
        <v>189</v>
      </c>
      <c r="D1237" s="942" t="s">
        <v>189</v>
      </c>
      <c r="E1237" s="943" t="s">
        <v>189</v>
      </c>
      <c r="F1237" s="935"/>
      <c r="G1237" s="944"/>
      <c r="H1237" s="944"/>
      <c r="I1237" s="946" t="s">
        <v>76</v>
      </c>
      <c r="J1237" s="958" t="s">
        <v>704</v>
      </c>
      <c r="K1237" s="975" t="s">
        <v>712</v>
      </c>
      <c r="L1237" s="949">
        <v>85.0</v>
      </c>
      <c r="M1237" s="949">
        <v>60.0</v>
      </c>
      <c r="N1237" s="949">
        <v>100.0</v>
      </c>
      <c r="O1237" s="949">
        <v>125.0</v>
      </c>
      <c r="P1237" s="949">
        <v>80.0</v>
      </c>
      <c r="Q1237" s="949">
        <v>75.0</v>
      </c>
      <c r="R1237" s="949">
        <v>186.0</v>
      </c>
      <c r="S1237" s="949">
        <v>249.0</v>
      </c>
      <c r="T1237" s="949">
        <v>273.0</v>
      </c>
      <c r="U1237" s="949"/>
      <c r="V1237" s="949"/>
      <c r="W1237" s="949"/>
      <c r="X1237" s="949"/>
      <c r="Y1237" s="949"/>
      <c r="Z1237" s="949"/>
      <c r="AA1237" s="949"/>
      <c r="AB1237" s="949"/>
      <c r="AC1237" s="949"/>
      <c r="AD1237" s="949"/>
      <c r="AE1237" s="949"/>
      <c r="AF1237" s="949"/>
      <c r="AG1237" s="949"/>
      <c r="AH1237" s="949"/>
      <c r="AI1237" s="949"/>
      <c r="AJ1237" s="949"/>
      <c r="AK1237" s="949"/>
      <c r="AL1237" s="949"/>
      <c r="AM1237" s="953" t="s">
        <v>972</v>
      </c>
      <c r="AN1237" s="954"/>
      <c r="AO1237" s="955" t="s">
        <v>1256</v>
      </c>
      <c r="AP1237" s="931"/>
      <c r="AQ1237" s="956"/>
      <c r="AR1237" s="957"/>
      <c r="AS1237" s="931"/>
    </row>
    <row r="1238" ht="15.75" customHeight="1">
      <c r="A1238" s="931"/>
      <c r="B1238" s="941">
        <v>1005.0</v>
      </c>
      <c r="C1238" s="942" t="s">
        <v>4203</v>
      </c>
      <c r="D1238" s="942" t="s">
        <v>4203</v>
      </c>
      <c r="E1238" s="943" t="s">
        <v>4203</v>
      </c>
      <c r="F1238" s="935"/>
      <c r="G1238" s="944"/>
      <c r="H1238" s="944"/>
      <c r="I1238" s="946" t="s">
        <v>304</v>
      </c>
      <c r="J1238" s="958" t="s">
        <v>704</v>
      </c>
      <c r="K1238" s="994" t="s">
        <v>717</v>
      </c>
      <c r="L1238" s="949">
        <v>75.0</v>
      </c>
      <c r="M1238" s="949">
        <v>125.0</v>
      </c>
      <c r="N1238" s="949">
        <v>80.0</v>
      </c>
      <c r="O1238" s="949">
        <v>60.0</v>
      </c>
      <c r="P1238" s="949">
        <v>100.0</v>
      </c>
      <c r="Q1238" s="949">
        <v>85.0</v>
      </c>
      <c r="R1238" s="949">
        <v>206.0</v>
      </c>
      <c r="S1238" s="949">
        <v>269.0</v>
      </c>
      <c r="T1238" s="949">
        <v>295.0</v>
      </c>
      <c r="U1238" s="949"/>
      <c r="V1238" s="949"/>
      <c r="W1238" s="949"/>
      <c r="X1238" s="949"/>
      <c r="Y1238" s="949"/>
      <c r="Z1238" s="949"/>
      <c r="AA1238" s="949"/>
      <c r="AB1238" s="949"/>
      <c r="AC1238" s="949"/>
      <c r="AD1238" s="949"/>
      <c r="AE1238" s="949"/>
      <c r="AF1238" s="949"/>
      <c r="AG1238" s="949"/>
      <c r="AH1238" s="949"/>
      <c r="AI1238" s="949"/>
      <c r="AJ1238" s="949"/>
      <c r="AK1238" s="949"/>
      <c r="AL1238" s="949"/>
      <c r="AM1238" s="953" t="s">
        <v>972</v>
      </c>
      <c r="AN1238" s="954"/>
      <c r="AO1238" s="955" t="s">
        <v>1256</v>
      </c>
      <c r="AP1238" s="931"/>
      <c r="AQ1238" s="956"/>
      <c r="AR1238" s="957"/>
      <c r="AS1238" s="931"/>
    </row>
    <row r="1239" ht="15.75" customHeight="1">
      <c r="A1239" s="931"/>
      <c r="B1239" s="941">
        <v>1006.0</v>
      </c>
      <c r="C1239" s="942" t="s">
        <v>4204</v>
      </c>
      <c r="D1239" s="942" t="s">
        <v>4204</v>
      </c>
      <c r="E1239" s="966" t="s">
        <v>4204</v>
      </c>
      <c r="F1239" s="935"/>
      <c r="G1239" s="944"/>
      <c r="H1239" s="944"/>
      <c r="I1239" s="959" t="s">
        <v>455</v>
      </c>
      <c r="J1239" s="976" t="s">
        <v>711</v>
      </c>
      <c r="K1239" s="947" t="s">
        <v>708</v>
      </c>
      <c r="L1239" s="949">
        <v>40.0</v>
      </c>
      <c r="M1239" s="949">
        <v>40.0</v>
      </c>
      <c r="N1239" s="949">
        <v>35.0</v>
      </c>
      <c r="O1239" s="949">
        <v>50.0</v>
      </c>
      <c r="P1239" s="949">
        <v>100.0</v>
      </c>
      <c r="Q1239" s="949">
        <v>70.0</v>
      </c>
      <c r="R1239" s="949">
        <v>176.0</v>
      </c>
      <c r="S1239" s="949">
        <v>239.0</v>
      </c>
      <c r="T1239" s="949">
        <v>262.0</v>
      </c>
      <c r="U1239" s="949"/>
      <c r="V1239" s="949"/>
      <c r="W1239" s="949"/>
      <c r="X1239" s="949"/>
      <c r="Y1239" s="949"/>
      <c r="Z1239" s="949"/>
      <c r="AA1239" s="949"/>
      <c r="AB1239" s="949"/>
      <c r="AC1239" s="949"/>
      <c r="AD1239" s="949"/>
      <c r="AE1239" s="949"/>
      <c r="AF1239" s="949"/>
      <c r="AG1239" s="949"/>
      <c r="AH1239" s="949"/>
      <c r="AI1239" s="949"/>
      <c r="AJ1239" s="949"/>
      <c r="AK1239" s="949"/>
      <c r="AL1239" s="949"/>
      <c r="AM1239" s="953" t="s">
        <v>4205</v>
      </c>
      <c r="AN1239" s="954"/>
      <c r="AO1239" s="955"/>
      <c r="AP1239" s="931"/>
      <c r="AQ1239" s="956"/>
      <c r="AR1239" s="957"/>
      <c r="AS1239" s="931"/>
    </row>
    <row r="1240" ht="15.75" customHeight="1">
      <c r="A1240" s="931"/>
      <c r="B1240" s="941">
        <v>1007.0</v>
      </c>
      <c r="C1240" s="942" t="s">
        <v>4206</v>
      </c>
      <c r="D1240" s="942" t="s">
        <v>4206</v>
      </c>
      <c r="E1240" s="943" t="s">
        <v>4206</v>
      </c>
      <c r="F1240" s="935"/>
      <c r="G1240" s="944"/>
      <c r="H1240" s="944"/>
      <c r="I1240" s="959" t="s">
        <v>394</v>
      </c>
      <c r="J1240" s="976" t="s">
        <v>711</v>
      </c>
      <c r="K1240" s="947" t="s">
        <v>708</v>
      </c>
      <c r="L1240" s="949">
        <v>80.0</v>
      </c>
      <c r="M1240" s="949">
        <v>70.0</v>
      </c>
      <c r="N1240" s="949">
        <v>65.0</v>
      </c>
      <c r="O1240" s="949">
        <v>80.0</v>
      </c>
      <c r="P1240" s="949">
        <v>120.0</v>
      </c>
      <c r="Q1240" s="949">
        <v>100.0</v>
      </c>
      <c r="R1240" s="949">
        <v>236.0</v>
      </c>
      <c r="S1240" s="949">
        <v>299.0</v>
      </c>
      <c r="T1240" s="949">
        <v>328.0</v>
      </c>
      <c r="U1240" s="949"/>
      <c r="V1240" s="949"/>
      <c r="W1240" s="949"/>
      <c r="X1240" s="949"/>
      <c r="Y1240" s="949"/>
      <c r="Z1240" s="949"/>
      <c r="AA1240" s="949"/>
      <c r="AB1240" s="949"/>
      <c r="AC1240" s="949"/>
      <c r="AD1240" s="949"/>
      <c r="AE1240" s="949"/>
      <c r="AF1240" s="949"/>
      <c r="AG1240" s="949"/>
      <c r="AH1240" s="949"/>
      <c r="AI1240" s="949"/>
      <c r="AJ1240" s="949"/>
      <c r="AK1240" s="949"/>
      <c r="AL1240" s="949"/>
      <c r="AM1240" s="953" t="s">
        <v>4205</v>
      </c>
      <c r="AN1240" s="954"/>
      <c r="AO1240" s="955"/>
      <c r="AP1240" s="931"/>
      <c r="AQ1240" s="956"/>
      <c r="AR1240" s="957"/>
      <c r="AS1240" s="931"/>
    </row>
    <row r="1241" ht="15.75" customHeight="1">
      <c r="A1241" s="931"/>
      <c r="B1241" s="941">
        <v>1008.0</v>
      </c>
      <c r="C1241" s="942" t="s">
        <v>202</v>
      </c>
      <c r="D1241" s="942" t="s">
        <v>202</v>
      </c>
      <c r="E1241" s="943" t="s">
        <v>202</v>
      </c>
      <c r="F1241" s="935"/>
      <c r="G1241" s="944"/>
      <c r="H1241" s="944"/>
      <c r="I1241" s="946" t="s">
        <v>70</v>
      </c>
      <c r="J1241" s="969" t="s">
        <v>718</v>
      </c>
      <c r="K1241" s="978" t="s">
        <v>719</v>
      </c>
      <c r="L1241" s="949">
        <v>100.0</v>
      </c>
      <c r="M1241" s="949">
        <v>135.0</v>
      </c>
      <c r="N1241" s="949">
        <v>120.0</v>
      </c>
      <c r="O1241" s="949">
        <v>60.0</v>
      </c>
      <c r="P1241" s="949">
        <v>85.0</v>
      </c>
      <c r="Q1241" s="949">
        <v>50.0</v>
      </c>
      <c r="R1241" s="949">
        <v>136.0</v>
      </c>
      <c r="S1241" s="949">
        <v>199.0</v>
      </c>
      <c r="T1241" s="949">
        <v>218.0</v>
      </c>
      <c r="U1241" s="949"/>
      <c r="V1241" s="949"/>
      <c r="W1241" s="949"/>
      <c r="X1241" s="949"/>
      <c r="Y1241" s="949"/>
      <c r="Z1241" s="949"/>
      <c r="AA1241" s="949"/>
      <c r="AB1241" s="949"/>
      <c r="AC1241" s="949"/>
      <c r="AD1241" s="949"/>
      <c r="AE1241" s="949"/>
      <c r="AF1241" s="949"/>
      <c r="AG1241" s="949"/>
      <c r="AH1241" s="949"/>
      <c r="AI1241" s="949"/>
      <c r="AJ1241" s="949"/>
      <c r="AK1241" s="949"/>
      <c r="AL1241" s="949"/>
      <c r="AM1241" s="953" t="s">
        <v>1069</v>
      </c>
      <c r="AN1241" s="953" t="s">
        <v>4207</v>
      </c>
      <c r="AO1241" s="955" t="s">
        <v>1451</v>
      </c>
      <c r="AP1241" s="931"/>
      <c r="AQ1241" s="956"/>
      <c r="AR1241" s="957"/>
      <c r="AS1241" s="931"/>
    </row>
    <row r="1242" ht="15.75" customHeight="1">
      <c r="A1242" s="963"/>
      <c r="B1242" s="941">
        <v>1009.0</v>
      </c>
      <c r="C1242" s="971" t="s">
        <v>4208</v>
      </c>
      <c r="D1242" s="971" t="s">
        <v>4208</v>
      </c>
      <c r="E1242" s="966" t="s">
        <v>4208</v>
      </c>
      <c r="F1242" s="935"/>
      <c r="G1242" s="944"/>
      <c r="H1242" s="944"/>
      <c r="I1242" s="959" t="s">
        <v>373</v>
      </c>
      <c r="J1242" s="983" t="s">
        <v>709</v>
      </c>
      <c r="K1242" s="997" t="s">
        <v>711</v>
      </c>
      <c r="L1242" s="974">
        <v>130.0</v>
      </c>
      <c r="M1242" s="974">
        <v>75.0</v>
      </c>
      <c r="N1242" s="974">
        <v>60.0</v>
      </c>
      <c r="O1242" s="974">
        <v>45.0</v>
      </c>
      <c r="P1242" s="974">
        <v>100.0</v>
      </c>
      <c r="Q1242" s="974">
        <v>20.0</v>
      </c>
      <c r="R1242" s="949">
        <v>76.0</v>
      </c>
      <c r="S1242" s="949">
        <v>139.0</v>
      </c>
      <c r="T1242" s="949">
        <v>152.0</v>
      </c>
      <c r="U1242" s="949"/>
      <c r="V1242" s="949"/>
      <c r="W1242" s="949"/>
      <c r="X1242" s="949"/>
      <c r="Y1242" s="949"/>
      <c r="Z1242" s="949"/>
      <c r="AA1242" s="949"/>
      <c r="AB1242" s="949"/>
      <c r="AC1242" s="949"/>
      <c r="AD1242" s="949"/>
      <c r="AE1242" s="949"/>
      <c r="AF1242" s="949"/>
      <c r="AG1242" s="949"/>
      <c r="AH1242" s="949"/>
      <c r="AI1242" s="949"/>
      <c r="AJ1242" s="949"/>
      <c r="AK1242" s="949"/>
      <c r="AL1242" s="949"/>
      <c r="AM1242" s="964" t="s">
        <v>942</v>
      </c>
      <c r="AN1242" s="953" t="s">
        <v>1084</v>
      </c>
      <c r="AO1242" s="955" t="s">
        <v>968</v>
      </c>
      <c r="AP1242" s="931"/>
      <c r="AQ1242" s="956"/>
      <c r="AR1242" s="957"/>
      <c r="AS1242" s="931"/>
    </row>
    <row r="1243" ht="15.75" customHeight="1">
      <c r="A1243" s="963"/>
      <c r="B1243" s="941">
        <v>1010.0</v>
      </c>
      <c r="C1243" s="971" t="s">
        <v>187</v>
      </c>
      <c r="D1243" s="971" t="s">
        <v>187</v>
      </c>
      <c r="E1243" s="966" t="s">
        <v>187</v>
      </c>
      <c r="F1243" s="935"/>
      <c r="G1243" s="944"/>
      <c r="H1243" s="944"/>
      <c r="I1243" s="959" t="s">
        <v>58</v>
      </c>
      <c r="J1243" s="987" t="s">
        <v>705</v>
      </c>
      <c r="K1243" s="995" t="s">
        <v>717</v>
      </c>
      <c r="L1243" s="974">
        <v>110.0</v>
      </c>
      <c r="M1243" s="974">
        <v>115.0</v>
      </c>
      <c r="N1243" s="974">
        <v>80.0</v>
      </c>
      <c r="O1243" s="974">
        <v>50.0</v>
      </c>
      <c r="P1243" s="974">
        <v>90.0</v>
      </c>
      <c r="Q1243" s="974">
        <v>90.0</v>
      </c>
      <c r="R1243" s="949">
        <v>216.0</v>
      </c>
      <c r="S1243" s="949">
        <v>279.0</v>
      </c>
      <c r="T1243" s="949">
        <v>306.0</v>
      </c>
      <c r="U1243" s="949"/>
      <c r="V1243" s="949"/>
      <c r="W1243" s="949"/>
      <c r="X1243" s="949"/>
      <c r="Y1243" s="949"/>
      <c r="Z1243" s="949"/>
      <c r="AA1243" s="949"/>
      <c r="AB1243" s="949"/>
      <c r="AC1243" s="949"/>
      <c r="AD1243" s="949"/>
      <c r="AE1243" s="949"/>
      <c r="AF1243" s="949"/>
      <c r="AG1243" s="949"/>
      <c r="AH1243" s="949"/>
      <c r="AI1243" s="949"/>
      <c r="AJ1243" s="949"/>
      <c r="AK1243" s="949"/>
      <c r="AL1243" s="949"/>
      <c r="AM1243" s="964" t="s">
        <v>1067</v>
      </c>
      <c r="AN1243" s="953" t="s">
        <v>994</v>
      </c>
      <c r="AO1243" s="955" t="s">
        <v>1069</v>
      </c>
      <c r="AP1243" s="931"/>
      <c r="AQ1243" s="956"/>
      <c r="AR1243" s="957"/>
      <c r="AS1243" s="931"/>
    </row>
  </sheetData>
  <mergeCells count="1">
    <mergeCell ref="J1:K1"/>
  </mergeCells>
  <conditionalFormatting sqref="I2 J2:K1243">
    <cfRule type="cellIs" dxfId="9" priority="1" operator="equal">
      <formula>"Normal"</formula>
    </cfRule>
  </conditionalFormatting>
  <conditionalFormatting sqref="I2 J2:K1243">
    <cfRule type="cellIs" dxfId="10" priority="2" operator="equal">
      <formula>"Grass"</formula>
    </cfRule>
  </conditionalFormatting>
  <conditionalFormatting sqref="I2 J2:K1243">
    <cfRule type="cellIs" dxfId="11" priority="3" operator="equal">
      <formula>"Fire"</formula>
    </cfRule>
  </conditionalFormatting>
  <conditionalFormatting sqref="I2 J2:K1243">
    <cfRule type="cellIs" dxfId="12" priority="4" operator="equal">
      <formula>"Water"</formula>
    </cfRule>
  </conditionalFormatting>
  <conditionalFormatting sqref="I2 J2:K1243">
    <cfRule type="cellIs" dxfId="13" priority="5" operator="equal">
      <formula>"Fighting"</formula>
    </cfRule>
  </conditionalFormatting>
  <conditionalFormatting sqref="I2 J2:K1243">
    <cfRule type="cellIs" dxfId="14" priority="6" operator="equal">
      <formula>"Flying"</formula>
    </cfRule>
  </conditionalFormatting>
  <conditionalFormatting sqref="I2 J2:K1243">
    <cfRule type="cellIs" dxfId="15" priority="7" operator="equal">
      <formula>"Poison"</formula>
    </cfRule>
  </conditionalFormatting>
  <conditionalFormatting sqref="I2 J2:K1243">
    <cfRule type="cellIs" dxfId="16" priority="8" operator="equal">
      <formula>"Ground"</formula>
    </cfRule>
  </conditionalFormatting>
  <conditionalFormatting sqref="I2 J2:K1243">
    <cfRule type="cellIs" dxfId="17" priority="9" operator="equal">
      <formula>"Rock"</formula>
    </cfRule>
  </conditionalFormatting>
  <conditionalFormatting sqref="I2 J2:K1243">
    <cfRule type="cellIs" dxfId="18" priority="10" operator="equal">
      <formula>"Bug"</formula>
    </cfRule>
  </conditionalFormatting>
  <conditionalFormatting sqref="I2 J2:K1243">
    <cfRule type="cellIs" dxfId="19" priority="11" operator="equal">
      <formula>"Ghost"</formula>
    </cfRule>
  </conditionalFormatting>
  <conditionalFormatting sqref="I2 J2:K1243">
    <cfRule type="cellIs" dxfId="20" priority="12" operator="equal">
      <formula>"Electric"</formula>
    </cfRule>
  </conditionalFormatting>
  <conditionalFormatting sqref="I2 J2:K1243">
    <cfRule type="cellIs" dxfId="21" priority="13" operator="equal">
      <formula>"Psychic"</formula>
    </cfRule>
  </conditionalFormatting>
  <conditionalFormatting sqref="I2 J2:K1243">
    <cfRule type="cellIs" dxfId="22" priority="14" operator="equal">
      <formula>"Ice"</formula>
    </cfRule>
  </conditionalFormatting>
  <conditionalFormatting sqref="I2 J2:K1243">
    <cfRule type="cellIs" dxfId="23" priority="15" operator="equal">
      <formula>"Dragon"</formula>
    </cfRule>
  </conditionalFormatting>
  <conditionalFormatting sqref="I2 J2:K1243">
    <cfRule type="cellIs" dxfId="24" priority="16" operator="equal">
      <formula>"Dark"</formula>
    </cfRule>
  </conditionalFormatting>
  <conditionalFormatting sqref="I2 J2:K1243">
    <cfRule type="cellIs" dxfId="25" priority="17" operator="equal">
      <formula>"Steel"</formula>
    </cfRule>
  </conditionalFormatting>
  <conditionalFormatting sqref="I2 J2:K1243">
    <cfRule type="cellIs" dxfId="26" priority="18" operator="equal">
      <formula>"Fairy"</formula>
    </cfRule>
  </conditionalFormatting>
  <conditionalFormatting sqref="I2 J2:K1243">
    <cfRule type="cellIs" dxfId="27" priority="19" operator="equal">
      <formula>"Bird"</formula>
    </cfRule>
  </conditionalFormatting>
  <conditionalFormatting sqref="U2:AL1243">
    <cfRule type="colorScale" priority="20">
      <colorScale>
        <cfvo type="formula" val="0"/>
        <cfvo type="formula" val="1"/>
        <cfvo type="formula" val="4"/>
        <color rgb="FF57BB8A"/>
        <color rgb="FFFFFFFF"/>
        <color rgb="FFE67C73"/>
      </colorScale>
    </cfRule>
  </conditionalFormatting>
  <drawing r:id="rId2"/>
  <legacyDrawing r:id="rId3"/>
</worksheet>
</file>