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w\Downloads\"/>
    </mc:Choice>
  </mc:AlternateContent>
  <xr:revisionPtr revIDLastSave="0" documentId="13_ncr:1_{0345C7B0-84D8-459B-AA95-16AAB834D9AE}" xr6:coauthVersionLast="47" xr6:coauthVersionMax="47" xr10:uidLastSave="{00000000-0000-0000-0000-000000000000}"/>
  <bookViews>
    <workbookView xWindow="-120" yWindow="-120" windowWidth="20730" windowHeight="11040" xr2:uid="{7BD47843-B91C-47B0-913C-1BF3AB793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P15" i="1"/>
  <c r="O15" i="1"/>
  <c r="N15" i="1" a="1"/>
  <c r="N15" i="1" s="1"/>
  <c r="K15" i="1"/>
  <c r="J15" i="1"/>
  <c r="I15" i="1" a="1"/>
  <c r="I15" i="1" s="1"/>
  <c r="P14" i="1"/>
  <c r="O14" i="1"/>
  <c r="Q14" i="1" s="1"/>
  <c r="R14" i="1" s="1"/>
  <c r="N14" i="1" a="1"/>
  <c r="N14" i="1" s="1"/>
  <c r="K14" i="1"/>
  <c r="J14" i="1"/>
  <c r="I14" i="1" a="1"/>
  <c r="I14" i="1" s="1"/>
  <c r="P13" i="1"/>
  <c r="O13" i="1"/>
  <c r="Q13" i="1" s="1"/>
  <c r="N13" i="1" a="1"/>
  <c r="N13" i="1" s="1"/>
  <c r="L13" i="1"/>
  <c r="K13" i="1"/>
  <c r="J13" i="1"/>
  <c r="I13" i="1" a="1"/>
  <c r="I13" i="1" s="1"/>
  <c r="P23" i="1"/>
  <c r="Q23" i="1" s="1"/>
  <c r="R23" i="1" s="1"/>
  <c r="O23" i="1"/>
  <c r="J23" i="1"/>
  <c r="K23" i="1"/>
  <c r="J18" i="1"/>
  <c r="I23" i="1" a="1"/>
  <c r="I23" i="1" s="1"/>
  <c r="I18" i="1" a="1"/>
  <c r="I18" i="1" s="1"/>
  <c r="N18" i="1" a="1"/>
  <c r="N18" i="1" s="1"/>
  <c r="N19" i="1" a="1"/>
  <c r="N19" i="1" s="1"/>
  <c r="N20" i="1" a="1"/>
  <c r="N20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9" i="1" a="1"/>
  <c r="I19" i="1" s="1"/>
  <c r="I20" i="1" a="1"/>
  <c r="I20" i="1" s="1"/>
  <c r="AH4" i="1"/>
  <c r="AH5" i="1"/>
  <c r="AH6" i="1"/>
  <c r="AH3" i="1"/>
  <c r="AG3" i="1"/>
  <c r="AG4" i="1"/>
  <c r="AG5" i="1"/>
  <c r="AG6" i="1"/>
  <c r="AB3" i="1"/>
  <c r="AC4" i="1"/>
  <c r="AC5" i="1"/>
  <c r="AC6" i="1"/>
  <c r="AC3" i="1"/>
  <c r="AB4" i="1"/>
  <c r="AD4" i="1" s="1"/>
  <c r="AE4" i="1" s="1"/>
  <c r="AB5" i="1"/>
  <c r="AB6" i="1"/>
  <c r="AD6" i="1" s="1"/>
  <c r="AE6" i="1" s="1"/>
  <c r="AF4" i="1" a="1"/>
  <c r="AF4" i="1"/>
  <c r="AF5" i="1" a="1"/>
  <c r="AF5" i="1" s="1"/>
  <c r="AF6" i="1" a="1"/>
  <c r="AF6" i="1" s="1"/>
  <c r="AF3" i="1" a="1"/>
  <c r="AF3" i="1" s="1"/>
  <c r="AA3" i="1" a="1"/>
  <c r="AA3" i="1"/>
  <c r="AA4" i="1" a="1"/>
  <c r="AA4" i="1" s="1"/>
  <c r="AA5" i="1" a="1"/>
  <c r="AA5" i="1" s="1"/>
  <c r="AA6" i="1" a="1"/>
  <c r="AA6" i="1" s="1"/>
  <c r="P18" i="1"/>
  <c r="P19" i="1"/>
  <c r="P20" i="1"/>
  <c r="O18" i="1"/>
  <c r="O19" i="1"/>
  <c r="O20" i="1"/>
  <c r="K20" i="1"/>
  <c r="K19" i="1"/>
  <c r="K18" i="1"/>
  <c r="J19" i="1"/>
  <c r="J20" i="1"/>
  <c r="B14" i="1"/>
  <c r="A14" i="1"/>
  <c r="AD5" i="1"/>
  <c r="AE5" i="1" s="1"/>
  <c r="AI3" i="1" l="1"/>
  <c r="AJ3" i="1" s="1"/>
  <c r="AD3" i="1"/>
  <c r="AE3" i="1" s="1"/>
  <c r="AI4" i="1"/>
  <c r="AJ4" i="1" s="1"/>
  <c r="AK4" i="1" s="1"/>
  <c r="AI5" i="1"/>
  <c r="AJ5" i="1" s="1"/>
  <c r="L14" i="1"/>
  <c r="Q19" i="1"/>
  <c r="Q20" i="1"/>
  <c r="L15" i="1"/>
  <c r="M15" i="1" s="1"/>
  <c r="M14" i="1"/>
  <c r="R13" i="1"/>
  <c r="S13" i="1" s="1"/>
  <c r="Q15" i="1"/>
  <c r="R15" i="1" s="1"/>
  <c r="L23" i="1"/>
  <c r="M23" i="1" s="1"/>
  <c r="S23" i="1" s="1"/>
  <c r="AI6" i="1"/>
  <c r="AJ6" i="1" s="1"/>
  <c r="Q18" i="1"/>
  <c r="R18" i="1" s="1"/>
  <c r="L19" i="1"/>
  <c r="M19" i="1" s="1"/>
  <c r="L20" i="1"/>
  <c r="M20" i="1" s="1"/>
  <c r="L18" i="1"/>
  <c r="M18" i="1" s="1"/>
  <c r="O9" i="1"/>
  <c r="K9" i="1"/>
  <c r="P9" i="1"/>
  <c r="J9" i="1"/>
  <c r="O5" i="1"/>
  <c r="K5" i="1"/>
  <c r="P5" i="1"/>
  <c r="J5" i="1"/>
  <c r="K8" i="1"/>
  <c r="P8" i="1"/>
  <c r="J8" i="1"/>
  <c r="O8" i="1"/>
  <c r="K4" i="1"/>
  <c r="P4" i="1"/>
  <c r="J4" i="1"/>
  <c r="O4" i="1"/>
  <c r="P7" i="1"/>
  <c r="J7" i="1"/>
  <c r="O7" i="1"/>
  <c r="K7" i="1"/>
  <c r="P3" i="1"/>
  <c r="J3" i="1"/>
  <c r="O3" i="1"/>
  <c r="K3" i="1"/>
  <c r="O10" i="1"/>
  <c r="K10" i="1"/>
  <c r="P10" i="1"/>
  <c r="J10" i="1"/>
  <c r="O6" i="1"/>
  <c r="K6" i="1"/>
  <c r="P6" i="1"/>
  <c r="J6" i="1"/>
  <c r="P2" i="1"/>
  <c r="J2" i="1"/>
  <c r="O2" i="1"/>
  <c r="K2" i="1"/>
  <c r="R19" i="1"/>
  <c r="R20" i="1"/>
  <c r="C14" i="1"/>
  <c r="D14" i="1" s="1"/>
  <c r="AK3" i="1"/>
  <c r="AK6" i="1"/>
  <c r="L7" i="1" l="1"/>
  <c r="AK5" i="1"/>
  <c r="S14" i="1"/>
  <c r="S19" i="1"/>
  <c r="Q3" i="1"/>
  <c r="R3" i="1" s="1"/>
  <c r="S15" i="1"/>
  <c r="S18" i="1"/>
  <c r="S20" i="1"/>
  <c r="Q2" i="1"/>
  <c r="R2" i="1" s="1"/>
  <c r="L6" i="1"/>
  <c r="M6" i="1" s="1"/>
  <c r="Q4" i="1"/>
  <c r="R4" i="1" s="1"/>
  <c r="L5" i="1"/>
  <c r="L3" i="1"/>
  <c r="M3" i="1" s="1"/>
  <c r="L2" i="1"/>
  <c r="M2" i="1" s="1"/>
  <c r="Q6" i="1"/>
  <c r="R6" i="1" s="1"/>
  <c r="L10" i="1"/>
  <c r="M10" i="1" s="1"/>
  <c r="L4" i="1"/>
  <c r="M4" i="1" s="1"/>
  <c r="Q8" i="1"/>
  <c r="R8" i="1" s="1"/>
  <c r="L8" i="1"/>
  <c r="M8" i="1" s="1"/>
  <c r="L9" i="1"/>
  <c r="M9" i="1" s="1"/>
  <c r="M7" i="1"/>
  <c r="Q5" i="1"/>
  <c r="R5" i="1" s="1"/>
  <c r="Q10" i="1"/>
  <c r="R10" i="1" s="1"/>
  <c r="Q7" i="1"/>
  <c r="R7" i="1" s="1"/>
  <c r="Q9" i="1"/>
  <c r="R9" i="1" s="1"/>
  <c r="S3" i="1" l="1"/>
  <c r="S6" i="1"/>
  <c r="S8" i="1"/>
  <c r="S9" i="1"/>
  <c r="S2" i="1"/>
  <c r="S4" i="1"/>
  <c r="S7" i="1"/>
  <c r="S10" i="1"/>
  <c r="S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<sst xmlns="http://schemas.openxmlformats.org/spreadsheetml/2006/main" count="125" uniqueCount="41">
  <si>
    <t>ID</t>
  </si>
  <si>
    <t>StudyHrs</t>
  </si>
  <si>
    <t>StudyGrp</t>
  </si>
  <si>
    <t>HwDone</t>
  </si>
  <si>
    <t>Pass</t>
  </si>
  <si>
    <t>A</t>
  </si>
  <si>
    <t>B</t>
  </si>
  <si>
    <t>C</t>
  </si>
  <si>
    <t>Yes</t>
  </si>
  <si>
    <t>No</t>
  </si>
  <si>
    <t>Split1 - StudyHrs</t>
  </si>
  <si>
    <t>T</t>
  </si>
  <si>
    <t>StudyHrs &lt;= T</t>
  </si>
  <si>
    <t>Gini_Left</t>
  </si>
  <si>
    <t>Study_Hrs &gt; T</t>
  </si>
  <si>
    <t>Gini_Right</t>
  </si>
  <si>
    <t>Weighted Gini</t>
  </si>
  <si>
    <t>G</t>
  </si>
  <si>
    <t>StudyGrp = G</t>
  </si>
  <si>
    <t>StudyGrp != G</t>
  </si>
  <si>
    <t>FL</t>
  </si>
  <si>
    <t>PR</t>
  </si>
  <si>
    <t>TotalR</t>
  </si>
  <si>
    <t>PL</t>
  </si>
  <si>
    <t>TotalL</t>
  </si>
  <si>
    <t>FR</t>
  </si>
  <si>
    <t>Weighted_Gini</t>
  </si>
  <si>
    <t>Split2 - StudyGrp</t>
  </si>
  <si>
    <t>1, 2, 4, 6, 7, 9</t>
  </si>
  <si>
    <t>Split3 - HwDone</t>
  </si>
  <si>
    <t>HwDone = Y</t>
  </si>
  <si>
    <t>HwDone = N</t>
  </si>
  <si>
    <t>PrevScore</t>
  </si>
  <si>
    <t>Result</t>
  </si>
  <si>
    <t>F</t>
  </si>
  <si>
    <t>P</t>
  </si>
  <si>
    <t>Not actually needed</t>
  </si>
  <si>
    <t>Testing my calculations to see if they match prof's results from lecture notes</t>
  </si>
  <si>
    <t>Gini</t>
  </si>
  <si>
    <t xml:space="preserve">Entire table </t>
  </si>
  <si>
    <t>for studyhrs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</si>
</sst>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3" borderId="2" xfId="0" applyFont="1" applyFill="1" applyBorder="1"/>
    <xf numFmtId="0" fontId="0" fillId="0" borderId="2" xfId="0" applyFont="1" applyBorder="1"/>
    <xf numFmtId="164" fontId="0" fillId="3" borderId="3" xfId="0" applyNumberFormat="1" applyFont="1" applyFill="1" applyBorder="1"/>
    <xf numFmtId="164" fontId="0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4" borderId="2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164" fontId="0" fillId="4" borderId="3" xfId="0" applyNumberFormat="1" applyFont="1" applyFill="1" applyBorder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B0CE5-90CB-4776-A6D3-2B9FBD234485}" name="Table1" displayName="Table1" ref="A1:E11" totalsRowShown="0" headerRowDxfId="25">
  <autoFilter ref="A1:E11" xr:uid="{3DCB0CE5-90CB-4776-A6D3-2B9FBD234485}"/>
  <sortState xmlns:xlrd2="http://schemas.microsoft.com/office/spreadsheetml/2017/richdata2" ref="A2:E11">
    <sortCondition ref="C1:C11"/>
  </sortState>
  <tableColumns count="5">
    <tableColumn id="1" xr3:uid="{C0732666-C654-4285-A133-2D8C003382A2}" name="ID"/>
    <tableColumn id="2" xr3:uid="{B4E55B02-D5AC-42DB-8296-F0A50AE59891}" name="StudyHrs"/>
    <tableColumn id="3" xr3:uid="{B4F5BD89-2952-4223-95EF-87A35ABB02EE}" name="StudyGrp"/>
    <tableColumn id="4" xr3:uid="{04FEAE94-1280-40CC-A69A-99D46EB649CA}" name="HwDone"/>
    <tableColumn id="5" xr3:uid="{A5F47D28-B259-4910-87E1-03DB78986036}" name="Pas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4EF186-6E96-453F-AC50-D0DB0C1589B4}" name="Table2" displayName="Table2" ref="H1:S10" totalsRowShown="0">
  <autoFilter ref="H1:S10" xr:uid="{D34EF186-6E96-453F-AC50-D0DB0C1589B4}"/>
  <tableColumns count="12">
    <tableColumn id="1" xr3:uid="{F832341D-FDB9-4B17-AF45-D1AF41C88FC3}" name="T"/>
    <tableColumn id="2" xr3:uid="{55ED37E6-0894-4F49-82D0-4A186417A0A0}" name="StudyHrs &lt;= T" dataDxfId="24">
      <calculatedColumnFormula array="1">_xlfn.TEXTJOIN(", ", TRUE, _xlfn._xlws.SORT(_xlfn._xlws.FILTER(A$2:A$11, B$2:B$11 &lt;= $H2)))</calculatedColumnFormula>
    </tableColumn>
    <tableColumn id="3" xr3:uid="{B4AE9A13-4244-45C1-8C42-6E28774D0E8E}" name="FL">
      <calculatedColumnFormula>COUNTIFS(B$2:B$11, "&lt;="&amp;H2, E$2:E$11, "No")</calculatedColumnFormula>
    </tableColumn>
    <tableColumn id="4" xr3:uid="{2234A9E9-12EF-43EE-B0FF-00E8671C6095}" name="PL">
      <calculatedColumnFormula>COUNTIFS(B$2:B$11, "&lt;="&amp;H2, E$2:E$11, "Yes")</calculatedColumnFormula>
    </tableColumn>
    <tableColumn id="5" xr3:uid="{27288A1B-9FC4-44F7-90D6-93CF55EDF21A}" name="TotalL">
      <calculatedColumnFormula>$J2+$K2</calculatedColumnFormula>
    </tableColumn>
    <tableColumn id="6" xr3:uid="{342B23E0-05B7-4514-BB01-711373660AB0}" name="Gini_Left" dataDxfId="23"/>
    <tableColumn id="7" xr3:uid="{3A842049-CA00-4BD9-BA29-D8751A7C3F14}" name="Study_Hrs &gt; T" dataDxfId="22">
      <calculatedColumnFormula array="1">_xlfn.TEXTJOIN(", ", TRUE, _xlfn._xlws.SORT(_xlfn._xlws.FILTER(A$2:A$11, B$2:B$11 &gt; $H2)))</calculatedColumnFormula>
    </tableColumn>
    <tableColumn id="8" xr3:uid="{DB7DE565-5F22-4317-8EC3-5C3BBB29A3F4}" name="FR">
      <calculatedColumnFormula>COUNTIFS(B$2:B$11, "&gt;"&amp;H2, E$2:E$11, "No")</calculatedColumnFormula>
    </tableColumn>
    <tableColumn id="9" xr3:uid="{91E9509B-DA2C-4FBA-801F-0F39B46770A2}" name="PR">
      <calculatedColumnFormula>COUNTIFS(B$2:B$11, "&gt;"&amp;H2, E$2:E$11, "Yes")</calculatedColumnFormula>
    </tableColumn>
    <tableColumn id="10" xr3:uid="{F3E2E246-95D3-47F1-9DA0-0B82801D82A2}" name="TotalR">
      <calculatedColumnFormula>$O2+$P2</calculatedColumnFormula>
    </tableColumn>
    <tableColumn id="11" xr3:uid="{C37A38CC-8A50-4FA8-B386-F83A44CC7F14}" name="Gini_Right" dataDxfId="21">
      <calculatedColumnFormula>1 - (($O2/$Q2)^2 + ($P2/$Q2)^2)</calculatedColumnFormula>
    </tableColumn>
    <tableColumn id="12" xr3:uid="{E67EBE2E-55A1-44EB-99B9-504C74B44F96}" name="Weighted Gini" dataDxfId="20">
      <calculatedColumnFormula xml:space="preserve"> ($L2/($L2+$Q2)*$M2)+($Q2/($L2+$Q2)*R2)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4B216-18AD-4B79-9E10-7AE08F0C97A7}" name="Table3" displayName="Table3" ref="H17:S20" totalsRowShown="0">
  <autoFilter ref="H17:S20" xr:uid="{D964B216-18AD-4B79-9E10-7AE08F0C97A7}"/>
  <tableColumns count="12">
    <tableColumn id="1" xr3:uid="{10ABCFE0-50B8-4DBB-A87B-5844FEFB1FA4}" name="G"/>
    <tableColumn id="2" xr3:uid="{9B5AC43A-7EDE-45E0-A8A0-37D75005BFC4}" name="StudyGrp != G" dataDxfId="19">
      <calculatedColumnFormula array="1">_xlfn.TEXTJOIN(", ", TRUE, _xlfn._xlws.SORT(_xlfn._xlws.FILTER(A$2:A$11, C$2:C$11 &lt;&gt; $H18)))</calculatedColumnFormula>
    </tableColumn>
    <tableColumn id="3" xr3:uid="{647F719D-5D98-4B91-9C73-2B07B579F30D}" name="FL" dataDxfId="18">
      <calculatedColumnFormula>COUNTIFS(C$2:C$11, "&lt;&gt;"&amp;H18, E$2:E$11, "No")</calculatedColumnFormula>
    </tableColumn>
    <tableColumn id="4" xr3:uid="{9AC5CD81-0FA0-4163-AD4E-ACFDA549992C}" name="PL">
      <calculatedColumnFormula>COUNTIFS(C$2:C$11, "&lt;&gt;"&amp;H18, E$2:E$11, "Yes")</calculatedColumnFormula>
    </tableColumn>
    <tableColumn id="5" xr3:uid="{42FC45B3-BFE7-470B-B90F-65993302CFFB}" name="TotalL" dataDxfId="17">
      <calculatedColumnFormula>$J18+$K18</calculatedColumnFormula>
    </tableColumn>
    <tableColumn id="6" xr3:uid="{C650FAE1-7377-42E5-AA37-0A4FBB1D6290}" name="Gini_Left" dataDxfId="16">
      <calculatedColumnFormula>1 - (($J18/$L18)^2 + ($K18/$L18)^2)</calculatedColumnFormula>
    </tableColumn>
    <tableColumn id="7" xr3:uid="{1BA666F8-EABD-4778-A0F5-B9B77C3D6F31}" name="StudyGrp = G" dataDxfId="15">
      <calculatedColumnFormula array="1">_xlfn.TEXTJOIN(", ", TRUE, _xlfn._xlws.SORT(_xlfn._xlws.FILTER(A$2:A$11, C$2:C$11 = $H18)))</calculatedColumnFormula>
    </tableColumn>
    <tableColumn id="8" xr3:uid="{B9485C60-CDF2-4A3E-A189-89A500626773}" name="FR" dataDxfId="14">
      <calculatedColumnFormula>COUNTIFS(C$2:C$11, ""&amp;H18, E$2:E$11, "No")</calculatedColumnFormula>
    </tableColumn>
    <tableColumn id="9" xr3:uid="{4A184220-973D-4BB6-B1DC-83EC773C3940}" name="PR" dataDxfId="13">
      <calculatedColumnFormula>COUNTIFS(C$2:C$11, ""&amp;H18, E$2:E$11, "Yes")</calculatedColumnFormula>
    </tableColumn>
    <tableColumn id="10" xr3:uid="{6BF08123-964D-4D9B-9C64-082276F209CC}" name="TotalR" dataDxfId="12">
      <calculatedColumnFormula>$O18+$P18</calculatedColumnFormula>
    </tableColumn>
    <tableColumn id="11" xr3:uid="{B47281EF-57D7-4A29-A990-834E7D3A24BC}" name="Gini_Right" dataDxfId="11">
      <calculatedColumnFormula>1 - (($O18/$Q18)^2 + ($P18/$Q18)^2)</calculatedColumnFormula>
    </tableColumn>
    <tableColumn id="12" xr3:uid="{C4F31ADA-D282-41A4-9667-72093617455E}" name="Weighted_Gini" dataDxfId="10">
      <calculatedColumnFormula xml:space="preserve"> ($L18/($L18+$Q18)*$M18)+($Q18/($L18+$Q18)*R18)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A9B05-F239-4321-BED1-F5DADB25B824}" name="Table4" displayName="Table4" ref="I22:S23" totalsRowShown="0">
  <autoFilter ref="I22:S23" xr:uid="{99FA9B05-F239-4321-BED1-F5DADB25B824}"/>
  <tableColumns count="11">
    <tableColumn id="2" xr3:uid="{11E3B1DC-8070-488A-B52F-B60354A7DE14}" name="HwDone = N">
      <calculatedColumnFormula array="1">_xlfn.TEXTJOIN(", ", TRUE, _xlfn._xlws.SORT(_xlfn._xlws.FILTER(A$2:A$11, D$2:D$11 = "No")))</calculatedColumnFormula>
    </tableColumn>
    <tableColumn id="3" xr3:uid="{3C82D722-AFD0-49D5-9FFD-084B0C21304C}" name="FL">
      <calculatedColumnFormula>COUNTIFS(D$2:D$11, "No", E$2:E$11, "No")</calculatedColumnFormula>
    </tableColumn>
    <tableColumn id="4" xr3:uid="{DD885E12-2970-4F4E-836E-AB717584259F}" name="PL">
      <calculatedColumnFormula>COUNTIFS(D$2:D$11, "No", E$2:E$11, "Yes")</calculatedColumnFormula>
    </tableColumn>
    <tableColumn id="5" xr3:uid="{371B0727-E76F-4508-BD76-D5C99B0ED5B8}" name="TotalL">
      <calculatedColumnFormula>$J23+$K23</calculatedColumnFormula>
    </tableColumn>
    <tableColumn id="6" xr3:uid="{0B29DAEA-8C67-440D-A54A-B32057005CB2}" name="Gini_Left" dataDxfId="9">
      <calculatedColumnFormula>1 - (($J23/$L23)^2 + ($K23/$L23)^2)</calculatedColumnFormula>
    </tableColumn>
    <tableColumn id="7" xr3:uid="{6D2B0363-F895-423E-8A4A-1314FF2D68AC}" name="HwDone = Y"/>
    <tableColumn id="8" xr3:uid="{5643C801-19AE-4E10-9B23-6932573A0C49}" name="FR">
      <calculatedColumnFormula>COUNTIFS(D$2:D$11, "Yes", E$2:E$11, "No")</calculatedColumnFormula>
    </tableColumn>
    <tableColumn id="9" xr3:uid="{968678CA-DDF4-4EFD-9F13-3C16EE444739}" name="PR">
      <calculatedColumnFormula>COUNTIFS(D$2:D$11, "Yes", E$2:E$11, "Yes")</calculatedColumnFormula>
    </tableColumn>
    <tableColumn id="10" xr3:uid="{4B400EB7-C2D6-4241-A236-139E7E8FABF5}" name="TotalR">
      <calculatedColumnFormula>$O23+$P23</calculatedColumnFormula>
    </tableColumn>
    <tableColumn id="11" xr3:uid="{99E13A8B-CD50-40E0-9CC5-3F98EF32EBD1}" name="Gini_Right" dataDxfId="8">
      <calculatedColumnFormula>1 - (($O23/$Q23)^2 + ($P23/$Q23)^2)</calculatedColumnFormula>
    </tableColumn>
    <tableColumn id="12" xr3:uid="{C8787EA6-DDBD-4833-BAC4-F608F723FD88}" name="Weighted_Gini" dataDxfId="7">
      <calculatedColumnFormula xml:space="preserve"> ($L23/($L23+$Q23)*$M23)+($Q23/($L23+$Q23)*R23)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3FCA3F-B09C-42FE-815C-CE537EAADEFA}" name="Table5" displayName="Table5" ref="U2:X14" totalsRowShown="0">
  <autoFilter ref="U2:X14" xr:uid="{833FCA3F-B09C-42FE-815C-CE537EAADEFA}"/>
  <sortState xmlns:xlrd2="http://schemas.microsoft.com/office/spreadsheetml/2017/richdata2" ref="U3:X14">
    <sortCondition ref="U2:U14"/>
  </sortState>
  <tableColumns count="4">
    <tableColumn id="1" xr3:uid="{D291E283-37B3-4CCD-A90F-3257192D0E4E}" name="ID"/>
    <tableColumn id="2" xr3:uid="{9694D925-ECAB-4B6A-9DC6-DA3FC2FC4E6F}" name="StudyHrs"/>
    <tableColumn id="3" xr3:uid="{85D27341-00FC-42DE-949C-AC2DAF212A35}" name="PrevScore"/>
    <tableColumn id="4" xr3:uid="{05711C68-503A-4446-845F-673A6ACA0F6E}" name="Result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45B27D-6001-4913-8A2C-B67E3A97D99A}" name="Table6" displayName="Table6" ref="Z2:AK6" totalsRowShown="0">
  <autoFilter ref="Z2:AK6" xr:uid="{0845B27D-6001-4913-8A2C-B67E3A97D99A}"/>
  <tableColumns count="12">
    <tableColumn id="1" xr3:uid="{80A9BE0B-71CE-4561-9843-3B67DC841C00}" name="T"/>
    <tableColumn id="2" xr3:uid="{EE81C9AC-0274-45F2-B014-55927C20757F}" name="StudyHrs &lt;= T">
      <calculatedColumnFormula array="1">_xlfn.TEXTJOIN(", ", TRUE, _xlfn._xlws.SORT(_xlfn._xlws.FILTER(U$3:U$14, V$3:V$14 &lt;= Z3)))</calculatedColumnFormula>
    </tableColumn>
    <tableColumn id="3" xr3:uid="{8C84633C-D438-47AC-8981-9B2681A2AA58}" name="FL">
      <calculatedColumnFormula>COUNTIFS(V$3:V$14, "&lt;="&amp;Z3, X$3:X$14, "F")</calculatedColumnFormula>
    </tableColumn>
    <tableColumn id="4" xr3:uid="{028983FE-D69C-44C8-B9BF-66BCFA552600}" name="PL">
      <calculatedColumnFormula>COUNTIFS(V$3:V$14, "&lt;="&amp;Z3, X$3:X$14, "P")</calculatedColumnFormula>
    </tableColumn>
    <tableColumn id="5" xr3:uid="{5901BF41-E60F-4EA6-82B4-809C3CA5C0CD}" name="TotalL">
      <calculatedColumnFormula>$AB3+$AC3</calculatedColumnFormula>
    </tableColumn>
    <tableColumn id="6" xr3:uid="{180D8C3C-4031-4DA9-88E0-0831EF764398}" name="Gini_Left" dataDxfId="6">
      <calculatedColumnFormula>1 - (($AB3/$AD3)^2 + ($AC3/$AD3)^2)</calculatedColumnFormula>
    </tableColumn>
    <tableColumn id="7" xr3:uid="{427CB46A-D550-4E04-9600-9346B394B780}" name="Study_Hrs &gt; T">
      <calculatedColumnFormula array="1">_xlfn.TEXTJOIN(", ", TRUE, _xlfn._xlws.SORT(_xlfn._xlws.FILTER(U$3:U$14, V$3:V$14 &gt; Z3)))</calculatedColumnFormula>
    </tableColumn>
    <tableColumn id="8" xr3:uid="{41E6920C-68C7-4C59-9612-0CEFA6254551}" name="FR">
      <calculatedColumnFormula>COUNTIFS(V$3:V$14, "&gt;"&amp;Z3, X$3:X$14, "F")</calculatedColumnFormula>
    </tableColumn>
    <tableColumn id="9" xr3:uid="{BA367440-76F4-4378-B60F-32952B837E46}" name="PR">
      <calculatedColumnFormula>COUNTIFS(V$3:V$14, "&gt;"&amp;Z3, X$3:X$14, "P")</calculatedColumnFormula>
    </tableColumn>
    <tableColumn id="10" xr3:uid="{342FAD33-9F46-4C9C-A600-82991227D0E3}" name="TotalR">
      <calculatedColumnFormula>$AG3+$AH3</calculatedColumnFormula>
    </tableColumn>
    <tableColumn id="11" xr3:uid="{FD655B6C-914E-419B-92EE-DA21DF598FF5}" name="Gini_Right" dataDxfId="5">
      <calculatedColumnFormula>1 - (($AG3/$AI3)^2 + ($AH3/$AI3)^2)</calculatedColumnFormula>
    </tableColumn>
    <tableColumn id="12" xr3:uid="{A93D5D72-4B92-4893-93D2-ED415AF3D638}" name="Weighted_Gini" dataDxfId="4">
      <calculatedColumnFormula xml:space="preserve"> ($AD3/($AD3+$AI3)*$AE3)+($AI3/($AD3+$AI3)*AJ3)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0AC758-B87D-4794-AC30-DB71E9FF457C}" name="Table7" displayName="Table7" ref="A13:D14" totalsRowShown="0">
  <autoFilter ref="A13:D14" xr:uid="{1F0AC758-B87D-4794-AC30-DB71E9FF457C}"/>
  <tableColumns count="4">
    <tableColumn id="1" xr3:uid="{E043B5DE-3BAA-4697-83B2-BDBDB22FF9E9}" name="F">
      <calculatedColumnFormula>COUNTIF($E2:$E11, "No")</calculatedColumnFormula>
    </tableColumn>
    <tableColumn id="2" xr3:uid="{0F7DDE41-28F9-46BB-9378-D350F11E27A4}" name="P">
      <calculatedColumnFormula>COUNTIF($E2:$E11, "Yes")</calculatedColumnFormula>
    </tableColumn>
    <tableColumn id="3" xr3:uid="{DA40F347-3D97-4A23-8E27-D8480119F879}" name="T">
      <calculatedColumnFormula>$A14+$B14</calculatedColumnFormula>
    </tableColumn>
    <tableColumn id="4" xr3:uid="{380EBB68-5FCC-4ABD-8E59-82B4B614EA71}" name="Gini">
      <calculatedColumnFormula>1-(($A14/$C14)^2+($B14/$C14)^2)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254268-B872-4FD9-A5DA-808DAF77EF9C}" name="Table8" displayName="Table8" ref="H12:S15" totalsRowShown="0" headerRowDxfId="0" headerRowBorderDxfId="2" tableBorderDxfId="3">
  <autoFilter ref="H12:S15" xr:uid="{6D254268-B872-4FD9-A5DA-808DAF77EF9C}"/>
  <tableColumns count="12">
    <tableColumn id="1" xr3:uid="{A48DFC33-6F20-41C3-A0A5-3D5766402308}" name="T"/>
    <tableColumn id="2" xr3:uid="{0BC35894-7BEA-4E9C-8EAD-CFF1FB65D529}" name="StudyHrs &lt;= T" dataDxfId="1">
      <calculatedColumnFormula array="1">_xlfn.TEXTJOIN(", ", TRUE, _xlfn._xlws.SORT(_xlfn._xlws.FILTER(A$2:A$11, B$2:B$11 &lt;= $H13)))</calculatedColumnFormula>
    </tableColumn>
    <tableColumn id="3" xr3:uid="{9CC1B72E-A73F-4E81-A480-CACB888DF7E5}" name="FL">
      <calculatedColumnFormula>COUNTIFS(B$2:B$11, "&lt;="&amp;H13, E$2:E$11, "No")</calculatedColumnFormula>
    </tableColumn>
    <tableColumn id="4" xr3:uid="{F0C02279-337F-4C27-8945-8843731BE66B}" name="PL">
      <calculatedColumnFormula>COUNTIFS(B$2:B$11, "&lt;="&amp;H13, E$2:E$11, "Yes")</calculatedColumnFormula>
    </tableColumn>
    <tableColumn id="5" xr3:uid="{95EB7D37-87BA-4E5E-A0CF-8A1DA891EC79}" name="TotalL">
      <calculatedColumnFormula>$J13+$K13</calculatedColumnFormula>
    </tableColumn>
    <tableColumn id="6" xr3:uid="{59568362-245A-49F4-87A9-8481743E95A0}" name="Gini_Left">
      <calculatedColumnFormula>1 - (($J13/$L13)^2 + ($K13/$L13)^2)</calculatedColumnFormula>
    </tableColumn>
    <tableColumn id="7" xr3:uid="{E132C826-BCFD-407C-B25C-DF1BB4D52ABD}" name="Study_Hrs &gt; T">
      <calculatedColumnFormula array="1">_xlfn.TEXTJOIN(", ", TRUE, _xlfn._xlws.SORT(_xlfn._xlws.FILTER(A$2:A$11, B$2:B$11 &gt; $H13)))</calculatedColumnFormula>
    </tableColumn>
    <tableColumn id="8" xr3:uid="{6DB51E7F-8077-4745-BDCC-9456C5FCB36D}" name="FR">
      <calculatedColumnFormula>COUNTIFS(B$2:B$11, "&gt;"&amp;H13, E$2:E$11, "No")</calculatedColumnFormula>
    </tableColumn>
    <tableColumn id="9" xr3:uid="{32F33508-55E2-4878-9047-8F2A4D3FAC06}" name="PR">
      <calculatedColumnFormula>COUNTIFS(B$2:B$11, "&gt;"&amp;H13, E$2:E$11, "Yes")</calculatedColumnFormula>
    </tableColumn>
    <tableColumn id="10" xr3:uid="{B433C0D6-FDAB-4C54-9743-BC073B9C1A17}" name="TotalR">
      <calculatedColumnFormula>$O13+$P13</calculatedColumnFormula>
    </tableColumn>
    <tableColumn id="11" xr3:uid="{1B6FFFC2-E162-49D1-A16E-774B2527CD30}" name="Gini_Right">
      <calculatedColumnFormula>1 - (($O13/$Q13)^2 + ($P13/$Q13)^2)</calculatedColumnFormula>
    </tableColumn>
    <tableColumn id="12" xr3:uid="{13045CD1-EF57-4F3A-B577-657FBB7ACFDC}" name="Weighted Gini">
      <calculatedColumnFormula xml:space="preserve"> ($L13/($L13+$Q13)*$M13)+($Q13/($L13+$Q13)*R13)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99EF-2C3A-41EB-A0A4-8B944639EC0E}">
  <dimension ref="A1:AK23"/>
  <sheetViews>
    <sheetView tabSelected="1" zoomScale="90" zoomScaleNormal="90" workbookViewId="0">
      <selection activeCell="E20" sqref="E20"/>
    </sheetView>
  </sheetViews>
  <sheetFormatPr defaultRowHeight="15" x14ac:dyDescent="0.25"/>
  <cols>
    <col min="2" max="2" width="11.42578125" customWidth="1"/>
    <col min="3" max="3" width="11.85546875" customWidth="1"/>
    <col min="4" max="4" width="10.85546875" customWidth="1"/>
    <col min="7" max="7" width="16.28515625" bestFit="1" customWidth="1"/>
    <col min="8" max="8" width="5" bestFit="1" customWidth="1"/>
    <col min="9" max="9" width="18.28515625" bestFit="1" customWidth="1"/>
    <col min="10" max="10" width="5.7109375" bestFit="1" customWidth="1"/>
    <col min="11" max="11" width="5.85546875" bestFit="1" customWidth="1"/>
    <col min="12" max="12" width="9.140625" bestFit="1" customWidth="1"/>
    <col min="13" max="13" width="11.42578125" bestFit="1" customWidth="1"/>
    <col min="14" max="14" width="19.28515625" bestFit="1" customWidth="1"/>
    <col min="15" max="15" width="5.85546875" bestFit="1" customWidth="1"/>
    <col min="16" max="16" width="6" bestFit="1" customWidth="1"/>
    <col min="17" max="17" width="9.28515625" bestFit="1" customWidth="1"/>
    <col min="18" max="18" width="12.5703125" bestFit="1" customWidth="1"/>
    <col min="19" max="19" width="16.7109375" bestFit="1" customWidth="1"/>
    <col min="21" max="21" width="5.5703125" bestFit="1" customWidth="1"/>
    <col min="22" max="22" width="11.5703125" bestFit="1" customWidth="1"/>
    <col min="23" max="23" width="12.42578125" bestFit="1" customWidth="1"/>
    <col min="26" max="26" width="4.5703125" bestFit="1" customWidth="1"/>
    <col min="27" max="27" width="20.28515625" bestFit="1" customWidth="1"/>
    <col min="28" max="28" width="5.5703125" bestFit="1" customWidth="1"/>
    <col min="29" max="29" width="5.7109375" bestFit="1" customWidth="1"/>
    <col min="30" max="30" width="8.85546875" bestFit="1" customWidth="1"/>
    <col min="31" max="31" width="13.28515625" bestFit="1" customWidth="1"/>
    <col min="32" max="32" width="17.28515625" bestFit="1" customWidth="1"/>
    <col min="33" max="33" width="5.7109375" bestFit="1" customWidth="1"/>
    <col min="34" max="34" width="5.85546875" bestFit="1" customWidth="1"/>
    <col min="35" max="35" width="9" bestFit="1" customWidth="1"/>
    <col min="36" max="36" width="13.28515625" bestFit="1" customWidth="1"/>
    <col min="37" max="37" width="16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39</v>
      </c>
      <c r="H1" t="s">
        <v>11</v>
      </c>
      <c r="I1" t="s">
        <v>12</v>
      </c>
      <c r="J1" t="s">
        <v>20</v>
      </c>
      <c r="K1" t="s">
        <v>23</v>
      </c>
      <c r="L1" t="s">
        <v>24</v>
      </c>
      <c r="M1" t="s">
        <v>13</v>
      </c>
      <c r="N1" t="s">
        <v>14</v>
      </c>
      <c r="O1" t="s">
        <v>25</v>
      </c>
      <c r="P1" t="s">
        <v>21</v>
      </c>
      <c r="Q1" t="s">
        <v>22</v>
      </c>
      <c r="R1" t="s">
        <v>15</v>
      </c>
      <c r="S1" t="s">
        <v>16</v>
      </c>
      <c r="U1" t="s">
        <v>37</v>
      </c>
    </row>
    <row r="2" spans="1:37" x14ac:dyDescent="0.25">
      <c r="A2">
        <v>1</v>
      </c>
      <c r="B2">
        <v>6</v>
      </c>
      <c r="C2" t="s">
        <v>5</v>
      </c>
      <c r="D2" t="s">
        <v>8</v>
      </c>
      <c r="E2" t="s">
        <v>8</v>
      </c>
      <c r="G2" t="s">
        <v>40</v>
      </c>
      <c r="H2">
        <v>2</v>
      </c>
      <c r="I2" s="2" t="str" cm="1">
        <f t="array" ref="I2">_xlfn.TEXTJOIN(", ", TRUE, _xlfn._xlws.SORT(_xlfn._xlws.FILTER(A$2:A$11, B$2:B$11 &lt;= $H2)))</f>
        <v>8</v>
      </c>
      <c r="J2">
        <f>COUNTIFS(B$2:B$11, "&lt;="&amp;H2, E$2:E$11, "No")</f>
        <v>1</v>
      </c>
      <c r="K2">
        <f>COUNTIFS(B$2:B$11, "&lt;="&amp;H2, E$2:E$11, "Yes")</f>
        <v>0</v>
      </c>
      <c r="L2">
        <f>$J2+$K2</f>
        <v>1</v>
      </c>
      <c r="M2" s="4">
        <f>1 - (($J2/$L2)^2 + ($K2/$L2)^2)</f>
        <v>0</v>
      </c>
      <c r="N2" t="str" cm="1">
        <f t="array" ref="N2">_xlfn.TEXTJOIN(", ", TRUE, _xlfn._xlws.SORT(_xlfn._xlws.FILTER(A$2:A$11, B$2:B$11 &gt; $H2)))</f>
        <v>1, 2, 3, 4, 5, 6, 7, 9, 10</v>
      </c>
      <c r="O2">
        <f>COUNTIFS(B$2:B$11, "&gt;"&amp;H2, E$2:E$11, "No")</f>
        <v>3</v>
      </c>
      <c r="P2">
        <f>COUNTIFS(B$2:B$11, "&gt;"&amp;H2, E$2:E$11, "Yes")</f>
        <v>6</v>
      </c>
      <c r="Q2">
        <f>$O2+$P2</f>
        <v>9</v>
      </c>
      <c r="R2" s="4">
        <f>1 - (($O2/$Q2)^2 + ($P2/$Q2)^2)</f>
        <v>0.44444444444444442</v>
      </c>
      <c r="S2" s="4">
        <f xml:space="preserve"> ($L2/($L2+$Q2)*$M2)+($Q2/($L2+$Q2)*R2)</f>
        <v>0.39999999999999997</v>
      </c>
      <c r="U2" t="s">
        <v>0</v>
      </c>
      <c r="V2" t="s">
        <v>1</v>
      </c>
      <c r="W2" t="s">
        <v>32</v>
      </c>
      <c r="X2" t="s">
        <v>33</v>
      </c>
      <c r="Z2" t="s">
        <v>11</v>
      </c>
      <c r="AA2" t="s">
        <v>12</v>
      </c>
      <c r="AB2" t="s">
        <v>20</v>
      </c>
      <c r="AC2" t="s">
        <v>23</v>
      </c>
      <c r="AD2" t="s">
        <v>24</v>
      </c>
      <c r="AE2" t="s">
        <v>13</v>
      </c>
      <c r="AF2" t="s">
        <v>14</v>
      </c>
      <c r="AG2" t="s">
        <v>25</v>
      </c>
      <c r="AH2" t="s">
        <v>21</v>
      </c>
      <c r="AI2" t="s">
        <v>22</v>
      </c>
      <c r="AJ2" t="s">
        <v>15</v>
      </c>
      <c r="AK2" t="s">
        <v>26</v>
      </c>
    </row>
    <row r="3" spans="1:37" x14ac:dyDescent="0.25">
      <c r="A3">
        <v>4</v>
      </c>
      <c r="B3">
        <v>5</v>
      </c>
      <c r="C3" t="s">
        <v>5</v>
      </c>
      <c r="D3" t="s">
        <v>8</v>
      </c>
      <c r="E3" t="s">
        <v>9</v>
      </c>
      <c r="H3">
        <v>3</v>
      </c>
      <c r="I3" s="2" t="str" cm="1">
        <f t="array" ref="I3">_xlfn.TEXTJOIN(", ", TRUE, _xlfn._xlws.SORT(_xlfn._xlws.FILTER(A$2:A$11, B$2:B$11 &lt;= $H3)))</f>
        <v>7, 8</v>
      </c>
      <c r="J3">
        <f>COUNTIFS(B$2:B$11, "&lt;="&amp;H3, E$2:E$11, "No")</f>
        <v>2</v>
      </c>
      <c r="K3">
        <f>COUNTIFS(B$2:B$11, "&lt;="&amp;H3, E$2:E$11, "Yes")</f>
        <v>0</v>
      </c>
      <c r="L3">
        <f>$J3+$K3</f>
        <v>2</v>
      </c>
      <c r="M3" s="4">
        <f>1 - (($J3/$L3)^2 + ($K3/$L3)^2)</f>
        <v>0</v>
      </c>
      <c r="N3" t="str" cm="1">
        <f t="array" ref="N3">_xlfn.TEXTJOIN(", ", TRUE, _xlfn._xlws.SORT(_xlfn._xlws.FILTER(A$2:A$11, B$2:B$11 &gt; $H3)))</f>
        <v>1, 2, 3, 4, 5, 6, 9, 10</v>
      </c>
      <c r="O3">
        <f>COUNTIFS(B$2:B$11, "&gt;"&amp;H3, E$2:E$11, "No")</f>
        <v>2</v>
      </c>
      <c r="P3">
        <f>COUNTIFS(B$2:B$11, "&gt;"&amp;H3, E$2:E$11, "Yes")</f>
        <v>6</v>
      </c>
      <c r="Q3">
        <f>$O3+$P3</f>
        <v>8</v>
      </c>
      <c r="R3" s="4">
        <f>1 - (($O3/$Q3)^2 + ($P3/$Q3)^2)</f>
        <v>0.375</v>
      </c>
      <c r="S3" s="4">
        <f xml:space="preserve"> ($L3/($L3+$Q3)*$M3)+($Q3/($L3+$Q3)*R3)</f>
        <v>0.30000000000000004</v>
      </c>
      <c r="U3">
        <v>1</v>
      </c>
      <c r="V3">
        <v>2</v>
      </c>
      <c r="W3">
        <v>65</v>
      </c>
      <c r="X3" t="s">
        <v>34</v>
      </c>
      <c r="Z3">
        <v>3</v>
      </c>
      <c r="AA3" t="str" cm="1">
        <f t="array" ref="AA3">_xlfn.TEXTJOIN(", ", TRUE, _xlfn._xlws.SORT(_xlfn._xlws.FILTER(U$3:U$14, V$3:V$14 &lt;= Z3)))</f>
        <v>1, 3, 5, 7, 9</v>
      </c>
      <c r="AB3">
        <f>COUNTIFS(V$3:V$14, "&lt;="&amp;Z3, X$3:X$14, "F")</f>
        <v>5</v>
      </c>
      <c r="AC3">
        <f>COUNTIFS(V$3:V$14, "&lt;="&amp;Z3, X$3:X$14, "P")</f>
        <v>0</v>
      </c>
      <c r="AD3">
        <f>$AB3+$AC3</f>
        <v>5</v>
      </c>
      <c r="AE3" s="4">
        <f>1 - (($AB3/$AD3)^2 + ($AC3/$AD3)^2)</f>
        <v>0</v>
      </c>
      <c r="AF3" t="str" cm="1">
        <f t="array" ref="AF3">_xlfn.TEXTJOIN(", ", TRUE, _xlfn._xlws.SORT(_xlfn._xlws.FILTER(U$3:U$14, V$3:V$14 &gt; Z3)))</f>
        <v>2, 4, 6, 8, 10, 11, 12</v>
      </c>
      <c r="AG3">
        <f>COUNTIFS(V$3:V$14, "&gt;"&amp;Z3, X$3:X$14, "F")</f>
        <v>2</v>
      </c>
      <c r="AH3">
        <f>COUNTIFS(V$3:V$14, "&gt;"&amp;Z3, X$3:X$14, "P")</f>
        <v>5</v>
      </c>
      <c r="AI3">
        <f>$AG3+$AH3</f>
        <v>7</v>
      </c>
      <c r="AJ3" s="4">
        <f>1 - (($AG3/$AI3)^2 + ($AH3/$AI3)^2)</f>
        <v>0.40816326530612246</v>
      </c>
      <c r="AK3" s="4">
        <f xml:space="preserve"> ($AD3/($AD3+$AI3)*$AE3)+($AI3/($AD3+$AI3)*AJ3)</f>
        <v>0.23809523809523811</v>
      </c>
    </row>
    <row r="4" spans="1:37" x14ac:dyDescent="0.25">
      <c r="A4">
        <v>7</v>
      </c>
      <c r="B4">
        <v>3</v>
      </c>
      <c r="C4" t="s">
        <v>5</v>
      </c>
      <c r="D4" t="s">
        <v>8</v>
      </c>
      <c r="E4" t="s">
        <v>9</v>
      </c>
      <c r="H4">
        <v>4</v>
      </c>
      <c r="I4" s="2" t="str" cm="1">
        <f t="array" ref="I4">_xlfn.TEXTJOIN(", ", TRUE, _xlfn._xlws.SORT(_xlfn._xlws.FILTER(A$2:A$11, B$2:B$11 &lt;= $H4)))</f>
        <v>7, 8, 9</v>
      </c>
      <c r="J4">
        <f>COUNTIFS(B$2:B$11, "&lt;="&amp;H4, E$2:E$11, "No")</f>
        <v>3</v>
      </c>
      <c r="K4">
        <f>COUNTIFS(B$2:B$11, "&lt;="&amp;H4, E$2:E$11, "Yes")</f>
        <v>0</v>
      </c>
      <c r="L4">
        <f>$J4+$K4</f>
        <v>3</v>
      </c>
      <c r="M4" s="4">
        <f>1 - (($J4/$L4)^2 + ($K4/$L4)^2)</f>
        <v>0</v>
      </c>
      <c r="N4" t="str" cm="1">
        <f t="array" ref="N4">_xlfn.TEXTJOIN(", ", TRUE, _xlfn._xlws.SORT(_xlfn._xlws.FILTER(A$2:A$11, B$2:B$11 &gt; $H4)))</f>
        <v>1, 2, 3, 4, 5, 6, 10</v>
      </c>
      <c r="O4">
        <f>COUNTIFS(B$2:B$11, "&gt;"&amp;H4, E$2:E$11, "No")</f>
        <v>1</v>
      </c>
      <c r="P4">
        <f>COUNTIFS(B$2:B$11, "&gt;"&amp;H4, E$2:E$11, "Yes")</f>
        <v>6</v>
      </c>
      <c r="Q4">
        <f>$O4+$P4</f>
        <v>7</v>
      </c>
      <c r="R4" s="4">
        <f>1 - (($O4/$Q4)^2 + ($P4/$Q4)^2)</f>
        <v>0.24489795918367352</v>
      </c>
      <c r="S4" s="4">
        <f xml:space="preserve"> ($L4/($L4+$Q4)*$M4)+($Q4/($L4+$Q4)*R4)</f>
        <v>0.17142857142857146</v>
      </c>
      <c r="U4">
        <v>2</v>
      </c>
      <c r="V4">
        <v>8</v>
      </c>
      <c r="W4">
        <v>85</v>
      </c>
      <c r="X4" t="s">
        <v>35</v>
      </c>
      <c r="Z4" s="3">
        <v>4</v>
      </c>
      <c r="AA4" s="3" t="str" cm="1">
        <f t="array" ref="AA4">_xlfn.TEXTJOIN(", ", TRUE, _xlfn._xlws.SORT(_xlfn._xlws.FILTER(U$3:U$14, V$3:V$14 &lt;= Z4)))</f>
        <v>1, 3, 5, 7, 9, 12</v>
      </c>
      <c r="AB4" s="3">
        <f t="shared" ref="AB4:AB6" si="0">COUNTIFS(V$3:V$14, "&lt;="&amp;Z4, X$3:X$14, "F")</f>
        <v>6</v>
      </c>
      <c r="AC4" s="3">
        <f t="shared" ref="AC4:AC6" si="1">COUNTIFS(V$3:V$14, "&lt;="&amp;Z4, X$3:X$14, "P")</f>
        <v>0</v>
      </c>
      <c r="AD4" s="3">
        <f>$AB4+$AC4</f>
        <v>6</v>
      </c>
      <c r="AE4" s="5">
        <f>1 - (($AB4/$AD4)^2 + ($AC4/$AD4)^2)</f>
        <v>0</v>
      </c>
      <c r="AF4" s="3" t="str" cm="1">
        <f t="array" ref="AF4">_xlfn.TEXTJOIN(", ", TRUE, _xlfn._xlws.SORT(_xlfn._xlws.FILTER(U$3:U$14, V$3:V$14 &gt; Z4)))</f>
        <v>2, 4, 6, 8, 10, 11</v>
      </c>
      <c r="AG4" s="3">
        <f t="shared" ref="AG4:AG6" si="2">COUNTIFS(V$3:V$14, "&gt;"&amp;Z4, X$3:X$14, "F")</f>
        <v>1</v>
      </c>
      <c r="AH4" s="3">
        <f t="shared" ref="AH4:AH6" si="3">COUNTIFS(V$3:V$14, "&gt;"&amp;Z4, X$3:X$14, "P")</f>
        <v>5</v>
      </c>
      <c r="AI4" s="3">
        <f>$AG4+$AH4</f>
        <v>6</v>
      </c>
      <c r="AJ4" s="5">
        <f>1 - (($AG4/$AI4)^2 + ($AH4/$AI4)^2)</f>
        <v>0.27777777777777768</v>
      </c>
      <c r="AK4" s="5">
        <f xml:space="preserve"> ($AD4/($AD4+$AI4)*$AE4)+($AI4/($AD4+$AI4)*AJ4)</f>
        <v>0.13888888888888884</v>
      </c>
    </row>
    <row r="5" spans="1:37" x14ac:dyDescent="0.25">
      <c r="A5">
        <v>2</v>
      </c>
      <c r="B5">
        <v>8</v>
      </c>
      <c r="C5" t="s">
        <v>6</v>
      </c>
      <c r="D5" t="s">
        <v>8</v>
      </c>
      <c r="E5" t="s">
        <v>8</v>
      </c>
      <c r="H5" s="22">
        <v>5</v>
      </c>
      <c r="I5" s="23" t="str" cm="1">
        <f t="array" ref="I5">_xlfn.TEXTJOIN(", ", TRUE, _xlfn._xlws.SORT(_xlfn._xlws.FILTER(A$2:A$11, B$2:B$11 &lt;= $H5)))</f>
        <v>4, 7, 8, 9</v>
      </c>
      <c r="J5" s="22">
        <f>COUNTIFS(B$2:B$11, "&lt;="&amp;H5, E$2:E$11, "No")</f>
        <v>4</v>
      </c>
      <c r="K5" s="22">
        <f>COUNTIFS(B$2:B$11, "&lt;="&amp;H5, E$2:E$11, "Yes")</f>
        <v>0</v>
      </c>
      <c r="L5" s="22">
        <f>$J5+$K5</f>
        <v>4</v>
      </c>
      <c r="M5" s="24">
        <v>0</v>
      </c>
      <c r="N5" s="22" t="str" cm="1">
        <f t="array" ref="N5">_xlfn.TEXTJOIN(", ", TRUE, _xlfn._xlws.SORT(_xlfn._xlws.FILTER(A$2:A$11, B$2:B$11 &gt; $H5)))</f>
        <v>1, 2, 3, 5, 6, 10</v>
      </c>
      <c r="O5" s="22">
        <f>COUNTIFS(B$2:B$11, "&gt;"&amp;H5, E$2:E$11, "No")</f>
        <v>0</v>
      </c>
      <c r="P5" s="22">
        <f>COUNTIFS(B$2:B$11, "&gt;"&amp;H5, E$2:E$11, "Yes")</f>
        <v>6</v>
      </c>
      <c r="Q5" s="22">
        <f>$O5+$P5</f>
        <v>6</v>
      </c>
      <c r="R5" s="24">
        <f>1 - (($O5/$Q5)^2 + ($P5/$Q5)^2)</f>
        <v>0</v>
      </c>
      <c r="S5" s="24">
        <f xml:space="preserve"> ($L5/($L5+$Q5)*$M5)+($Q5/($L5+$Q5)*R5)</f>
        <v>0</v>
      </c>
      <c r="U5">
        <v>3</v>
      </c>
      <c r="V5">
        <v>3</v>
      </c>
      <c r="W5">
        <v>55</v>
      </c>
      <c r="X5" t="s">
        <v>34</v>
      </c>
      <c r="Z5">
        <v>5</v>
      </c>
      <c r="AA5" t="str" cm="1">
        <f t="array" ref="AA5">_xlfn.TEXTJOIN(", ", TRUE, _xlfn._xlws.SORT(_xlfn._xlws.FILTER(U$3:U$14, V$3:V$14 &lt;= Z5)))</f>
        <v>1, 3, 5, 7, 9, 11, 12</v>
      </c>
      <c r="AB5">
        <f t="shared" si="0"/>
        <v>6</v>
      </c>
      <c r="AC5">
        <f t="shared" si="1"/>
        <v>1</v>
      </c>
      <c r="AD5">
        <f>$AB5+$AC5</f>
        <v>7</v>
      </c>
      <c r="AE5" s="4">
        <f>1 - (($AB5/$AD5)^2 + ($AC5/$AD5)^2)</f>
        <v>0.24489795918367352</v>
      </c>
      <c r="AF5" t="str" cm="1">
        <f t="array" ref="AF5">_xlfn.TEXTJOIN(", ", TRUE, _xlfn._xlws.SORT(_xlfn._xlws.FILTER(U$3:U$14, V$3:V$14 &gt; Z5)))</f>
        <v>2, 4, 6, 8, 10</v>
      </c>
      <c r="AG5">
        <f t="shared" si="2"/>
        <v>1</v>
      </c>
      <c r="AH5">
        <f t="shared" si="3"/>
        <v>4</v>
      </c>
      <c r="AI5">
        <f>$AG5+$AH5</f>
        <v>5</v>
      </c>
      <c r="AJ5" s="4">
        <f>1 - (($AG5/$AI5)^2 + ($AH5/$AI5)^2)</f>
        <v>0.31999999999999984</v>
      </c>
      <c r="AK5" s="4">
        <f xml:space="preserve"> ($AD5/($AD5+$AI5)*$AE5)+($AI5/($AD5+$AI5)*AJ5)</f>
        <v>0.27619047619047621</v>
      </c>
    </row>
    <row r="6" spans="1:37" x14ac:dyDescent="0.25">
      <c r="A6">
        <v>3</v>
      </c>
      <c r="B6">
        <v>7</v>
      </c>
      <c r="C6" t="s">
        <v>6</v>
      </c>
      <c r="D6" t="s">
        <v>9</v>
      </c>
      <c r="E6" t="s">
        <v>8</v>
      </c>
      <c r="H6">
        <v>6</v>
      </c>
      <c r="I6" s="2" t="str" cm="1">
        <f t="array" ref="I6">_xlfn.TEXTJOIN(", ", TRUE, _xlfn._xlws.SORT(_xlfn._xlws.FILTER(A$2:A$11, B$2:B$11 &lt;= $H6)))</f>
        <v>1, 4, 7, 8, 9</v>
      </c>
      <c r="J6">
        <f>COUNTIFS(B$2:B$11, "&lt;="&amp;H6, E$2:E$11, "No")</f>
        <v>4</v>
      </c>
      <c r="K6">
        <f>COUNTIFS(B$2:B$11, "&lt;="&amp;H6, E$2:E$11, "Yes")</f>
        <v>1</v>
      </c>
      <c r="L6">
        <f>$J6+$K6</f>
        <v>5</v>
      </c>
      <c r="M6" s="4">
        <f>1 - (($J6/$L6)^2 + ($K6/$L6)^2)</f>
        <v>0.31999999999999984</v>
      </c>
      <c r="N6" t="str" cm="1">
        <f t="array" ref="N6">_xlfn.TEXTJOIN(", ", TRUE, _xlfn._xlws.SORT(_xlfn._xlws.FILTER(A$2:A$11, B$2:B$11 &gt; $H6)))</f>
        <v>2, 3, 5, 6, 10</v>
      </c>
      <c r="O6">
        <f>COUNTIFS(B$2:B$11, "&gt;"&amp;H6, E$2:E$11, "No")</f>
        <v>0</v>
      </c>
      <c r="P6">
        <f>COUNTIFS(B$2:B$11, "&gt;"&amp;H6, E$2:E$11, "Yes")</f>
        <v>5</v>
      </c>
      <c r="Q6">
        <f>$O6+$P6</f>
        <v>5</v>
      </c>
      <c r="R6" s="4">
        <f>1 - (($O6/$Q6)^2 + ($P6/$Q6)^2)</f>
        <v>0</v>
      </c>
      <c r="S6" s="4">
        <f xml:space="preserve"> ($L6/($L6+$Q6)*$M6)+($Q6/($L6+$Q6)*R6)</f>
        <v>0.15999999999999992</v>
      </c>
      <c r="U6">
        <v>4</v>
      </c>
      <c r="V6">
        <v>7</v>
      </c>
      <c r="W6">
        <v>90</v>
      </c>
      <c r="X6" t="s">
        <v>35</v>
      </c>
      <c r="Z6">
        <v>6</v>
      </c>
      <c r="AA6" t="str" cm="1">
        <f t="array" ref="AA6">_xlfn.TEXTJOIN(", ", TRUE, _xlfn._xlws.SORT(_xlfn._xlws.FILTER(U$3:U$14, V$3:V$14 &lt;= Z6)))</f>
        <v>1, 3, 5, 6, 7, 8, 9, 11, 12</v>
      </c>
      <c r="AB6">
        <f t="shared" si="0"/>
        <v>7</v>
      </c>
      <c r="AC6">
        <f t="shared" si="1"/>
        <v>2</v>
      </c>
      <c r="AD6">
        <f>$AB6+$AC6</f>
        <v>9</v>
      </c>
      <c r="AE6" s="4">
        <f>1 - (($AB6/$AD6)^2 + ($AC6/$AD6)^2)</f>
        <v>0.34567901234567899</v>
      </c>
      <c r="AF6" t="str" cm="1">
        <f t="array" ref="AF6">_xlfn.TEXTJOIN(", ", TRUE, _xlfn._xlws.SORT(_xlfn._xlws.FILTER(U$3:U$14, V$3:V$14 &gt; Z6)))</f>
        <v>2, 4, 10</v>
      </c>
      <c r="AG6">
        <f t="shared" si="2"/>
        <v>0</v>
      </c>
      <c r="AH6">
        <f t="shared" si="3"/>
        <v>3</v>
      </c>
      <c r="AI6">
        <f>$AG6+$AH6</f>
        <v>3</v>
      </c>
      <c r="AJ6" s="4">
        <f>1 - (($AG6/$AI6)^2 + ($AH6/$AI6)^2)</f>
        <v>0</v>
      </c>
      <c r="AK6" s="4">
        <f xml:space="preserve"> ($AD6/($AD6+$AI6)*$AE6)+($AI6/($AD6+$AI6)*AJ6)</f>
        <v>0.25925925925925924</v>
      </c>
    </row>
    <row r="7" spans="1:37" x14ac:dyDescent="0.25">
      <c r="A7">
        <v>6</v>
      </c>
      <c r="B7">
        <v>10</v>
      </c>
      <c r="C7" t="s">
        <v>6</v>
      </c>
      <c r="D7" t="s">
        <v>8</v>
      </c>
      <c r="E7" t="s">
        <v>8</v>
      </c>
      <c r="H7">
        <v>7</v>
      </c>
      <c r="I7" s="2" t="str" cm="1">
        <f t="array" ref="I7">_xlfn.TEXTJOIN(", ", TRUE, _xlfn._xlws.SORT(_xlfn._xlws.FILTER(A$2:A$11, B$2:B$11 &lt;= $H7)))</f>
        <v>1, 3, 4, 7, 8, 9</v>
      </c>
      <c r="J7">
        <f>COUNTIFS(B$2:B$11, "&lt;="&amp;H7, E$2:E$11, "No")</f>
        <v>4</v>
      </c>
      <c r="K7">
        <f>COUNTIFS(B$2:B$11, "&lt;="&amp;H7, E$2:E$11, "Yes")</f>
        <v>2</v>
      </c>
      <c r="L7">
        <f>$J7+$K7</f>
        <v>6</v>
      </c>
      <c r="M7" s="4">
        <f>1 - (($J7/$L7)^2 + ($K7/$L7)^2)</f>
        <v>0.44444444444444442</v>
      </c>
      <c r="N7" t="str" cm="1">
        <f t="array" ref="N7">_xlfn.TEXTJOIN(", ", TRUE, _xlfn._xlws.SORT(_xlfn._xlws.FILTER(A$2:A$11, B$2:B$11 &gt; $H7)))</f>
        <v>2, 5, 6, 10</v>
      </c>
      <c r="O7">
        <f>COUNTIFS(B$2:B$11, "&gt;"&amp;H7, E$2:E$11, "No")</f>
        <v>0</v>
      </c>
      <c r="P7">
        <f>COUNTIFS(B$2:B$11, "&gt;"&amp;H7, E$2:E$11, "Yes")</f>
        <v>4</v>
      </c>
      <c r="Q7">
        <f>$O7+$P7</f>
        <v>4</v>
      </c>
      <c r="R7" s="4">
        <f>1 - (($O7/$Q7)^2 + ($P7/$Q7)^2)</f>
        <v>0</v>
      </c>
      <c r="S7" s="4">
        <f xml:space="preserve"> ($L7/($L7+$Q7)*$M7)+($Q7/($L7+$Q7)*R7)</f>
        <v>0.26666666666666666</v>
      </c>
      <c r="U7">
        <v>5</v>
      </c>
      <c r="V7">
        <v>2</v>
      </c>
      <c r="W7">
        <v>75</v>
      </c>
      <c r="X7" t="s">
        <v>34</v>
      </c>
    </row>
    <row r="8" spans="1:37" x14ac:dyDescent="0.25">
      <c r="A8">
        <v>10</v>
      </c>
      <c r="B8">
        <v>12</v>
      </c>
      <c r="C8" t="s">
        <v>6</v>
      </c>
      <c r="D8" t="s">
        <v>9</v>
      </c>
      <c r="E8" t="s">
        <v>8</v>
      </c>
      <c r="H8">
        <v>8</v>
      </c>
      <c r="I8" s="2" t="str" cm="1">
        <f t="array" ref="I8">_xlfn.TEXTJOIN(", ", TRUE, _xlfn._xlws.SORT(_xlfn._xlws.FILTER(A$2:A$11, B$2:B$11 &lt;= $H8)))</f>
        <v>1, 2, 3, 4, 7, 8, 9</v>
      </c>
      <c r="J8">
        <f>COUNTIFS(B$2:B$11, "&lt;="&amp;H8, E$2:E$11, "No")</f>
        <v>4</v>
      </c>
      <c r="K8">
        <f>COUNTIFS(B$2:B$11, "&lt;="&amp;H8, E$2:E$11, "Yes")</f>
        <v>3</v>
      </c>
      <c r="L8">
        <f>$J8+$K8</f>
        <v>7</v>
      </c>
      <c r="M8" s="4">
        <f>1 - (($J8/$L8)^2 + ($K8/$L8)^2)</f>
        <v>0.48979591836734704</v>
      </c>
      <c r="N8" t="str" cm="1">
        <f t="array" ref="N8">_xlfn.TEXTJOIN(", ", TRUE, _xlfn._xlws.SORT(_xlfn._xlws.FILTER(A$2:A$11, B$2:B$11 &gt; $H8)))</f>
        <v>5, 6, 10</v>
      </c>
      <c r="O8">
        <f>COUNTIFS(B$2:B$11, "&gt;"&amp;H8, E$2:E$11, "No")</f>
        <v>0</v>
      </c>
      <c r="P8">
        <f>COUNTIFS(B$2:B$11, "&gt;"&amp;H8, E$2:E$11, "Yes")</f>
        <v>3</v>
      </c>
      <c r="Q8">
        <f>$O8+$P8</f>
        <v>3</v>
      </c>
      <c r="R8" s="4">
        <f>1 - (($O8/$Q8)^2 + ($P8/$Q8)^2)</f>
        <v>0</v>
      </c>
      <c r="S8" s="4">
        <f xml:space="preserve"> ($L8/($L8+$Q8)*$M8)+($Q8/($L8+$Q8)*R8)</f>
        <v>0.34285714285714292</v>
      </c>
      <c r="U8">
        <v>6</v>
      </c>
      <c r="V8">
        <v>6</v>
      </c>
      <c r="W8">
        <v>80</v>
      </c>
      <c r="X8" t="s">
        <v>35</v>
      </c>
    </row>
    <row r="9" spans="1:37" x14ac:dyDescent="0.25">
      <c r="A9">
        <v>5</v>
      </c>
      <c r="B9">
        <v>9</v>
      </c>
      <c r="C9" t="s">
        <v>7</v>
      </c>
      <c r="D9" t="s">
        <v>9</v>
      </c>
      <c r="E9" t="s">
        <v>8</v>
      </c>
      <c r="H9">
        <v>9</v>
      </c>
      <c r="I9" s="2" t="str" cm="1">
        <f t="array" ref="I9">_xlfn.TEXTJOIN(", ", TRUE, _xlfn._xlws.SORT(_xlfn._xlws.FILTER(A$2:A$11, B$2:B$11 &lt;= $H9)))</f>
        <v>1, 2, 3, 4, 5, 7, 8, 9</v>
      </c>
      <c r="J9">
        <f>COUNTIFS(B$2:B$11, "&lt;="&amp;H9, E$2:E$11, "No")</f>
        <v>4</v>
      </c>
      <c r="K9">
        <f>COUNTIFS(B$2:B$11, "&lt;="&amp;H9, E$2:E$11, "Yes")</f>
        <v>4</v>
      </c>
      <c r="L9">
        <f>$J9+$K9</f>
        <v>8</v>
      </c>
      <c r="M9" s="4">
        <f>1 - (($J9/$L9)^2 + ($K9/$L9)^2)</f>
        <v>0.5</v>
      </c>
      <c r="N9" t="str" cm="1">
        <f t="array" ref="N9">_xlfn.TEXTJOIN(", ", TRUE, _xlfn._xlws.SORT(_xlfn._xlws.FILTER(A$2:A$11, B$2:B$11 &gt; $H9)))</f>
        <v>6, 10</v>
      </c>
      <c r="O9">
        <f>COUNTIFS(B$2:B$11, "&gt;"&amp;H9, E$2:E$11, "No")</f>
        <v>0</v>
      </c>
      <c r="P9">
        <f>COUNTIFS(B$2:B$11, "&gt;"&amp;H9, E$2:E$11, "Yes")</f>
        <v>2</v>
      </c>
      <c r="Q9">
        <f>$O9+$P9</f>
        <v>2</v>
      </c>
      <c r="R9" s="4">
        <f>1 - (($O9/$Q9)^2 + ($P9/$Q9)^2)</f>
        <v>0</v>
      </c>
      <c r="S9" s="4">
        <f xml:space="preserve"> ($L9/($L9+$Q9)*$M9)+($Q9/($L9+$Q9)*R9)</f>
        <v>0.4</v>
      </c>
      <c r="U9">
        <v>7</v>
      </c>
      <c r="V9">
        <v>3</v>
      </c>
      <c r="W9">
        <v>60</v>
      </c>
      <c r="X9" t="s">
        <v>34</v>
      </c>
    </row>
    <row r="10" spans="1:37" x14ac:dyDescent="0.25">
      <c r="A10">
        <v>8</v>
      </c>
      <c r="B10">
        <v>2</v>
      </c>
      <c r="C10" t="s">
        <v>7</v>
      </c>
      <c r="D10" t="s">
        <v>9</v>
      </c>
      <c r="E10" t="s">
        <v>9</v>
      </c>
      <c r="H10">
        <v>10</v>
      </c>
      <c r="I10" s="2" t="str" cm="1">
        <f t="array" ref="I10">_xlfn.TEXTJOIN(", ", TRUE, _xlfn._xlws.SORT(_xlfn._xlws.FILTER(A$2:A$11, B$2:B$11 &lt;= $H10)))</f>
        <v>1, 2, 3, 4, 5, 6, 7, 8, 9</v>
      </c>
      <c r="J10">
        <f>COUNTIFS(B$2:B$11, "&lt;="&amp;H10, E$2:E$11, "No")</f>
        <v>4</v>
      </c>
      <c r="K10">
        <f>COUNTIFS(B$2:B$11, "&lt;="&amp;H10, E$2:E$11, "Yes")</f>
        <v>5</v>
      </c>
      <c r="L10">
        <f>$J10+$K10</f>
        <v>9</v>
      </c>
      <c r="M10" s="4">
        <f>1 - (($J10/$L10)^2 + ($K10/$L10)^2)</f>
        <v>0.49382716049382713</v>
      </c>
      <c r="N10" t="str" cm="1">
        <f t="array" ref="N10">_xlfn.TEXTJOIN(", ", TRUE, _xlfn._xlws.SORT(_xlfn._xlws.FILTER(A$2:A$11, B$2:B$11 &gt; $H10)))</f>
        <v>10</v>
      </c>
      <c r="O10">
        <f>COUNTIFS(B$2:B$11, "&gt;"&amp;H10, E$2:E$11, "No")</f>
        <v>0</v>
      </c>
      <c r="P10">
        <f>COUNTIFS(B$2:B$11, "&gt;"&amp;H10, E$2:E$11, "Yes")</f>
        <v>1</v>
      </c>
      <c r="Q10">
        <f>$O10+$P10</f>
        <v>1</v>
      </c>
      <c r="R10" s="4">
        <f>1 - (($O10/$Q10)^2 + ($P10/$Q10)^2)</f>
        <v>0</v>
      </c>
      <c r="S10" s="4">
        <f xml:space="preserve"> ($L10/($L10+$Q10)*$M10)+($Q10/($L10+$Q10)*R10)</f>
        <v>0.44444444444444442</v>
      </c>
      <c r="U10">
        <v>8</v>
      </c>
      <c r="V10">
        <v>6</v>
      </c>
      <c r="W10">
        <v>62</v>
      </c>
      <c r="X10" t="s">
        <v>34</v>
      </c>
    </row>
    <row r="11" spans="1:37" x14ac:dyDescent="0.25">
      <c r="A11">
        <v>9</v>
      </c>
      <c r="B11">
        <v>4</v>
      </c>
      <c r="C11" t="s">
        <v>7</v>
      </c>
      <c r="D11" t="s">
        <v>8</v>
      </c>
      <c r="E11" t="s">
        <v>9</v>
      </c>
      <c r="U11">
        <v>9</v>
      </c>
      <c r="V11">
        <v>1</v>
      </c>
      <c r="W11">
        <v>45</v>
      </c>
      <c r="X11" t="s">
        <v>34</v>
      </c>
    </row>
    <row r="12" spans="1:37" ht="15.75" thickBot="1" x14ac:dyDescent="0.3">
      <c r="G12" s="1" t="s">
        <v>10</v>
      </c>
      <c r="H12" s="15" t="s">
        <v>11</v>
      </c>
      <c r="I12" s="16" t="s">
        <v>12</v>
      </c>
      <c r="J12" s="16" t="s">
        <v>20</v>
      </c>
      <c r="K12" s="16" t="s">
        <v>23</v>
      </c>
      <c r="L12" s="16" t="s">
        <v>24</v>
      </c>
      <c r="M12" s="16" t="s">
        <v>13</v>
      </c>
      <c r="N12" s="16" t="s">
        <v>14</v>
      </c>
      <c r="O12" s="16" t="s">
        <v>25</v>
      </c>
      <c r="P12" s="16" t="s">
        <v>21</v>
      </c>
      <c r="Q12" s="16" t="s">
        <v>22</v>
      </c>
      <c r="R12" s="16" t="s">
        <v>15</v>
      </c>
      <c r="S12" s="17" t="s">
        <v>16</v>
      </c>
      <c r="U12">
        <v>10</v>
      </c>
      <c r="V12">
        <v>7</v>
      </c>
      <c r="W12">
        <v>88</v>
      </c>
      <c r="X12" t="s">
        <v>35</v>
      </c>
    </row>
    <row r="13" spans="1:37" x14ac:dyDescent="0.25">
      <c r="A13" t="s">
        <v>34</v>
      </c>
      <c r="B13" t="s">
        <v>35</v>
      </c>
      <c r="C13" t="s">
        <v>11</v>
      </c>
      <c r="D13" t="s">
        <v>38</v>
      </c>
      <c r="H13" s="18">
        <v>6</v>
      </c>
      <c r="I13" s="6" t="str" cm="1">
        <f t="array" ref="I13">_xlfn.TEXTJOIN(", ", TRUE, _xlfn._xlws.SORT(_xlfn._xlws.FILTER(A$2:A$11, B$2:B$11 &lt;= $H13)))</f>
        <v>1, 4, 7, 8, 9</v>
      </c>
      <c r="J13" s="19">
        <f>COUNTIFS(B$2:B$11, "&lt;="&amp;H13, E$2:E$11, "No")</f>
        <v>4</v>
      </c>
      <c r="K13" s="19">
        <f>COUNTIFS(B$2:B$11, "&lt;="&amp;H13, E$2:E$11, "Yes")</f>
        <v>1</v>
      </c>
      <c r="L13" s="19">
        <f>$J13+$K13</f>
        <v>5</v>
      </c>
      <c r="M13" s="20">
        <f>1 - (($J13/$L13)^2 + ($K13/$L13)^2)</f>
        <v>0.31999999999999984</v>
      </c>
      <c r="N13" s="3" t="str" cm="1">
        <f t="array" ref="N13">_xlfn.TEXTJOIN(", ", TRUE, _xlfn._xlws.SORT(_xlfn._xlws.FILTER(A$2:A$11, B$2:B$11 &gt; $H13)))</f>
        <v>2, 3, 5, 6, 10</v>
      </c>
      <c r="O13" s="19">
        <f>COUNTIFS(B$2:B$11, "&gt;"&amp;H13, E$2:E$11, "No")</f>
        <v>0</v>
      </c>
      <c r="P13" s="19">
        <f>COUNTIFS(B$2:B$11, "&gt;"&amp;H13, E$2:E$11, "Yes")</f>
        <v>5</v>
      </c>
      <c r="Q13" s="19">
        <f>$O13+$P13</f>
        <v>5</v>
      </c>
      <c r="R13" s="20">
        <f>1 - (($O13/$Q13)^2 + ($P13/$Q13)^2)</f>
        <v>0</v>
      </c>
      <c r="S13" s="21">
        <f xml:space="preserve"> ($L13/($L13+$Q13)*$M13)+($Q13/($L13+$Q13)*R13)</f>
        <v>0.15999999999999992</v>
      </c>
      <c r="U13">
        <v>11</v>
      </c>
      <c r="V13">
        <v>5</v>
      </c>
      <c r="W13">
        <v>82</v>
      </c>
      <c r="X13" t="s">
        <v>35</v>
      </c>
    </row>
    <row r="14" spans="1:37" x14ac:dyDescent="0.25">
      <c r="A14">
        <f>COUNTIF($E2:$E11, "No")</f>
        <v>4</v>
      </c>
      <c r="B14">
        <f>COUNTIF($E2:$E11, "Yes")</f>
        <v>6</v>
      </c>
      <c r="C14">
        <f>$A14+$B14</f>
        <v>10</v>
      </c>
      <c r="D14">
        <f>1-(($A14/$C14)^2+($B14/$C14)^2)</f>
        <v>0.48</v>
      </c>
      <c r="H14" s="12">
        <v>7</v>
      </c>
      <c r="I14" s="2" t="str" cm="1">
        <f t="array" ref="I14">_xlfn.TEXTJOIN(", ", TRUE, _xlfn._xlws.SORT(_xlfn._xlws.FILTER(A$2:A$11, B$2:B$11 &lt;= $H14)))</f>
        <v>1, 3, 4, 7, 8, 9</v>
      </c>
      <c r="J14" s="8">
        <f>COUNTIFS(B$2:B$11, "&lt;="&amp;H14, E$2:E$11, "No")</f>
        <v>4</v>
      </c>
      <c r="K14" s="8">
        <f>COUNTIFS(B$2:B$11, "&lt;="&amp;H14, E$2:E$11, "Yes")</f>
        <v>2</v>
      </c>
      <c r="L14" s="8">
        <f>$J14+$K14</f>
        <v>6</v>
      </c>
      <c r="M14" s="10">
        <f>1 - (($J14/$L14)^2 + ($K14/$L14)^2)</f>
        <v>0.44444444444444442</v>
      </c>
      <c r="N14" t="str" cm="1">
        <f t="array" ref="N14">_xlfn.TEXTJOIN(", ", TRUE, _xlfn._xlws.SORT(_xlfn._xlws.FILTER(A$2:A$11, B$2:B$11 &gt; $H14)))</f>
        <v>2, 5, 6, 10</v>
      </c>
      <c r="O14" s="8">
        <f>COUNTIFS(B$2:B$11, "&gt;"&amp;H14, E$2:E$11, "No")</f>
        <v>0</v>
      </c>
      <c r="P14" s="8">
        <f>COUNTIFS(B$2:B$11, "&gt;"&amp;H14, E$2:E$11, "Yes")</f>
        <v>4</v>
      </c>
      <c r="Q14" s="8">
        <f>$O14+$P14</f>
        <v>4</v>
      </c>
      <c r="R14" s="10">
        <f>1 - (($O14/$Q14)^2 + ($P14/$Q14)^2)</f>
        <v>0</v>
      </c>
      <c r="S14" s="14">
        <f xml:space="preserve"> ($L14/($L14+$Q14)*$M14)+($Q14/($L14+$Q14)*R14)</f>
        <v>0.26666666666666666</v>
      </c>
      <c r="U14">
        <v>12</v>
      </c>
      <c r="V14">
        <v>4</v>
      </c>
      <c r="W14">
        <v>78</v>
      </c>
      <c r="X14" t="s">
        <v>34</v>
      </c>
    </row>
    <row r="15" spans="1:37" x14ac:dyDescent="0.25">
      <c r="H15" s="11">
        <v>8</v>
      </c>
      <c r="I15" s="2" t="str" cm="1">
        <f t="array" ref="I15">_xlfn.TEXTJOIN(", ", TRUE, _xlfn._xlws.SORT(_xlfn._xlws.FILTER(A$2:A$11, B$2:B$11 &lt;= $H15)))</f>
        <v>1, 2, 3, 4, 7, 8, 9</v>
      </c>
      <c r="J15" s="7">
        <f>COUNTIFS(B$2:B$11, "&lt;="&amp;H15, E$2:E$11, "No")</f>
        <v>4</v>
      </c>
      <c r="K15" s="7">
        <f>COUNTIFS(B$2:B$11, "&lt;="&amp;H15, E$2:E$11, "Yes")</f>
        <v>3</v>
      </c>
      <c r="L15" s="7">
        <f>$J15+$K15</f>
        <v>7</v>
      </c>
      <c r="M15" s="9">
        <f>1 - (($J15/$L15)^2 + ($K15/$L15)^2)</f>
        <v>0.48979591836734704</v>
      </c>
      <c r="N15" t="str" cm="1">
        <f t="array" ref="N15">_xlfn.TEXTJOIN(", ", TRUE, _xlfn._xlws.SORT(_xlfn._xlws.FILTER(A$2:A$11, B$2:B$11 &gt; $H15)))</f>
        <v>5, 6, 10</v>
      </c>
      <c r="O15" s="7">
        <f>COUNTIFS(B$2:B$11, "&gt;"&amp;H15, E$2:E$11, "No")</f>
        <v>0</v>
      </c>
      <c r="P15" s="7">
        <f>COUNTIFS(B$2:B$11, "&gt;"&amp;H15, E$2:E$11, "Yes")</f>
        <v>3</v>
      </c>
      <c r="Q15" s="7">
        <f>$O15+$P15</f>
        <v>3</v>
      </c>
      <c r="R15" s="9">
        <f>1 - (($O15/$Q15)^2 + ($P15/$Q15)^2)</f>
        <v>0</v>
      </c>
      <c r="S15" s="13">
        <f xml:space="preserve"> ($L15/($L15+$Q15)*$M15)+($Q15/($L15+$Q15)*R15)</f>
        <v>0.34285714285714292</v>
      </c>
    </row>
    <row r="17" spans="7:19" x14ac:dyDescent="0.25">
      <c r="G17" s="1" t="s">
        <v>27</v>
      </c>
      <c r="H17" t="s">
        <v>17</v>
      </c>
      <c r="I17" t="s">
        <v>19</v>
      </c>
      <c r="J17" t="s">
        <v>20</v>
      </c>
      <c r="K17" t="s">
        <v>23</v>
      </c>
      <c r="L17" t="s">
        <v>24</v>
      </c>
      <c r="M17" t="s">
        <v>13</v>
      </c>
      <c r="N17" t="s">
        <v>18</v>
      </c>
      <c r="O17" t="s">
        <v>25</v>
      </c>
      <c r="P17" t="s">
        <v>21</v>
      </c>
      <c r="Q17" t="s">
        <v>22</v>
      </c>
      <c r="R17" t="s">
        <v>15</v>
      </c>
      <c r="S17" t="s">
        <v>26</v>
      </c>
    </row>
    <row r="18" spans="7:19" x14ac:dyDescent="0.25">
      <c r="H18" t="s">
        <v>5</v>
      </c>
      <c r="I18" t="str" cm="1">
        <f t="array" ref="I18">_xlfn.TEXTJOIN(", ", TRUE, _xlfn._xlws.SORT(_xlfn._xlws.FILTER(A$2:A$11, C$2:C$11 &lt;&gt; $H18)))</f>
        <v>2, 3, 5, 6, 8, 9, 10</v>
      </c>
      <c r="J18">
        <f>COUNTIFS(C$2:C$11, "&lt;&gt;"&amp;H18, E$2:E$11, "No")</f>
        <v>2</v>
      </c>
      <c r="K18">
        <f>COUNTIFS(C$2:C$11, "&lt;&gt;"&amp;H18, E$2:E$11, "Yes")</f>
        <v>5</v>
      </c>
      <c r="L18">
        <f>$J18+$K18</f>
        <v>7</v>
      </c>
      <c r="M18" s="4">
        <f>1 - (($J18/$L18)^2 + ($K18/$L18)^2)</f>
        <v>0.40816326530612246</v>
      </c>
      <c r="N18" t="str" cm="1">
        <f t="array" ref="N18">_xlfn.TEXTJOIN(", ", TRUE, _xlfn._xlws.SORT(_xlfn._xlws.FILTER(A$2:A$11, C$2:C$11 = $H18)))</f>
        <v>1, 4, 7</v>
      </c>
      <c r="O18">
        <f>COUNTIFS(C$2:C$11, ""&amp;H18, E$2:E$11, "No")</f>
        <v>2</v>
      </c>
      <c r="P18">
        <f>COUNTIFS(C$2:C$11, ""&amp;H18, E$2:E$11, "Yes")</f>
        <v>1</v>
      </c>
      <c r="Q18">
        <f>$O18+$P18</f>
        <v>3</v>
      </c>
      <c r="R18" s="4">
        <f>1 - (($O18/$Q18)^2 + ($P18/$Q18)^2)</f>
        <v>0.44444444444444442</v>
      </c>
      <c r="S18" s="4">
        <f xml:space="preserve"> ($L18/($L18+$Q18)*$M18)+($Q18/($L18+$Q18)*R18)</f>
        <v>0.419047619047619</v>
      </c>
    </row>
    <row r="19" spans="7:19" x14ac:dyDescent="0.25">
      <c r="H19" s="3" t="s">
        <v>6</v>
      </c>
      <c r="I19" s="3" t="str" cm="1">
        <f t="array" ref="I19">_xlfn.TEXTJOIN(", ", TRUE, _xlfn._xlws.SORT(_xlfn._xlws.FILTER(A$2:A$11, C$2:C$11 &lt;&gt; $H19)))</f>
        <v>1, 4, 5, 7, 8, 9</v>
      </c>
      <c r="J19" s="3">
        <f>COUNTIFS(C$2:C$11, "&lt;&gt;"&amp;H19, E$2:E$11, "No")</f>
        <v>4</v>
      </c>
      <c r="K19" s="3">
        <f>COUNTIFS(C$2:C$11, "&lt;&gt;"&amp;H19, E$2:E$11, "Yes")</f>
        <v>2</v>
      </c>
      <c r="L19" s="3">
        <f>$J19+$K19</f>
        <v>6</v>
      </c>
      <c r="M19" s="5">
        <f>1 - (($J19/$L19)^2 + ($K19/$L19)^2)</f>
        <v>0.44444444444444442</v>
      </c>
      <c r="N19" s="3" t="str" cm="1">
        <f t="array" ref="N19">_xlfn.TEXTJOIN(", ", TRUE, _xlfn._xlws.SORT(_xlfn._xlws.FILTER(A$2:A$11, C$2:C$11 = $H19)))</f>
        <v>2, 3, 6, 10</v>
      </c>
      <c r="O19" s="3">
        <f>COUNTIFS(C$2:C$11, ""&amp;H19, E$2:E$11, "No")</f>
        <v>0</v>
      </c>
      <c r="P19" s="3">
        <f>COUNTIFS(C$2:C$11, ""&amp;H19, E$2:E$11, "Yes")</f>
        <v>4</v>
      </c>
      <c r="Q19" s="3">
        <f>$O19+$P19</f>
        <v>4</v>
      </c>
      <c r="R19" s="5">
        <f>1 - (($O19/$Q19)^2 + ($P19/$Q19)^2)</f>
        <v>0</v>
      </c>
      <c r="S19" s="5">
        <f xml:space="preserve"> ($L19/($L19+$Q19)*$M19)+($Q19/($L19+$Q19)*R19)</f>
        <v>0.26666666666666666</v>
      </c>
    </row>
    <row r="20" spans="7:19" x14ac:dyDescent="0.25">
      <c r="H20" t="s">
        <v>7</v>
      </c>
      <c r="I20" t="str" cm="1">
        <f t="array" ref="I20">_xlfn.TEXTJOIN(", ", TRUE, _xlfn._xlws.SORT(_xlfn._xlws.FILTER(A$2:A$11, C$2:C$11 &lt;&gt; $H20)))</f>
        <v>1, 2, 3, 4, 6, 7, 10</v>
      </c>
      <c r="J20">
        <f>COUNTIFS(C$2:C$11, "&lt;&gt;"&amp;H20, E$2:E$11, "No")</f>
        <v>2</v>
      </c>
      <c r="K20">
        <f>COUNTIFS(C$2:C$11, "&lt;&gt;"&amp;H20, E$2:E$11, "Yes")</f>
        <v>5</v>
      </c>
      <c r="L20">
        <f>$J20+$K20</f>
        <v>7</v>
      </c>
      <c r="M20" s="4">
        <f>1 - (($J20/$L20)^2 + ($K20/$L20)^2)</f>
        <v>0.40816326530612246</v>
      </c>
      <c r="N20" t="str" cm="1">
        <f t="array" ref="N20">_xlfn.TEXTJOIN(", ", TRUE, _xlfn._xlws.SORT(_xlfn._xlws.FILTER(A$2:A$11, C$2:C$11 = $H20)))</f>
        <v>5, 8, 9</v>
      </c>
      <c r="O20">
        <f>COUNTIFS(C$2:C$11, ""&amp;H20, E$2:E$11, "No")</f>
        <v>2</v>
      </c>
      <c r="P20">
        <f>COUNTIFS(C$2:C$11, ""&amp;H20, E$2:E$11, "Yes")</f>
        <v>1</v>
      </c>
      <c r="Q20">
        <f>$O20+$P20</f>
        <v>3</v>
      </c>
      <c r="R20" s="4">
        <f>1 - (($O20/$Q20)^2 + ($P20/$Q20)^2)</f>
        <v>0.44444444444444442</v>
      </c>
      <c r="S20" s="4">
        <f xml:space="preserve"> ($L20/($L20+$Q20)*$M20)+($Q20/($L20+$Q20)*R20)</f>
        <v>0.419047619047619</v>
      </c>
    </row>
    <row r="22" spans="7:19" x14ac:dyDescent="0.25">
      <c r="G22" s="1" t="s">
        <v>29</v>
      </c>
      <c r="I22" t="s">
        <v>31</v>
      </c>
      <c r="J22" t="s">
        <v>20</v>
      </c>
      <c r="K22" t="s">
        <v>23</v>
      </c>
      <c r="L22" t="s">
        <v>24</v>
      </c>
      <c r="M22" t="s">
        <v>13</v>
      </c>
      <c r="N22" t="s">
        <v>30</v>
      </c>
      <c r="O22" t="s">
        <v>25</v>
      </c>
      <c r="P22" t="s">
        <v>21</v>
      </c>
      <c r="Q22" t="s">
        <v>22</v>
      </c>
      <c r="R22" t="s">
        <v>15</v>
      </c>
      <c r="S22" t="s">
        <v>26</v>
      </c>
    </row>
    <row r="23" spans="7:19" x14ac:dyDescent="0.25">
      <c r="G23" t="s">
        <v>36</v>
      </c>
      <c r="I23" t="str" cm="1">
        <f t="array" ref="I23">_xlfn.TEXTJOIN(", ", TRUE, _xlfn._xlws.SORT(_xlfn._xlws.FILTER(A$2:A$11, D$2:D$11 = "No")))</f>
        <v>3, 5, 8, 10</v>
      </c>
      <c r="J23">
        <f>COUNTIFS(D$2:D$11, "No", E$2:E$11, "No")</f>
        <v>1</v>
      </c>
      <c r="K23">
        <f>COUNTIFS(D$2:D$11, "No", E$2:E$11, "Yes")</f>
        <v>3</v>
      </c>
      <c r="L23">
        <f>$J23+$K23</f>
        <v>4</v>
      </c>
      <c r="M23" s="4">
        <f>1 - (($J23/$L23)^2 + ($K23/$L23)^2)</f>
        <v>0.375</v>
      </c>
      <c r="N23" t="s">
        <v>28</v>
      </c>
      <c r="O23">
        <f>COUNTIFS(D$2:D$11, "Yes", E$2:E$11, "No")</f>
        <v>3</v>
      </c>
      <c r="P23">
        <f>COUNTIFS(D$2:D$11, "Yes", E$2:E$11, "Yes")</f>
        <v>3</v>
      </c>
      <c r="Q23">
        <f>$O23+$P23</f>
        <v>6</v>
      </c>
      <c r="R23" s="4">
        <f>1 - (($O23/$Q23)^2 + ($P23/$Q23)^2)</f>
        <v>0.5</v>
      </c>
      <c r="S23" s="4">
        <f xml:space="preserve"> ($L23/($L23+$Q23)*$M23)+($Q23/($L23+$Q23)*R23)</f>
        <v>0.45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 Stewart</dc:creator>
  <cp:lastModifiedBy>Ian J Stewart</cp:lastModifiedBy>
  <dcterms:created xsi:type="dcterms:W3CDTF">2024-10-13T06:13:48Z</dcterms:created>
  <dcterms:modified xsi:type="dcterms:W3CDTF">2024-10-15T02:55:31Z</dcterms:modified>
</cp:coreProperties>
</file>