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 Documents\University\Fourth Year - 2021\Semester 2\EEE4022S - Research Project\Ball test results\"/>
    </mc:Choice>
  </mc:AlternateContent>
  <xr:revisionPtr revIDLastSave="0" documentId="13_ncr:1_{EE549546-F823-4F54-93DA-492A08FB1DBF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Ultrasound gravity tests" sheetId="1" r:id="rId1"/>
    <sheet name="Audio RADAR gravity test" sheetId="4" r:id="rId2"/>
    <sheet name="Frequency tests" sheetId="5" r:id="rId3"/>
    <sheet name="Audio Outdoor tests" sheetId="2" r:id="rId4"/>
    <sheet name="Ultrasound Outdoor tests" sheetId="6" r:id="rId5"/>
    <sheet name="Ultrasound Outdoor tests 2" sheetId="7" r:id="rId6"/>
    <sheet name="Audio outdoor tests 2" sheetId="8" r:id="rId7"/>
    <sheet name="Summary" sheetId="9" r:id="rId8"/>
    <sheet name="S-Band RADAR" sheetId="11" r:id="rId9"/>
  </sheets>
  <externalReferences>
    <externalReference r:id="rId10"/>
    <externalReference r:id="rId11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9" l="1"/>
  <c r="E17" i="9"/>
  <c r="D17" i="9"/>
  <c r="C17" i="9"/>
  <c r="B17" i="9"/>
  <c r="F16" i="9"/>
  <c r="E16" i="9"/>
  <c r="D16" i="9"/>
  <c r="C16" i="9"/>
  <c r="B16" i="9"/>
  <c r="F15" i="9"/>
  <c r="E15" i="9"/>
  <c r="D15" i="9"/>
  <c r="C15" i="9"/>
  <c r="B15" i="9"/>
  <c r="F14" i="9"/>
  <c r="E14" i="9"/>
  <c r="D14" i="9"/>
  <c r="C14" i="9"/>
  <c r="B14" i="9"/>
  <c r="E11" i="9"/>
  <c r="D11" i="9"/>
  <c r="C11" i="9"/>
  <c r="B11" i="9"/>
  <c r="D10" i="9"/>
  <c r="C10" i="9"/>
  <c r="B10" i="9"/>
  <c r="E9" i="9"/>
  <c r="D9" i="9"/>
  <c r="C9" i="9"/>
  <c r="B9" i="9"/>
  <c r="E8" i="9"/>
  <c r="D8" i="9"/>
  <c r="C8" i="9"/>
  <c r="B8" i="9"/>
  <c r="E5" i="9"/>
  <c r="D5" i="9"/>
  <c r="C5" i="9"/>
  <c r="B5" i="9"/>
  <c r="E4" i="9"/>
  <c r="D4" i="9"/>
  <c r="C4" i="9"/>
  <c r="B4" i="9"/>
  <c r="E3" i="9"/>
  <c r="D3" i="9"/>
  <c r="C3" i="9"/>
  <c r="B3" i="9"/>
  <c r="E43" i="8"/>
  <c r="D43" i="8"/>
  <c r="C43" i="8"/>
  <c r="B43" i="8"/>
  <c r="A43" i="8"/>
  <c r="E42" i="8"/>
  <c r="D42" i="8"/>
  <c r="C42" i="8"/>
  <c r="B42" i="8"/>
  <c r="A42" i="8"/>
  <c r="E41" i="8"/>
  <c r="D41" i="8"/>
  <c r="C41" i="8"/>
  <c r="B41" i="8"/>
  <c r="A41" i="8"/>
  <c r="E40" i="8"/>
  <c r="D40" i="8"/>
  <c r="C40" i="8"/>
  <c r="B40" i="8"/>
  <c r="A40" i="8"/>
  <c r="E39" i="8"/>
  <c r="D39" i="8"/>
  <c r="C39" i="8"/>
  <c r="B39" i="8"/>
  <c r="A39" i="8"/>
  <c r="E38" i="8"/>
  <c r="D38" i="8"/>
  <c r="C38" i="8"/>
  <c r="B38" i="8"/>
  <c r="A38" i="8"/>
  <c r="E37" i="8"/>
  <c r="D37" i="8"/>
  <c r="C37" i="8"/>
  <c r="B37" i="8"/>
  <c r="A37" i="8"/>
  <c r="E36" i="8"/>
  <c r="D36" i="8"/>
  <c r="C36" i="8"/>
  <c r="B36" i="8"/>
  <c r="A36" i="8"/>
  <c r="I30" i="8"/>
  <c r="H30" i="8"/>
  <c r="G30" i="8"/>
  <c r="F30" i="8"/>
  <c r="E30" i="8"/>
  <c r="D30" i="8"/>
  <c r="C30" i="8"/>
  <c r="B30" i="8"/>
  <c r="A30" i="8"/>
  <c r="I29" i="8"/>
  <c r="H29" i="8"/>
  <c r="G29" i="8"/>
  <c r="F29" i="8"/>
  <c r="E29" i="8"/>
  <c r="D29" i="8"/>
  <c r="C29" i="8"/>
  <c r="B29" i="8"/>
  <c r="A29" i="8"/>
  <c r="I28" i="8"/>
  <c r="H28" i="8"/>
  <c r="G28" i="8"/>
  <c r="F28" i="8"/>
  <c r="E28" i="8"/>
  <c r="D28" i="8"/>
  <c r="C28" i="8"/>
  <c r="B28" i="8"/>
  <c r="A28" i="8"/>
  <c r="I27" i="8"/>
  <c r="H27" i="8"/>
  <c r="G27" i="8"/>
  <c r="F27" i="8"/>
  <c r="E27" i="8"/>
  <c r="D27" i="8"/>
  <c r="C27" i="8"/>
  <c r="B27" i="8"/>
  <c r="A27" i="8"/>
  <c r="I26" i="8"/>
  <c r="H26" i="8"/>
  <c r="G26" i="8"/>
  <c r="F26" i="8"/>
  <c r="E26" i="8"/>
  <c r="D26" i="8"/>
  <c r="C26" i="8"/>
  <c r="B26" i="8"/>
  <c r="A26" i="8"/>
  <c r="I25" i="8"/>
  <c r="H25" i="8"/>
  <c r="G25" i="8"/>
  <c r="F25" i="8"/>
  <c r="E25" i="8"/>
  <c r="D25" i="8"/>
  <c r="C25" i="8"/>
  <c r="B25" i="8"/>
  <c r="A25" i="8"/>
  <c r="I24" i="8"/>
  <c r="H24" i="8"/>
  <c r="G24" i="8"/>
  <c r="F24" i="8"/>
  <c r="E24" i="8"/>
  <c r="D24" i="8"/>
  <c r="C24" i="8"/>
  <c r="B24" i="8"/>
  <c r="A24" i="8"/>
  <c r="I23" i="8"/>
  <c r="H23" i="8"/>
  <c r="G23" i="8"/>
  <c r="F23" i="8"/>
  <c r="E23" i="8"/>
  <c r="D23" i="8"/>
  <c r="C23" i="8"/>
  <c r="B23" i="8"/>
  <c r="A23" i="8"/>
  <c r="I22" i="8"/>
  <c r="H22" i="8"/>
  <c r="G22" i="8"/>
  <c r="F22" i="8"/>
  <c r="E22" i="8"/>
  <c r="D22" i="8"/>
  <c r="C22" i="8"/>
  <c r="B22" i="8"/>
  <c r="A22" i="8"/>
  <c r="I21" i="8"/>
  <c r="H21" i="8"/>
  <c r="G21" i="8"/>
  <c r="F21" i="8"/>
  <c r="E21" i="8"/>
  <c r="D21" i="8"/>
  <c r="C21" i="8"/>
  <c r="B21" i="8"/>
  <c r="A21" i="8"/>
  <c r="I20" i="8"/>
  <c r="H20" i="8"/>
  <c r="G20" i="8"/>
  <c r="F20" i="8"/>
  <c r="E20" i="8"/>
  <c r="D20" i="8"/>
  <c r="C20" i="8"/>
  <c r="B20" i="8"/>
  <c r="A20" i="8"/>
  <c r="I19" i="8"/>
  <c r="H19" i="8"/>
  <c r="G19" i="8"/>
  <c r="F19" i="8"/>
  <c r="E19" i="8"/>
  <c r="D19" i="8"/>
  <c r="C19" i="8"/>
  <c r="B19" i="8"/>
  <c r="A19" i="8"/>
  <c r="I18" i="8"/>
  <c r="H18" i="8"/>
  <c r="G18" i="8"/>
  <c r="F18" i="8"/>
  <c r="E18" i="8"/>
  <c r="D18" i="8"/>
  <c r="C18" i="8"/>
  <c r="B18" i="8"/>
  <c r="A18" i="8"/>
  <c r="L14" i="8"/>
  <c r="G14" i="8"/>
  <c r="F14" i="8"/>
  <c r="E14" i="8"/>
  <c r="D14" i="8"/>
  <c r="C14" i="8"/>
  <c r="L13" i="8"/>
  <c r="G13" i="8"/>
  <c r="F13" i="8"/>
  <c r="E13" i="8"/>
  <c r="D13" i="8"/>
  <c r="C13" i="8"/>
  <c r="L12" i="8"/>
  <c r="G12" i="8"/>
  <c r="F12" i="8"/>
  <c r="E12" i="8"/>
  <c r="D12" i="8"/>
  <c r="C12" i="8"/>
  <c r="L11" i="8"/>
  <c r="G11" i="8"/>
  <c r="F11" i="8"/>
  <c r="E11" i="8"/>
  <c r="D11" i="8"/>
  <c r="C11" i="8"/>
  <c r="L10" i="8"/>
  <c r="G10" i="8"/>
  <c r="F10" i="8"/>
  <c r="E10" i="8"/>
  <c r="D10" i="8"/>
  <c r="C10" i="8"/>
  <c r="L9" i="8"/>
  <c r="G9" i="8"/>
  <c r="F9" i="8"/>
  <c r="E9" i="8"/>
  <c r="D9" i="8"/>
  <c r="C9" i="8"/>
  <c r="L8" i="8"/>
  <c r="G8" i="8"/>
  <c r="F8" i="8"/>
  <c r="E8" i="8"/>
  <c r="D8" i="8"/>
  <c r="C8" i="8"/>
  <c r="L7" i="8"/>
  <c r="G7" i="8"/>
  <c r="F7" i="8"/>
  <c r="E7" i="8"/>
  <c r="D7" i="8"/>
  <c r="C7" i="8"/>
  <c r="L6" i="8"/>
  <c r="G6" i="8"/>
  <c r="F6" i="8"/>
  <c r="E6" i="8"/>
  <c r="D6" i="8"/>
  <c r="C6" i="8"/>
  <c r="L5" i="8"/>
  <c r="G5" i="8"/>
  <c r="F5" i="8"/>
  <c r="E5" i="8"/>
  <c r="D5" i="8"/>
  <c r="C5" i="8"/>
  <c r="L4" i="8"/>
  <c r="G4" i="8"/>
  <c r="F4" i="8"/>
  <c r="E4" i="8"/>
  <c r="D4" i="8"/>
  <c r="C4" i="8"/>
  <c r="L3" i="8"/>
  <c r="G3" i="8"/>
  <c r="F3" i="8"/>
  <c r="E3" i="8"/>
  <c r="D3" i="8"/>
  <c r="C3" i="8"/>
  <c r="L2" i="8"/>
  <c r="G2" i="8"/>
  <c r="F2" i="8"/>
  <c r="E2" i="8"/>
  <c r="D2" i="8"/>
  <c r="C2" i="8"/>
  <c r="I41" i="7"/>
  <c r="H41" i="7"/>
  <c r="G41" i="7"/>
  <c r="F41" i="7"/>
  <c r="E41" i="7"/>
  <c r="D41" i="7"/>
  <c r="C41" i="7"/>
  <c r="B41" i="7"/>
  <c r="I40" i="7"/>
  <c r="H40" i="7"/>
  <c r="G40" i="7"/>
  <c r="F40" i="7"/>
  <c r="E40" i="7"/>
  <c r="D40" i="7"/>
  <c r="C40" i="7"/>
  <c r="B40" i="7"/>
  <c r="I39" i="7"/>
  <c r="H39" i="7"/>
  <c r="G39" i="7"/>
  <c r="F39" i="7"/>
  <c r="E39" i="7"/>
  <c r="D39" i="7"/>
  <c r="C39" i="7"/>
  <c r="B39" i="7"/>
  <c r="I38" i="7"/>
  <c r="H38" i="7"/>
  <c r="G38" i="7"/>
  <c r="F38" i="7"/>
  <c r="E38" i="7"/>
  <c r="D38" i="7"/>
  <c r="C38" i="7"/>
  <c r="B38" i="7"/>
  <c r="E34" i="7"/>
  <c r="D34" i="7"/>
  <c r="C34" i="7"/>
  <c r="B34" i="7"/>
  <c r="A34" i="7"/>
  <c r="E33" i="7"/>
  <c r="D33" i="7"/>
  <c r="C33" i="7"/>
  <c r="B33" i="7"/>
  <c r="A33" i="7"/>
  <c r="E32" i="7"/>
  <c r="D32" i="7"/>
  <c r="C32" i="7"/>
  <c r="B32" i="7"/>
  <c r="A32" i="7"/>
  <c r="E31" i="7"/>
  <c r="D31" i="7"/>
  <c r="C31" i="7"/>
  <c r="B31" i="7"/>
  <c r="A31" i="7"/>
  <c r="E30" i="7"/>
  <c r="D30" i="7"/>
  <c r="C30" i="7"/>
  <c r="B30" i="7"/>
  <c r="A30" i="7"/>
  <c r="E29" i="7"/>
  <c r="D29" i="7"/>
  <c r="C29" i="7"/>
  <c r="B29" i="7"/>
  <c r="A29" i="7"/>
  <c r="E28" i="7"/>
  <c r="D28" i="7"/>
  <c r="C28" i="7"/>
  <c r="B28" i="7"/>
  <c r="A28" i="7"/>
  <c r="E27" i="7"/>
  <c r="D27" i="7"/>
  <c r="C27" i="7"/>
  <c r="B27" i="7"/>
  <c r="A27" i="7"/>
  <c r="E26" i="7"/>
  <c r="D26" i="7"/>
  <c r="C26" i="7"/>
  <c r="B26" i="7"/>
  <c r="A26" i="7"/>
  <c r="L22" i="7"/>
  <c r="K22" i="7"/>
  <c r="J22" i="7"/>
  <c r="I22" i="7"/>
  <c r="H22" i="7"/>
  <c r="G22" i="7"/>
  <c r="F22" i="7"/>
  <c r="E22" i="7"/>
  <c r="D22" i="7"/>
  <c r="C22" i="7"/>
  <c r="B22" i="7"/>
  <c r="A22" i="7"/>
  <c r="L21" i="7"/>
  <c r="K21" i="7"/>
  <c r="J21" i="7"/>
  <c r="I21" i="7"/>
  <c r="H21" i="7"/>
  <c r="G21" i="7"/>
  <c r="F21" i="7"/>
  <c r="E21" i="7"/>
  <c r="D21" i="7"/>
  <c r="C21" i="7"/>
  <c r="B21" i="7"/>
  <c r="A21" i="7"/>
  <c r="L20" i="7"/>
  <c r="K20" i="7"/>
  <c r="J20" i="7"/>
  <c r="I20" i="7"/>
  <c r="H20" i="7"/>
  <c r="G20" i="7"/>
  <c r="F20" i="7"/>
  <c r="E20" i="7"/>
  <c r="D20" i="7"/>
  <c r="C20" i="7"/>
  <c r="B20" i="7"/>
  <c r="A20" i="7"/>
  <c r="L19" i="7"/>
  <c r="K19" i="7"/>
  <c r="J19" i="7"/>
  <c r="I19" i="7"/>
  <c r="H19" i="7"/>
  <c r="G19" i="7"/>
  <c r="F19" i="7"/>
  <c r="E19" i="7"/>
  <c r="D19" i="7"/>
  <c r="C19" i="7"/>
  <c r="B19" i="7"/>
  <c r="A19" i="7"/>
  <c r="L18" i="7"/>
  <c r="K18" i="7"/>
  <c r="J18" i="7"/>
  <c r="I18" i="7"/>
  <c r="H18" i="7"/>
  <c r="G18" i="7"/>
  <c r="F18" i="7"/>
  <c r="E18" i="7"/>
  <c r="D18" i="7"/>
  <c r="C18" i="7"/>
  <c r="B18" i="7"/>
  <c r="A18" i="7"/>
  <c r="L17" i="7"/>
  <c r="K17" i="7"/>
  <c r="J17" i="7"/>
  <c r="I17" i="7"/>
  <c r="H17" i="7"/>
  <c r="G17" i="7"/>
  <c r="F17" i="7"/>
  <c r="E17" i="7"/>
  <c r="D17" i="7"/>
  <c r="C17" i="7"/>
  <c r="B17" i="7"/>
  <c r="A17" i="7"/>
  <c r="L16" i="7"/>
  <c r="K16" i="7"/>
  <c r="J16" i="7"/>
  <c r="I16" i="7"/>
  <c r="H16" i="7"/>
  <c r="G16" i="7"/>
  <c r="F16" i="7"/>
  <c r="E16" i="7"/>
  <c r="D16" i="7"/>
  <c r="C16" i="7"/>
  <c r="B16" i="7"/>
  <c r="A16" i="7"/>
  <c r="L15" i="7"/>
  <c r="K15" i="7"/>
  <c r="J15" i="7"/>
  <c r="I15" i="7"/>
  <c r="H15" i="7"/>
  <c r="G15" i="7"/>
  <c r="F15" i="7"/>
  <c r="E15" i="7"/>
  <c r="D15" i="7"/>
  <c r="C15" i="7"/>
  <c r="B15" i="7"/>
  <c r="A15" i="7"/>
  <c r="L14" i="7"/>
  <c r="K14" i="7"/>
  <c r="J14" i="7"/>
  <c r="I14" i="7"/>
  <c r="H14" i="7"/>
  <c r="G14" i="7"/>
  <c r="F14" i="7"/>
  <c r="E14" i="7"/>
  <c r="D14" i="7"/>
  <c r="C14" i="7"/>
  <c r="B14" i="7"/>
  <c r="A14" i="7"/>
  <c r="N10" i="7"/>
  <c r="G10" i="7"/>
  <c r="F10" i="7"/>
  <c r="E10" i="7"/>
  <c r="D10" i="7"/>
  <c r="C10" i="7"/>
  <c r="N9" i="7"/>
  <c r="G9" i="7"/>
  <c r="F9" i="7"/>
  <c r="E9" i="7"/>
  <c r="D9" i="7"/>
  <c r="C9" i="7"/>
  <c r="N8" i="7"/>
  <c r="G8" i="7"/>
  <c r="F8" i="7"/>
  <c r="E8" i="7"/>
  <c r="D8" i="7"/>
  <c r="C8" i="7"/>
  <c r="N7" i="7"/>
  <c r="G7" i="7"/>
  <c r="F7" i="7"/>
  <c r="E7" i="7"/>
  <c r="D7" i="7"/>
  <c r="C7" i="7"/>
  <c r="N6" i="7"/>
  <c r="G6" i="7"/>
  <c r="F6" i="7"/>
  <c r="E6" i="7"/>
  <c r="D6" i="7"/>
  <c r="C6" i="7"/>
  <c r="N5" i="7"/>
  <c r="G5" i="7"/>
  <c r="F5" i="7"/>
  <c r="E5" i="7"/>
  <c r="D5" i="7"/>
  <c r="C5" i="7"/>
  <c r="N4" i="7"/>
  <c r="G4" i="7"/>
  <c r="F4" i="7"/>
  <c r="E4" i="7"/>
  <c r="D4" i="7"/>
  <c r="C4" i="7"/>
  <c r="N3" i="7"/>
  <c r="G3" i="7"/>
  <c r="F3" i="7"/>
  <c r="E3" i="7"/>
  <c r="D3" i="7"/>
  <c r="C3" i="7"/>
  <c r="N2" i="7"/>
  <c r="G2" i="7"/>
  <c r="F2" i="7"/>
  <c r="E2" i="7"/>
  <c r="D2" i="7"/>
  <c r="C2" i="7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I32" i="6"/>
  <c r="H32" i="6"/>
  <c r="G32" i="6"/>
  <c r="F32" i="6"/>
  <c r="E32" i="6"/>
  <c r="D32" i="6"/>
  <c r="C32" i="6"/>
  <c r="B32" i="6"/>
  <c r="A32" i="6"/>
  <c r="I31" i="6"/>
  <c r="H31" i="6"/>
  <c r="G31" i="6"/>
  <c r="F31" i="6"/>
  <c r="E31" i="6"/>
  <c r="D31" i="6"/>
  <c r="C31" i="6"/>
  <c r="B31" i="6"/>
  <c r="A31" i="6"/>
  <c r="I30" i="6"/>
  <c r="H30" i="6"/>
  <c r="G30" i="6"/>
  <c r="F30" i="6"/>
  <c r="E30" i="6"/>
  <c r="D30" i="6"/>
  <c r="C30" i="6"/>
  <c r="B30" i="6"/>
  <c r="A30" i="6"/>
  <c r="I29" i="6"/>
  <c r="H29" i="6"/>
  <c r="G29" i="6"/>
  <c r="F29" i="6"/>
  <c r="E29" i="6"/>
  <c r="D29" i="6"/>
  <c r="C29" i="6"/>
  <c r="B29" i="6"/>
  <c r="A29" i="6"/>
  <c r="I28" i="6"/>
  <c r="H28" i="6"/>
  <c r="G28" i="6"/>
  <c r="F28" i="6"/>
  <c r="E28" i="6"/>
  <c r="D28" i="6"/>
  <c r="C28" i="6"/>
  <c r="B28" i="6"/>
  <c r="A28" i="6"/>
  <c r="I27" i="6"/>
  <c r="H27" i="6"/>
  <c r="G27" i="6"/>
  <c r="F27" i="6"/>
  <c r="E27" i="6"/>
  <c r="D27" i="6"/>
  <c r="C27" i="6"/>
  <c r="B27" i="6"/>
  <c r="A27" i="6"/>
  <c r="I26" i="6"/>
  <c r="H26" i="6"/>
  <c r="G26" i="6"/>
  <c r="F26" i="6"/>
  <c r="E26" i="6"/>
  <c r="D26" i="6"/>
  <c r="C26" i="6"/>
  <c r="B26" i="6"/>
  <c r="A26" i="6"/>
  <c r="I25" i="6"/>
  <c r="H25" i="6"/>
  <c r="G25" i="6"/>
  <c r="F25" i="6"/>
  <c r="E25" i="6"/>
  <c r="D25" i="6"/>
  <c r="C25" i="6"/>
  <c r="B25" i="6"/>
  <c r="A25" i="6"/>
  <c r="I24" i="6"/>
  <c r="H24" i="6"/>
  <c r="G24" i="6"/>
  <c r="F24" i="6"/>
  <c r="E24" i="6"/>
  <c r="D24" i="6"/>
  <c r="C24" i="6"/>
  <c r="B24" i="6"/>
  <c r="A24" i="6"/>
  <c r="I23" i="6"/>
  <c r="H23" i="6"/>
  <c r="G23" i="6"/>
  <c r="F23" i="6"/>
  <c r="E23" i="6"/>
  <c r="D23" i="6"/>
  <c r="C23" i="6"/>
  <c r="B23" i="6"/>
  <c r="A23" i="6"/>
  <c r="I22" i="6"/>
  <c r="H22" i="6"/>
  <c r="G22" i="6"/>
  <c r="F22" i="6"/>
  <c r="E22" i="6"/>
  <c r="D22" i="6"/>
  <c r="C22" i="6"/>
  <c r="B22" i="6"/>
  <c r="A22" i="6"/>
  <c r="I21" i="6"/>
  <c r="H21" i="6"/>
  <c r="G21" i="6"/>
  <c r="F21" i="6"/>
  <c r="E21" i="6"/>
  <c r="D21" i="6"/>
  <c r="C21" i="6"/>
  <c r="B21" i="6"/>
  <c r="A21" i="6"/>
  <c r="I20" i="6"/>
  <c r="H20" i="6"/>
  <c r="G20" i="6"/>
  <c r="F20" i="6"/>
  <c r="E20" i="6"/>
  <c r="D20" i="6"/>
  <c r="C20" i="6"/>
  <c r="B20" i="6"/>
  <c r="A20" i="6"/>
  <c r="I19" i="6"/>
  <c r="H19" i="6"/>
  <c r="G19" i="6"/>
  <c r="F19" i="6"/>
  <c r="E19" i="6"/>
  <c r="D19" i="6"/>
  <c r="C19" i="6"/>
  <c r="B19" i="6"/>
  <c r="A19" i="6"/>
  <c r="L15" i="6"/>
  <c r="G15" i="6"/>
  <c r="F15" i="6"/>
  <c r="E15" i="6"/>
  <c r="D15" i="6"/>
  <c r="C15" i="6"/>
  <c r="L14" i="6"/>
  <c r="G14" i="6"/>
  <c r="F14" i="6"/>
  <c r="E14" i="6"/>
  <c r="D14" i="6"/>
  <c r="C14" i="6"/>
  <c r="L13" i="6"/>
  <c r="G13" i="6"/>
  <c r="F13" i="6"/>
  <c r="E13" i="6"/>
  <c r="D13" i="6"/>
  <c r="C13" i="6"/>
  <c r="L12" i="6"/>
  <c r="G12" i="6"/>
  <c r="F12" i="6"/>
  <c r="E12" i="6"/>
  <c r="D12" i="6"/>
  <c r="C12" i="6"/>
  <c r="L11" i="6"/>
  <c r="G11" i="6"/>
  <c r="F11" i="6"/>
  <c r="E11" i="6"/>
  <c r="D11" i="6"/>
  <c r="C11" i="6"/>
  <c r="L10" i="6"/>
  <c r="G10" i="6"/>
  <c r="F10" i="6"/>
  <c r="E10" i="6"/>
  <c r="D10" i="6"/>
  <c r="C10" i="6"/>
  <c r="L9" i="6"/>
  <c r="G9" i="6"/>
  <c r="F9" i="6"/>
  <c r="E9" i="6"/>
  <c r="D9" i="6"/>
  <c r="C9" i="6"/>
  <c r="L8" i="6"/>
  <c r="G8" i="6"/>
  <c r="F8" i="6"/>
  <c r="E8" i="6"/>
  <c r="D8" i="6"/>
  <c r="C8" i="6"/>
  <c r="L7" i="6"/>
  <c r="G7" i="6"/>
  <c r="F7" i="6"/>
  <c r="E7" i="6"/>
  <c r="D7" i="6"/>
  <c r="C7" i="6"/>
  <c r="L6" i="6"/>
  <c r="G6" i="6"/>
  <c r="F6" i="6"/>
  <c r="E6" i="6"/>
  <c r="D6" i="6"/>
  <c r="C6" i="6"/>
  <c r="L5" i="6"/>
  <c r="G5" i="6"/>
  <c r="F5" i="6"/>
  <c r="E5" i="6"/>
  <c r="D5" i="6"/>
  <c r="C5" i="6"/>
  <c r="L4" i="6"/>
  <c r="G4" i="6"/>
  <c r="F4" i="6"/>
  <c r="E4" i="6"/>
  <c r="D4" i="6"/>
  <c r="C4" i="6"/>
  <c r="L3" i="6"/>
  <c r="G3" i="6"/>
  <c r="F3" i="6"/>
  <c r="E3" i="6"/>
  <c r="D3" i="6"/>
  <c r="C3" i="6"/>
  <c r="L2" i="6"/>
  <c r="G2" i="6"/>
  <c r="F2" i="6"/>
  <c r="E2" i="6"/>
  <c r="D2" i="6"/>
  <c r="C2" i="6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I20" i="2"/>
  <c r="H20" i="2"/>
  <c r="G20" i="2"/>
  <c r="F20" i="2"/>
  <c r="E20" i="2"/>
  <c r="D20" i="2"/>
  <c r="C20" i="2"/>
  <c r="B20" i="2"/>
  <c r="A20" i="2"/>
  <c r="I19" i="2"/>
  <c r="H19" i="2"/>
  <c r="G19" i="2"/>
  <c r="F19" i="2"/>
  <c r="E19" i="2"/>
  <c r="D19" i="2"/>
  <c r="C19" i="2"/>
  <c r="B19" i="2"/>
  <c r="A19" i="2"/>
  <c r="I18" i="2"/>
  <c r="H18" i="2"/>
  <c r="G18" i="2"/>
  <c r="F18" i="2"/>
  <c r="E18" i="2"/>
  <c r="D18" i="2"/>
  <c r="C18" i="2"/>
  <c r="B18" i="2"/>
  <c r="A18" i="2"/>
  <c r="I17" i="2"/>
  <c r="H17" i="2"/>
  <c r="G17" i="2"/>
  <c r="F17" i="2"/>
  <c r="E17" i="2"/>
  <c r="D17" i="2"/>
  <c r="C17" i="2"/>
  <c r="B17" i="2"/>
  <c r="A17" i="2"/>
  <c r="I16" i="2"/>
  <c r="H16" i="2"/>
  <c r="G16" i="2"/>
  <c r="F16" i="2"/>
  <c r="E16" i="2"/>
  <c r="D16" i="2"/>
  <c r="C16" i="2"/>
  <c r="B16" i="2"/>
  <c r="A16" i="2"/>
  <c r="I15" i="2"/>
  <c r="H15" i="2"/>
  <c r="G15" i="2"/>
  <c r="F15" i="2"/>
  <c r="E15" i="2"/>
  <c r="D15" i="2"/>
  <c r="C15" i="2"/>
  <c r="B15" i="2"/>
  <c r="A15" i="2"/>
  <c r="I14" i="2"/>
  <c r="H14" i="2"/>
  <c r="G14" i="2"/>
  <c r="F14" i="2"/>
  <c r="E14" i="2"/>
  <c r="D14" i="2"/>
  <c r="C14" i="2"/>
  <c r="B14" i="2"/>
  <c r="A14" i="2"/>
  <c r="I13" i="2"/>
  <c r="H13" i="2"/>
  <c r="G13" i="2"/>
  <c r="F13" i="2"/>
  <c r="E13" i="2"/>
  <c r="D13" i="2"/>
  <c r="C13" i="2"/>
  <c r="B13" i="2"/>
  <c r="A13" i="2"/>
  <c r="L9" i="2"/>
  <c r="G9" i="2"/>
  <c r="F9" i="2"/>
  <c r="E9" i="2"/>
  <c r="D9" i="2"/>
  <c r="C9" i="2"/>
  <c r="L8" i="2"/>
  <c r="G8" i="2"/>
  <c r="F8" i="2"/>
  <c r="E8" i="2"/>
  <c r="D8" i="2"/>
  <c r="C8" i="2"/>
  <c r="L7" i="2"/>
  <c r="G7" i="2"/>
  <c r="F7" i="2"/>
  <c r="E7" i="2"/>
  <c r="D7" i="2"/>
  <c r="C7" i="2"/>
  <c r="L6" i="2"/>
  <c r="G6" i="2"/>
  <c r="F6" i="2"/>
  <c r="E6" i="2"/>
  <c r="D6" i="2"/>
  <c r="C6" i="2"/>
  <c r="L5" i="2"/>
  <c r="G5" i="2"/>
  <c r="F5" i="2"/>
  <c r="E5" i="2"/>
  <c r="D5" i="2"/>
  <c r="C5" i="2"/>
  <c r="L4" i="2"/>
  <c r="G4" i="2"/>
  <c r="F4" i="2"/>
  <c r="E4" i="2"/>
  <c r="D4" i="2"/>
  <c r="C4" i="2"/>
  <c r="L3" i="2"/>
  <c r="G3" i="2"/>
  <c r="F3" i="2"/>
  <c r="E3" i="2"/>
  <c r="D3" i="2"/>
  <c r="C3" i="2"/>
  <c r="L2" i="2"/>
  <c r="G2" i="2"/>
  <c r="F2" i="2"/>
  <c r="E2" i="2"/>
  <c r="D2" i="2"/>
  <c r="C2" i="2"/>
  <c r="I40" i="5"/>
  <c r="H40" i="5"/>
  <c r="G40" i="5"/>
  <c r="F40" i="5"/>
  <c r="E40" i="5"/>
  <c r="D40" i="5"/>
  <c r="C40" i="5"/>
  <c r="B40" i="5"/>
  <c r="A40" i="5"/>
  <c r="I39" i="5"/>
  <c r="H39" i="5"/>
  <c r="G39" i="5"/>
  <c r="F39" i="5"/>
  <c r="E39" i="5"/>
  <c r="D39" i="5"/>
  <c r="C39" i="5"/>
  <c r="B39" i="5"/>
  <c r="A39" i="5"/>
  <c r="I38" i="5"/>
  <c r="H38" i="5"/>
  <c r="G38" i="5"/>
  <c r="F38" i="5"/>
  <c r="E38" i="5"/>
  <c r="D38" i="5"/>
  <c r="C38" i="5"/>
  <c r="B38" i="5"/>
  <c r="A38" i="5"/>
  <c r="I37" i="5"/>
  <c r="H37" i="5"/>
  <c r="G37" i="5"/>
  <c r="F37" i="5"/>
  <c r="E37" i="5"/>
  <c r="D37" i="5"/>
  <c r="C37" i="5"/>
  <c r="B37" i="5"/>
  <c r="A37" i="5"/>
  <c r="I34" i="5"/>
  <c r="H34" i="5"/>
  <c r="G34" i="5"/>
  <c r="F34" i="5"/>
  <c r="E34" i="5"/>
  <c r="D34" i="5"/>
  <c r="C34" i="5"/>
  <c r="B34" i="5"/>
  <c r="A34" i="5"/>
  <c r="I33" i="5"/>
  <c r="H33" i="5"/>
  <c r="G33" i="5"/>
  <c r="F33" i="5"/>
  <c r="E33" i="5"/>
  <c r="D33" i="5"/>
  <c r="C33" i="5"/>
  <c r="B33" i="5"/>
  <c r="A33" i="5"/>
  <c r="I32" i="5"/>
  <c r="H32" i="5"/>
  <c r="G32" i="5"/>
  <c r="F32" i="5"/>
  <c r="E32" i="5"/>
  <c r="D32" i="5"/>
  <c r="C32" i="5"/>
  <c r="B32" i="5"/>
  <c r="A32" i="5"/>
  <c r="I31" i="5"/>
  <c r="H31" i="5"/>
  <c r="G31" i="5"/>
  <c r="F31" i="5"/>
  <c r="E31" i="5"/>
  <c r="D31" i="5"/>
  <c r="C31" i="5"/>
  <c r="B31" i="5"/>
  <c r="A31" i="5"/>
  <c r="I25" i="5"/>
  <c r="H25" i="5"/>
  <c r="G25" i="5"/>
  <c r="F25" i="5"/>
  <c r="E25" i="5"/>
  <c r="D25" i="5"/>
  <c r="C25" i="5"/>
  <c r="B25" i="5"/>
  <c r="A25" i="5"/>
  <c r="I24" i="5"/>
  <c r="H24" i="5"/>
  <c r="G24" i="5"/>
  <c r="F24" i="5"/>
  <c r="E24" i="5"/>
  <c r="D24" i="5"/>
  <c r="C24" i="5"/>
  <c r="B24" i="5"/>
  <c r="A24" i="5"/>
  <c r="I23" i="5"/>
  <c r="H23" i="5"/>
  <c r="G23" i="5"/>
  <c r="F23" i="5"/>
  <c r="E23" i="5"/>
  <c r="D23" i="5"/>
  <c r="C23" i="5"/>
  <c r="B23" i="5"/>
  <c r="A23" i="5"/>
  <c r="I22" i="5"/>
  <c r="H22" i="5"/>
  <c r="G22" i="5"/>
  <c r="F22" i="5"/>
  <c r="E22" i="5"/>
  <c r="D22" i="5"/>
  <c r="C22" i="5"/>
  <c r="B22" i="5"/>
  <c r="A22" i="5"/>
  <c r="I19" i="5"/>
  <c r="H19" i="5"/>
  <c r="G19" i="5"/>
  <c r="F19" i="5"/>
  <c r="E19" i="5"/>
  <c r="D19" i="5"/>
  <c r="C19" i="5"/>
  <c r="B19" i="5"/>
  <c r="A19" i="5"/>
  <c r="I18" i="5"/>
  <c r="H18" i="5"/>
  <c r="G18" i="5"/>
  <c r="F18" i="5"/>
  <c r="E18" i="5"/>
  <c r="D18" i="5"/>
  <c r="C18" i="5"/>
  <c r="B18" i="5"/>
  <c r="A18" i="5"/>
  <c r="I17" i="5"/>
  <c r="H17" i="5"/>
  <c r="G17" i="5"/>
  <c r="F17" i="5"/>
  <c r="E17" i="5"/>
  <c r="D17" i="5"/>
  <c r="C17" i="5"/>
  <c r="B17" i="5"/>
  <c r="A17" i="5"/>
  <c r="I16" i="5"/>
  <c r="H16" i="5"/>
  <c r="G16" i="5"/>
  <c r="F16" i="5"/>
  <c r="E16" i="5"/>
  <c r="D16" i="5"/>
  <c r="C16" i="5"/>
  <c r="B16" i="5"/>
  <c r="A16" i="5"/>
  <c r="N12" i="5"/>
  <c r="J12" i="5"/>
  <c r="J12" i="5" a="1"/>
  <c r="I12" i="5"/>
  <c r="H12" i="5"/>
  <c r="G12" i="5"/>
  <c r="F12" i="5"/>
  <c r="E12" i="5"/>
  <c r="D12" i="5"/>
  <c r="C12" i="5"/>
  <c r="N11" i="5"/>
  <c r="J11" i="5"/>
  <c r="J11" i="5" a="1"/>
  <c r="I11" i="5"/>
  <c r="H11" i="5"/>
  <c r="G11" i="5"/>
  <c r="F11" i="5"/>
  <c r="E11" i="5"/>
  <c r="D11" i="5"/>
  <c r="C11" i="5"/>
  <c r="N10" i="5"/>
  <c r="J10" i="5"/>
  <c r="J10" i="5" a="1"/>
  <c r="I10" i="5"/>
  <c r="H10" i="5"/>
  <c r="G10" i="5"/>
  <c r="F10" i="5"/>
  <c r="E10" i="5"/>
  <c r="D10" i="5"/>
  <c r="C10" i="5"/>
  <c r="N9" i="5"/>
  <c r="J9" i="5"/>
  <c r="J9" i="5" a="1"/>
  <c r="I9" i="5"/>
  <c r="H9" i="5"/>
  <c r="G9" i="5"/>
  <c r="F9" i="5"/>
  <c r="E9" i="5"/>
  <c r="D9" i="5"/>
  <c r="C9" i="5"/>
  <c r="N6" i="5"/>
  <c r="J6" i="5"/>
  <c r="J6" i="5" a="1"/>
  <c r="I6" i="5"/>
  <c r="H6" i="5"/>
  <c r="G6" i="5"/>
  <c r="F6" i="5"/>
  <c r="E6" i="5"/>
  <c r="D6" i="5"/>
  <c r="C6" i="5"/>
  <c r="N5" i="5"/>
  <c r="J5" i="5"/>
  <c r="J5" i="5" a="1"/>
  <c r="I5" i="5"/>
  <c r="H5" i="5"/>
  <c r="G5" i="5"/>
  <c r="F5" i="5"/>
  <c r="E5" i="5"/>
  <c r="D5" i="5"/>
  <c r="C5" i="5"/>
  <c r="N4" i="5"/>
  <c r="J4" i="5"/>
  <c r="J4" i="5" a="1"/>
  <c r="I4" i="5"/>
  <c r="H4" i="5"/>
  <c r="G4" i="5"/>
  <c r="F4" i="5"/>
  <c r="E4" i="5"/>
  <c r="D4" i="5"/>
  <c r="C4" i="5"/>
  <c r="N3" i="5"/>
  <c r="M3" i="5"/>
  <c r="L3" i="5"/>
  <c r="K3" i="5"/>
  <c r="J3" i="5"/>
  <c r="I3" i="5"/>
  <c r="H3" i="5"/>
  <c r="G3" i="5"/>
  <c r="F3" i="5"/>
  <c r="E3" i="5"/>
  <c r="D3" i="5"/>
  <c r="C3" i="5"/>
  <c r="I36" i="4"/>
  <c r="H36" i="4"/>
  <c r="G36" i="4"/>
  <c r="F36" i="4"/>
  <c r="E36" i="4"/>
  <c r="D36" i="4"/>
  <c r="C36" i="4"/>
  <c r="B36" i="4"/>
  <c r="A36" i="4"/>
  <c r="I35" i="4"/>
  <c r="H35" i="4"/>
  <c r="G35" i="4"/>
  <c r="F35" i="4"/>
  <c r="E35" i="4"/>
  <c r="D35" i="4"/>
  <c r="C35" i="4"/>
  <c r="B35" i="4"/>
  <c r="A35" i="4"/>
  <c r="I34" i="4"/>
  <c r="H34" i="4"/>
  <c r="G34" i="4"/>
  <c r="F34" i="4"/>
  <c r="E34" i="4"/>
  <c r="D34" i="4"/>
  <c r="C34" i="4"/>
  <c r="B34" i="4"/>
  <c r="A34" i="4"/>
  <c r="I33" i="4"/>
  <c r="H33" i="4"/>
  <c r="G33" i="4"/>
  <c r="F33" i="4"/>
  <c r="E33" i="4"/>
  <c r="D33" i="4"/>
  <c r="C33" i="4"/>
  <c r="B33" i="4"/>
  <c r="A33" i="4"/>
  <c r="I32" i="4"/>
  <c r="H32" i="4"/>
  <c r="G32" i="4"/>
  <c r="F32" i="4"/>
  <c r="E32" i="4"/>
  <c r="D32" i="4"/>
  <c r="C32" i="4"/>
  <c r="B32" i="4"/>
  <c r="A32" i="4"/>
  <c r="I31" i="4"/>
  <c r="H31" i="4"/>
  <c r="G31" i="4"/>
  <c r="F31" i="4"/>
  <c r="E31" i="4"/>
  <c r="D31" i="4"/>
  <c r="C31" i="4"/>
  <c r="B31" i="4"/>
  <c r="A31" i="4"/>
  <c r="I30" i="4"/>
  <c r="H30" i="4"/>
  <c r="G30" i="4"/>
  <c r="F30" i="4"/>
  <c r="E30" i="4"/>
  <c r="D30" i="4"/>
  <c r="C30" i="4"/>
  <c r="B30" i="4"/>
  <c r="A30" i="4"/>
  <c r="I29" i="4"/>
  <c r="H29" i="4"/>
  <c r="G29" i="4"/>
  <c r="F29" i="4"/>
  <c r="E29" i="4"/>
  <c r="D29" i="4"/>
  <c r="C29" i="4"/>
  <c r="B29" i="4"/>
  <c r="A29" i="4"/>
  <c r="I28" i="4"/>
  <c r="H28" i="4"/>
  <c r="G28" i="4"/>
  <c r="F28" i="4"/>
  <c r="E28" i="4"/>
  <c r="D28" i="4"/>
  <c r="C28" i="4"/>
  <c r="B28" i="4"/>
  <c r="A28" i="4"/>
  <c r="I22" i="4"/>
  <c r="H22" i="4"/>
  <c r="G22" i="4"/>
  <c r="F22" i="4"/>
  <c r="E22" i="4"/>
  <c r="D22" i="4"/>
  <c r="C22" i="4"/>
  <c r="B22" i="4"/>
  <c r="A22" i="4"/>
  <c r="I21" i="4"/>
  <c r="H21" i="4"/>
  <c r="G21" i="4"/>
  <c r="F21" i="4"/>
  <c r="E21" i="4"/>
  <c r="D21" i="4"/>
  <c r="C21" i="4"/>
  <c r="B21" i="4"/>
  <c r="A21" i="4"/>
  <c r="I20" i="4"/>
  <c r="H20" i="4"/>
  <c r="G20" i="4"/>
  <c r="F20" i="4"/>
  <c r="E20" i="4"/>
  <c r="D20" i="4"/>
  <c r="C20" i="4"/>
  <c r="B20" i="4"/>
  <c r="A20" i="4"/>
  <c r="I19" i="4"/>
  <c r="H19" i="4"/>
  <c r="G19" i="4"/>
  <c r="F19" i="4"/>
  <c r="E19" i="4"/>
  <c r="D19" i="4"/>
  <c r="C19" i="4"/>
  <c r="B19" i="4"/>
  <c r="A19" i="4"/>
  <c r="I18" i="4"/>
  <c r="H18" i="4"/>
  <c r="G18" i="4"/>
  <c r="F18" i="4"/>
  <c r="E18" i="4"/>
  <c r="D18" i="4"/>
  <c r="C18" i="4"/>
  <c r="B18" i="4"/>
  <c r="A18" i="4"/>
  <c r="I17" i="4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Q10" i="4"/>
  <c r="P10" i="4"/>
  <c r="O10" i="4"/>
  <c r="L10" i="4"/>
  <c r="K10" i="4"/>
  <c r="J10" i="4"/>
  <c r="I10" i="4"/>
  <c r="H10" i="4"/>
  <c r="G10" i="4"/>
  <c r="F10" i="4"/>
  <c r="E10" i="4"/>
  <c r="D10" i="4"/>
  <c r="C10" i="4"/>
  <c r="Q9" i="4"/>
  <c r="L9" i="4"/>
  <c r="K9" i="4"/>
  <c r="J9" i="4"/>
  <c r="I9" i="4"/>
  <c r="H9" i="4"/>
  <c r="G9" i="4"/>
  <c r="F9" i="4"/>
  <c r="E9" i="4"/>
  <c r="D9" i="4"/>
  <c r="C9" i="4"/>
  <c r="Q8" i="4"/>
  <c r="L8" i="4"/>
  <c r="K8" i="4"/>
  <c r="J8" i="4"/>
  <c r="I8" i="4"/>
  <c r="H8" i="4"/>
  <c r="G8" i="4"/>
  <c r="F8" i="4"/>
  <c r="E8" i="4"/>
  <c r="D8" i="4"/>
  <c r="C8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D4" i="4"/>
  <c r="C4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I36" i="1"/>
  <c r="H36" i="1"/>
  <c r="G36" i="1"/>
  <c r="F36" i="1"/>
  <c r="E36" i="1"/>
  <c r="D36" i="1"/>
  <c r="C36" i="1"/>
  <c r="B36" i="1"/>
  <c r="A36" i="1"/>
  <c r="I35" i="1"/>
  <c r="H35" i="1"/>
  <c r="G35" i="1"/>
  <c r="F35" i="1"/>
  <c r="E35" i="1"/>
  <c r="D35" i="1"/>
  <c r="C35" i="1"/>
  <c r="B35" i="1"/>
  <c r="A35" i="1"/>
  <c r="I34" i="1"/>
  <c r="H34" i="1"/>
  <c r="G34" i="1"/>
  <c r="F34" i="1"/>
  <c r="E34" i="1"/>
  <c r="D34" i="1"/>
  <c r="C34" i="1"/>
  <c r="B34" i="1"/>
  <c r="A34" i="1"/>
  <c r="I33" i="1"/>
  <c r="H33" i="1"/>
  <c r="G33" i="1"/>
  <c r="F33" i="1"/>
  <c r="E33" i="1"/>
  <c r="D33" i="1"/>
  <c r="C33" i="1"/>
  <c r="B33" i="1"/>
  <c r="A33" i="1"/>
  <c r="I32" i="1"/>
  <c r="H32" i="1"/>
  <c r="G32" i="1"/>
  <c r="F32" i="1"/>
  <c r="E32" i="1"/>
  <c r="D32" i="1"/>
  <c r="C32" i="1"/>
  <c r="B32" i="1"/>
  <c r="A32" i="1"/>
  <c r="I31" i="1"/>
  <c r="H31" i="1"/>
  <c r="G31" i="1"/>
  <c r="F31" i="1"/>
  <c r="E31" i="1"/>
  <c r="D31" i="1"/>
  <c r="C31" i="1"/>
  <c r="B31" i="1"/>
  <c r="A31" i="1"/>
  <c r="I30" i="1"/>
  <c r="H30" i="1"/>
  <c r="G30" i="1"/>
  <c r="F30" i="1"/>
  <c r="E30" i="1"/>
  <c r="D30" i="1"/>
  <c r="C30" i="1"/>
  <c r="B30" i="1"/>
  <c r="A30" i="1"/>
  <c r="I29" i="1"/>
  <c r="H29" i="1"/>
  <c r="G29" i="1"/>
  <c r="F29" i="1"/>
  <c r="E29" i="1"/>
  <c r="D29" i="1"/>
  <c r="C29" i="1"/>
  <c r="B29" i="1"/>
  <c r="A29" i="1"/>
  <c r="I28" i="1"/>
  <c r="H28" i="1"/>
  <c r="G28" i="1"/>
  <c r="F28" i="1"/>
  <c r="E28" i="1"/>
  <c r="D28" i="1"/>
  <c r="C28" i="1"/>
  <c r="B28" i="1"/>
  <c r="A28" i="1"/>
  <c r="I22" i="1"/>
  <c r="H22" i="1"/>
  <c r="G22" i="1"/>
  <c r="F22" i="1"/>
  <c r="E22" i="1"/>
  <c r="D22" i="1"/>
  <c r="C22" i="1"/>
  <c r="B22" i="1"/>
  <c r="A22" i="1"/>
  <c r="I21" i="1"/>
  <c r="H21" i="1"/>
  <c r="G21" i="1"/>
  <c r="F21" i="1"/>
  <c r="E21" i="1"/>
  <c r="D21" i="1"/>
  <c r="C21" i="1"/>
  <c r="B21" i="1"/>
  <c r="A21" i="1"/>
  <c r="I20" i="1"/>
  <c r="H20" i="1"/>
  <c r="G20" i="1"/>
  <c r="F20" i="1"/>
  <c r="E20" i="1"/>
  <c r="D20" i="1"/>
  <c r="C20" i="1"/>
  <c r="B20" i="1"/>
  <c r="A20" i="1"/>
  <c r="I19" i="1"/>
  <c r="H19" i="1"/>
  <c r="G19" i="1"/>
  <c r="F19" i="1"/>
  <c r="E19" i="1"/>
  <c r="D19" i="1"/>
  <c r="C19" i="1"/>
  <c r="B19" i="1"/>
  <c r="A19" i="1"/>
  <c r="I18" i="1"/>
  <c r="H18" i="1"/>
  <c r="G18" i="1"/>
  <c r="F18" i="1"/>
  <c r="E18" i="1"/>
  <c r="D18" i="1"/>
  <c r="C18" i="1"/>
  <c r="B18" i="1"/>
  <c r="A18" i="1"/>
  <c r="I17" i="1"/>
  <c r="H17" i="1"/>
  <c r="G17" i="1"/>
  <c r="F17" i="1"/>
  <c r="E17" i="1"/>
  <c r="D17" i="1"/>
  <c r="C17" i="1"/>
  <c r="B17" i="1"/>
  <c r="A17" i="1"/>
  <c r="I16" i="1"/>
  <c r="H16" i="1"/>
  <c r="G16" i="1"/>
  <c r="F16" i="1"/>
  <c r="E16" i="1"/>
  <c r="D16" i="1"/>
  <c r="C16" i="1"/>
  <c r="B16" i="1"/>
  <c r="A16" i="1"/>
  <c r="I15" i="1"/>
  <c r="H15" i="1"/>
  <c r="G15" i="1"/>
  <c r="F15" i="1"/>
  <c r="E15" i="1"/>
  <c r="D15" i="1"/>
  <c r="C15" i="1"/>
  <c r="B15" i="1"/>
  <c r="A15" i="1"/>
  <c r="I14" i="1"/>
  <c r="H14" i="1"/>
  <c r="G14" i="1"/>
  <c r="F14" i="1"/>
  <c r="E14" i="1"/>
  <c r="D14" i="1"/>
  <c r="C14" i="1"/>
  <c r="B14" i="1"/>
  <c r="A14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<sst xmlns="http://schemas.openxmlformats.org/spreadsheetml/2006/main" count="396" uniqueCount="93">
  <si>
    <t>Ball</t>
  </si>
  <si>
    <t>Distance</t>
  </si>
  <si>
    <t>Time</t>
  </si>
  <si>
    <t>Distance (m)</t>
  </si>
  <si>
    <t>Rugby ball</t>
  </si>
  <si>
    <t>Tennis Ball</t>
  </si>
  <si>
    <t>Squash ball</t>
  </si>
  <si>
    <t>Final Speed</t>
  </si>
  <si>
    <t>Avg Speed</t>
  </si>
  <si>
    <t>Expected Time</t>
  </si>
  <si>
    <t>Time 2</t>
  </si>
  <si>
    <t>Time 1</t>
  </si>
  <si>
    <t>Avg Time</t>
  </si>
  <si>
    <t>Frequency</t>
  </si>
  <si>
    <t>SONAR</t>
  </si>
  <si>
    <t>Ultrasound</t>
  </si>
  <si>
    <t>Measured time</t>
  </si>
  <si>
    <t>Basket Ball</t>
  </si>
  <si>
    <t>Soccer Ball</t>
  </si>
  <si>
    <t>Squash Ball</t>
  </si>
  <si>
    <t>Average Speed</t>
  </si>
  <si>
    <t>Soccer</t>
  </si>
  <si>
    <t>Tennis</t>
  </si>
  <si>
    <t>Squash</t>
  </si>
  <si>
    <t>Audio Average Speed (Custom)</t>
  </si>
  <si>
    <t>Audio Max Speed  (Custom)</t>
  </si>
  <si>
    <t>Audio Average Speed (power)</t>
  </si>
  <si>
    <t>Audio Max Speed  (power)</t>
  </si>
  <si>
    <t>Ultrasound Average Speed (custom)</t>
  </si>
  <si>
    <t>Ultrasound Max Speed  (custom)</t>
  </si>
  <si>
    <t>Ultrasound Average Speed (power)</t>
  </si>
  <si>
    <t>Ultrasound Max Speed  (power)</t>
  </si>
  <si>
    <t>Max speed - custom method</t>
  </si>
  <si>
    <t xml:space="preserve"> Average Speed - custom method</t>
  </si>
  <si>
    <t xml:space="preserve"> Max speed - power spectrum</t>
  </si>
  <si>
    <t xml:space="preserve"> Average speed - power spectrum</t>
  </si>
  <si>
    <t>Ultrasound Average Speed 2 (custom)</t>
  </si>
  <si>
    <t>Ultrasound Max Speed 2 (custom)</t>
  </si>
  <si>
    <t>Time Uncertainty</t>
  </si>
  <si>
    <t>Distance Error</t>
  </si>
  <si>
    <t>Velocity Uncertainty</t>
  </si>
  <si>
    <t>Avg Speed Uncertainty</t>
  </si>
  <si>
    <t>Max speed uncertainty</t>
  </si>
  <si>
    <t>Time Error</t>
  </si>
  <si>
    <t>Max Speed Error</t>
  </si>
  <si>
    <t>Avg Speed Error</t>
  </si>
  <si>
    <t>Custom vs Med Freq</t>
  </si>
  <si>
    <t>Rugby</t>
  </si>
  <si>
    <t>Video vs Ultra</t>
  </si>
  <si>
    <t>Video vs Audio</t>
  </si>
  <si>
    <t>Indoor Tests</t>
  </si>
  <si>
    <t>Varied Frequency Testing</t>
  </si>
  <si>
    <t>Football</t>
  </si>
  <si>
    <t>Video vs Ultra Med Freq</t>
  </si>
  <si>
    <t>Video vs Ultra Custom</t>
  </si>
  <si>
    <t>Vid Bot</t>
  </si>
  <si>
    <t>Vid Top</t>
  </si>
  <si>
    <t>Max</t>
  </si>
  <si>
    <t>Avg</t>
  </si>
  <si>
    <t>Ultra Bot</t>
  </si>
  <si>
    <t>Ultra Top</t>
  </si>
  <si>
    <t>Ultra bot</t>
  </si>
  <si>
    <t>Ultra top</t>
  </si>
  <si>
    <t>Outcomes</t>
  </si>
  <si>
    <t>Vid vs custom</t>
  </si>
  <si>
    <t>Vid vs med</t>
  </si>
  <si>
    <t>custom vs med</t>
  </si>
  <si>
    <t>Outcome</t>
  </si>
  <si>
    <t>Avg (custom)</t>
  </si>
  <si>
    <t>Avg (power)</t>
  </si>
  <si>
    <t>Avg(custom2)</t>
  </si>
  <si>
    <t>Vid vs Custom 2</t>
  </si>
  <si>
    <t>Yes</t>
  </si>
  <si>
    <t>No</t>
  </si>
  <si>
    <t>Outdoor Tests 1</t>
  </si>
  <si>
    <t>Video vs Custom 2</t>
  </si>
  <si>
    <t>Outdoor Tests 2</t>
  </si>
  <si>
    <t>Footballl</t>
  </si>
  <si>
    <t>Indoor - 2.5</t>
  </si>
  <si>
    <t>Range Tests</t>
  </si>
  <si>
    <t>SNR</t>
  </si>
  <si>
    <t>S-Band RADAR tests</t>
  </si>
  <si>
    <t>Success Rate</t>
  </si>
  <si>
    <t>SNR (dB)</t>
  </si>
  <si>
    <t>Audio range (m)</t>
  </si>
  <si>
    <t>Ultrasonic range (m)</t>
  </si>
  <si>
    <t>Basket ball</t>
  </si>
  <si>
    <t>Negative Error</t>
  </si>
  <si>
    <t>Positive error</t>
  </si>
  <si>
    <t>Video</t>
  </si>
  <si>
    <t>Custom 1</t>
  </si>
  <si>
    <t>Power</t>
  </si>
  <si>
    <t>Custom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</si>
</sst>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  <xf numFmtId="2" fontId="0" fillId="0" borderId="1" xfId="0" applyNumberFormat="1" applyBorder="1"/>
    <xf numFmtId="0" fontId="0" fillId="0" borderId="1" xfId="0" applyBorder="1" applyAlignment="1">
      <alignment vertical="center"/>
    </xf>
    <xf numFmtId="0" fontId="1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0" fillId="4" borderId="1" xfId="0" applyFont="1" applyFill="1" applyBorder="1"/>
    <xf numFmtId="0" fontId="0" fillId="0" borderId="2" xfId="0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 applyAlignment="1">
      <alignment horizontal="center" vertical="center"/>
    </xf>
    <xf numFmtId="2" fontId="0" fillId="6" borderId="0" xfId="0" applyNumberFormat="1" applyFill="1" applyBorder="1"/>
    <xf numFmtId="0" fontId="0" fillId="6" borderId="0" xfId="0" applyFill="1" applyBorder="1"/>
    <xf numFmtId="2" fontId="0" fillId="6" borderId="1" xfId="0" applyNumberFormat="1" applyFill="1" applyBorder="1"/>
    <xf numFmtId="0" fontId="0" fillId="6" borderId="1" xfId="0" applyFill="1" applyBorder="1"/>
    <xf numFmtId="9" fontId="0" fillId="0" borderId="1" xfId="1" applyFont="1" applyBorder="1"/>
    <xf numFmtId="2" fontId="0" fillId="0" borderId="7" xfId="0" applyNumberFormat="1" applyBorder="1"/>
    <xf numFmtId="9" fontId="0" fillId="0" borderId="2" xfId="1" applyFont="1" applyBorder="1"/>
    <xf numFmtId="0" fontId="0" fillId="0" borderId="1" xfId="0" applyBorder="1" applyAlignment="1">
      <alignment horizontal="right"/>
    </xf>
    <xf numFmtId="9" fontId="0" fillId="0" borderId="0" xfId="1" applyFon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'Ultrasound Outdoor tests 2'!$F$1</c:f>
              <c:strCache>
                <c:ptCount val="1"/>
                <c:pt idx="0">
                  <c:v>Average Speed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  <a:headEnd w="med" len="lg"/>
                <a:tailEnd w="med" len="lg"/>
              </a:ln>
              <a:effectLst/>
            </c:spPr>
          </c:errBars>
          <c:cat>
            <c:strRef>
              <c:f>('Ultrasound Outdoor tests 2'!$A$2,'Ultrasound Outdoor tests 2'!$A$4,'Ultrasound Outdoor tests 2'!$A$7,'Ultrasound Outdoor tests 2'!$A$9)</c:f>
              <c:strCache>
                <c:ptCount val="4"/>
                <c:pt idx="0">
                  <c:v>Basket Ball</c:v>
                </c:pt>
                <c:pt idx="1">
                  <c:v>Football</c:v>
                </c:pt>
                <c:pt idx="2">
                  <c:v>Tennis</c:v>
                </c:pt>
                <c:pt idx="3">
                  <c:v>Squash</c:v>
                </c:pt>
              </c:strCache>
            </c:strRef>
          </c:cat>
          <c:val>
            <c:numRef>
              <c:f>('Ultrasound Outdoor tests 2'!$F$2,'Ultrasound Outdoor tests 2'!$F$4,'Ultrasound Outdoor tests 2'!$F$7,'Ultrasound Outdoor tests 2'!$F$9)</c:f>
              <c:numCache>
                <c:formatCode>0.00</c:formatCode>
                <c:ptCount val="4"/>
                <c:pt idx="0">
                  <c:v>7.5</c:v>
                </c:pt>
                <c:pt idx="1">
                  <c:v>7.1942446043165473</c:v>
                </c:pt>
                <c:pt idx="2">
                  <c:v>6.9204152249134951</c:v>
                </c:pt>
                <c:pt idx="3">
                  <c:v>6.9204152249134943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4CFB-929C-E624F730C47F}"/>
            </c:ext>
          </c:extLst>
        </c:ser>
        <c:ser>
          <c:idx val="1"/>
          <c:order val="1"/>
          <c:tx>
            <c:strRef>
              <c:f>'Ultrasound Outdoor tests 2'!$H$1</c:f>
              <c:strCache>
                <c:ptCount val="1"/>
                <c:pt idx="0">
                  <c:v>Ultrasound Average Speed (custom)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val>
            <c:numRef>
              <c:f>('Ultrasound Outdoor tests 2'!$H$2,'Ultrasound Outdoor tests 2'!$H$4,'Ultrasound Outdoor tests 2'!$H$7,'Ultrasound Outdoor tests 2'!$H$9)</c:f>
              <c:numCache>
                <c:formatCode>0.00</c:formatCode>
                <c:ptCount val="4"/>
                <c:pt idx="0">
                  <c:v>6.5683160000000003</c:v>
                </c:pt>
                <c:pt idx="1">
                  <c:v>16.336480000000002</c:v>
                </c:pt>
                <c:pt idx="2">
                  <c:v>1.2326900000000001</c:v>
                </c:pt>
                <c:pt idx="3">
                  <c:v>2.5546129999999998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C-4CFB-929C-E624F730C47F}"/>
            </c:ext>
          </c:extLst>
        </c:ser>
        <c:ser>
          <c:idx val="2"/>
          <c:order val="2"/>
          <c:tx>
            <c:strRef>
              <c:f>'Ultrasound Outdoor tests 2'!$J$1</c:f>
              <c:strCache>
                <c:ptCount val="1"/>
                <c:pt idx="0">
                  <c:v>Ultrasound Average Speed (power)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('Ultrasound Outdoor tests 2'!$J$2,'Ultrasound Outdoor tests 2'!$J$4,'Ultrasound Outdoor tests 2'!$J$7,'Ultrasound Outdoor tests 2'!$J$9)</c:f>
              <c:numCache>
                <c:formatCode>0.00</c:formatCode>
                <c:ptCount val="4"/>
                <c:pt idx="0">
                  <c:v>6.4613259999999997</c:v>
                </c:pt>
                <c:pt idx="1">
                  <c:v>5.3392619999999997</c:v>
                </c:pt>
                <c:pt idx="2">
                  <c:v>0</c:v>
                </c:pt>
                <c:pt idx="3">
                  <c:v>2.349202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EC-4CFB-929C-E624F730C47F}"/>
            </c:ext>
          </c:extLst>
        </c:ser>
        <c:ser>
          <c:idx val="3"/>
          <c:order val="3"/>
          <c:tx>
            <c:strRef>
              <c:f>'Ultrasound Outdoor tests 2'!$L$1</c:f>
              <c:strCache>
                <c:ptCount val="1"/>
                <c:pt idx="0">
                  <c:v>Ultrasound Average Speed 2 (custom)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('Ultrasound Outdoor tests 2'!$L$2,'Ultrasound Outdoor tests 2'!$L$4,'Ultrasound Outdoor tests 2'!$L$7,'Ultrasound Outdoor tests 2'!$L$9)</c:f>
              <c:numCache>
                <c:formatCode>0.00</c:formatCode>
                <c:ptCount val="4"/>
                <c:pt idx="0">
                  <c:v>6.6456249999999999</c:v>
                </c:pt>
                <c:pt idx="1">
                  <c:v>8.2400389999999994</c:v>
                </c:pt>
                <c:pt idx="2">
                  <c:v>0</c:v>
                </c:pt>
                <c:pt idx="3">
                  <c:v>2.6729880000000001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EC-4CFB-929C-E624F730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72656"/>
        <c:axId val="710173072"/>
      </c:lineChart>
      <c:catAx>
        <c:axId val="71017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Type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of ball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73072"/>
        <c:crosses val="autoZero"/>
        <c:auto val="1"/>
        <c:lblAlgn val="ctr"/>
        <c:lblOffset val="100"/>
        <c:tickLblSkip val="1"/>
        <c:noMultiLvlLbl val="0"/>
      </c:catAx>
      <c:valAx>
        <c:axId val="71017307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Velocity (m/s)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'Ultrasound Outdoor tests 2'!$F$1</c:f>
              <c:strCache>
                <c:ptCount val="1"/>
                <c:pt idx="0">
                  <c:v>Average Speed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  <a:headEnd w="med" len="lg"/>
                <a:tailEnd w="med" len="lg"/>
              </a:ln>
              <a:effectLst/>
            </c:spPr>
          </c:errBars>
          <c:cat>
            <c:strRef>
              <c:f>('Ultrasound Outdoor tests 2'!$A$2,'Ultrasound Outdoor tests 2'!$A$4,'Ultrasound Outdoor tests 2'!$A$7,'Ultrasound Outdoor tests 2'!$A$9)</c:f>
              <c:strCache>
                <c:ptCount val="4"/>
                <c:pt idx="0">
                  <c:v>Basket Ball</c:v>
                </c:pt>
                <c:pt idx="1">
                  <c:v>Football</c:v>
                </c:pt>
                <c:pt idx="2">
                  <c:v>Tennis</c:v>
                </c:pt>
                <c:pt idx="3">
                  <c:v>Squash</c:v>
                </c:pt>
              </c:strCache>
            </c:strRef>
          </c:cat>
          <c:val>
            <c:numRef>
              <c:f>('Ultrasound Outdoor tests 2'!$F$3,'Ultrasound Outdoor tests 2'!$F$6,'Ultrasound Outdoor tests 2'!$F$8,'Ultrasound Outdoor tests 2'!$F$10)</c:f>
              <c:numCache>
                <c:formatCode>0.00</c:formatCode>
                <c:ptCount val="4"/>
                <c:pt idx="0">
                  <c:v>8.097165991902834</c:v>
                </c:pt>
                <c:pt idx="1">
                  <c:v>7.8802206461780919</c:v>
                </c:pt>
                <c:pt idx="2">
                  <c:v>9.0909090909090899</c:v>
                </c:pt>
                <c:pt idx="3">
                  <c:v>8.5543199315654395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B-4A13-AF39-CF56BAD28D5B}"/>
            </c:ext>
          </c:extLst>
        </c:ser>
        <c:ser>
          <c:idx val="1"/>
          <c:order val="1"/>
          <c:tx>
            <c:strRef>
              <c:f>'Ultrasound Outdoor tests 2'!$H$1</c:f>
              <c:strCache>
                <c:ptCount val="1"/>
                <c:pt idx="0">
                  <c:v>Ultrasound Average Speed (custom)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val>
            <c:numRef>
              <c:f>('Ultrasound Outdoor tests 2'!$H$3,'Ultrasound Outdoor tests 2'!$H$6,'Ultrasound Outdoor tests 2'!$H$8,'Ultrasound Outdoor tests 2'!$H$10)</c:f>
              <c:numCache>
                <c:formatCode>0.00</c:formatCode>
                <c:ptCount val="4"/>
                <c:pt idx="0">
                  <c:v>7.3315250000000001</c:v>
                </c:pt>
                <c:pt idx="1">
                  <c:v>16.372820999999998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B-4A13-AF39-CF56BAD28D5B}"/>
            </c:ext>
          </c:extLst>
        </c:ser>
        <c:ser>
          <c:idx val="2"/>
          <c:order val="2"/>
          <c:tx>
            <c:strRef>
              <c:f>'Ultrasound Outdoor tests 2'!$J$1</c:f>
              <c:strCache>
                <c:ptCount val="1"/>
                <c:pt idx="0">
                  <c:v>Ultrasound Average Speed (power)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('Ultrasound Outdoor tests 2'!$J$3,'Ultrasound Outdoor tests 2'!$J$6,'Ultrasound Outdoor tests 2'!$J$8,'Ultrasound Outdoor tests 2'!$J$10)</c:f>
              <c:numCache>
                <c:formatCode>0.00</c:formatCode>
                <c:ptCount val="4"/>
                <c:pt idx="0">
                  <c:v>6.7834909999999997</c:v>
                </c:pt>
                <c:pt idx="1">
                  <c:v>7.2728729999999997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B-4A13-AF39-CF56BAD28D5B}"/>
            </c:ext>
          </c:extLst>
        </c:ser>
        <c:ser>
          <c:idx val="3"/>
          <c:order val="3"/>
          <c:tx>
            <c:strRef>
              <c:f>'Ultrasound Outdoor tests 2'!$L$1</c:f>
              <c:strCache>
                <c:ptCount val="1"/>
                <c:pt idx="0">
                  <c:v>Ultrasound Average Speed 2 (custom)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('Ultrasound Outdoor tests 2'!$L$3,'Ultrasound Outdoor tests 2'!$L$6,'Ultrasound Outdoor tests 2'!$L$8,'Ultrasound Outdoor tests 2'!$L$10)</c:f>
              <c:numCache>
                <c:formatCode>0.00</c:formatCode>
                <c:ptCount val="4"/>
                <c:pt idx="0">
                  <c:v>7.3322950000000002</c:v>
                </c:pt>
                <c:pt idx="1">
                  <c:v>9.3152640000000009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B-4A13-AF39-CF56BAD2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72656"/>
        <c:axId val="710173072"/>
      </c:lineChart>
      <c:catAx>
        <c:axId val="71017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Type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of ball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73072"/>
        <c:crosses val="autoZero"/>
        <c:auto val="1"/>
        <c:lblAlgn val="ctr"/>
        <c:lblOffset val="100"/>
        <c:tickLblSkip val="1"/>
        <c:noMultiLvlLbl val="0"/>
      </c:catAx>
      <c:valAx>
        <c:axId val="71017307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Velocity (m/s)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42</xdr:row>
      <xdr:rowOff>19050</xdr:rowOff>
    </xdr:from>
    <xdr:to>
      <xdr:col>5</xdr:col>
      <xdr:colOff>518160</xdr:colOff>
      <xdr:row>72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83C10-9E50-4781-87C8-7D878B521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42</xdr:row>
      <xdr:rowOff>60960</xdr:rowOff>
    </xdr:from>
    <xdr:to>
      <xdr:col>7</xdr:col>
      <xdr:colOff>1889760</xdr:colOff>
      <xdr:row>72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942871-2A61-4E82-83F0-0EE3FF726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University/Fourth%20Year%20-%202021/Semester%202/EEE4022S%20-%20Research%20Project/SONAR%20experimentation/Ball%20tests/Indoor%20Ultra/indoor_ultra_tes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University/Fourth%20Year%20-%202021/Semester%202/EEE4022S%20-%20Research%20Project/SONAR%20experimentation/Ball%20tests/Indoor%20Audio/indoor_audio_tes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oor_ultra_tests"/>
    </sheetNames>
    <sheetDataSet>
      <sheetData sheetId="0">
        <row r="2">
          <cell r="B2">
            <v>2.2609859999999999</v>
          </cell>
          <cell r="C2">
            <v>2.2549570000000001</v>
          </cell>
          <cell r="D2">
            <v>2.2443110000000002</v>
          </cell>
          <cell r="E2">
            <v>2.2275339999999999</v>
          </cell>
        </row>
        <row r="3">
          <cell r="B3">
            <v>2.4293040000000001</v>
          </cell>
          <cell r="C3">
            <v>2.4209299999999998</v>
          </cell>
          <cell r="D3">
            <v>2.4177040000000001</v>
          </cell>
          <cell r="E3">
            <v>2.3986420000000002</v>
          </cell>
        </row>
        <row r="4">
          <cell r="B4">
            <v>4.199573</v>
          </cell>
          <cell r="C4">
            <v>4.1886869999999998</v>
          </cell>
          <cell r="D4">
            <v>4.159592</v>
          </cell>
          <cell r="E4">
            <v>4.1528609999999997</v>
          </cell>
        </row>
        <row r="5">
          <cell r="B5">
            <v>4.2523289999999996</v>
          </cell>
          <cell r="C5">
            <v>4.2498170000000002</v>
          </cell>
          <cell r="D5">
            <v>4.2360300000000004</v>
          </cell>
          <cell r="E5">
            <v>4.2119309999999999</v>
          </cell>
        </row>
        <row r="6">
          <cell r="B6">
            <v>4.930625</v>
          </cell>
          <cell r="C6">
            <v>4.9294529999999996</v>
          </cell>
          <cell r="D6">
            <v>4.929888</v>
          </cell>
          <cell r="E6">
            <v>4.9181419999999996</v>
          </cell>
        </row>
        <row r="7">
          <cell r="B7">
            <v>4.8251119999999998</v>
          </cell>
          <cell r="C7">
            <v>4.8227679999999999</v>
          </cell>
          <cell r="D7">
            <v>4.8271059999999997</v>
          </cell>
          <cell r="E7">
            <v>4.8183699999999998</v>
          </cell>
        </row>
        <row r="8">
          <cell r="B8">
            <v>2.2057180000000001</v>
          </cell>
          <cell r="C8">
            <v>2.1697090000000001</v>
          </cell>
          <cell r="D8">
            <v>2.1322999999999999</v>
          </cell>
          <cell r="E8">
            <v>2.1171199999999999</v>
          </cell>
        </row>
        <row r="9">
          <cell r="B9">
            <v>2.0993680000000001</v>
          </cell>
          <cell r="C9">
            <v>2.041922</v>
          </cell>
          <cell r="D9">
            <v>2.0929329999999999</v>
          </cell>
          <cell r="E9">
            <v>2.0363799999999999</v>
          </cell>
        </row>
        <row r="10">
          <cell r="B10">
            <v>4.1535159999999998</v>
          </cell>
          <cell r="C10">
            <v>4.1412899999999997</v>
          </cell>
          <cell r="D10">
            <v>4.184088</v>
          </cell>
          <cell r="E10">
            <v>4.1622789999999998</v>
          </cell>
        </row>
        <row r="11">
          <cell r="B11">
            <v>4.2380930000000001</v>
          </cell>
          <cell r="C11">
            <v>4.2340739999999997</v>
          </cell>
          <cell r="D11">
            <v>4.2220279999999999</v>
          </cell>
          <cell r="E11">
            <v>4.2063740000000003</v>
          </cell>
        </row>
        <row r="12">
          <cell r="B12">
            <v>4.9364869999999996</v>
          </cell>
          <cell r="C12">
            <v>4.9341419999999996</v>
          </cell>
          <cell r="D12">
            <v>4.9168180000000001</v>
          </cell>
          <cell r="E12">
            <v>4.8942360000000003</v>
          </cell>
        </row>
        <row r="13">
          <cell r="B13">
            <v>5.1567239999999996</v>
          </cell>
          <cell r="C13">
            <v>5.1530389999999997</v>
          </cell>
          <cell r="D13">
            <v>5.1713110000000002</v>
          </cell>
          <cell r="E13">
            <v>5.1615859999999998</v>
          </cell>
        </row>
        <row r="14">
          <cell r="B14">
            <v>2.2710349999999999</v>
          </cell>
          <cell r="C14">
            <v>2.270365</v>
          </cell>
          <cell r="D14">
            <v>2.2015530000000001</v>
          </cell>
          <cell r="E14">
            <v>1.844943</v>
          </cell>
        </row>
        <row r="15">
          <cell r="B15">
            <v>2.2140919999999999</v>
          </cell>
          <cell r="C15">
            <v>2.1321940000000001</v>
          </cell>
          <cell r="D15">
            <v>1.9321349999999999</v>
          </cell>
          <cell r="E15">
            <v>1.901184</v>
          </cell>
        </row>
        <row r="16">
          <cell r="B16">
            <v>4.3059229999999999</v>
          </cell>
          <cell r="C16">
            <v>4.3030759999999999</v>
          </cell>
          <cell r="D16">
            <v>4.2562030000000002</v>
          </cell>
          <cell r="E16">
            <v>4.2320580000000003</v>
          </cell>
        </row>
        <row r="17">
          <cell r="B17">
            <v>3.8202289999999999</v>
          </cell>
          <cell r="C17">
            <v>3.791925</v>
          </cell>
          <cell r="D17">
            <v>3.8216809999999999</v>
          </cell>
          <cell r="E17">
            <v>3.4060459999999999</v>
          </cell>
        </row>
        <row r="18">
          <cell r="B18">
            <v>5.2714480000000004</v>
          </cell>
          <cell r="C18">
            <v>5.259557</v>
          </cell>
          <cell r="D18">
            <v>5.2094930000000002</v>
          </cell>
          <cell r="E18">
            <v>5.1645820000000002</v>
          </cell>
        </row>
        <row r="19">
          <cell r="B19">
            <v>5.1098290000000004</v>
          </cell>
          <cell r="C19">
            <v>5.0853770000000003</v>
          </cell>
          <cell r="D19">
            <v>4.7478680000000004</v>
          </cell>
          <cell r="E19">
            <v>4.0988759999999997</v>
          </cell>
        </row>
        <row r="20">
          <cell r="B20">
            <v>5.3144200000000001</v>
          </cell>
          <cell r="C20">
            <v>5.3015499999999998</v>
          </cell>
          <cell r="D20">
            <v>5.3170849999999996</v>
          </cell>
          <cell r="E20">
            <v>5.2479279999999999</v>
          </cell>
        </row>
        <row r="21">
          <cell r="B21">
            <v>5.1661279999999996</v>
          </cell>
          <cell r="C21">
            <v>5.1644110000000003</v>
          </cell>
          <cell r="D21">
            <v>4.8561319999999997</v>
          </cell>
          <cell r="E21">
            <v>4.7877530000000004</v>
          </cell>
        </row>
        <row r="22">
          <cell r="B22">
            <v>5.1795980000000004</v>
          </cell>
          <cell r="C22">
            <v>5.1606030000000001</v>
          </cell>
          <cell r="D22">
            <v>4.1499410000000001</v>
          </cell>
          <cell r="E22">
            <v>3.3236650000000001</v>
          </cell>
        </row>
        <row r="23">
          <cell r="B23">
            <v>4.9440229999999996</v>
          </cell>
          <cell r="C23">
            <v>4.9403389999999998</v>
          </cell>
          <cell r="D23">
            <v>4.825177</v>
          </cell>
          <cell r="E23">
            <v>3.813212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oor_audio_tests"/>
    </sheetNames>
    <sheetDataSet>
      <sheetData sheetId="0">
        <row r="2">
          <cell r="B2">
            <v>2.7271399999999999</v>
          </cell>
          <cell r="C2">
            <v>2.6651729999999998</v>
          </cell>
          <cell r="D2">
            <v>2.5854080000000002</v>
          </cell>
          <cell r="E2">
            <v>2.5448339999999998</v>
          </cell>
        </row>
        <row r="3">
          <cell r="B3">
            <v>2.713184</v>
          </cell>
          <cell r="C3">
            <v>2.634468</v>
          </cell>
          <cell r="D3">
            <v>2.4476170000000002</v>
          </cell>
          <cell r="E3">
            <v>2.3931550000000001</v>
          </cell>
        </row>
        <row r="4">
          <cell r="B4">
            <v>4.5191809999999997</v>
          </cell>
          <cell r="C4">
            <v>3.9709620000000001</v>
          </cell>
          <cell r="D4">
            <v>4.1211700000000002</v>
          </cell>
          <cell r="E4">
            <v>3.9027129999999999</v>
          </cell>
        </row>
        <row r="5">
          <cell r="B5">
            <v>4.4131099999999996</v>
          </cell>
          <cell r="C5">
            <v>4.388547</v>
          </cell>
          <cell r="D5">
            <v>4.3804220000000003</v>
          </cell>
          <cell r="E5">
            <v>4.3142670000000001</v>
          </cell>
        </row>
        <row r="6">
          <cell r="B6">
            <v>5.1025720000000003</v>
          </cell>
          <cell r="C6">
            <v>5.0953140000000001</v>
          </cell>
          <cell r="D6">
            <v>5.1259309999999996</v>
          </cell>
          <cell r="E6">
            <v>5.0652119999999998</v>
          </cell>
        </row>
        <row r="7">
          <cell r="B7">
            <v>5.0132490000000001</v>
          </cell>
          <cell r="C7">
            <v>4.981986</v>
          </cell>
          <cell r="D7">
            <v>4.7049120000000002</v>
          </cell>
          <cell r="E7">
            <v>4.5705619999999998</v>
          </cell>
        </row>
        <row r="12">
          <cell r="D12">
            <v>4.6760409999999997</v>
          </cell>
          <cell r="E12">
            <v>4.6384610000000004</v>
          </cell>
        </row>
        <row r="13">
          <cell r="D13">
            <v>5.2261759999999997</v>
          </cell>
          <cell r="E13">
            <v>5.1540840000000001</v>
          </cell>
        </row>
        <row r="14">
          <cell r="B14">
            <v>5.2488380000000001</v>
          </cell>
          <cell r="C14">
            <v>4.8576040000000003</v>
          </cell>
          <cell r="D14">
            <v>4.7197959999999997</v>
          </cell>
          <cell r="E14">
            <v>4.4024039999999998</v>
          </cell>
        </row>
        <row r="15">
          <cell r="B15">
            <v>39.39978</v>
          </cell>
          <cell r="C15">
            <v>29.186820999999998</v>
          </cell>
          <cell r="D15">
            <v>5.7584999999999997</v>
          </cell>
          <cell r="E15">
            <v>5.1588180000000001</v>
          </cell>
        </row>
        <row r="16">
          <cell r="B16">
            <v>5.6464840000000001</v>
          </cell>
          <cell r="C16">
            <v>5.6105960000000001</v>
          </cell>
          <cell r="D16">
            <v>5.6190329999999999</v>
          </cell>
          <cell r="E16">
            <v>5.5622889999999998</v>
          </cell>
        </row>
        <row r="17">
          <cell r="B17">
            <v>5.4682370000000002</v>
          </cell>
          <cell r="C17">
            <v>5.4540009999999999</v>
          </cell>
          <cell r="D17">
            <v>5.1257729999999997</v>
          </cell>
          <cell r="E17">
            <v>5.1004849999999999</v>
          </cell>
        </row>
        <row r="18">
          <cell r="B18">
            <v>2.453589</v>
          </cell>
          <cell r="C18">
            <v>2.39832</v>
          </cell>
          <cell r="D18">
            <v>2.2621829999999998</v>
          </cell>
          <cell r="E18">
            <v>2.1893980000000002</v>
          </cell>
        </row>
        <row r="19">
          <cell r="B19">
            <v>2.626652</v>
          </cell>
          <cell r="C19">
            <v>2.599297</v>
          </cell>
        </row>
        <row r="20">
          <cell r="B20">
            <v>4.6810790000000004</v>
          </cell>
          <cell r="C20">
            <v>3.4316749999999998</v>
          </cell>
          <cell r="D20">
            <v>4.1103509999999996</v>
          </cell>
          <cell r="E20">
            <v>3.469665</v>
          </cell>
        </row>
        <row r="23">
          <cell r="B23">
            <v>5.4235759999999997</v>
          </cell>
          <cell r="C23">
            <v>5.4157599999999997</v>
          </cell>
          <cell r="D23">
            <v>5.428331</v>
          </cell>
          <cell r="E23">
            <v>5.3374100000000002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opLeftCell="A22" workbookViewId="0">
      <selection activeCell="K32" sqref="K32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2.6640625" bestFit="1" customWidth="1"/>
    <col min="4" max="4" width="13.44140625" bestFit="1" customWidth="1"/>
    <col min="5" max="5" width="8.44140625" bestFit="1" customWidth="1"/>
    <col min="6" max="6" width="8.6640625" bestFit="1" customWidth="1"/>
    <col min="7" max="7" width="12.109375" bestFit="1" customWidth="1"/>
    <col min="8" max="8" width="15.5546875" bestFit="1" customWidth="1"/>
    <col min="9" max="9" width="13.21875" bestFit="1" customWidth="1"/>
    <col min="10" max="10" width="9.88671875" bestFit="1" customWidth="1"/>
    <col min="11" max="12" width="20.44140625" bestFit="1" customWidth="1"/>
    <col min="13" max="13" width="26" bestFit="1" customWidth="1"/>
    <col min="14" max="14" width="30" bestFit="1" customWidth="1"/>
    <col min="15" max="15" width="26.88671875" bestFit="1" customWidth="1"/>
    <col min="16" max="16" width="30.44140625" bestFit="1" customWidth="1"/>
    <col min="17" max="17" width="18.33203125" bestFit="1" customWidth="1"/>
  </cols>
  <sheetData>
    <row r="1" spans="1:17" x14ac:dyDescent="0.3">
      <c r="A1" s="6" t="s">
        <v>0</v>
      </c>
      <c r="B1" s="6" t="s">
        <v>3</v>
      </c>
      <c r="C1" s="6" t="s">
        <v>39</v>
      </c>
      <c r="D1" s="6" t="s">
        <v>9</v>
      </c>
      <c r="E1" s="6" t="s">
        <v>11</v>
      </c>
      <c r="F1" s="6" t="s">
        <v>10</v>
      </c>
      <c r="G1" s="6" t="s">
        <v>12</v>
      </c>
      <c r="H1" s="6" t="s">
        <v>38</v>
      </c>
      <c r="I1" s="6" t="s">
        <v>7</v>
      </c>
      <c r="J1" s="6" t="s">
        <v>8</v>
      </c>
      <c r="K1" s="6" t="s">
        <v>42</v>
      </c>
      <c r="L1" s="6" t="s">
        <v>41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40</v>
      </c>
    </row>
    <row r="2" spans="1:17" x14ac:dyDescent="0.3">
      <c r="A2" s="32" t="s">
        <v>4</v>
      </c>
      <c r="B2" s="1">
        <v>1</v>
      </c>
      <c r="C2" s="1">
        <f>SQRT((0.2/(2*SQRT(6)))^2+((0.07*B2)^2))</f>
        <v>8.1034971874288125E-2</v>
      </c>
      <c r="D2" s="4">
        <f t="shared" ref="D2:D10" si="0">SQRT(2*B2/9.81)</f>
        <v>0.45152364098573089</v>
      </c>
      <c r="E2" s="4">
        <f>1.752-1.302</f>
        <v>0.44999999999999996</v>
      </c>
      <c r="F2" s="4">
        <f>2.137-1.704</f>
        <v>0.43300000000000005</v>
      </c>
      <c r="G2" s="4">
        <f t="shared" ref="G2:G10" si="1">(E2+F2)/2</f>
        <v>0.4415</v>
      </c>
      <c r="H2" s="8">
        <f>SQRT((0.01/(2*SQRT(3)))^2 +2* (0.1*G2)^2)</f>
        <v>6.2504226523758644E-2</v>
      </c>
      <c r="I2" s="4">
        <f>(B2+0.5*9.81*(G2^2))/G2</f>
        <v>4.4305631625141562</v>
      </c>
      <c r="J2" s="4">
        <f t="shared" ref="J2:J10" si="2">B2/G2</f>
        <v>2.2650056625141564</v>
      </c>
      <c r="K2" s="4">
        <f>I2*SQRT((H2/G2)^2+(C2/B2)^2)</f>
        <v>0.72273090528723249</v>
      </c>
      <c r="L2" s="4">
        <f>J2*SQRT((H2/G2)^2+(C2/B2)^2)</f>
        <v>0.36947664053177431</v>
      </c>
      <c r="M2" s="4">
        <f>AVERAGE([1]indoor_ultra_tests!B2:B3)</f>
        <v>2.345145</v>
      </c>
      <c r="N2" s="4">
        <f>AVERAGE([1]indoor_ultra_tests!$C$2:$C$3)</f>
        <v>2.3379434999999997</v>
      </c>
      <c r="O2" s="4">
        <f>AVERAGE([1]indoor_ultra_tests!$D$2:$D$3)</f>
        <v>2.3310075000000001</v>
      </c>
      <c r="P2" s="4">
        <f>AVERAGE([1]indoor_ultra_tests!$E$2:$E$3)</f>
        <v>2.313088</v>
      </c>
      <c r="Q2" s="7">
        <f>(M2+1.5-(M2-1.5))/(2*SQRT(3))</f>
        <v>0.86602540378443871</v>
      </c>
    </row>
    <row r="3" spans="1:17" x14ac:dyDescent="0.3">
      <c r="A3" s="33"/>
      <c r="B3" s="1">
        <v>2</v>
      </c>
      <c r="C3" s="1">
        <f t="shared" ref="C3:C10" si="3">SQRT((0.2/(2*SQRT(6)))^2+((0.07*B3)^2))</f>
        <v>0.14583095236151572</v>
      </c>
      <c r="D3" s="4">
        <f t="shared" si="0"/>
        <v>0.63855085681410095</v>
      </c>
      <c r="E3" s="4">
        <f>3.33-2.68</f>
        <v>0.64999999999999991</v>
      </c>
      <c r="F3" s="4">
        <f>2.032-1.416</f>
        <v>0.6160000000000001</v>
      </c>
      <c r="G3" s="4">
        <f t="shared" si="1"/>
        <v>0.63300000000000001</v>
      </c>
      <c r="H3" s="8">
        <f>SQRT((0.01/(2*SQRT(3)))^2 +2* (0.1*G3)^2)</f>
        <v>8.9566251084509149E-2</v>
      </c>
      <c r="I3" s="4">
        <f>(B3+0.5*9.81*(G3^2))/G3</f>
        <v>6.2644226619273304</v>
      </c>
      <c r="J3" s="4">
        <f t="shared" si="2"/>
        <v>3.1595576619273302</v>
      </c>
      <c r="K3" s="4">
        <f t="shared" ref="K3:K10" si="4">I3*SQRT((H3/G3)^2+(C3/B3)^2)</f>
        <v>0.99715489564641813</v>
      </c>
      <c r="L3" s="4">
        <f t="shared" ref="L3:L10" si="5">J3*SQRT((H3/G3)^2+(C3/B3)^2)</f>
        <v>0.50293036736104824</v>
      </c>
      <c r="M3" s="4">
        <f>AVERAGE([1]indoor_ultra_tests!B4:B5)</f>
        <v>4.2259510000000002</v>
      </c>
      <c r="N3" s="4">
        <f>AVERAGE([1]indoor_ultra_tests!C4:C5)</f>
        <v>4.219252</v>
      </c>
      <c r="O3" s="4">
        <f>AVERAGE([1]indoor_ultra_tests!D4:D5)</f>
        <v>4.1978109999999997</v>
      </c>
      <c r="P3" s="4">
        <f>AVERAGE([1]indoor_ultra_tests!E4:E5)</f>
        <v>4.1823959999999998</v>
      </c>
      <c r="Q3" s="7">
        <f t="shared" ref="Q3:Q10" si="6">(M3+1.5-(M3-1.5))/(2*SQRT(3))</f>
        <v>0.86602540378443871</v>
      </c>
    </row>
    <row r="4" spans="1:17" x14ac:dyDescent="0.3">
      <c r="A4" s="34"/>
      <c r="B4" s="1">
        <v>2.5</v>
      </c>
      <c r="C4" s="1">
        <f t="shared" si="3"/>
        <v>0.17969882210706523</v>
      </c>
      <c r="D4" s="4">
        <f t="shared" si="0"/>
        <v>0.71392156146353225</v>
      </c>
      <c r="E4" s="4">
        <f>2.503-1.803</f>
        <v>0.70000000000000018</v>
      </c>
      <c r="F4" s="4">
        <f>2.407-1.707</f>
        <v>0.7</v>
      </c>
      <c r="G4" s="4">
        <f t="shared" si="1"/>
        <v>0.70000000000000007</v>
      </c>
      <c r="H4" s="8">
        <f t="shared" ref="H4:H10" si="7">SQRT((0.01/(2*SQRT(3)))^2 +2* (0.1*G4)^2)</f>
        <v>9.9037030111637211E-2</v>
      </c>
      <c r="I4" s="4">
        <f t="shared" ref="I4:I10" si="8">(B4+0.5*9.81*(G4^2))/G4</f>
        <v>7.0049285714285725</v>
      </c>
      <c r="J4" s="4">
        <f t="shared" si="2"/>
        <v>3.5714285714285712</v>
      </c>
      <c r="K4" s="4">
        <f t="shared" si="4"/>
        <v>1.111637659132406</v>
      </c>
      <c r="L4" s="4">
        <f t="shared" si="5"/>
        <v>0.56676302355097208</v>
      </c>
      <c r="M4" s="4">
        <f>AVERAGE([1]indoor_ultra_tests!B6:B7)</f>
        <v>4.8778684999999999</v>
      </c>
      <c r="N4" s="4">
        <f>AVERAGE([1]indoor_ultra_tests!C6:C7)</f>
        <v>4.8761104999999993</v>
      </c>
      <c r="O4" s="4">
        <f>AVERAGE([1]indoor_ultra_tests!D6:D7)</f>
        <v>4.8784969999999994</v>
      </c>
      <c r="P4" s="4">
        <f>AVERAGE([1]indoor_ultra_tests!E6:E7)</f>
        <v>4.8682559999999997</v>
      </c>
      <c r="Q4" s="7">
        <f t="shared" si="6"/>
        <v>0.86602540378443871</v>
      </c>
    </row>
    <row r="5" spans="1:17" x14ac:dyDescent="0.3">
      <c r="A5" s="32" t="s">
        <v>5</v>
      </c>
      <c r="B5" s="1">
        <v>1</v>
      </c>
      <c r="C5" s="1">
        <f t="shared" si="3"/>
        <v>8.1034971874288125E-2</v>
      </c>
      <c r="D5" s="4">
        <f t="shared" si="0"/>
        <v>0.45152364098573089</v>
      </c>
      <c r="E5" s="4">
        <f>1.789-1.373</f>
        <v>0.41599999999999993</v>
      </c>
      <c r="F5" s="4">
        <f>1.67-1.271</f>
        <v>0.39900000000000002</v>
      </c>
      <c r="G5" s="4">
        <f t="shared" si="1"/>
        <v>0.40749999999999997</v>
      </c>
      <c r="H5" s="8">
        <f t="shared" si="7"/>
        <v>5.7701458675958391E-2</v>
      </c>
      <c r="I5" s="4">
        <f t="shared" si="8"/>
        <v>4.4527752300613503</v>
      </c>
      <c r="J5" s="4">
        <f t="shared" si="2"/>
        <v>2.4539877300613497</v>
      </c>
      <c r="K5" s="4">
        <f t="shared" si="4"/>
        <v>0.72645564936456897</v>
      </c>
      <c r="L5" s="4">
        <f t="shared" si="5"/>
        <v>0.40036003567820783</v>
      </c>
      <c r="M5" s="4">
        <f>AVERAGE([1]indoor_ultra_tests!B8:B9)</f>
        <v>2.1525430000000001</v>
      </c>
      <c r="N5" s="4">
        <f>AVERAGE([1]indoor_ultra_tests!C8:C9)</f>
        <v>2.1058155000000003</v>
      </c>
      <c r="O5" s="4">
        <f>AVERAGE([1]indoor_ultra_tests!D8:D9)</f>
        <v>2.1126164999999997</v>
      </c>
      <c r="P5" s="4">
        <f>AVERAGE([1]indoor_ultra_tests!E8:E9)</f>
        <v>2.0767499999999997</v>
      </c>
      <c r="Q5" s="7">
        <f t="shared" si="6"/>
        <v>0.86602540378443871</v>
      </c>
    </row>
    <row r="6" spans="1:17" x14ac:dyDescent="0.3">
      <c r="A6" s="33"/>
      <c r="B6" s="1">
        <v>2</v>
      </c>
      <c r="C6" s="1">
        <f t="shared" si="3"/>
        <v>0.14583095236151572</v>
      </c>
      <c r="D6" s="4">
        <f t="shared" si="0"/>
        <v>0.63855085681410095</v>
      </c>
      <c r="E6" s="4">
        <f>2.187-1.57</f>
        <v>0.61699999999999977</v>
      </c>
      <c r="F6" s="4">
        <f>2.482-1.899</f>
        <v>0.58300000000000018</v>
      </c>
      <c r="G6" s="4">
        <f t="shared" si="1"/>
        <v>0.6</v>
      </c>
      <c r="H6" s="8">
        <f t="shared" si="7"/>
        <v>8.4901904179666865E-2</v>
      </c>
      <c r="I6" s="4">
        <f t="shared" si="8"/>
        <v>6.2763333333333335</v>
      </c>
      <c r="J6" s="4">
        <f t="shared" si="2"/>
        <v>3.3333333333333335</v>
      </c>
      <c r="K6" s="4">
        <f t="shared" si="4"/>
        <v>0.99909714759579493</v>
      </c>
      <c r="L6" s="4">
        <f t="shared" si="5"/>
        <v>0.53061614934186363</v>
      </c>
      <c r="M6" s="4">
        <f>AVERAGE([1]indoor_ultra_tests!B10:B11)</f>
        <v>4.1958044999999995</v>
      </c>
      <c r="N6" s="4">
        <f>AVERAGE([1]indoor_ultra_tests!C10:C11)</f>
        <v>4.1876819999999997</v>
      </c>
      <c r="O6" s="4">
        <f>AVERAGE([1]indoor_ultra_tests!D10:D11)</f>
        <v>4.2030580000000004</v>
      </c>
      <c r="P6" s="4">
        <f>AVERAGE([1]indoor_ultra_tests!E10:E11)</f>
        <v>4.1843265000000001</v>
      </c>
      <c r="Q6" s="7">
        <f t="shared" si="6"/>
        <v>0.86602540378443871</v>
      </c>
    </row>
    <row r="7" spans="1:17" x14ac:dyDescent="0.3">
      <c r="A7" s="34"/>
      <c r="B7" s="1">
        <v>2.5</v>
      </c>
      <c r="C7" s="1">
        <f t="shared" si="3"/>
        <v>0.17969882210706523</v>
      </c>
      <c r="D7" s="4">
        <f t="shared" si="0"/>
        <v>0.71392156146353225</v>
      </c>
      <c r="E7" s="4">
        <f>2.274-1.591</f>
        <v>0.68300000000000005</v>
      </c>
      <c r="F7" s="4">
        <f>2.949-2.249</f>
        <v>0.69999999999999973</v>
      </c>
      <c r="G7" s="4">
        <f t="shared" si="1"/>
        <v>0.69149999999999989</v>
      </c>
      <c r="H7" s="8">
        <f t="shared" si="7"/>
        <v>9.7835465621283424E-2</v>
      </c>
      <c r="I7" s="4">
        <f t="shared" si="8"/>
        <v>7.0071364949385391</v>
      </c>
      <c r="J7" s="4">
        <f t="shared" si="2"/>
        <v>3.6153289949385399</v>
      </c>
      <c r="K7" s="4">
        <f t="shared" si="4"/>
        <v>1.1119973298697792</v>
      </c>
      <c r="L7" s="4">
        <f t="shared" si="5"/>
        <v>0.57373453362530957</v>
      </c>
      <c r="M7" s="4">
        <f>AVERAGE([1]indoor_ultra_tests!B12:B13)</f>
        <v>5.0466055000000001</v>
      </c>
      <c r="N7" s="4">
        <f>AVERAGE([1]indoor_ultra_tests!C12:C13)</f>
        <v>5.0435904999999996</v>
      </c>
      <c r="O7" s="4">
        <f>AVERAGE([1]indoor_ultra_tests!D12:D13)</f>
        <v>5.0440645000000002</v>
      </c>
      <c r="P7" s="4">
        <f>AVERAGE([1]indoor_ultra_tests!E12:E13)</f>
        <v>5.0279109999999996</v>
      </c>
      <c r="Q7" s="7">
        <f t="shared" si="6"/>
        <v>0.86602540378443871</v>
      </c>
    </row>
    <row r="8" spans="1:17" x14ac:dyDescent="0.3">
      <c r="A8" s="32" t="s">
        <v>6</v>
      </c>
      <c r="B8" s="1">
        <v>1</v>
      </c>
      <c r="C8" s="1">
        <f t="shared" si="3"/>
        <v>8.1034971874288125E-2</v>
      </c>
      <c r="D8" s="4">
        <f t="shared" si="0"/>
        <v>0.45152364098573089</v>
      </c>
      <c r="E8" s="4">
        <f>2.132-1.699</f>
        <v>0.43300000000000005</v>
      </c>
      <c r="F8" s="4">
        <f>2.49-2.057</f>
        <v>0.43300000000000027</v>
      </c>
      <c r="G8" s="4">
        <f t="shared" si="1"/>
        <v>0.43300000000000016</v>
      </c>
      <c r="H8" s="8">
        <f t="shared" si="7"/>
        <v>6.1303452866321786E-2</v>
      </c>
      <c r="I8" s="4">
        <f t="shared" si="8"/>
        <v>4.4333338221709013</v>
      </c>
      <c r="J8" s="4">
        <f t="shared" si="2"/>
        <v>2.3094688221708997</v>
      </c>
      <c r="K8" s="4">
        <f t="shared" si="4"/>
        <v>0.72320589843458105</v>
      </c>
      <c r="L8" s="4">
        <f t="shared" si="5"/>
        <v>0.37674164442390001</v>
      </c>
      <c r="M8" s="4">
        <f>AVERAGE([1]indoor_ultra_tests!B14:B15)</f>
        <v>2.2425635000000002</v>
      </c>
      <c r="N8" s="4">
        <f>AVERAGE([1]indoor_ultra_tests!C14:C15)</f>
        <v>2.2012795000000001</v>
      </c>
      <c r="O8" s="4">
        <f>AVERAGE([1]indoor_ultra_tests!D14:D15)</f>
        <v>2.0668440000000001</v>
      </c>
      <c r="P8" s="4">
        <f>AVERAGE([1]indoor_ultra_tests!E14:E15)</f>
        <v>1.8730635</v>
      </c>
      <c r="Q8" s="7">
        <f t="shared" si="6"/>
        <v>0.86602540378443871</v>
      </c>
    </row>
    <row r="9" spans="1:17" x14ac:dyDescent="0.3">
      <c r="A9" s="33"/>
      <c r="B9" s="1">
        <v>2</v>
      </c>
      <c r="C9" s="1">
        <f t="shared" si="3"/>
        <v>0.14583095236151572</v>
      </c>
      <c r="D9" s="4">
        <f t="shared" si="0"/>
        <v>0.63855085681410095</v>
      </c>
      <c r="E9" s="4">
        <f>2.551-1.935</f>
        <v>0.6160000000000001</v>
      </c>
      <c r="F9" s="4">
        <f>4.156-3.555</f>
        <v>0.60099999999999953</v>
      </c>
      <c r="G9" s="4">
        <f t="shared" si="1"/>
        <v>0.60849999999999982</v>
      </c>
      <c r="H9" s="8">
        <f t="shared" si="7"/>
        <v>8.6103300362607063E-2</v>
      </c>
      <c r="I9" s="4">
        <f t="shared" si="8"/>
        <v>6.2714632477403454</v>
      </c>
      <c r="J9" s="4">
        <f t="shared" si="2"/>
        <v>3.2867707477403463</v>
      </c>
      <c r="K9" s="4">
        <f t="shared" si="4"/>
        <v>0.99830925348340982</v>
      </c>
      <c r="L9" s="4">
        <f t="shared" si="5"/>
        <v>0.52319746157007607</v>
      </c>
      <c r="M9" s="4">
        <f>AVERAGE([1]indoor_ultra_tests!B16:B17)</f>
        <v>4.0630759999999997</v>
      </c>
      <c r="N9" s="4">
        <f>AVERAGE([1]indoor_ultra_tests!C16:C17)</f>
        <v>4.0475004999999999</v>
      </c>
      <c r="O9" s="4">
        <f>AVERAGE([1]indoor_ultra_tests!D16:D17)</f>
        <v>4.0389420000000005</v>
      </c>
      <c r="P9" s="4">
        <f>AVERAGE([1]indoor_ultra_tests!E16:E17)</f>
        <v>3.8190520000000001</v>
      </c>
      <c r="Q9" s="7">
        <f t="shared" si="6"/>
        <v>0.86602540378443871</v>
      </c>
    </row>
    <row r="10" spans="1:17" x14ac:dyDescent="0.3">
      <c r="A10" s="34"/>
      <c r="B10" s="1">
        <v>2.5</v>
      </c>
      <c r="C10" s="1">
        <f t="shared" si="3"/>
        <v>0.17969882210706523</v>
      </c>
      <c r="D10" s="4">
        <f t="shared" si="0"/>
        <v>0.71392156146353225</v>
      </c>
      <c r="E10" s="4">
        <f>2.658-1.941</f>
        <v>0.71699999999999986</v>
      </c>
      <c r="F10" s="4">
        <f>3.137-2.419</f>
        <v>0.71799999999999997</v>
      </c>
      <c r="G10" s="4">
        <f t="shared" si="1"/>
        <v>0.71749999999999992</v>
      </c>
      <c r="H10" s="8">
        <f t="shared" si="7"/>
        <v>0.10151087790642603</v>
      </c>
      <c r="I10" s="4">
        <f t="shared" si="8"/>
        <v>7.0036580574912897</v>
      </c>
      <c r="J10" s="4">
        <f t="shared" si="2"/>
        <v>3.4843205574912894</v>
      </c>
      <c r="K10" s="4">
        <f t="shared" si="4"/>
        <v>1.1114179532916901</v>
      </c>
      <c r="L10" s="4">
        <f t="shared" si="5"/>
        <v>0.55293053870283781</v>
      </c>
      <c r="M10" s="4">
        <f>AVERAGE([1]indoor_ultra_tests!B18:B19)</f>
        <v>5.1906385000000004</v>
      </c>
      <c r="N10" s="4">
        <f>AVERAGE([1]indoor_ultra_tests!C18:C19)</f>
        <v>5.1724670000000001</v>
      </c>
      <c r="O10" s="4">
        <f>AVERAGE([1]indoor_ultra_tests!D18:D19)</f>
        <v>4.9786805000000003</v>
      </c>
      <c r="P10" s="4">
        <f>AVERAGE([1]indoor_ultra_tests!E18:E19)</f>
        <v>4.631729</v>
      </c>
      <c r="Q10" s="7">
        <f t="shared" si="6"/>
        <v>0.86602540378443871</v>
      </c>
    </row>
    <row r="11" spans="1:17" x14ac:dyDescent="0.3">
      <c r="A11" s="20"/>
      <c r="B11" s="14"/>
      <c r="C11" s="14"/>
      <c r="D11" s="16"/>
      <c r="E11" s="16"/>
      <c r="F11" s="16"/>
      <c r="G11" s="16"/>
      <c r="H11" s="15"/>
      <c r="I11" s="16"/>
      <c r="J11" s="16"/>
      <c r="K11" s="16"/>
      <c r="L11" s="16"/>
      <c r="M11" s="16"/>
      <c r="N11" s="16"/>
      <c r="O11" s="16"/>
      <c r="P11" s="16"/>
      <c r="Q11" s="17"/>
    </row>
    <row r="12" spans="1:17" x14ac:dyDescent="0.3">
      <c r="A12" s="31" t="s">
        <v>57</v>
      </c>
      <c r="B12" s="31"/>
      <c r="C12" s="31" t="s">
        <v>57</v>
      </c>
      <c r="D12" s="31"/>
      <c r="E12" s="31" t="s">
        <v>57</v>
      </c>
      <c r="F12" s="31"/>
      <c r="G12" s="31" t="s">
        <v>63</v>
      </c>
      <c r="H12" s="31"/>
      <c r="I12" s="31"/>
    </row>
    <row r="13" spans="1:17" x14ac:dyDescent="0.3">
      <c r="A13" s="1" t="s">
        <v>55</v>
      </c>
      <c r="B13" s="1" t="s">
        <v>56</v>
      </c>
      <c r="C13" s="1" t="s">
        <v>59</v>
      </c>
      <c r="D13" s="1" t="s">
        <v>60</v>
      </c>
      <c r="E13" s="1" t="s">
        <v>61</v>
      </c>
      <c r="F13" s="1" t="s">
        <v>60</v>
      </c>
      <c r="G13" s="1" t="s">
        <v>64</v>
      </c>
      <c r="H13" s="1" t="s">
        <v>65</v>
      </c>
      <c r="I13" s="1" t="s">
        <v>66</v>
      </c>
    </row>
    <row r="14" spans="1:17" x14ac:dyDescent="0.3">
      <c r="A14" s="4">
        <f>I2-K2</f>
        <v>3.7078322572269236</v>
      </c>
      <c r="B14" s="4">
        <f>I2+K2</f>
        <v>5.1532940678013883</v>
      </c>
      <c r="C14" s="4">
        <f>M2-Q2</f>
        <v>1.4791195962155612</v>
      </c>
      <c r="D14" s="4">
        <f>M2+Q2</f>
        <v>3.2111704037844389</v>
      </c>
      <c r="E14" s="4">
        <f>O2-Q2</f>
        <v>1.4649820962155613</v>
      </c>
      <c r="F14" s="4">
        <f>O2+Q2</f>
        <v>3.1970329037844389</v>
      </c>
      <c r="G14" s="1">
        <f>IF(OR(AND(A14&gt;=C14,A14&lt;=D14),AND(C14&gt;=A14,C14&lt;=B14)), 1,0)</f>
        <v>0</v>
      </c>
      <c r="H14" s="1">
        <f>IF(OR(AND(A14&gt;=E14,A14&lt;=F14),AND(E14&gt;=A14,E14&lt;=B14)), 1,0)</f>
        <v>0</v>
      </c>
      <c r="I14" s="1">
        <f>IF(OR(AND(C14&gt;=E14,C14&lt;=F14),AND(E14&gt;=C14,E14&lt;=D14)), 1,0)</f>
        <v>1</v>
      </c>
    </row>
    <row r="15" spans="1:17" x14ac:dyDescent="0.3">
      <c r="A15" s="4">
        <f t="shared" ref="A15:A22" si="9">I3-K3</f>
        <v>5.267267766280912</v>
      </c>
      <c r="B15" s="4">
        <f t="shared" ref="B15:B22" si="10">I3+K3</f>
        <v>7.2615775575737489</v>
      </c>
      <c r="C15" s="4">
        <f t="shared" ref="C15:C22" si="11">M3-Q3</f>
        <v>3.3599255962155614</v>
      </c>
      <c r="D15" s="4">
        <f t="shared" ref="D15:D22" si="12">M3+Q3</f>
        <v>5.0919764037844386</v>
      </c>
      <c r="E15" s="4">
        <f t="shared" ref="E15:E22" si="13">O3-Q3</f>
        <v>3.3317855962155609</v>
      </c>
      <c r="F15" s="4">
        <f t="shared" ref="F15:F22" si="14">O3+Q3</f>
        <v>5.0638364037844381</v>
      </c>
      <c r="G15" s="1">
        <f t="shared" ref="G15:G22" si="15">IF(OR(AND(A15&gt;=C15,A15&lt;=D15),AND(C15&gt;=A15,C15&lt;=B15)), 1,0)</f>
        <v>0</v>
      </c>
      <c r="H15" s="1">
        <f t="shared" ref="H15:H22" si="16">IF(OR(AND(A15&gt;=E15,A15&lt;=F15),AND(E15&gt;=A15,E15&lt;=B15)), 1,0)</f>
        <v>0</v>
      </c>
      <c r="I15" s="1">
        <f t="shared" ref="I15:I22" si="17">IF(OR(AND(C15&gt;=E15,C15&lt;=F15),AND(E15&gt;=C15,E15&lt;=D15)), 1,0)</f>
        <v>1</v>
      </c>
    </row>
    <row r="16" spans="1:17" x14ac:dyDescent="0.3">
      <c r="A16" s="4">
        <f t="shared" si="9"/>
        <v>5.8932909122961661</v>
      </c>
      <c r="B16" s="4">
        <f t="shared" si="10"/>
        <v>8.1165662305609789</v>
      </c>
      <c r="C16" s="4">
        <f t="shared" si="11"/>
        <v>4.0118430962155616</v>
      </c>
      <c r="D16" s="4">
        <f t="shared" si="12"/>
        <v>5.7438939037844383</v>
      </c>
      <c r="E16" s="4">
        <f t="shared" si="13"/>
        <v>4.012471596215561</v>
      </c>
      <c r="F16" s="4">
        <f t="shared" si="14"/>
        <v>5.7445224037844378</v>
      </c>
      <c r="G16" s="1">
        <f t="shared" si="15"/>
        <v>0</v>
      </c>
      <c r="H16" s="1">
        <f t="shared" si="16"/>
        <v>0</v>
      </c>
      <c r="I16" s="1">
        <f t="shared" si="17"/>
        <v>1</v>
      </c>
    </row>
    <row r="17" spans="1:9" x14ac:dyDescent="0.3">
      <c r="A17" s="4">
        <f t="shared" si="9"/>
        <v>3.7263195806967815</v>
      </c>
      <c r="B17" s="4">
        <f t="shared" si="10"/>
        <v>5.1792308794259192</v>
      </c>
      <c r="C17" s="4">
        <f t="shared" si="11"/>
        <v>1.2865175962155613</v>
      </c>
      <c r="D17" s="4">
        <f t="shared" si="12"/>
        <v>3.0185684037844389</v>
      </c>
      <c r="E17" s="4">
        <f t="shared" si="13"/>
        <v>1.2465910962155609</v>
      </c>
      <c r="F17" s="4">
        <f t="shared" si="14"/>
        <v>2.9786419037844385</v>
      </c>
      <c r="G17" s="1">
        <f t="shared" si="15"/>
        <v>0</v>
      </c>
      <c r="H17" s="1">
        <f t="shared" si="16"/>
        <v>0</v>
      </c>
      <c r="I17" s="1">
        <f t="shared" si="17"/>
        <v>1</v>
      </c>
    </row>
    <row r="18" spans="1:9" x14ac:dyDescent="0.3">
      <c r="A18" s="4">
        <f t="shared" si="9"/>
        <v>5.2772361857375385</v>
      </c>
      <c r="B18" s="4">
        <f t="shared" si="10"/>
        <v>7.2754304809291286</v>
      </c>
      <c r="C18" s="4">
        <f t="shared" si="11"/>
        <v>3.3297790962155607</v>
      </c>
      <c r="D18" s="4">
        <f t="shared" si="12"/>
        <v>5.0618299037844379</v>
      </c>
      <c r="E18" s="4">
        <f t="shared" si="13"/>
        <v>3.3370325962155616</v>
      </c>
      <c r="F18" s="4">
        <f t="shared" si="14"/>
        <v>5.0690834037844388</v>
      </c>
      <c r="G18" s="1">
        <f t="shared" si="15"/>
        <v>0</v>
      </c>
      <c r="H18" s="1">
        <f t="shared" si="16"/>
        <v>0</v>
      </c>
      <c r="I18" s="1">
        <f t="shared" si="17"/>
        <v>1</v>
      </c>
    </row>
    <row r="19" spans="1:9" x14ac:dyDescent="0.3">
      <c r="A19" s="4">
        <f t="shared" si="9"/>
        <v>5.8951391650687599</v>
      </c>
      <c r="B19" s="4">
        <f t="shared" si="10"/>
        <v>8.1191338248083191</v>
      </c>
      <c r="C19" s="4">
        <f t="shared" si="11"/>
        <v>4.1805800962155617</v>
      </c>
      <c r="D19" s="4">
        <f t="shared" si="12"/>
        <v>5.9126309037844385</v>
      </c>
      <c r="E19" s="4">
        <f t="shared" si="13"/>
        <v>4.1780390962155618</v>
      </c>
      <c r="F19" s="4">
        <f t="shared" si="14"/>
        <v>5.9100899037844385</v>
      </c>
      <c r="G19" s="1">
        <f t="shared" si="15"/>
        <v>1</v>
      </c>
      <c r="H19" s="1">
        <f t="shared" si="16"/>
        <v>1</v>
      </c>
      <c r="I19" s="1">
        <f t="shared" si="17"/>
        <v>1</v>
      </c>
    </row>
    <row r="20" spans="1:9" x14ac:dyDescent="0.3">
      <c r="A20" s="4">
        <f t="shared" si="9"/>
        <v>3.7101279237363203</v>
      </c>
      <c r="B20" s="4">
        <f t="shared" si="10"/>
        <v>5.1565397206054824</v>
      </c>
      <c r="C20" s="4">
        <f t="shared" si="11"/>
        <v>1.3765380962155613</v>
      </c>
      <c r="D20" s="4">
        <f t="shared" si="12"/>
        <v>3.108588903784439</v>
      </c>
      <c r="E20" s="4">
        <f t="shared" si="13"/>
        <v>1.2008185962155613</v>
      </c>
      <c r="F20" s="4">
        <f t="shared" si="14"/>
        <v>2.9328694037844389</v>
      </c>
      <c r="G20" s="1">
        <f t="shared" si="15"/>
        <v>0</v>
      </c>
      <c r="H20" s="1">
        <f t="shared" si="16"/>
        <v>0</v>
      </c>
      <c r="I20" s="1">
        <f t="shared" si="17"/>
        <v>1</v>
      </c>
    </row>
    <row r="21" spans="1:9" x14ac:dyDescent="0.3">
      <c r="A21" s="4">
        <f t="shared" si="9"/>
        <v>5.2731539942569352</v>
      </c>
      <c r="B21" s="4">
        <f t="shared" si="10"/>
        <v>7.2697725012237555</v>
      </c>
      <c r="C21" s="4">
        <f t="shared" si="11"/>
        <v>3.1970505962155609</v>
      </c>
      <c r="D21" s="4">
        <f t="shared" si="12"/>
        <v>4.9291014037844381</v>
      </c>
      <c r="E21" s="4">
        <f t="shared" si="13"/>
        <v>3.1729165962155617</v>
      </c>
      <c r="F21" s="4">
        <f t="shared" si="14"/>
        <v>4.9049674037844389</v>
      </c>
      <c r="G21" s="1">
        <f t="shared" si="15"/>
        <v>0</v>
      </c>
      <c r="H21" s="1">
        <f t="shared" si="16"/>
        <v>0</v>
      </c>
      <c r="I21" s="1">
        <f t="shared" si="17"/>
        <v>1</v>
      </c>
    </row>
    <row r="22" spans="1:9" x14ac:dyDescent="0.3">
      <c r="A22" s="4">
        <f t="shared" si="9"/>
        <v>5.8922401041995993</v>
      </c>
      <c r="B22" s="4">
        <f t="shared" si="10"/>
        <v>8.11507601078298</v>
      </c>
      <c r="C22" s="4">
        <f t="shared" si="11"/>
        <v>4.324613096215562</v>
      </c>
      <c r="D22" s="4">
        <f t="shared" si="12"/>
        <v>6.0566639037844388</v>
      </c>
      <c r="E22" s="4">
        <f t="shared" si="13"/>
        <v>4.1126550962155619</v>
      </c>
      <c r="F22" s="4">
        <f t="shared" si="14"/>
        <v>5.8447059037844387</v>
      </c>
      <c r="G22" s="1">
        <f t="shared" si="15"/>
        <v>1</v>
      </c>
      <c r="H22" s="1">
        <f t="shared" si="16"/>
        <v>0</v>
      </c>
      <c r="I22" s="1">
        <f t="shared" si="17"/>
        <v>1</v>
      </c>
    </row>
    <row r="23" spans="1:9" x14ac:dyDescent="0.3">
      <c r="A23" s="19"/>
      <c r="B23" s="19"/>
      <c r="C23" s="19"/>
      <c r="D23" s="19"/>
      <c r="E23" s="19"/>
      <c r="F23" s="19"/>
    </row>
    <row r="26" spans="1:9" x14ac:dyDescent="0.3">
      <c r="A26" s="31" t="s">
        <v>58</v>
      </c>
      <c r="B26" s="31"/>
      <c r="C26" s="31" t="s">
        <v>58</v>
      </c>
      <c r="D26" s="31"/>
      <c r="E26" s="31" t="s">
        <v>58</v>
      </c>
      <c r="F26" s="31"/>
      <c r="G26" s="31" t="s">
        <v>63</v>
      </c>
      <c r="H26" s="31"/>
      <c r="I26" s="31"/>
    </row>
    <row r="27" spans="1:9" x14ac:dyDescent="0.3">
      <c r="A27" s="1" t="s">
        <v>55</v>
      </c>
      <c r="B27" s="1" t="s">
        <v>56</v>
      </c>
      <c r="C27" s="1" t="s">
        <v>59</v>
      </c>
      <c r="D27" s="1" t="s">
        <v>60</v>
      </c>
      <c r="E27" s="1" t="s">
        <v>61</v>
      </c>
      <c r="F27" s="1" t="s">
        <v>62</v>
      </c>
      <c r="G27" s="1" t="s">
        <v>64</v>
      </c>
      <c r="H27" s="1" t="s">
        <v>65</v>
      </c>
      <c r="I27" s="1" t="s">
        <v>66</v>
      </c>
    </row>
    <row r="28" spans="1:9" x14ac:dyDescent="0.3">
      <c r="A28" s="4">
        <f t="shared" ref="A28:A36" si="18">J2-L2</f>
        <v>1.8955290219823819</v>
      </c>
      <c r="B28" s="4">
        <f t="shared" ref="B28:B36" si="19">J2+L2</f>
        <v>2.6344823030459308</v>
      </c>
      <c r="C28" s="4">
        <f t="shared" ref="C28:C36" si="20">N2-Q2</f>
        <v>1.4719180962155609</v>
      </c>
      <c r="D28" s="4">
        <f t="shared" ref="D28:D36" si="21">N2+Q2</f>
        <v>3.2039689037844385</v>
      </c>
      <c r="E28" s="4">
        <f t="shared" ref="E28:E36" si="22">P2-Q2</f>
        <v>1.4470625962155612</v>
      </c>
      <c r="F28" s="4">
        <f t="shared" ref="F28:F36" si="23">P2+Q2</f>
        <v>3.1791134037844389</v>
      </c>
      <c r="G28" s="1">
        <f t="shared" ref="G28:G36" si="24">IF(OR(AND(A28&gt;=C28,A28&lt;=D28),AND(C28&gt;=A28,C28&lt;=B28)), 1,0)</f>
        <v>1</v>
      </c>
      <c r="H28" s="1">
        <f t="shared" ref="H28:H36" si="25">IF(OR(AND(A28&gt;=E28,A28&lt;=F28),AND(E28&gt;=A28,E28&lt;=B28)), 1,0)</f>
        <v>1</v>
      </c>
      <c r="I28" s="1">
        <f t="shared" ref="I28:I36" si="26">IF(OR(AND(C28&gt;=E28,C28&lt;=F28),AND(E28&gt;=C28,E28&lt;=D28)), 1,0)</f>
        <v>1</v>
      </c>
    </row>
    <row r="29" spans="1:9" x14ac:dyDescent="0.3">
      <c r="A29" s="4">
        <f t="shared" si="18"/>
        <v>2.6566272945662819</v>
      </c>
      <c r="B29" s="4">
        <f t="shared" si="19"/>
        <v>3.6624880292883786</v>
      </c>
      <c r="C29" s="4">
        <f t="shared" si="20"/>
        <v>3.3532265962155612</v>
      </c>
      <c r="D29" s="4">
        <f t="shared" si="21"/>
        <v>5.0852774037844384</v>
      </c>
      <c r="E29" s="4">
        <f t="shared" si="22"/>
        <v>3.316370596215561</v>
      </c>
      <c r="F29" s="4">
        <f t="shared" si="23"/>
        <v>5.0484214037844382</v>
      </c>
      <c r="G29" s="1">
        <f t="shared" si="24"/>
        <v>1</v>
      </c>
      <c r="H29" s="1">
        <f t="shared" si="25"/>
        <v>1</v>
      </c>
      <c r="I29" s="1">
        <f t="shared" si="26"/>
        <v>1</v>
      </c>
    </row>
    <row r="30" spans="1:9" x14ac:dyDescent="0.3">
      <c r="A30" s="4">
        <f t="shared" si="18"/>
        <v>3.004665547877599</v>
      </c>
      <c r="B30" s="4">
        <f t="shared" si="19"/>
        <v>4.1381915949795429</v>
      </c>
      <c r="C30" s="4">
        <f t="shared" si="20"/>
        <v>4.010085096215561</v>
      </c>
      <c r="D30" s="4">
        <f t="shared" si="21"/>
        <v>5.7421359037844377</v>
      </c>
      <c r="E30" s="4">
        <f t="shared" si="22"/>
        <v>4.0022305962155613</v>
      </c>
      <c r="F30" s="4">
        <f t="shared" si="23"/>
        <v>5.7342814037844381</v>
      </c>
      <c r="G30" s="1">
        <f t="shared" si="24"/>
        <v>1</v>
      </c>
      <c r="H30" s="1">
        <f t="shared" si="25"/>
        <v>1</v>
      </c>
      <c r="I30" s="1">
        <f t="shared" si="26"/>
        <v>1</v>
      </c>
    </row>
    <row r="31" spans="1:9" x14ac:dyDescent="0.3">
      <c r="A31" s="4">
        <f t="shared" si="18"/>
        <v>2.0536276943831417</v>
      </c>
      <c r="B31" s="4">
        <f t="shared" si="19"/>
        <v>2.8543477657395577</v>
      </c>
      <c r="C31" s="4">
        <f t="shared" si="20"/>
        <v>1.2397900962155615</v>
      </c>
      <c r="D31" s="4">
        <f t="shared" si="21"/>
        <v>2.9718409037844391</v>
      </c>
      <c r="E31" s="4">
        <f t="shared" si="22"/>
        <v>1.2107245962155608</v>
      </c>
      <c r="F31" s="4">
        <f t="shared" si="23"/>
        <v>2.9427754037844385</v>
      </c>
      <c r="G31" s="1">
        <f t="shared" si="24"/>
        <v>1</v>
      </c>
      <c r="H31" s="1">
        <f t="shared" si="25"/>
        <v>1</v>
      </c>
      <c r="I31" s="1">
        <f t="shared" si="26"/>
        <v>1</v>
      </c>
    </row>
    <row r="32" spans="1:9" x14ac:dyDescent="0.3">
      <c r="A32" s="4">
        <f t="shared" si="18"/>
        <v>2.80271718399147</v>
      </c>
      <c r="B32" s="4">
        <f t="shared" si="19"/>
        <v>3.863949482675197</v>
      </c>
      <c r="C32" s="4">
        <f t="shared" si="20"/>
        <v>3.3216565962155609</v>
      </c>
      <c r="D32" s="4">
        <f t="shared" si="21"/>
        <v>5.0537074037844381</v>
      </c>
      <c r="E32" s="4">
        <f t="shared" si="22"/>
        <v>3.3183010962155612</v>
      </c>
      <c r="F32" s="4">
        <f t="shared" si="23"/>
        <v>5.0503519037844384</v>
      </c>
      <c r="G32" s="1">
        <f t="shared" si="24"/>
        <v>1</v>
      </c>
      <c r="H32" s="1">
        <f t="shared" si="25"/>
        <v>1</v>
      </c>
      <c r="I32" s="1">
        <f t="shared" si="26"/>
        <v>1</v>
      </c>
    </row>
    <row r="33" spans="1:9" x14ac:dyDescent="0.3">
      <c r="A33" s="4">
        <f t="shared" si="18"/>
        <v>3.0415944613132302</v>
      </c>
      <c r="B33" s="4">
        <f t="shared" si="19"/>
        <v>4.1890635285638496</v>
      </c>
      <c r="C33" s="4">
        <f t="shared" si="20"/>
        <v>4.1775650962155613</v>
      </c>
      <c r="D33" s="4">
        <f t="shared" si="21"/>
        <v>5.909615903784438</v>
      </c>
      <c r="E33" s="4">
        <f t="shared" si="22"/>
        <v>4.1618855962155612</v>
      </c>
      <c r="F33" s="4">
        <f t="shared" si="23"/>
        <v>5.8939364037844379</v>
      </c>
      <c r="G33" s="1">
        <f t="shared" si="24"/>
        <v>1</v>
      </c>
      <c r="H33" s="1">
        <f t="shared" si="25"/>
        <v>1</v>
      </c>
      <c r="I33" s="1">
        <f t="shared" si="26"/>
        <v>1</v>
      </c>
    </row>
    <row r="34" spans="1:9" x14ac:dyDescent="0.3">
      <c r="A34" s="4">
        <f t="shared" si="18"/>
        <v>1.9327271777469996</v>
      </c>
      <c r="B34" s="4">
        <f t="shared" si="19"/>
        <v>2.6862104665947997</v>
      </c>
      <c r="C34" s="4">
        <f t="shared" si="20"/>
        <v>1.3352540962155612</v>
      </c>
      <c r="D34" s="4">
        <f t="shared" si="21"/>
        <v>3.0673049037844389</v>
      </c>
      <c r="E34" s="4">
        <f t="shared" si="22"/>
        <v>1.0070380962155614</v>
      </c>
      <c r="F34" s="4">
        <f t="shared" si="23"/>
        <v>2.7390889037844386</v>
      </c>
      <c r="G34" s="1">
        <f t="shared" si="24"/>
        <v>1</v>
      </c>
      <c r="H34" s="1">
        <f t="shared" si="25"/>
        <v>1</v>
      </c>
      <c r="I34" s="1">
        <f t="shared" si="26"/>
        <v>1</v>
      </c>
    </row>
    <row r="35" spans="1:9" x14ac:dyDescent="0.3">
      <c r="A35" s="4">
        <f t="shared" si="18"/>
        <v>2.7635732861702702</v>
      </c>
      <c r="B35" s="4">
        <f t="shared" si="19"/>
        <v>3.8099682093104223</v>
      </c>
      <c r="C35" s="4">
        <f t="shared" si="20"/>
        <v>3.1814750962155611</v>
      </c>
      <c r="D35" s="4">
        <f t="shared" si="21"/>
        <v>4.9135259037844383</v>
      </c>
      <c r="E35" s="4">
        <f t="shared" si="22"/>
        <v>2.9530265962155613</v>
      </c>
      <c r="F35" s="4">
        <f t="shared" si="23"/>
        <v>4.6850774037844385</v>
      </c>
      <c r="G35" s="1">
        <f t="shared" si="24"/>
        <v>1</v>
      </c>
      <c r="H35" s="1">
        <f t="shared" si="25"/>
        <v>1</v>
      </c>
      <c r="I35" s="1">
        <f t="shared" si="26"/>
        <v>1</v>
      </c>
    </row>
    <row r="36" spans="1:9" x14ac:dyDescent="0.3">
      <c r="A36" s="4">
        <f t="shared" si="18"/>
        <v>2.9313900187884516</v>
      </c>
      <c r="B36" s="4">
        <f t="shared" si="19"/>
        <v>4.0372510961941277</v>
      </c>
      <c r="C36" s="4">
        <f t="shared" si="20"/>
        <v>4.3064415962155618</v>
      </c>
      <c r="D36" s="4">
        <f t="shared" si="21"/>
        <v>6.0384924037844385</v>
      </c>
      <c r="E36" s="4">
        <f t="shared" si="22"/>
        <v>3.7657035962155612</v>
      </c>
      <c r="F36" s="4">
        <f t="shared" si="23"/>
        <v>5.4977544037844384</v>
      </c>
      <c r="G36" s="1">
        <f t="shared" si="24"/>
        <v>0</v>
      </c>
      <c r="H36" s="1">
        <f t="shared" si="25"/>
        <v>1</v>
      </c>
      <c r="I36" s="1">
        <f t="shared" si="26"/>
        <v>1</v>
      </c>
    </row>
    <row r="37" spans="1:9" x14ac:dyDescent="0.3">
      <c r="A37" s="19"/>
      <c r="B37" s="19"/>
      <c r="C37" s="19"/>
      <c r="D37" s="19"/>
      <c r="E37" s="19"/>
      <c r="F37" s="19"/>
    </row>
    <row r="38" spans="1:9" x14ac:dyDescent="0.3">
      <c r="A38" s="19"/>
      <c r="B38" s="19"/>
      <c r="C38" s="19"/>
      <c r="D38" s="19"/>
      <c r="E38" s="19"/>
      <c r="F38" s="19"/>
    </row>
  </sheetData>
  <mergeCells count="11">
    <mergeCell ref="A2:A4"/>
    <mergeCell ref="A5:A7"/>
    <mergeCell ref="A8:A10"/>
    <mergeCell ref="A12:B12"/>
    <mergeCell ref="A26:B26"/>
    <mergeCell ref="C12:D12"/>
    <mergeCell ref="C26:D26"/>
    <mergeCell ref="E12:F12"/>
    <mergeCell ref="E26:F26"/>
    <mergeCell ref="G12:I12"/>
    <mergeCell ref="G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0D45-EEEA-42D1-90CD-2BF0FC23CA68}">
  <dimension ref="A1:Q36"/>
  <sheetViews>
    <sheetView workbookViewId="0">
      <selection activeCell="Q17" sqref="Q17"/>
    </sheetView>
  </sheetViews>
  <sheetFormatPr defaultRowHeight="14.4" x14ac:dyDescent="0.3"/>
  <cols>
    <col min="2" max="2" width="11.77734375" bestFit="1" customWidth="1"/>
    <col min="3" max="3" width="12.6640625" bestFit="1" customWidth="1"/>
    <col min="4" max="4" width="13.77734375" bestFit="1" customWidth="1"/>
    <col min="7" max="7" width="12.109375" bestFit="1" customWidth="1"/>
    <col min="8" max="8" width="15.5546875" bestFit="1" customWidth="1"/>
    <col min="9" max="9" width="13.21875" bestFit="1" customWidth="1"/>
    <col min="10" max="10" width="9.88671875" bestFit="1" customWidth="1"/>
    <col min="11" max="12" width="20.44140625" bestFit="1" customWidth="1"/>
    <col min="13" max="13" width="26" bestFit="1" customWidth="1"/>
    <col min="14" max="14" width="30" bestFit="1" customWidth="1"/>
    <col min="15" max="15" width="26.88671875" bestFit="1" customWidth="1"/>
    <col min="16" max="16" width="30.44140625" bestFit="1" customWidth="1"/>
    <col min="17" max="17" width="18.33203125" bestFit="1" customWidth="1"/>
  </cols>
  <sheetData>
    <row r="1" spans="1:17" x14ac:dyDescent="0.3">
      <c r="A1" s="6" t="s">
        <v>0</v>
      </c>
      <c r="B1" s="6" t="s">
        <v>3</v>
      </c>
      <c r="C1" s="6" t="s">
        <v>39</v>
      </c>
      <c r="D1" s="6" t="s">
        <v>9</v>
      </c>
      <c r="E1" s="6" t="s">
        <v>11</v>
      </c>
      <c r="F1" s="6" t="s">
        <v>10</v>
      </c>
      <c r="G1" s="6" t="s">
        <v>12</v>
      </c>
      <c r="H1" s="6" t="s">
        <v>38</v>
      </c>
      <c r="I1" s="6" t="s">
        <v>7</v>
      </c>
      <c r="J1" s="6" t="s">
        <v>8</v>
      </c>
      <c r="K1" s="6" t="s">
        <v>42</v>
      </c>
      <c r="L1" s="6" t="s">
        <v>41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40</v>
      </c>
    </row>
    <row r="2" spans="1:17" x14ac:dyDescent="0.3">
      <c r="A2" s="35" t="s">
        <v>4</v>
      </c>
      <c r="B2" s="4">
        <v>1</v>
      </c>
      <c r="C2" s="1">
        <f>SQRT((0.2/(2*SQRT(6)))^2+((0.05*B2)^2))</f>
        <v>6.4549722436790288E-2</v>
      </c>
      <c r="D2" s="4">
        <f t="shared" ref="D2:D10" si="0">SQRT(2*B2/9.81)</f>
        <v>0.45152364098573089</v>
      </c>
      <c r="E2" s="4">
        <f>1.168-0.735</f>
        <v>0.43299999999999994</v>
      </c>
      <c r="F2" s="4">
        <f>1.641-1.224</f>
        <v>0.41700000000000004</v>
      </c>
      <c r="G2" s="4">
        <f>(E2+F2)/2</f>
        <v>0.42499999999999999</v>
      </c>
      <c r="H2" s="8">
        <f>SQRT((0.01/(2*SQRT(3)))^2 +2* (0.1*G2)^2)</f>
        <v>6.0173360661785663E-2</v>
      </c>
      <c r="I2" s="4">
        <f>(B2+0.5*9.81*(G2^2))/G2</f>
        <v>4.4375661764705878</v>
      </c>
      <c r="J2" s="4">
        <f>B2/G2</f>
        <v>2.3529411764705883</v>
      </c>
      <c r="K2" s="4">
        <f>I2*SQRT((H2/G2)^2+(C2/B2)^2)</f>
        <v>0.69050586995033003</v>
      </c>
      <c r="L2" s="4">
        <f>J2*SQRT((H2/G2)^2+(C2/B2)^2)</f>
        <v>0.36612855547159306</v>
      </c>
      <c r="M2" s="4">
        <f>AVERAGE([2]indoor_audio_tests!B2:B3)</f>
        <v>2.7201620000000002</v>
      </c>
      <c r="N2" s="4">
        <f>AVERAGE([2]indoor_audio_tests!C2:C3)</f>
        <v>2.6498204999999997</v>
      </c>
      <c r="O2" s="4">
        <f>AVERAGE([2]indoor_audio_tests!D2:D3)</f>
        <v>2.5165125000000002</v>
      </c>
      <c r="P2" s="4">
        <f>AVERAGE([2]indoor_audio_tests!E2:E3)</f>
        <v>2.4689945</v>
      </c>
      <c r="Q2" s="7">
        <f>(M2+1.5-(M2-1.5))/(2*SQRT(3))</f>
        <v>0.86602540378443871</v>
      </c>
    </row>
    <row r="3" spans="1:17" x14ac:dyDescent="0.3">
      <c r="A3" s="35"/>
      <c r="B3" s="4">
        <v>2</v>
      </c>
      <c r="C3" s="1">
        <f t="shared" ref="C3:C10" si="1">SQRT((0.2/(2*SQRT(6)))^2+((0.05*B3)^2))</f>
        <v>0.10801234497346435</v>
      </c>
      <c r="D3" s="4">
        <f t="shared" si="0"/>
        <v>0.63855085681410095</v>
      </c>
      <c r="E3" s="4">
        <f>1.22-0.571</f>
        <v>0.64900000000000002</v>
      </c>
      <c r="F3" s="4">
        <f>3.752-3.119</f>
        <v>0.63299999999999956</v>
      </c>
      <c r="G3" s="4">
        <f t="shared" ref="G3:G10" si="2">(E3+F3)/2</f>
        <v>0.64099999999999979</v>
      </c>
      <c r="H3" s="8">
        <f>SQRT((0.01/(2*SQRT(3)))^2 +2* (0.1*G3)^2)</f>
        <v>9.0697041480598067E-2</v>
      </c>
      <c r="I3" s="4">
        <f t="shared" ref="I3:I10" si="3">(B3+0.5*9.81*(G3^2))/G3</f>
        <v>6.2642298049921994</v>
      </c>
      <c r="J3" s="4">
        <f t="shared" ref="J3:J10" si="4">B3/G3</f>
        <v>3.1201248049922006</v>
      </c>
      <c r="K3" s="4">
        <f t="shared" ref="K3:K10" si="5">I3*SQRT((H3/G3)^2+(C3/B3)^2)</f>
        <v>0.94871441474936768</v>
      </c>
      <c r="L3" s="4">
        <f t="shared" ref="L3:L10" si="6">J3*SQRT((H3/G3)^2+(C3/B3)^2)</f>
        <v>0.47254131321206322</v>
      </c>
      <c r="M3" s="4">
        <f>AVERAGE([2]indoor_audio_tests!B4:B5)</f>
        <v>4.4661454999999997</v>
      </c>
      <c r="N3" s="4">
        <f>AVERAGE([2]indoor_audio_tests!C4:C5)</f>
        <v>4.1797544999999996</v>
      </c>
      <c r="O3" s="4">
        <f>AVERAGE([2]indoor_audio_tests!D4:D5)</f>
        <v>4.2507960000000002</v>
      </c>
      <c r="P3" s="4">
        <f>AVERAGE([2]indoor_audio_tests!E4:E5)</f>
        <v>4.1084899999999998</v>
      </c>
      <c r="Q3" s="7">
        <f t="shared" ref="Q3:Q10" si="7">(M3+1.5-(M3-1.5))/(2*SQRT(3))</f>
        <v>0.86602540378443871</v>
      </c>
    </row>
    <row r="4" spans="1:17" x14ac:dyDescent="0.3">
      <c r="A4" s="35"/>
      <c r="B4" s="4">
        <v>2.5</v>
      </c>
      <c r="C4" s="1">
        <f t="shared" si="1"/>
        <v>0.13149778198382917</v>
      </c>
      <c r="D4" s="4">
        <f t="shared" si="0"/>
        <v>0.71392156146353225</v>
      </c>
      <c r="E4" s="4">
        <v>0.7</v>
      </c>
      <c r="F4" s="4">
        <v>0.73299999999999998</v>
      </c>
      <c r="G4" s="4">
        <f t="shared" si="2"/>
        <v>0.71649999999999991</v>
      </c>
      <c r="H4" s="8">
        <f t="shared" ref="H4:H10" si="8">SQRT((0.01/(2*SQRT(3)))^2 +2* (0.1*G4)^2)</f>
        <v>0.10136951382606771</v>
      </c>
      <c r="I4" s="4">
        <f t="shared" si="3"/>
        <v>7.0036160310537339</v>
      </c>
      <c r="J4" s="4">
        <f t="shared" si="4"/>
        <v>3.489183531053734</v>
      </c>
      <c r="K4" s="4">
        <f t="shared" si="5"/>
        <v>1.0571261657001907</v>
      </c>
      <c r="L4" s="4">
        <f t="shared" si="6"/>
        <v>0.52665754251124031</v>
      </c>
      <c r="M4" s="4">
        <f>AVERAGE([2]indoor_audio_tests!B6:B7)</f>
        <v>5.0579105000000002</v>
      </c>
      <c r="N4" s="4">
        <f>AVERAGE([2]indoor_audio_tests!C6:C7)</f>
        <v>5.0386500000000005</v>
      </c>
      <c r="O4" s="4">
        <f>AVERAGE([2]indoor_audio_tests!D6:D7)</f>
        <v>4.9154214999999999</v>
      </c>
      <c r="P4" s="4">
        <f>AVERAGE([2]indoor_audio_tests!E6:E7)</f>
        <v>4.8178869999999998</v>
      </c>
      <c r="Q4" s="7">
        <f t="shared" si="7"/>
        <v>0.86602540378443871</v>
      </c>
    </row>
    <row r="5" spans="1:17" x14ac:dyDescent="0.3">
      <c r="A5" s="35" t="s">
        <v>5</v>
      </c>
      <c r="B5" s="4">
        <v>1</v>
      </c>
      <c r="C5" s="1">
        <f t="shared" si="1"/>
        <v>6.4549722436790288E-2</v>
      </c>
      <c r="D5" s="4">
        <f t="shared" si="0"/>
        <v>0.45152364098573089</v>
      </c>
      <c r="E5" s="4">
        <f>2.149-1.716</f>
        <v>0.43300000000000005</v>
      </c>
      <c r="F5" s="4">
        <f>1.549-1.116</f>
        <v>0.43299999999999983</v>
      </c>
      <c r="G5" s="4">
        <f t="shared" si="2"/>
        <v>0.43299999999999994</v>
      </c>
      <c r="H5" s="8">
        <f t="shared" si="8"/>
        <v>6.1303452866321759E-2</v>
      </c>
      <c r="I5" s="4">
        <f t="shared" si="3"/>
        <v>4.4333338221709013</v>
      </c>
      <c r="J5" s="4">
        <f t="shared" si="4"/>
        <v>2.309468822170901</v>
      </c>
      <c r="K5" s="4">
        <f t="shared" si="5"/>
        <v>0.68982323421398239</v>
      </c>
      <c r="L5" s="4">
        <f t="shared" si="6"/>
        <v>0.35935152102896928</v>
      </c>
      <c r="M5" s="4">
        <f>AVERAGE([2]indoor_audio_tests!$B$18:$B$19)</f>
        <v>2.5401205</v>
      </c>
      <c r="N5" s="4">
        <f>AVERAGE([2]indoor_audio_tests!C18:C19)</f>
        <v>2.4988085</v>
      </c>
      <c r="O5" s="4">
        <f>[2]indoor_audio_tests!$D$18</f>
        <v>2.2621829999999998</v>
      </c>
      <c r="P5" s="4">
        <f>[2]indoor_audio_tests!$E$18</f>
        <v>2.1893980000000002</v>
      </c>
      <c r="Q5" s="7">
        <f t="shared" si="7"/>
        <v>0.86602540378443882</v>
      </c>
    </row>
    <row r="6" spans="1:17" x14ac:dyDescent="0.3">
      <c r="A6" s="35"/>
      <c r="B6" s="4">
        <v>2</v>
      </c>
      <c r="C6" s="1">
        <f t="shared" si="1"/>
        <v>0.10801234497346435</v>
      </c>
      <c r="D6" s="4">
        <f t="shared" si="0"/>
        <v>0.63855085681410095</v>
      </c>
      <c r="E6" s="4">
        <f>2.325-1.708</f>
        <v>0.61700000000000021</v>
      </c>
      <c r="F6" s="4">
        <f>2.558-1.924</f>
        <v>0.6339999999999999</v>
      </c>
      <c r="G6" s="4">
        <f t="shared" si="2"/>
        <v>0.62550000000000006</v>
      </c>
      <c r="H6" s="8">
        <f t="shared" si="8"/>
        <v>8.8506148562308012E-2</v>
      </c>
      <c r="I6" s="4">
        <f t="shared" si="3"/>
        <v>6.2655195463629099</v>
      </c>
      <c r="J6" s="4">
        <f t="shared" si="4"/>
        <v>3.1974420463629092</v>
      </c>
      <c r="K6" s="4">
        <f t="shared" si="5"/>
        <v>0.94893079480864817</v>
      </c>
      <c r="L6" s="4">
        <f t="shared" si="6"/>
        <v>0.4842617120508465</v>
      </c>
      <c r="M6" s="4">
        <f>[2]indoor_audio_tests!$B$20</f>
        <v>4.6810790000000004</v>
      </c>
      <c r="N6" s="4">
        <f>[2]indoor_audio_tests!C20</f>
        <v>3.4316749999999998</v>
      </c>
      <c r="O6" s="4">
        <f>[2]indoor_audio_tests!D20</f>
        <v>4.1103509999999996</v>
      </c>
      <c r="P6" s="4">
        <f>[2]indoor_audio_tests!E20</f>
        <v>3.469665</v>
      </c>
      <c r="Q6" s="7">
        <f t="shared" si="7"/>
        <v>0.86602540378443871</v>
      </c>
    </row>
    <row r="7" spans="1:17" x14ac:dyDescent="0.3">
      <c r="A7" s="35"/>
      <c r="B7" s="4">
        <v>2.5</v>
      </c>
      <c r="C7" s="1">
        <f t="shared" si="1"/>
        <v>0.13149778198382917</v>
      </c>
      <c r="D7" s="4">
        <f t="shared" si="0"/>
        <v>0.71392156146353225</v>
      </c>
      <c r="E7" s="4">
        <f>2.073-1.372</f>
        <v>0.70099999999999985</v>
      </c>
      <c r="F7" s="4">
        <f>1.805-1.121</f>
        <v>0.68399999999999994</v>
      </c>
      <c r="G7" s="4">
        <f t="shared" si="2"/>
        <v>0.69249999999999989</v>
      </c>
      <c r="H7" s="8">
        <f t="shared" si="8"/>
        <v>9.7976825491201389E-2</v>
      </c>
      <c r="I7" s="4">
        <f t="shared" si="3"/>
        <v>7.0068208032490977</v>
      </c>
      <c r="J7" s="4">
        <f t="shared" si="4"/>
        <v>3.6101083032490981</v>
      </c>
      <c r="K7" s="4">
        <f t="shared" si="5"/>
        <v>1.0576364616455438</v>
      </c>
      <c r="L7" s="4">
        <f t="shared" si="6"/>
        <v>0.54492362217042334</v>
      </c>
      <c r="M7" s="4">
        <f>[2]indoor_audio_tests!$B$23</f>
        <v>5.4235759999999997</v>
      </c>
      <c r="N7" s="4">
        <f>[2]indoor_audio_tests!C23</f>
        <v>5.4157599999999997</v>
      </c>
      <c r="O7" s="4">
        <f>[2]indoor_audio_tests!D23</f>
        <v>5.428331</v>
      </c>
      <c r="P7" s="4">
        <f>[2]indoor_audio_tests!E23</f>
        <v>5.3374100000000002</v>
      </c>
      <c r="Q7" s="7">
        <f t="shared" si="7"/>
        <v>0.86602540378443871</v>
      </c>
    </row>
    <row r="8" spans="1:17" x14ac:dyDescent="0.3">
      <c r="A8" s="35" t="s">
        <v>6</v>
      </c>
      <c r="B8" s="4">
        <v>1</v>
      </c>
      <c r="C8" s="1">
        <f t="shared" si="1"/>
        <v>6.4549722436790288E-2</v>
      </c>
      <c r="D8" s="4">
        <f t="shared" si="0"/>
        <v>0.45152364098573089</v>
      </c>
      <c r="E8" s="4">
        <f>1.723-1.272</f>
        <v>0.45100000000000007</v>
      </c>
      <c r="F8" s="4">
        <f>1.064-0.563</f>
        <v>0.50100000000000011</v>
      </c>
      <c r="G8" s="4">
        <f t="shared" si="2"/>
        <v>0.47600000000000009</v>
      </c>
      <c r="H8" s="8">
        <f t="shared" si="8"/>
        <v>6.7378433740577073E-2</v>
      </c>
      <c r="I8" s="4">
        <f t="shared" si="3"/>
        <v>4.4356203361344546</v>
      </c>
      <c r="J8" s="4">
        <f t="shared" si="4"/>
        <v>2.1008403361344534</v>
      </c>
      <c r="K8" s="4">
        <f t="shared" si="5"/>
        <v>0.69006971583743137</v>
      </c>
      <c r="L8" s="4">
        <f t="shared" si="6"/>
        <v>0.32683732689338346</v>
      </c>
      <c r="M8" s="4">
        <v>1.7669189999999999</v>
      </c>
      <c r="N8" s="4">
        <v>1.0601510000000001</v>
      </c>
      <c r="O8" s="4">
        <v>1.6608620000000001</v>
      </c>
      <c r="P8" s="4">
        <v>1.6370499999999999</v>
      </c>
      <c r="Q8" s="7">
        <f t="shared" si="7"/>
        <v>0.86602540378443871</v>
      </c>
    </row>
    <row r="9" spans="1:17" x14ac:dyDescent="0.3">
      <c r="A9" s="35"/>
      <c r="B9" s="4">
        <v>2</v>
      </c>
      <c r="C9" s="1">
        <f t="shared" si="1"/>
        <v>0.10801234497346435</v>
      </c>
      <c r="D9" s="4">
        <f t="shared" si="0"/>
        <v>0.63855085681410095</v>
      </c>
      <c r="E9" s="4">
        <f>1.852-1.218</f>
        <v>0.63400000000000012</v>
      </c>
      <c r="F9" s="4">
        <f>2.292-1.676</f>
        <v>0.61599999999999988</v>
      </c>
      <c r="G9" s="4">
        <f t="shared" si="2"/>
        <v>0.625</v>
      </c>
      <c r="H9" s="8">
        <f t="shared" si="8"/>
        <v>8.8435475536310287E-2</v>
      </c>
      <c r="I9" s="4">
        <f t="shared" si="3"/>
        <v>6.265625</v>
      </c>
      <c r="J9" s="4">
        <f t="shared" si="4"/>
        <v>3.2</v>
      </c>
      <c r="K9" s="4">
        <f t="shared" si="5"/>
        <v>0.94894747126627432</v>
      </c>
      <c r="L9" s="4">
        <f t="shared" si="6"/>
        <v>0.48464948158437154</v>
      </c>
      <c r="M9" s="4">
        <v>4.3768229999999999</v>
      </c>
      <c r="N9" s="4">
        <v>3.2089259999999999</v>
      </c>
      <c r="O9" s="4">
        <v>4.3724790000000002</v>
      </c>
      <c r="P9" s="4">
        <v>4.3073420000000002</v>
      </c>
      <c r="Q9" s="7">
        <f t="shared" si="7"/>
        <v>0.86602540378443871</v>
      </c>
    </row>
    <row r="10" spans="1:17" x14ac:dyDescent="0.3">
      <c r="A10" s="35"/>
      <c r="B10" s="4">
        <v>2.5</v>
      </c>
      <c r="C10" s="1">
        <f t="shared" si="1"/>
        <v>0.13149778198382917</v>
      </c>
      <c r="D10" s="4">
        <f t="shared" si="0"/>
        <v>0.71392156146353225</v>
      </c>
      <c r="E10" s="4">
        <f>2.016-1.316</f>
        <v>0.7</v>
      </c>
      <c r="F10" s="4">
        <f>2.413-1.713</f>
        <v>0.69999999999999973</v>
      </c>
      <c r="G10" s="4">
        <f t="shared" si="2"/>
        <v>0.69999999999999984</v>
      </c>
      <c r="H10" s="8">
        <f t="shared" si="8"/>
        <v>9.9037030111637198E-2</v>
      </c>
      <c r="I10" s="4">
        <f t="shared" si="3"/>
        <v>7.0049285714285725</v>
      </c>
      <c r="J10" s="4">
        <f t="shared" si="4"/>
        <v>3.5714285714285721</v>
      </c>
      <c r="K10" s="4">
        <f t="shared" si="5"/>
        <v>1.0573422468167135</v>
      </c>
      <c r="L10" s="4">
        <f t="shared" si="6"/>
        <v>0.53908077313764469</v>
      </c>
      <c r="M10" s="4">
        <v>5.4598630000000004</v>
      </c>
      <c r="N10" s="4">
        <v>4.7246240000000004</v>
      </c>
      <c r="O10" s="4">
        <f>AVERAGE([2]indoor_audio_tests!$D$12:$D$13)</f>
        <v>4.9511085000000001</v>
      </c>
      <c r="P10" s="4">
        <f>AVERAGE([2]indoor_audio_tests!$E$12:$E$13)</f>
        <v>4.8962725000000002</v>
      </c>
      <c r="Q10" s="7">
        <f t="shared" si="7"/>
        <v>0.86602540378443871</v>
      </c>
    </row>
    <row r="12" spans="1:17" x14ac:dyDescent="0.3">
      <c r="A12" s="31" t="s">
        <v>57</v>
      </c>
      <c r="B12" s="31"/>
      <c r="C12" s="31" t="s">
        <v>57</v>
      </c>
      <c r="D12" s="31"/>
      <c r="E12" s="31" t="s">
        <v>57</v>
      </c>
      <c r="F12" s="31"/>
      <c r="G12" s="31" t="s">
        <v>63</v>
      </c>
      <c r="H12" s="31"/>
      <c r="I12" s="31"/>
    </row>
    <row r="13" spans="1:17" x14ac:dyDescent="0.3">
      <c r="A13" s="1" t="s">
        <v>55</v>
      </c>
      <c r="B13" s="1" t="s">
        <v>56</v>
      </c>
      <c r="C13" s="1" t="s">
        <v>59</v>
      </c>
      <c r="D13" s="1" t="s">
        <v>60</v>
      </c>
      <c r="E13" s="1" t="s">
        <v>61</v>
      </c>
      <c r="F13" s="1" t="s">
        <v>60</v>
      </c>
      <c r="G13" s="1" t="s">
        <v>64</v>
      </c>
      <c r="H13" s="1" t="s">
        <v>65</v>
      </c>
      <c r="I13" s="1" t="s">
        <v>66</v>
      </c>
    </row>
    <row r="14" spans="1:17" x14ac:dyDescent="0.3">
      <c r="A14" s="4">
        <f>I2-K2</f>
        <v>3.7470603065202579</v>
      </c>
      <c r="B14" s="4">
        <f>I2+K2</f>
        <v>5.1280720464209182</v>
      </c>
      <c r="C14" s="4">
        <f>M2-Q2</f>
        <v>1.8541365962155614</v>
      </c>
      <c r="D14" s="4">
        <f>M2+Q2</f>
        <v>3.586187403784439</v>
      </c>
      <c r="E14" s="4">
        <f>O2-Q2</f>
        <v>1.6504870962155613</v>
      </c>
      <c r="F14" s="4">
        <f>O2+Q2</f>
        <v>3.382537903784439</v>
      </c>
      <c r="G14" s="1">
        <f>IF(OR(AND(A14&gt;=C14,A14&lt;=D14),AND(C14&gt;=A14,C14&lt;=B14)), 1,0)</f>
        <v>0</v>
      </c>
      <c r="H14" s="1">
        <f>IF(OR(AND(A14&gt;=E14,A14&lt;=F14),AND(E14&gt;=A14,E14&lt;=B14)), 1,0)</f>
        <v>0</v>
      </c>
      <c r="I14" s="1">
        <f>IF(OR(AND(C14&gt;=E14,C14&lt;=F14),AND(E14&gt;=C14,E14&lt;=D14)), 1,0)</f>
        <v>1</v>
      </c>
    </row>
    <row r="15" spans="1:17" x14ac:dyDescent="0.3">
      <c r="A15" s="4">
        <f t="shared" ref="A15:A22" si="9">I3-K3</f>
        <v>5.3155153902428314</v>
      </c>
      <c r="B15" s="4">
        <f t="shared" ref="B15:B22" si="10">I3+K3</f>
        <v>7.2129442197415674</v>
      </c>
      <c r="C15" s="4">
        <f t="shared" ref="C15:C22" si="11">M3-Q3</f>
        <v>3.6001200962155608</v>
      </c>
      <c r="D15" s="4">
        <f t="shared" ref="D15:D22" si="12">M3+Q3</f>
        <v>5.332170903784438</v>
      </c>
      <c r="E15" s="4">
        <f t="shared" ref="E15:E22" si="13">O3-Q3</f>
        <v>3.3847705962155614</v>
      </c>
      <c r="F15" s="4">
        <f t="shared" ref="F15:F22" si="14">O3+Q3</f>
        <v>5.1168214037844386</v>
      </c>
      <c r="G15" s="1">
        <f t="shared" ref="G15:G22" si="15">IF(OR(AND(A15&gt;=C15,A15&lt;=D15),AND(C15&gt;=A15,C15&lt;=B15)), 1,0)</f>
        <v>1</v>
      </c>
      <c r="H15" s="1">
        <f t="shared" ref="H15:H22" si="16">IF(OR(AND(A15&gt;=E15,A15&lt;=F15),AND(E15&gt;=A15,E15&lt;=B15)), 1,0)</f>
        <v>0</v>
      </c>
      <c r="I15" s="1">
        <f t="shared" ref="I15:I22" si="17">IF(OR(AND(C15&gt;=E15,C15&lt;=F15),AND(E15&gt;=C15,E15&lt;=D15)), 1,0)</f>
        <v>1</v>
      </c>
    </row>
    <row r="16" spans="1:17" x14ac:dyDescent="0.3">
      <c r="A16" s="4">
        <f t="shared" si="9"/>
        <v>5.9464898653535432</v>
      </c>
      <c r="B16" s="4">
        <f t="shared" si="10"/>
        <v>8.0607421967539246</v>
      </c>
      <c r="C16" s="4">
        <f t="shared" si="11"/>
        <v>4.1918850962155618</v>
      </c>
      <c r="D16" s="4">
        <f t="shared" si="12"/>
        <v>5.9239359037844386</v>
      </c>
      <c r="E16" s="4">
        <f t="shared" si="13"/>
        <v>4.0493960962155615</v>
      </c>
      <c r="F16" s="4">
        <f t="shared" si="14"/>
        <v>5.7814469037844383</v>
      </c>
      <c r="G16" s="1">
        <f t="shared" si="15"/>
        <v>0</v>
      </c>
      <c r="H16" s="1">
        <f t="shared" si="16"/>
        <v>0</v>
      </c>
      <c r="I16" s="1">
        <f t="shared" si="17"/>
        <v>1</v>
      </c>
    </row>
    <row r="17" spans="1:9" x14ac:dyDescent="0.3">
      <c r="A17" s="4">
        <f t="shared" si="9"/>
        <v>3.7435105879569188</v>
      </c>
      <c r="B17" s="4">
        <f t="shared" si="10"/>
        <v>5.1231570563848834</v>
      </c>
      <c r="C17" s="4">
        <f t="shared" si="11"/>
        <v>1.6740950962155612</v>
      </c>
      <c r="D17" s="4">
        <f t="shared" si="12"/>
        <v>3.4061459037844388</v>
      </c>
      <c r="E17" s="4">
        <f t="shared" si="13"/>
        <v>1.396157596215561</v>
      </c>
      <c r="F17" s="4">
        <f t="shared" si="14"/>
        <v>3.1282084037844387</v>
      </c>
      <c r="G17" s="1">
        <f t="shared" si="15"/>
        <v>0</v>
      </c>
      <c r="H17" s="1">
        <f t="shared" si="16"/>
        <v>0</v>
      </c>
      <c r="I17" s="1">
        <f t="shared" si="17"/>
        <v>1</v>
      </c>
    </row>
    <row r="18" spans="1:9" x14ac:dyDescent="0.3">
      <c r="A18" s="4">
        <f t="shared" si="9"/>
        <v>5.3165887515542618</v>
      </c>
      <c r="B18" s="4">
        <f t="shared" si="10"/>
        <v>7.2144503411715579</v>
      </c>
      <c r="C18" s="4">
        <f t="shared" si="11"/>
        <v>3.8150535962155616</v>
      </c>
      <c r="D18" s="4">
        <f t="shared" si="12"/>
        <v>5.5471044037844388</v>
      </c>
      <c r="E18" s="4">
        <f t="shared" si="13"/>
        <v>3.2443255962155608</v>
      </c>
      <c r="F18" s="4">
        <f t="shared" si="14"/>
        <v>4.976376403784438</v>
      </c>
      <c r="G18" s="1">
        <f t="shared" si="15"/>
        <v>1</v>
      </c>
      <c r="H18" s="1">
        <f t="shared" si="16"/>
        <v>0</v>
      </c>
      <c r="I18" s="1">
        <f t="shared" si="17"/>
        <v>1</v>
      </c>
    </row>
    <row r="19" spans="1:9" x14ac:dyDescent="0.3">
      <c r="A19" s="4">
        <f t="shared" si="9"/>
        <v>5.9491843416035541</v>
      </c>
      <c r="B19" s="4">
        <f t="shared" si="10"/>
        <v>8.0644572648946422</v>
      </c>
      <c r="C19" s="4">
        <f t="shared" si="11"/>
        <v>4.5575505962155614</v>
      </c>
      <c r="D19" s="4">
        <f t="shared" si="12"/>
        <v>6.2896014037844381</v>
      </c>
      <c r="E19" s="4">
        <f t="shared" si="13"/>
        <v>4.5623055962155616</v>
      </c>
      <c r="F19" s="4">
        <f t="shared" si="14"/>
        <v>6.2943564037844384</v>
      </c>
      <c r="G19" s="1">
        <f t="shared" si="15"/>
        <v>1</v>
      </c>
      <c r="H19" s="1">
        <f t="shared" si="16"/>
        <v>1</v>
      </c>
      <c r="I19" s="1">
        <f t="shared" si="17"/>
        <v>1</v>
      </c>
    </row>
    <row r="20" spans="1:9" x14ac:dyDescent="0.3">
      <c r="A20" s="4">
        <f t="shared" si="9"/>
        <v>3.7455506202970232</v>
      </c>
      <c r="B20" s="4">
        <f t="shared" si="10"/>
        <v>5.125690051971886</v>
      </c>
      <c r="C20" s="4">
        <f t="shared" si="11"/>
        <v>0.9008935962155612</v>
      </c>
      <c r="D20" s="4">
        <f t="shared" si="12"/>
        <v>2.6329444037844385</v>
      </c>
      <c r="E20" s="4">
        <f t="shared" si="13"/>
        <v>0.79483659621556135</v>
      </c>
      <c r="F20" s="4">
        <f t="shared" si="14"/>
        <v>2.5268874037844387</v>
      </c>
      <c r="G20" s="1">
        <f t="shared" si="15"/>
        <v>0</v>
      </c>
      <c r="H20" s="1">
        <f t="shared" si="16"/>
        <v>0</v>
      </c>
      <c r="I20" s="1">
        <f t="shared" si="17"/>
        <v>1</v>
      </c>
    </row>
    <row r="21" spans="1:9" x14ac:dyDescent="0.3">
      <c r="A21" s="4">
        <f t="shared" si="9"/>
        <v>5.3166775287337256</v>
      </c>
      <c r="B21" s="4">
        <f t="shared" si="10"/>
        <v>7.2145724712662744</v>
      </c>
      <c r="C21" s="4">
        <f t="shared" si="11"/>
        <v>3.5107975962155611</v>
      </c>
      <c r="D21" s="4">
        <f t="shared" si="12"/>
        <v>5.2428484037844383</v>
      </c>
      <c r="E21" s="4">
        <f t="shared" si="13"/>
        <v>3.5064535962155614</v>
      </c>
      <c r="F21" s="4">
        <f t="shared" si="14"/>
        <v>5.2385044037844386</v>
      </c>
      <c r="G21" s="1">
        <f t="shared" si="15"/>
        <v>0</v>
      </c>
      <c r="H21" s="1">
        <f t="shared" si="16"/>
        <v>0</v>
      </c>
      <c r="I21" s="1">
        <f t="shared" si="17"/>
        <v>1</v>
      </c>
    </row>
    <row r="22" spans="1:9" x14ac:dyDescent="0.3">
      <c r="A22" s="4">
        <f t="shared" si="9"/>
        <v>5.9475863246118585</v>
      </c>
      <c r="B22" s="4">
        <f t="shared" si="10"/>
        <v>8.0622708182452865</v>
      </c>
      <c r="C22" s="4">
        <f t="shared" si="11"/>
        <v>4.593837596215562</v>
      </c>
      <c r="D22" s="4">
        <f t="shared" si="12"/>
        <v>6.3258884037844387</v>
      </c>
      <c r="E22" s="4">
        <f t="shared" si="13"/>
        <v>4.0850830962155618</v>
      </c>
      <c r="F22" s="4">
        <f t="shared" si="14"/>
        <v>5.8171339037844385</v>
      </c>
      <c r="G22" s="1">
        <f t="shared" si="15"/>
        <v>1</v>
      </c>
      <c r="H22" s="1">
        <f t="shared" si="16"/>
        <v>0</v>
      </c>
      <c r="I22" s="1">
        <f t="shared" si="17"/>
        <v>1</v>
      </c>
    </row>
    <row r="26" spans="1:9" x14ac:dyDescent="0.3">
      <c r="A26" s="31" t="s">
        <v>58</v>
      </c>
      <c r="B26" s="31"/>
      <c r="C26" s="31" t="s">
        <v>58</v>
      </c>
      <c r="D26" s="31"/>
      <c r="E26" s="31" t="s">
        <v>58</v>
      </c>
      <c r="F26" s="31"/>
      <c r="G26" s="31" t="s">
        <v>63</v>
      </c>
      <c r="H26" s="31"/>
      <c r="I26" s="31"/>
    </row>
    <row r="27" spans="1:9" x14ac:dyDescent="0.3">
      <c r="A27" s="1" t="s">
        <v>55</v>
      </c>
      <c r="B27" s="1" t="s">
        <v>56</v>
      </c>
      <c r="C27" s="1" t="s">
        <v>59</v>
      </c>
      <c r="D27" s="1" t="s">
        <v>60</v>
      </c>
      <c r="E27" s="1" t="s">
        <v>61</v>
      </c>
      <c r="F27" s="1" t="s">
        <v>62</v>
      </c>
      <c r="G27" s="1" t="s">
        <v>64</v>
      </c>
      <c r="H27" s="1" t="s">
        <v>65</v>
      </c>
      <c r="I27" s="1" t="s">
        <v>66</v>
      </c>
    </row>
    <row r="28" spans="1:9" x14ac:dyDescent="0.3">
      <c r="A28" s="4">
        <f t="shared" ref="A28:A36" si="18">J2-L2</f>
        <v>1.9868126209989954</v>
      </c>
      <c r="B28" s="4">
        <f t="shared" ref="B28:B36" si="19">J2+L2</f>
        <v>2.7190697319421813</v>
      </c>
      <c r="C28" s="4">
        <f t="shared" ref="C28:C36" si="20">N2-Q2</f>
        <v>1.7837950962155609</v>
      </c>
      <c r="D28" s="4">
        <f t="shared" ref="D28:D36" si="21">N2+Q2</f>
        <v>3.5158459037844385</v>
      </c>
      <c r="E28" s="4">
        <f t="shared" ref="E28:E36" si="22">P2-Q2</f>
        <v>1.6029690962155612</v>
      </c>
      <c r="F28" s="4">
        <f t="shared" ref="F28:F36" si="23">P2+Q2</f>
        <v>3.3350199037844388</v>
      </c>
      <c r="G28" s="1">
        <f t="shared" ref="G28:G36" si="24">IF(OR(AND(A28&gt;=C28,A28&lt;=D28),AND(C28&gt;=A28,C28&lt;=B28)), 1,0)</f>
        <v>1</v>
      </c>
      <c r="H28" s="1">
        <f t="shared" ref="H28:H36" si="25">IF(OR(AND(A28&gt;=E28,A28&lt;=F28),AND(E28&gt;=A28,E28&lt;=B28)), 1,0)</f>
        <v>1</v>
      </c>
      <c r="I28" s="1">
        <f>IF(OR(AND(C28&gt;=E28,C28&lt;=F28),AND(E28&gt;=C28,E28&lt;=D28)), 1,0)</f>
        <v>1</v>
      </c>
    </row>
    <row r="29" spans="1:9" x14ac:dyDescent="0.3">
      <c r="A29" s="4">
        <f t="shared" si="18"/>
        <v>2.6475834917801375</v>
      </c>
      <c r="B29" s="4">
        <f t="shared" si="19"/>
        <v>3.5926661182042636</v>
      </c>
      <c r="C29" s="4">
        <f t="shared" si="20"/>
        <v>3.3137290962155608</v>
      </c>
      <c r="D29" s="4">
        <f t="shared" si="21"/>
        <v>5.045779903784438</v>
      </c>
      <c r="E29" s="4">
        <f t="shared" si="22"/>
        <v>3.2424645962155609</v>
      </c>
      <c r="F29" s="4">
        <f t="shared" si="23"/>
        <v>4.9745154037844381</v>
      </c>
      <c r="G29" s="1">
        <f t="shared" si="24"/>
        <v>1</v>
      </c>
      <c r="H29" s="1">
        <f t="shared" si="25"/>
        <v>1</v>
      </c>
      <c r="I29" s="1">
        <f t="shared" ref="I29:I36" si="26">IF(OR(AND(C29&gt;=E29,C29&lt;=F29),AND(E29&gt;=C29,E29&lt;=D29)), 1,0)</f>
        <v>1</v>
      </c>
    </row>
    <row r="30" spans="1:9" x14ac:dyDescent="0.3">
      <c r="A30" s="4">
        <f t="shared" si="18"/>
        <v>2.9625259885424935</v>
      </c>
      <c r="B30" s="4">
        <f t="shared" si="19"/>
        <v>4.0158410735649746</v>
      </c>
      <c r="C30" s="4">
        <f t="shared" si="20"/>
        <v>4.1726245962155621</v>
      </c>
      <c r="D30" s="4">
        <f t="shared" si="21"/>
        <v>5.9046754037844389</v>
      </c>
      <c r="E30" s="4">
        <f t="shared" si="22"/>
        <v>3.951861596215561</v>
      </c>
      <c r="F30" s="4">
        <f t="shared" si="23"/>
        <v>5.6839124037844382</v>
      </c>
      <c r="G30" s="1">
        <f t="shared" si="24"/>
        <v>0</v>
      </c>
      <c r="H30" s="1">
        <f t="shared" si="25"/>
        <v>1</v>
      </c>
      <c r="I30" s="1">
        <f t="shared" si="26"/>
        <v>1</v>
      </c>
    </row>
    <row r="31" spans="1:9" x14ac:dyDescent="0.3">
      <c r="A31" s="4">
        <f t="shared" si="18"/>
        <v>1.9501173011419317</v>
      </c>
      <c r="B31" s="4">
        <f t="shared" si="19"/>
        <v>2.6688203431998705</v>
      </c>
      <c r="C31" s="4">
        <f t="shared" si="20"/>
        <v>1.6327830962155612</v>
      </c>
      <c r="D31" s="4">
        <f t="shared" si="21"/>
        <v>3.3648339037844388</v>
      </c>
      <c r="E31" s="4">
        <f t="shared" si="22"/>
        <v>1.3233725962155614</v>
      </c>
      <c r="F31" s="4">
        <f t="shared" si="23"/>
        <v>3.055423403784439</v>
      </c>
      <c r="G31" s="1">
        <f t="shared" si="24"/>
        <v>1</v>
      </c>
      <c r="H31" s="1">
        <f t="shared" si="25"/>
        <v>1</v>
      </c>
      <c r="I31" s="1">
        <f t="shared" si="26"/>
        <v>1</v>
      </c>
    </row>
    <row r="32" spans="1:9" x14ac:dyDescent="0.3">
      <c r="A32" s="4">
        <f t="shared" si="18"/>
        <v>2.7131803343120628</v>
      </c>
      <c r="B32" s="4">
        <f t="shared" si="19"/>
        <v>3.6817037584137555</v>
      </c>
      <c r="C32" s="4">
        <f t="shared" si="20"/>
        <v>2.565649596215561</v>
      </c>
      <c r="D32" s="4">
        <f t="shared" si="21"/>
        <v>4.2977004037844386</v>
      </c>
      <c r="E32" s="4">
        <f t="shared" si="22"/>
        <v>2.6036395962155612</v>
      </c>
      <c r="F32" s="4">
        <f t="shared" si="23"/>
        <v>4.3356904037844384</v>
      </c>
      <c r="G32" s="1">
        <f t="shared" si="24"/>
        <v>1</v>
      </c>
      <c r="H32" s="1">
        <f t="shared" si="25"/>
        <v>1</v>
      </c>
      <c r="I32" s="1">
        <f t="shared" si="26"/>
        <v>1</v>
      </c>
    </row>
    <row r="33" spans="1:9" x14ac:dyDescent="0.3">
      <c r="A33" s="4">
        <f t="shared" si="18"/>
        <v>3.0651846810786747</v>
      </c>
      <c r="B33" s="4">
        <f t="shared" si="19"/>
        <v>4.1550319254195216</v>
      </c>
      <c r="C33" s="4">
        <f t="shared" si="20"/>
        <v>4.5497345962155613</v>
      </c>
      <c r="D33" s="4">
        <f t="shared" si="21"/>
        <v>6.2817854037844381</v>
      </c>
      <c r="E33" s="4">
        <f t="shared" si="22"/>
        <v>4.4713845962155618</v>
      </c>
      <c r="F33" s="4">
        <f t="shared" si="23"/>
        <v>6.2034354037844386</v>
      </c>
      <c r="G33" s="1">
        <f t="shared" si="24"/>
        <v>0</v>
      </c>
      <c r="H33" s="1">
        <f t="shared" si="25"/>
        <v>0</v>
      </c>
      <c r="I33" s="1">
        <f t="shared" si="26"/>
        <v>1</v>
      </c>
    </row>
    <row r="34" spans="1:9" x14ac:dyDescent="0.3">
      <c r="A34" s="4">
        <f t="shared" si="18"/>
        <v>1.7740030092410699</v>
      </c>
      <c r="B34" s="4">
        <f t="shared" si="19"/>
        <v>2.4276776630278367</v>
      </c>
      <c r="C34" s="4">
        <f t="shared" si="20"/>
        <v>0.19412559621556136</v>
      </c>
      <c r="D34" s="4">
        <f t="shared" si="21"/>
        <v>1.9261764037844387</v>
      </c>
      <c r="E34" s="4">
        <f t="shared" si="22"/>
        <v>0.77102459621556119</v>
      </c>
      <c r="F34" s="4">
        <f t="shared" si="23"/>
        <v>2.5030754037844387</v>
      </c>
      <c r="G34" s="1">
        <f t="shared" si="24"/>
        <v>1</v>
      </c>
      <c r="H34" s="1">
        <f t="shared" si="25"/>
        <v>1</v>
      </c>
      <c r="I34" s="1">
        <f t="shared" si="26"/>
        <v>1</v>
      </c>
    </row>
    <row r="35" spans="1:9" x14ac:dyDescent="0.3">
      <c r="A35" s="4">
        <f t="shared" si="18"/>
        <v>2.7153505184156286</v>
      </c>
      <c r="B35" s="4">
        <f t="shared" si="19"/>
        <v>3.6846494815843718</v>
      </c>
      <c r="C35" s="4">
        <f t="shared" si="20"/>
        <v>2.3429005962155611</v>
      </c>
      <c r="D35" s="4">
        <f t="shared" si="21"/>
        <v>4.0749514037844383</v>
      </c>
      <c r="E35" s="4">
        <f t="shared" si="22"/>
        <v>3.4413165962155614</v>
      </c>
      <c r="F35" s="4">
        <f t="shared" si="23"/>
        <v>5.1733674037844386</v>
      </c>
      <c r="G35" s="1">
        <f t="shared" si="24"/>
        <v>1</v>
      </c>
      <c r="H35" s="1">
        <f t="shared" si="25"/>
        <v>1</v>
      </c>
      <c r="I35" s="1">
        <f t="shared" si="26"/>
        <v>1</v>
      </c>
    </row>
    <row r="36" spans="1:9" x14ac:dyDescent="0.3">
      <c r="A36" s="4">
        <f t="shared" si="18"/>
        <v>3.0323477982909273</v>
      </c>
      <c r="B36" s="4">
        <f t="shared" si="19"/>
        <v>4.1105093445662169</v>
      </c>
      <c r="C36" s="4">
        <f t="shared" si="20"/>
        <v>3.8585985962155616</v>
      </c>
      <c r="D36" s="4">
        <f t="shared" si="21"/>
        <v>5.5906494037844388</v>
      </c>
      <c r="E36" s="4">
        <f t="shared" si="22"/>
        <v>4.0302470962155619</v>
      </c>
      <c r="F36" s="4">
        <f t="shared" si="23"/>
        <v>5.7622979037844386</v>
      </c>
      <c r="G36" s="1">
        <f t="shared" si="24"/>
        <v>1</v>
      </c>
      <c r="H36" s="1">
        <f t="shared" si="25"/>
        <v>1</v>
      </c>
      <c r="I36" s="1">
        <f t="shared" si="26"/>
        <v>1</v>
      </c>
    </row>
  </sheetData>
  <mergeCells count="11">
    <mergeCell ref="A2:A4"/>
    <mergeCell ref="A5:A7"/>
    <mergeCell ref="A8:A10"/>
    <mergeCell ref="A26:B26"/>
    <mergeCell ref="C26:D26"/>
    <mergeCell ref="E26:F26"/>
    <mergeCell ref="G26:I26"/>
    <mergeCell ref="A12:B12"/>
    <mergeCell ref="C12:D12"/>
    <mergeCell ref="E12:F12"/>
    <mergeCell ref="G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BA39-2D27-457D-9C08-3324E633104A}">
  <dimension ref="A1:N46"/>
  <sheetViews>
    <sheetView topLeftCell="I1" workbookViewId="0">
      <selection activeCell="N9" sqref="N9:N12"/>
    </sheetView>
  </sheetViews>
  <sheetFormatPr defaultRowHeight="14.4" x14ac:dyDescent="0.3"/>
  <cols>
    <col min="3" max="3" width="12.6640625" bestFit="1" customWidth="1"/>
    <col min="5" max="5" width="15.5546875" bestFit="1" customWidth="1"/>
    <col min="6" max="6" width="8.77734375" customWidth="1"/>
    <col min="7" max="7" width="10.109375" customWidth="1"/>
    <col min="8" max="9" width="20.44140625" bestFit="1" customWidth="1"/>
    <col min="10" max="10" width="25.77734375" bestFit="1" customWidth="1"/>
    <col min="11" max="11" width="30" bestFit="1" customWidth="1"/>
    <col min="12" max="12" width="26.77734375" bestFit="1" customWidth="1"/>
    <col min="13" max="13" width="30.44140625" bestFit="1" customWidth="1"/>
    <col min="14" max="14" width="18.33203125" bestFit="1" customWidth="1"/>
  </cols>
  <sheetData>
    <row r="1" spans="1:14" x14ac:dyDescent="0.3">
      <c r="A1" s="38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">
      <c r="A2" s="1" t="s">
        <v>13</v>
      </c>
      <c r="B2" s="1" t="s">
        <v>1</v>
      </c>
      <c r="C2" s="1" t="s">
        <v>39</v>
      </c>
      <c r="D2" s="1" t="s">
        <v>2</v>
      </c>
      <c r="E2" s="8" t="s">
        <v>43</v>
      </c>
      <c r="F2" s="1" t="s">
        <v>7</v>
      </c>
      <c r="G2" s="1" t="s">
        <v>8</v>
      </c>
      <c r="H2" s="4" t="s">
        <v>44</v>
      </c>
      <c r="I2" s="4" t="s">
        <v>45</v>
      </c>
      <c r="J2" s="1" t="s">
        <v>32</v>
      </c>
      <c r="K2" s="1" t="s">
        <v>33</v>
      </c>
      <c r="L2" s="1" t="s">
        <v>34</v>
      </c>
      <c r="M2" s="1" t="s">
        <v>35</v>
      </c>
      <c r="N2" s="12" t="s">
        <v>40</v>
      </c>
    </row>
    <row r="3" spans="1:14" x14ac:dyDescent="0.3">
      <c r="A3" s="4">
        <v>8</v>
      </c>
      <c r="B3" s="4">
        <v>2.5</v>
      </c>
      <c r="C3" s="8">
        <f>SQRT((0.2/(2*SQRT(6)))^2+((0.05*B3)^2))</f>
        <v>0.13149778198382917</v>
      </c>
      <c r="D3" s="4">
        <f>5.765-5.098</f>
        <v>0.66699999999999982</v>
      </c>
      <c r="E3" s="8">
        <f>SQRT((0.01/(2*SQRT(3)))^2 +2* (0.1*D3)^2)</f>
        <v>9.4372206360418057E-2</v>
      </c>
      <c r="F3" s="4">
        <f>(B3+0.5*9.81*(D3^2))/D3</f>
        <v>7.019760937031486</v>
      </c>
      <c r="G3" s="4">
        <f>B3/D3</f>
        <v>3.7481259370314852</v>
      </c>
      <c r="H3" s="4">
        <f>F3*SQRT((E3/D3)^2+(C3/B3)^2)</f>
        <v>1.0596211811649043</v>
      </c>
      <c r="I3" s="4">
        <f>G3*SQRT((E3/D3)^2+(C3/B3)^2)</f>
        <v>0.56577334587004069</v>
      </c>
      <c r="J3" s="4">
        <f>[2]indoor_audio_tests!B17</f>
        <v>5.4682370000000002</v>
      </c>
      <c r="K3" s="4">
        <f>[2]indoor_audio_tests!C17</f>
        <v>5.4540009999999999</v>
      </c>
      <c r="L3" s="4">
        <f>[2]indoor_audio_tests!D17</f>
        <v>5.1257729999999997</v>
      </c>
      <c r="M3" s="4">
        <f>[2]indoor_audio_tests!E17</f>
        <v>5.1004849999999999</v>
      </c>
      <c r="N3" s="8">
        <f>(J3+1.5-(J3-1.5))/(2*SQRT(3))</f>
        <v>0.86602540378443871</v>
      </c>
    </row>
    <row r="4" spans="1:14" x14ac:dyDescent="0.3">
      <c r="A4" s="4">
        <v>10</v>
      </c>
      <c r="B4" s="4">
        <v>2.5</v>
      </c>
      <c r="C4" s="8">
        <f>SQRT((0.2/(2*SQRT(6)))^2+((0.05*B4)^2))</f>
        <v>0.13149778198382917</v>
      </c>
      <c r="D4" s="4">
        <f>5.054-4.37</f>
        <v>0.68400000000000016</v>
      </c>
      <c r="E4" s="8">
        <f t="shared" ref="E4:E12" si="0">SQRT((0.01/(2*SQRT(3)))^2 +2* (0.1*D4)^2)</f>
        <v>9.6775272323736394E-2</v>
      </c>
      <c r="F4" s="4">
        <f>(B4+0.5*9.81*(D4^2))/D4</f>
        <v>7.0099907602339186</v>
      </c>
      <c r="G4" s="4">
        <f>B4/D4</f>
        <v>3.6549707602339172</v>
      </c>
      <c r="H4" s="4">
        <f>F4*SQRT((E4/D4)^2+(C4/B4)^2)</f>
        <v>1.0581250380873921</v>
      </c>
      <c r="I4" s="4">
        <f>G4*SQRT((E4/D4)^2+(C4/B4)^2)</f>
        <v>0.55170059521615755</v>
      </c>
      <c r="J4" s="4" cm="1">
        <f t="array" ref="J4:M4">[2]indoor_audio_tests!$B$14:$E$14</f>
        <v>5.2488380000000001</v>
      </c>
      <c r="K4" s="4">
        <v>4.8576040000000003</v>
      </c>
      <c r="L4" s="4">
        <v>4.7197959999999997</v>
      </c>
      <c r="M4" s="4">
        <v>4.4024039999999998</v>
      </c>
      <c r="N4" s="8">
        <f>(J4+1.5-(J4-1.5))/(2*SQRT(3))</f>
        <v>0.86602540378443871</v>
      </c>
    </row>
    <row r="5" spans="1:14" x14ac:dyDescent="0.3">
      <c r="A5" s="4">
        <v>12</v>
      </c>
      <c r="B5" s="4">
        <v>2.5</v>
      </c>
      <c r="C5" s="8">
        <f>SQRT((0.2/(2*SQRT(6)))^2+((0.05*B5)^2))</f>
        <v>0.13149778198382917</v>
      </c>
      <c r="D5" s="4">
        <f>4.515-3.849</f>
        <v>0.66599999999999948</v>
      </c>
      <c r="E5" s="8">
        <f t="shared" si="0"/>
        <v>9.4230851282015499E-2</v>
      </c>
      <c r="F5" s="4">
        <f>(B5+0.5*9.81*(D5^2))/D5</f>
        <v>7.020483753753755</v>
      </c>
      <c r="G5" s="4">
        <f>B5/D5</f>
        <v>3.7537537537537569</v>
      </c>
      <c r="H5" s="4">
        <f>F5*SQRT((E5/D5)^2+(C5/B5)^2)</f>
        <v>1.0597315981941102</v>
      </c>
      <c r="I5" s="4">
        <f>G5*SQRT((E5/D5)^2+(C5/B5)^2)</f>
        <v>0.56662355533059139</v>
      </c>
      <c r="J5" s="4" cm="1">
        <f t="array" ref="J5:M5">[2]indoor_audio_tests!$B$15:$E$15</f>
        <v>39.39978</v>
      </c>
      <c r="K5" s="4">
        <v>29.186820999999998</v>
      </c>
      <c r="L5" s="4">
        <v>5.7584999999999997</v>
      </c>
      <c r="M5" s="4">
        <v>5.1588180000000001</v>
      </c>
      <c r="N5" s="8">
        <f>(J5+1.5-(J5-1.5))/(2*SQRT(3))</f>
        <v>0.86602540378443871</v>
      </c>
    </row>
    <row r="6" spans="1:14" x14ac:dyDescent="0.3">
      <c r="A6" s="4">
        <v>14</v>
      </c>
      <c r="B6" s="4">
        <v>2.5</v>
      </c>
      <c r="C6" s="8">
        <f>SQRT((0.2/(2*SQRT(6)))^2+((0.05*B6)^2))</f>
        <v>0.13149778198382917</v>
      </c>
      <c r="D6" s="4">
        <f>4.438-3.738</f>
        <v>0.69999999999999973</v>
      </c>
      <c r="E6" s="8">
        <f t="shared" si="0"/>
        <v>9.903703011163717E-2</v>
      </c>
      <c r="F6" s="4">
        <f>(B6+0.5*9.81*(D6^2))/D6</f>
        <v>7.0049285714285707</v>
      </c>
      <c r="G6" s="4">
        <f>B6/D6</f>
        <v>3.571428571428573</v>
      </c>
      <c r="H6" s="4">
        <f>F6*SQRT((E6/D6)^2+(C6/B6)^2)</f>
        <v>1.0573422468167133</v>
      </c>
      <c r="I6" s="4">
        <f>G6*SQRT((E6/D6)^2+(C6/B6)^2)</f>
        <v>0.5390807731376448</v>
      </c>
      <c r="J6" s="4" cm="1">
        <f t="array" ref="J6:M6">[2]indoor_audio_tests!$B$16:$E$16</f>
        <v>5.6464840000000001</v>
      </c>
      <c r="K6" s="4">
        <v>5.6105960000000001</v>
      </c>
      <c r="L6" s="4">
        <v>5.6190329999999999</v>
      </c>
      <c r="M6" s="4">
        <v>5.5622889999999998</v>
      </c>
      <c r="N6" s="8">
        <f>(J6+1.5-(J6-1.5))/(2*SQRT(3))</f>
        <v>0.86602540378443871</v>
      </c>
    </row>
    <row r="7" spans="1:14" x14ac:dyDescent="0.3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3">
      <c r="A8" s="1" t="s">
        <v>13</v>
      </c>
      <c r="B8" s="1" t="s">
        <v>1</v>
      </c>
      <c r="C8" s="1" t="s">
        <v>39</v>
      </c>
      <c r="D8" s="1" t="s">
        <v>2</v>
      </c>
      <c r="E8" s="8" t="s">
        <v>43</v>
      </c>
      <c r="F8" s="1" t="s">
        <v>7</v>
      </c>
      <c r="G8" s="1" t="s">
        <v>8</v>
      </c>
      <c r="H8" s="4" t="s">
        <v>44</v>
      </c>
      <c r="I8" s="4" t="s">
        <v>45</v>
      </c>
      <c r="J8" s="1" t="s">
        <v>32</v>
      </c>
      <c r="K8" s="1" t="s">
        <v>33</v>
      </c>
      <c r="L8" s="1" t="s">
        <v>34</v>
      </c>
      <c r="M8" s="1" t="s">
        <v>35</v>
      </c>
      <c r="N8" s="12" t="s">
        <v>40</v>
      </c>
    </row>
    <row r="9" spans="1:14" x14ac:dyDescent="0.3">
      <c r="A9" s="4">
        <v>38</v>
      </c>
      <c r="B9" s="4">
        <v>2.5</v>
      </c>
      <c r="C9" s="8">
        <f>SQRT((0.2/(2*SQRT(6)))^2+((0.05*B9)^2))</f>
        <v>0.13149778198382917</v>
      </c>
      <c r="D9" s="4">
        <f>2.582-1.897</f>
        <v>0.68499999999999983</v>
      </c>
      <c r="E9" s="8">
        <f t="shared" si="0"/>
        <v>9.6916630839775544E-2</v>
      </c>
      <c r="F9" s="4">
        <f>(B9+0.5*9.81*(D9^2))/D9</f>
        <v>7.0095600364963504</v>
      </c>
      <c r="G9" s="4">
        <f>B9/D9</f>
        <v>3.6496350364963512</v>
      </c>
      <c r="H9" s="4">
        <f>F9*SQRT((E9/D9)^2+(C9/B9)^2)</f>
        <v>1.0580588157515434</v>
      </c>
      <c r="I9" s="4">
        <f>G9*SQRT((E9/D9)^2+(C9/B9)^2)</f>
        <v>0.55089456464243536</v>
      </c>
      <c r="J9" s="4" cm="1">
        <f t="array" ref="J9:M9">[1]indoor_ultra_tests!$B$20:$E$20</f>
        <v>5.3144200000000001</v>
      </c>
      <c r="K9" s="4">
        <v>5.3015499999999998</v>
      </c>
      <c r="L9" s="4">
        <v>5.3170849999999996</v>
      </c>
      <c r="M9" s="4">
        <v>5.2479279999999999</v>
      </c>
      <c r="N9" s="8">
        <f>(J9+1.5-(J9-1.5))/(2*SQRT(3))</f>
        <v>0.86602540378443871</v>
      </c>
    </row>
    <row r="10" spans="1:14" x14ac:dyDescent="0.3">
      <c r="A10" s="4">
        <v>39</v>
      </c>
      <c r="B10" s="4">
        <v>2.5</v>
      </c>
      <c r="C10" s="8">
        <f>SQRT((0.2/(2*SQRT(6)))^2+((0.05*B10)^2))</f>
        <v>0.13149778198382917</v>
      </c>
      <c r="D10" s="4">
        <f>2.226-1.525</f>
        <v>0.70100000000000007</v>
      </c>
      <c r="E10" s="8">
        <f t="shared" si="0"/>
        <v>9.9178391463732349E-2</v>
      </c>
      <c r="F10" s="4">
        <f>(B10+0.5*9.81*(D10^2))/D10</f>
        <v>7.0047388088445075</v>
      </c>
      <c r="G10" s="4">
        <f>B10/D10</f>
        <v>3.5663338088445076</v>
      </c>
      <c r="H10" s="4">
        <f>F10*SQRT((E10/D10)^2+(C10/B10)^2)</f>
        <v>1.057312478497328</v>
      </c>
      <c r="I10" s="4">
        <f>G10*SQRT((E10/D10)^2+(C10/B10)^2)</f>
        <v>0.5383111835400779</v>
      </c>
      <c r="J10" s="4" cm="1">
        <f t="array" ref="J10:M10">[1]indoor_ultra_tests!$B$21:$E$21</f>
        <v>5.1661279999999996</v>
      </c>
      <c r="K10" s="4">
        <v>5.1644110000000003</v>
      </c>
      <c r="L10" s="4">
        <v>4.8561319999999997</v>
      </c>
      <c r="M10" s="4">
        <v>4.7877530000000004</v>
      </c>
      <c r="N10" s="8">
        <f>(J10+1.5-(J10-1.5))/(2*SQRT(3))</f>
        <v>0.86602540378443871</v>
      </c>
    </row>
    <row r="11" spans="1:14" x14ac:dyDescent="0.3">
      <c r="A11" s="4">
        <v>39.5</v>
      </c>
      <c r="B11" s="4">
        <v>2.5</v>
      </c>
      <c r="C11" s="8">
        <f>SQRT((0.2/(2*SQRT(6)))^2+((0.05*B11)^2))</f>
        <v>0.13149778198382917</v>
      </c>
      <c r="D11" s="4">
        <f>2.253-1.568</f>
        <v>0.68500000000000005</v>
      </c>
      <c r="E11" s="8">
        <f t="shared" si="0"/>
        <v>9.6916630839775572E-2</v>
      </c>
      <c r="F11" s="4">
        <f>(B11+0.5*9.81*(D11^2))/D11</f>
        <v>7.0095600364963504</v>
      </c>
      <c r="G11" s="4">
        <f>B11/D11</f>
        <v>3.6496350364963499</v>
      </c>
      <c r="H11" s="4">
        <f>F11*SQRT((E11/D11)^2+(C11/B11)^2)</f>
        <v>1.0580588157515434</v>
      </c>
      <c r="I11" s="4">
        <f>G11*SQRT((E11/D11)^2+(C11/B11)^2)</f>
        <v>0.55089456464243525</v>
      </c>
      <c r="J11" s="4" cm="1">
        <f t="array" ref="J11:M11">[1]indoor_ultra_tests!$B$22:$E$22</f>
        <v>5.1795980000000004</v>
      </c>
      <c r="K11" s="4">
        <v>5.1606030000000001</v>
      </c>
      <c r="L11" s="4">
        <v>4.1499410000000001</v>
      </c>
      <c r="M11" s="4">
        <v>3.3236650000000001</v>
      </c>
      <c r="N11" s="8">
        <f>(J11+1.5-(J11-1.5))/(2*SQRT(3))</f>
        <v>0.86602540378443871</v>
      </c>
    </row>
    <row r="12" spans="1:14" x14ac:dyDescent="0.3">
      <c r="A12" s="4">
        <v>40</v>
      </c>
      <c r="B12" s="4">
        <v>2.5</v>
      </c>
      <c r="C12" s="8">
        <f>SQRT((0.2/(2*SQRT(6)))^2+((0.05*B12)^2))</f>
        <v>0.13149778198382917</v>
      </c>
      <c r="D12" s="4">
        <f>2.253-1.552</f>
        <v>0.70100000000000007</v>
      </c>
      <c r="E12" s="8">
        <f t="shared" si="0"/>
        <v>9.9178391463732349E-2</v>
      </c>
      <c r="F12" s="4">
        <f>(B12+0.5*9.81*(D12^2))/D12</f>
        <v>7.0047388088445075</v>
      </c>
      <c r="G12" s="4">
        <f>B12/D12</f>
        <v>3.5663338088445076</v>
      </c>
      <c r="H12" s="4">
        <f>F12*SQRT((E12/D12)^2+(C12/B12)^2)</f>
        <v>1.057312478497328</v>
      </c>
      <c r="I12" s="4">
        <f>G12*SQRT((E12/D12)^2+(C12/B12)^2)</f>
        <v>0.5383111835400779</v>
      </c>
      <c r="J12" s="4" cm="1">
        <f t="array" ref="J12:M12">[1]indoor_ultra_tests!$B$23:$E$23</f>
        <v>4.9440229999999996</v>
      </c>
      <c r="K12" s="4">
        <v>4.9403389999999998</v>
      </c>
      <c r="L12" s="4">
        <v>4.825177</v>
      </c>
      <c r="M12" s="4">
        <v>3.813212</v>
      </c>
      <c r="N12" s="8">
        <f>(J12+1.5-(J12-1.5))/(2*SQRT(3))</f>
        <v>0.86602540378443871</v>
      </c>
    </row>
    <row r="14" spans="1:14" x14ac:dyDescent="0.3">
      <c r="A14" s="31" t="s">
        <v>57</v>
      </c>
      <c r="B14" s="31"/>
      <c r="C14" s="31" t="s">
        <v>57</v>
      </c>
      <c r="D14" s="31"/>
      <c r="E14" s="31" t="s">
        <v>57</v>
      </c>
      <c r="F14" s="31"/>
      <c r="G14" s="31" t="s">
        <v>63</v>
      </c>
      <c r="H14" s="31"/>
      <c r="I14" s="31"/>
    </row>
    <row r="15" spans="1:14" x14ac:dyDescent="0.3">
      <c r="A15" s="1" t="s">
        <v>55</v>
      </c>
      <c r="B15" s="1" t="s">
        <v>56</v>
      </c>
      <c r="C15" s="1" t="s">
        <v>59</v>
      </c>
      <c r="D15" s="1" t="s">
        <v>60</v>
      </c>
      <c r="E15" s="1" t="s">
        <v>61</v>
      </c>
      <c r="F15" s="1" t="s">
        <v>60</v>
      </c>
      <c r="G15" s="1" t="s">
        <v>64</v>
      </c>
      <c r="H15" s="1" t="s">
        <v>65</v>
      </c>
      <c r="I15" s="1" t="s">
        <v>66</v>
      </c>
    </row>
    <row r="16" spans="1:14" x14ac:dyDescent="0.3">
      <c r="A16" s="4">
        <f>F3-H3</f>
        <v>5.9601397558665816</v>
      </c>
      <c r="B16" s="4">
        <f>F3+H3</f>
        <v>8.0793821181963903</v>
      </c>
      <c r="C16" s="4">
        <f>J3-N3</f>
        <v>4.6022115962155619</v>
      </c>
      <c r="D16" s="4">
        <f>J3+N3</f>
        <v>6.3342624037844386</v>
      </c>
      <c r="E16" s="4">
        <f>L3-N3</f>
        <v>4.2597475962155613</v>
      </c>
      <c r="F16" s="4">
        <f>L3+N3</f>
        <v>5.9917984037844381</v>
      </c>
      <c r="G16" s="1">
        <f>IF(OR(AND(A16&gt;=C16,A16&lt;=D16),AND(C16&gt;=A16,C16&lt;=B16)), 1,0)</f>
        <v>1</v>
      </c>
      <c r="H16" s="1">
        <f>IF(OR(AND(A16&gt;=E16,A16&lt;=F16),AND(E16&gt;=A16,E16&lt;=B16)), 1,0)</f>
        <v>1</v>
      </c>
      <c r="I16" s="1">
        <f>IF(OR(AND(C16&gt;=E16,C16&lt;=F16),AND(E16&gt;=C16,E16&lt;=D16)), 1,0)</f>
        <v>1</v>
      </c>
    </row>
    <row r="17" spans="1:9" x14ac:dyDescent="0.3">
      <c r="A17" s="4">
        <f t="shared" ref="A17:A25" si="1">F4-H4</f>
        <v>5.9518657221465263</v>
      </c>
      <c r="B17" s="4">
        <f t="shared" ref="B17:B25" si="2">F4+H4</f>
        <v>8.0681157983213101</v>
      </c>
      <c r="C17" s="4">
        <f t="shared" ref="C17:C25" si="3">J4-N4</f>
        <v>4.3828125962155617</v>
      </c>
      <c r="D17" s="4">
        <f t="shared" ref="D17:D25" si="4">J4+N4</f>
        <v>6.1148634037844385</v>
      </c>
      <c r="E17" s="4">
        <f t="shared" ref="E17:E25" si="5">L4-N4</f>
        <v>3.8537705962155608</v>
      </c>
      <c r="F17" s="4">
        <f t="shared" ref="F17:F25" si="6">L4+N4</f>
        <v>5.585821403784438</v>
      </c>
      <c r="G17" s="1">
        <f t="shared" ref="G17:G25" si="7">IF(OR(AND(A17&gt;=C17,A17&lt;=D17),AND(C17&gt;=A17,C17&lt;=B17)), 1,0)</f>
        <v>1</v>
      </c>
      <c r="H17" s="1">
        <f t="shared" ref="H17:H25" si="8">IF(OR(AND(A17&gt;=E17,A17&lt;=F17),AND(E17&gt;=A17,E17&lt;=B17)), 1,0)</f>
        <v>0</v>
      </c>
      <c r="I17" s="1">
        <f t="shared" ref="I17:I25" si="9">IF(OR(AND(C17&gt;=E17,C17&lt;=F17),AND(E17&gt;=C17,E17&lt;=D17)), 1,0)</f>
        <v>1</v>
      </c>
    </row>
    <row r="18" spans="1:9" x14ac:dyDescent="0.3">
      <c r="A18" s="4">
        <f t="shared" si="1"/>
        <v>5.9607521555596445</v>
      </c>
      <c r="B18" s="4">
        <f t="shared" si="2"/>
        <v>8.0802153519478654</v>
      </c>
      <c r="C18" s="4">
        <f t="shared" si="3"/>
        <v>38.533754596215559</v>
      </c>
      <c r="D18" s="4">
        <f t="shared" si="4"/>
        <v>40.265805403784441</v>
      </c>
      <c r="E18" s="4">
        <f t="shared" si="5"/>
        <v>4.8924745962155614</v>
      </c>
      <c r="F18" s="4">
        <f t="shared" si="6"/>
        <v>6.6245254037844381</v>
      </c>
      <c r="G18" s="1">
        <f t="shared" si="7"/>
        <v>0</v>
      </c>
      <c r="H18" s="1">
        <f t="shared" si="8"/>
        <v>1</v>
      </c>
      <c r="I18" s="1">
        <f t="shared" si="9"/>
        <v>0</v>
      </c>
    </row>
    <row r="19" spans="1:9" x14ac:dyDescent="0.3">
      <c r="A19" s="4">
        <f t="shared" si="1"/>
        <v>5.9475863246118577</v>
      </c>
      <c r="B19" s="4">
        <f t="shared" si="2"/>
        <v>8.0622708182452847</v>
      </c>
      <c r="C19" s="4">
        <f t="shared" si="3"/>
        <v>4.7804585962155617</v>
      </c>
      <c r="D19" s="4">
        <f t="shared" si="4"/>
        <v>6.5125094037844384</v>
      </c>
      <c r="E19" s="4">
        <f t="shared" si="5"/>
        <v>4.7530075962155616</v>
      </c>
      <c r="F19" s="4">
        <f t="shared" si="6"/>
        <v>6.4850584037844383</v>
      </c>
      <c r="G19" s="1">
        <f t="shared" si="7"/>
        <v>1</v>
      </c>
      <c r="H19" s="1">
        <f t="shared" si="8"/>
        <v>1</v>
      </c>
      <c r="I19" s="1">
        <f t="shared" si="9"/>
        <v>1</v>
      </c>
    </row>
    <row r="20" spans="1:9" x14ac:dyDescent="0.3">
      <c r="A20" s="21"/>
      <c r="B20" s="4"/>
      <c r="C20" s="21"/>
      <c r="D20" s="21"/>
      <c r="E20" s="21"/>
      <c r="F20" s="21"/>
      <c r="G20" s="22"/>
      <c r="H20" s="22"/>
      <c r="I20" s="22"/>
    </row>
    <row r="21" spans="1:9" x14ac:dyDescent="0.3">
      <c r="A21" s="21"/>
      <c r="B21" s="4"/>
      <c r="C21" s="21"/>
      <c r="D21" s="21"/>
      <c r="E21" s="21"/>
      <c r="F21" s="21"/>
      <c r="G21" s="22"/>
      <c r="H21" s="22"/>
      <c r="I21" s="22"/>
    </row>
    <row r="22" spans="1:9" x14ac:dyDescent="0.3">
      <c r="A22" s="4">
        <f t="shared" si="1"/>
        <v>5.9515012207448068</v>
      </c>
      <c r="B22" s="4">
        <f t="shared" si="2"/>
        <v>8.0676188522478931</v>
      </c>
      <c r="C22" s="4">
        <f t="shared" si="3"/>
        <v>4.4483945962155618</v>
      </c>
      <c r="D22" s="4">
        <f t="shared" si="4"/>
        <v>6.1804454037844385</v>
      </c>
      <c r="E22" s="4">
        <f t="shared" si="5"/>
        <v>4.4510595962155612</v>
      </c>
      <c r="F22" s="4">
        <f t="shared" si="6"/>
        <v>6.183110403784438</v>
      </c>
      <c r="G22" s="1">
        <f t="shared" si="7"/>
        <v>1</v>
      </c>
      <c r="H22" s="1">
        <f t="shared" si="8"/>
        <v>1</v>
      </c>
      <c r="I22" s="1">
        <f t="shared" si="9"/>
        <v>1</v>
      </c>
    </row>
    <row r="23" spans="1:9" x14ac:dyDescent="0.3">
      <c r="A23" s="4">
        <f t="shared" si="1"/>
        <v>5.947426330347179</v>
      </c>
      <c r="B23" s="4">
        <f t="shared" si="2"/>
        <v>8.062051287341836</v>
      </c>
      <c r="C23" s="4">
        <f t="shared" si="3"/>
        <v>4.3001025962155612</v>
      </c>
      <c r="D23" s="4">
        <f t="shared" si="4"/>
        <v>6.032153403784438</v>
      </c>
      <c r="E23" s="4">
        <f t="shared" si="5"/>
        <v>3.9901065962155609</v>
      </c>
      <c r="F23" s="4">
        <f t="shared" si="6"/>
        <v>5.722157403784438</v>
      </c>
      <c r="G23" s="1">
        <f t="shared" si="7"/>
        <v>1</v>
      </c>
      <c r="H23" s="1">
        <f t="shared" si="8"/>
        <v>0</v>
      </c>
      <c r="I23" s="1">
        <f t="shared" si="9"/>
        <v>1</v>
      </c>
    </row>
    <row r="24" spans="1:9" x14ac:dyDescent="0.3">
      <c r="A24" s="4">
        <f t="shared" si="1"/>
        <v>5.9515012207448068</v>
      </c>
      <c r="B24" s="4">
        <f t="shared" si="2"/>
        <v>8.0676188522478931</v>
      </c>
      <c r="C24" s="4">
        <f t="shared" si="3"/>
        <v>4.313572596215562</v>
      </c>
      <c r="D24" s="4">
        <f t="shared" si="4"/>
        <v>6.0456234037844387</v>
      </c>
      <c r="E24" s="4">
        <f t="shared" si="5"/>
        <v>3.2839155962155613</v>
      </c>
      <c r="F24" s="4">
        <f t="shared" si="6"/>
        <v>5.0159664037844385</v>
      </c>
      <c r="G24" s="1">
        <f t="shared" si="7"/>
        <v>1</v>
      </c>
      <c r="H24" s="1">
        <f t="shared" si="8"/>
        <v>0</v>
      </c>
      <c r="I24" s="1">
        <f t="shared" si="9"/>
        <v>1</v>
      </c>
    </row>
    <row r="25" spans="1:9" x14ac:dyDescent="0.3">
      <c r="A25" s="4">
        <f t="shared" si="1"/>
        <v>5.947426330347179</v>
      </c>
      <c r="B25" s="4">
        <f t="shared" si="2"/>
        <v>8.062051287341836</v>
      </c>
      <c r="C25" s="4">
        <f t="shared" si="3"/>
        <v>4.0779975962155612</v>
      </c>
      <c r="D25" s="4">
        <f t="shared" si="4"/>
        <v>5.810048403784438</v>
      </c>
      <c r="E25" s="4">
        <f t="shared" si="5"/>
        <v>3.9591515962155612</v>
      </c>
      <c r="F25" s="4">
        <f t="shared" si="6"/>
        <v>5.6912024037844384</v>
      </c>
      <c r="G25" s="1">
        <f t="shared" si="7"/>
        <v>0</v>
      </c>
      <c r="H25" s="1">
        <f t="shared" si="8"/>
        <v>0</v>
      </c>
      <c r="I25" s="1">
        <f t="shared" si="9"/>
        <v>1</v>
      </c>
    </row>
    <row r="29" spans="1:9" x14ac:dyDescent="0.3">
      <c r="A29" s="31" t="s">
        <v>58</v>
      </c>
      <c r="B29" s="31"/>
      <c r="C29" s="31" t="s">
        <v>58</v>
      </c>
      <c r="D29" s="31"/>
      <c r="E29" s="31" t="s">
        <v>58</v>
      </c>
      <c r="F29" s="31"/>
      <c r="G29" s="31" t="s">
        <v>63</v>
      </c>
      <c r="H29" s="31"/>
      <c r="I29" s="31"/>
    </row>
    <row r="30" spans="1:9" x14ac:dyDescent="0.3">
      <c r="A30" s="1" t="s">
        <v>55</v>
      </c>
      <c r="B30" s="1" t="s">
        <v>56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64</v>
      </c>
      <c r="H30" s="1" t="s">
        <v>65</v>
      </c>
      <c r="I30" s="1" t="s">
        <v>66</v>
      </c>
    </row>
    <row r="31" spans="1:9" x14ac:dyDescent="0.3">
      <c r="A31" s="4">
        <f>G3-I3</f>
        <v>3.1823525911614445</v>
      </c>
      <c r="B31" s="4">
        <f>G3+I3</f>
        <v>4.3138992829015255</v>
      </c>
      <c r="C31" s="4">
        <f>K3-N3</f>
        <v>4.5879755962155615</v>
      </c>
      <c r="D31" s="4">
        <f>K3+N3</f>
        <v>6.3200264037844383</v>
      </c>
      <c r="E31" s="4">
        <f>M3-N3</f>
        <v>4.2344595962155616</v>
      </c>
      <c r="F31" s="4">
        <f>M3+N3</f>
        <v>5.9665104037844383</v>
      </c>
      <c r="G31" s="1">
        <f>IF(OR(AND(A31&gt;=C31,A31&lt;=D31),AND(C31&gt;=A31,C31&lt;=B31)), 1,0)</f>
        <v>0</v>
      </c>
      <c r="H31" s="1">
        <f>IF(OR(AND(A31&gt;=E31,A31&lt;=F31),AND(E31&gt;=A31,E31&lt;=B31)), 1,0)</f>
        <v>1</v>
      </c>
      <c r="I31" s="1">
        <f>IF(OR(AND(C31&gt;=E31,C31&lt;=F31),AND(E31&gt;=C31,E31&lt;=D31)), 1,0)</f>
        <v>1</v>
      </c>
    </row>
    <row r="32" spans="1:9" x14ac:dyDescent="0.3">
      <c r="A32" s="4">
        <f t="shared" ref="A32:A39" si="10">G4-I4</f>
        <v>3.1032701650177597</v>
      </c>
      <c r="B32" s="4">
        <f t="shared" ref="B32:B40" si="11">G4+I4</f>
        <v>4.2066713554500748</v>
      </c>
      <c r="C32" s="4">
        <f t="shared" ref="C32:C40" si="12">K4-N4</f>
        <v>3.9915785962155614</v>
      </c>
      <c r="D32" s="4">
        <f t="shared" ref="D32:D40" si="13">K4+N4</f>
        <v>5.7236294037844386</v>
      </c>
      <c r="E32" s="4">
        <f t="shared" ref="E32:E40" si="14">M4-N4</f>
        <v>3.5363785962155609</v>
      </c>
      <c r="F32" s="4">
        <f t="shared" ref="F32:F40" si="15">M4+N4</f>
        <v>5.2684294037844381</v>
      </c>
      <c r="G32" s="1">
        <f t="shared" ref="G32:G40" si="16">IF(OR(AND(A32&gt;=C32,A32&lt;=D32),AND(C32&gt;=A32,C32&lt;=B32)), 1,0)</f>
        <v>1</v>
      </c>
      <c r="H32" s="1">
        <f t="shared" ref="H32:H40" si="17">IF(OR(AND(A32&gt;=E32,A32&lt;=F32),AND(E32&gt;=A32,E32&lt;=B32)), 1,0)</f>
        <v>1</v>
      </c>
      <c r="I32" s="1">
        <f t="shared" ref="I32:I40" si="18">IF(OR(AND(C32&gt;=E32,C32&lt;=F32),AND(E32&gt;=C32,E32&lt;=D32)), 1,0)</f>
        <v>1</v>
      </c>
    </row>
    <row r="33" spans="1:9" x14ac:dyDescent="0.3">
      <c r="A33" s="4">
        <f t="shared" si="10"/>
        <v>3.1871301984231657</v>
      </c>
      <c r="B33" s="4">
        <f t="shared" si="11"/>
        <v>4.320377309084348</v>
      </c>
      <c r="C33" s="4">
        <f t="shared" si="12"/>
        <v>28.320795596215561</v>
      </c>
      <c r="D33" s="4">
        <f t="shared" si="13"/>
        <v>30.052846403784436</v>
      </c>
      <c r="E33" s="4">
        <f t="shared" si="14"/>
        <v>4.2927925962155618</v>
      </c>
      <c r="F33" s="4">
        <f t="shared" si="15"/>
        <v>6.0248434037844385</v>
      </c>
      <c r="G33" s="1">
        <f t="shared" si="16"/>
        <v>0</v>
      </c>
      <c r="H33" s="1">
        <f t="shared" si="17"/>
        <v>1</v>
      </c>
      <c r="I33" s="1">
        <f t="shared" si="18"/>
        <v>0</v>
      </c>
    </row>
    <row r="34" spans="1:9" x14ac:dyDescent="0.3">
      <c r="A34" s="4">
        <f t="shared" si="10"/>
        <v>3.0323477982909282</v>
      </c>
      <c r="B34" s="4">
        <f t="shared" si="11"/>
        <v>4.1105093445662177</v>
      </c>
      <c r="C34" s="4">
        <f t="shared" si="12"/>
        <v>4.7445705962155618</v>
      </c>
      <c r="D34" s="4">
        <f t="shared" si="13"/>
        <v>6.4766214037844385</v>
      </c>
      <c r="E34" s="4">
        <f t="shared" si="14"/>
        <v>4.6962635962155614</v>
      </c>
      <c r="F34" s="4">
        <f t="shared" si="15"/>
        <v>6.4283144037844382</v>
      </c>
      <c r="G34" s="1">
        <f t="shared" si="16"/>
        <v>0</v>
      </c>
      <c r="H34" s="1">
        <f t="shared" si="17"/>
        <v>0</v>
      </c>
      <c r="I34" s="1">
        <f t="shared" si="18"/>
        <v>1</v>
      </c>
    </row>
    <row r="35" spans="1:9" x14ac:dyDescent="0.3">
      <c r="A35" s="23"/>
      <c r="B35" s="23"/>
      <c r="C35" s="23"/>
      <c r="D35" s="23"/>
      <c r="E35" s="23"/>
      <c r="F35" s="23"/>
      <c r="G35" s="24"/>
      <c r="H35" s="24"/>
      <c r="I35" s="24"/>
    </row>
    <row r="36" spans="1:9" x14ac:dyDescent="0.3">
      <c r="A36" s="23"/>
      <c r="B36" s="23"/>
      <c r="C36" s="23"/>
      <c r="D36" s="23"/>
      <c r="E36" s="23"/>
      <c r="F36" s="23"/>
      <c r="G36" s="24"/>
      <c r="H36" s="24"/>
      <c r="I36" s="24"/>
    </row>
    <row r="37" spans="1:9" x14ac:dyDescent="0.3">
      <c r="A37" s="4">
        <f t="shared" si="10"/>
        <v>3.0987404718539158</v>
      </c>
      <c r="B37" s="4">
        <f t="shared" si="11"/>
        <v>4.2005296011387863</v>
      </c>
      <c r="C37" s="4">
        <f t="shared" si="12"/>
        <v>4.4355245962155614</v>
      </c>
      <c r="D37" s="4">
        <f t="shared" si="13"/>
        <v>6.1675754037844381</v>
      </c>
      <c r="E37" s="4">
        <f t="shared" si="14"/>
        <v>4.3819025962155616</v>
      </c>
      <c r="F37" s="4">
        <f t="shared" si="15"/>
        <v>6.1139534037844383</v>
      </c>
      <c r="G37" s="1">
        <f t="shared" si="16"/>
        <v>0</v>
      </c>
      <c r="H37" s="1">
        <f t="shared" si="17"/>
        <v>0</v>
      </c>
      <c r="I37" s="1">
        <f t="shared" si="18"/>
        <v>1</v>
      </c>
    </row>
    <row r="38" spans="1:9" x14ac:dyDescent="0.3">
      <c r="A38" s="4">
        <f t="shared" si="10"/>
        <v>3.0280226253044296</v>
      </c>
      <c r="B38" s="4">
        <f t="shared" si="11"/>
        <v>4.1046449923845856</v>
      </c>
      <c r="C38" s="4">
        <f t="shared" si="12"/>
        <v>4.2983855962155619</v>
      </c>
      <c r="D38" s="4">
        <f t="shared" si="13"/>
        <v>6.0304364037844387</v>
      </c>
      <c r="E38" s="4">
        <f t="shared" si="14"/>
        <v>3.9217275962155616</v>
      </c>
      <c r="F38" s="4">
        <f t="shared" si="15"/>
        <v>5.6537784037844387</v>
      </c>
      <c r="G38" s="1">
        <f t="shared" si="16"/>
        <v>0</v>
      </c>
      <c r="H38" s="1">
        <f t="shared" si="17"/>
        <v>1</v>
      </c>
      <c r="I38" s="1">
        <f t="shared" si="18"/>
        <v>1</v>
      </c>
    </row>
    <row r="39" spans="1:9" x14ac:dyDescent="0.3">
      <c r="A39" s="4">
        <f t="shared" si="10"/>
        <v>3.0987404718539144</v>
      </c>
      <c r="B39" s="4">
        <f t="shared" si="11"/>
        <v>4.2005296011387854</v>
      </c>
      <c r="C39" s="4">
        <f t="shared" si="12"/>
        <v>4.2945775962155617</v>
      </c>
      <c r="D39" s="4">
        <f t="shared" si="13"/>
        <v>6.0266284037844384</v>
      </c>
      <c r="E39" s="4">
        <f t="shared" si="14"/>
        <v>2.4576395962155613</v>
      </c>
      <c r="F39" s="4">
        <f t="shared" si="15"/>
        <v>4.1896904037844385</v>
      </c>
      <c r="G39" s="1">
        <f t="shared" si="16"/>
        <v>0</v>
      </c>
      <c r="H39" s="1">
        <f t="shared" si="17"/>
        <v>1</v>
      </c>
      <c r="I39" s="1">
        <f t="shared" si="18"/>
        <v>0</v>
      </c>
    </row>
    <row r="40" spans="1:9" x14ac:dyDescent="0.3">
      <c r="A40" s="4">
        <f>G12-I12</f>
        <v>3.0280226253044296</v>
      </c>
      <c r="B40" s="4">
        <f t="shared" si="11"/>
        <v>4.1046449923845856</v>
      </c>
      <c r="C40" s="4">
        <f t="shared" si="12"/>
        <v>4.0743135962155614</v>
      </c>
      <c r="D40" s="4">
        <f t="shared" si="13"/>
        <v>5.8063644037844382</v>
      </c>
      <c r="E40" s="4">
        <f t="shared" si="14"/>
        <v>2.9471865962155612</v>
      </c>
      <c r="F40" s="4">
        <f t="shared" si="15"/>
        <v>4.6792374037844384</v>
      </c>
      <c r="G40" s="1">
        <f t="shared" si="16"/>
        <v>1</v>
      </c>
      <c r="H40" s="1">
        <f t="shared" si="17"/>
        <v>1</v>
      </c>
      <c r="I40" s="1">
        <f t="shared" si="18"/>
        <v>1</v>
      </c>
    </row>
    <row r="41" spans="1:9" x14ac:dyDescent="0.3">
      <c r="A41" s="16"/>
    </row>
    <row r="42" spans="1:9" x14ac:dyDescent="0.3">
      <c r="A42" s="16"/>
    </row>
    <row r="43" spans="1:9" x14ac:dyDescent="0.3">
      <c r="A43" s="16"/>
    </row>
    <row r="44" spans="1:9" x14ac:dyDescent="0.3">
      <c r="A44" s="16"/>
    </row>
    <row r="45" spans="1:9" x14ac:dyDescent="0.3">
      <c r="A45" s="16"/>
    </row>
    <row r="46" spans="1:9" x14ac:dyDescent="0.3">
      <c r="A46" s="16"/>
    </row>
  </sheetData>
  <mergeCells count="10">
    <mergeCell ref="A1:N1"/>
    <mergeCell ref="A14:B14"/>
    <mergeCell ref="C14:D14"/>
    <mergeCell ref="E14:F14"/>
    <mergeCell ref="G14:I14"/>
    <mergeCell ref="A29:B29"/>
    <mergeCell ref="C29:D29"/>
    <mergeCell ref="E29:F29"/>
    <mergeCell ref="G29:I29"/>
    <mergeCell ref="A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0A6D-6044-4CCE-98B3-5230BE077466}">
  <dimension ref="A1:L31"/>
  <sheetViews>
    <sheetView workbookViewId="0">
      <selection activeCell="H15" sqref="H15"/>
    </sheetView>
  </sheetViews>
  <sheetFormatPr defaultRowHeight="14.4" x14ac:dyDescent="0.3"/>
  <cols>
    <col min="1" max="4" width="16.6640625" bestFit="1" customWidth="1"/>
    <col min="5" max="5" width="15.5546875" bestFit="1" customWidth="1"/>
    <col min="6" max="6" width="14" bestFit="1" customWidth="1"/>
    <col min="7" max="7" width="20.44140625" bestFit="1" customWidth="1"/>
    <col min="8" max="8" width="28.33203125" bestFit="1" customWidth="1"/>
    <col min="9" max="9" width="25.44140625" bestFit="1" customWidth="1"/>
    <col min="10" max="10" width="27.33203125" bestFit="1" customWidth="1"/>
    <col min="11" max="11" width="24.33203125" bestFit="1" customWidth="1"/>
    <col min="12" max="12" width="18.33203125" bestFit="1" customWidth="1"/>
  </cols>
  <sheetData>
    <row r="1" spans="1:12" ht="18" customHeight="1" x14ac:dyDescent="0.3">
      <c r="A1" s="2" t="s">
        <v>0</v>
      </c>
      <c r="B1" s="2" t="s">
        <v>3</v>
      </c>
      <c r="C1" s="6" t="s">
        <v>39</v>
      </c>
      <c r="D1" s="2" t="s">
        <v>16</v>
      </c>
      <c r="E1" s="6" t="s">
        <v>38</v>
      </c>
      <c r="F1" s="2" t="s">
        <v>20</v>
      </c>
      <c r="G1" s="6" t="s">
        <v>41</v>
      </c>
      <c r="H1" s="2" t="s">
        <v>24</v>
      </c>
      <c r="I1" s="2" t="s">
        <v>25</v>
      </c>
      <c r="J1" s="2" t="s">
        <v>26</v>
      </c>
      <c r="K1" s="2" t="s">
        <v>27</v>
      </c>
      <c r="L1" s="6" t="s">
        <v>40</v>
      </c>
    </row>
    <row r="2" spans="1:12" x14ac:dyDescent="0.3">
      <c r="A2" s="5" t="s">
        <v>17</v>
      </c>
      <c r="B2" s="4">
        <v>10</v>
      </c>
      <c r="C2" s="1">
        <f>SQRT((0.2/(2*SQRT(6)))^2+((0.05*B2)^2))</f>
        <v>0.50166389810974699</v>
      </c>
      <c r="D2" s="4">
        <f>2.332-1.399</f>
        <v>0.93299999999999983</v>
      </c>
      <c r="E2" s="8">
        <f>SQRT((0.01/(2*SQRT(3)))^2 +2* (0.1*D2)^2)</f>
        <v>0.13197770013655083</v>
      </c>
      <c r="F2" s="4">
        <f t="shared" ref="F2:F9" si="0">B2/D2</f>
        <v>10.71811361200429</v>
      </c>
      <c r="G2" s="4">
        <f>F2*SQRT((C2/B2)^2+(E2/D2)^2)</f>
        <v>1.6086542402318358</v>
      </c>
      <c r="H2" s="4">
        <v>9.5463869999999993</v>
      </c>
      <c r="I2" s="4">
        <v>9.5140069999999994</v>
      </c>
      <c r="J2" s="4">
        <v>6.1742860000000004</v>
      </c>
      <c r="K2" s="4">
        <v>5.7368430000000004</v>
      </c>
      <c r="L2" s="7">
        <f>(H2+1.5-(H2-1.5))/(2*SQRT(3))</f>
        <v>0.86602540378443871</v>
      </c>
    </row>
    <row r="3" spans="1:12" x14ac:dyDescent="0.3">
      <c r="A3" s="35" t="s">
        <v>18</v>
      </c>
      <c r="B3" s="4">
        <v>6</v>
      </c>
      <c r="C3" s="1">
        <f t="shared" ref="C3:C9" si="1">SQRT((0.2/(2*SQRT(6)))^2+((0.05*B3)^2))</f>
        <v>0.30276503540974919</v>
      </c>
      <c r="D3" s="4">
        <f>2.535-2.068</f>
        <v>0.46700000000000008</v>
      </c>
      <c r="E3" s="8">
        <f>SQRT((0.01/(2*SQRT(3)))^2 +2* (0.1*D3)^2)</f>
        <v>6.6106832728042089E-2</v>
      </c>
      <c r="F3" s="4">
        <f t="shared" si="0"/>
        <v>12.847965738758027</v>
      </c>
      <c r="G3" s="4">
        <f t="shared" ref="G3:G9" si="2">F3*SQRT((C3/B3)^2+(E3/D3)^2)</f>
        <v>1.9308106122322941</v>
      </c>
      <c r="H3" s="4">
        <v>2.2526120000000001</v>
      </c>
      <c r="I3" s="4">
        <v>2.1554739999999999</v>
      </c>
      <c r="J3" s="4">
        <v>15.474477</v>
      </c>
      <c r="K3" s="4">
        <v>12.860697</v>
      </c>
      <c r="L3" s="7">
        <f t="shared" ref="L3:L9" si="3">(H3+1.5-(H3-1.5))/(2*SQRT(3))</f>
        <v>0.86602540378443871</v>
      </c>
    </row>
    <row r="4" spans="1:12" x14ac:dyDescent="0.3">
      <c r="A4" s="35"/>
      <c r="B4" s="4">
        <v>10</v>
      </c>
      <c r="C4" s="1">
        <f t="shared" si="1"/>
        <v>0.50166389810974699</v>
      </c>
      <c r="D4" s="4">
        <f>2.409-1.793</f>
        <v>0.61599999999999988</v>
      </c>
      <c r="E4" s="8">
        <f t="shared" ref="E4:E9" si="4">SQRT((0.01/(2*SQRT(3)))^2 +2* (0.1*D4)^2)</f>
        <v>8.716337151196786E-2</v>
      </c>
      <c r="F4" s="4">
        <f t="shared" si="0"/>
        <v>16.233766233766236</v>
      </c>
      <c r="G4" s="4">
        <f t="shared" si="2"/>
        <v>2.4371542946779927</v>
      </c>
      <c r="H4" s="4">
        <v>12.993693</v>
      </c>
      <c r="I4" s="4">
        <v>12.109954</v>
      </c>
      <c r="J4" s="4">
        <v>12.704057000000001</v>
      </c>
      <c r="K4" s="4">
        <v>12.546023999999999</v>
      </c>
      <c r="L4" s="7">
        <f t="shared" si="3"/>
        <v>0.86602540378443871</v>
      </c>
    </row>
    <row r="5" spans="1:12" x14ac:dyDescent="0.3">
      <c r="A5" s="5" t="s">
        <v>5</v>
      </c>
      <c r="B5" s="4">
        <v>10</v>
      </c>
      <c r="C5" s="1">
        <f t="shared" si="1"/>
        <v>0.50166389810974699</v>
      </c>
      <c r="D5" s="4">
        <f>2.693-2.176</f>
        <v>0.5169999999999999</v>
      </c>
      <c r="E5" s="8">
        <f t="shared" si="4"/>
        <v>7.3171806956869201E-2</v>
      </c>
      <c r="F5" s="4">
        <f t="shared" si="0"/>
        <v>19.342359767891686</v>
      </c>
      <c r="G5" s="4">
        <f t="shared" si="2"/>
        <v>2.9044370406200199</v>
      </c>
      <c r="H5" s="4">
        <v>4.6433960000000001</v>
      </c>
      <c r="I5" s="4">
        <v>3.1397940000000002</v>
      </c>
      <c r="J5" s="4">
        <v>21.728256999999999</v>
      </c>
      <c r="K5" s="4">
        <v>17.034703</v>
      </c>
      <c r="L5" s="7">
        <f t="shared" si="3"/>
        <v>0.86602540378443871</v>
      </c>
    </row>
    <row r="6" spans="1:12" x14ac:dyDescent="0.3">
      <c r="A6" s="35" t="s">
        <v>19</v>
      </c>
      <c r="B6" s="4">
        <v>4</v>
      </c>
      <c r="C6" s="1">
        <f t="shared" si="1"/>
        <v>0.20412414523193151</v>
      </c>
      <c r="D6" s="4">
        <f>1.751-1.534</f>
        <v>0.21699999999999986</v>
      </c>
      <c r="E6" s="8">
        <f t="shared" si="4"/>
        <v>3.0823908469454878E-2</v>
      </c>
      <c r="F6" s="4">
        <f t="shared" si="0"/>
        <v>18.433179723502317</v>
      </c>
      <c r="G6" s="4">
        <f t="shared" si="2"/>
        <v>2.7821974663590949</v>
      </c>
      <c r="H6" s="4">
        <v>0</v>
      </c>
      <c r="I6" s="4">
        <v>0</v>
      </c>
      <c r="J6" s="4">
        <v>4.7549210000000004</v>
      </c>
      <c r="K6" s="4">
        <v>4.1777920000000002</v>
      </c>
      <c r="L6" s="7">
        <f t="shared" si="3"/>
        <v>0.86602540378443871</v>
      </c>
    </row>
    <row r="7" spans="1:12" x14ac:dyDescent="0.3">
      <c r="A7" s="35"/>
      <c r="B7" s="4">
        <v>6</v>
      </c>
      <c r="C7" s="1">
        <f t="shared" si="1"/>
        <v>0.30276503540974919</v>
      </c>
      <c r="D7" s="4">
        <f>1.696-1.38</f>
        <v>0.31600000000000006</v>
      </c>
      <c r="E7" s="8">
        <f t="shared" si="4"/>
        <v>4.4782288165449234E-2</v>
      </c>
      <c r="F7" s="4">
        <f t="shared" si="0"/>
        <v>18.987341772151897</v>
      </c>
      <c r="G7" s="4">
        <f t="shared" si="2"/>
        <v>2.8563014736965036</v>
      </c>
      <c r="H7" s="4">
        <v>0</v>
      </c>
      <c r="I7" s="4">
        <v>0</v>
      </c>
      <c r="J7" s="4">
        <v>1.6271370000000001</v>
      </c>
      <c r="K7" s="4">
        <v>1.554918</v>
      </c>
      <c r="L7" s="7">
        <f t="shared" si="3"/>
        <v>0.86602540378443871</v>
      </c>
    </row>
    <row r="8" spans="1:12" x14ac:dyDescent="0.3">
      <c r="A8" s="35"/>
      <c r="B8" s="4">
        <v>8</v>
      </c>
      <c r="C8" s="1">
        <f t="shared" si="1"/>
        <v>0.40207793606049402</v>
      </c>
      <c r="D8" s="4">
        <f>1.986-1.586</f>
        <v>0.39999999999999991</v>
      </c>
      <c r="E8" s="8">
        <f t="shared" si="4"/>
        <v>5.6642151559888082E-2</v>
      </c>
      <c r="F8" s="4">
        <f t="shared" si="0"/>
        <v>20.000000000000004</v>
      </c>
      <c r="G8" s="4">
        <f t="shared" si="2"/>
        <v>3.0052038200428277</v>
      </c>
      <c r="H8" s="4">
        <v>0</v>
      </c>
      <c r="I8" s="4">
        <v>0</v>
      </c>
      <c r="J8" s="4">
        <v>3.4501270000000002</v>
      </c>
      <c r="K8" s="4">
        <v>3.3207260000000001</v>
      </c>
      <c r="L8" s="7">
        <f t="shared" si="3"/>
        <v>0.86602540378443871</v>
      </c>
    </row>
    <row r="9" spans="1:12" x14ac:dyDescent="0.3">
      <c r="A9" s="35"/>
      <c r="B9" s="4">
        <v>10</v>
      </c>
      <c r="C9" s="1">
        <f t="shared" si="1"/>
        <v>0.50166389810974699</v>
      </c>
      <c r="D9" s="4">
        <f>2.066-1.599</f>
        <v>0.46699999999999986</v>
      </c>
      <c r="E9" s="8">
        <f t="shared" si="4"/>
        <v>6.6106832728042048E-2</v>
      </c>
      <c r="F9" s="4">
        <f t="shared" si="0"/>
        <v>21.413276231263389</v>
      </c>
      <c r="G9" s="4">
        <f t="shared" si="2"/>
        <v>3.2159060632356002</v>
      </c>
      <c r="H9" s="4">
        <v>1.063501</v>
      </c>
      <c r="I9" s="4">
        <v>0.94533400000000001</v>
      </c>
      <c r="J9" s="4">
        <v>0.61255400000000004</v>
      </c>
      <c r="K9" s="4">
        <v>0.51819800000000005</v>
      </c>
      <c r="L9" s="7">
        <f t="shared" si="3"/>
        <v>0.86602540378443871</v>
      </c>
    </row>
    <row r="10" spans="1:12" x14ac:dyDescent="0.3">
      <c r="C10" s="14"/>
      <c r="E10" s="15"/>
      <c r="F10" s="14"/>
      <c r="G10" s="16"/>
      <c r="H10" s="14"/>
      <c r="I10" s="14"/>
      <c r="J10" s="14"/>
      <c r="K10" s="14"/>
      <c r="L10" s="17"/>
    </row>
    <row r="11" spans="1:12" x14ac:dyDescent="0.3">
      <c r="A11" s="31" t="s">
        <v>58</v>
      </c>
      <c r="B11" s="31"/>
      <c r="C11" s="31" t="s">
        <v>58</v>
      </c>
      <c r="D11" s="31"/>
      <c r="E11" s="31" t="s">
        <v>58</v>
      </c>
      <c r="F11" s="31"/>
      <c r="G11" s="31" t="s">
        <v>63</v>
      </c>
      <c r="H11" s="31"/>
      <c r="I11" s="31"/>
    </row>
    <row r="12" spans="1:12" x14ac:dyDescent="0.3">
      <c r="A12" s="1" t="s">
        <v>55</v>
      </c>
      <c r="B12" s="1" t="s">
        <v>56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64</v>
      </c>
      <c r="H12" s="1" t="s">
        <v>65</v>
      </c>
      <c r="I12" s="1" t="s">
        <v>66</v>
      </c>
    </row>
    <row r="13" spans="1:12" x14ac:dyDescent="0.3">
      <c r="A13" s="4">
        <f>F2-G2</f>
        <v>9.1094593717724539</v>
      </c>
      <c r="B13" s="4">
        <f>F2+G2</f>
        <v>12.326767852236125</v>
      </c>
      <c r="C13" s="4">
        <f>H2-L2</f>
        <v>8.68036159621556</v>
      </c>
      <c r="D13" s="4">
        <f>H2+L2</f>
        <v>10.412412403784439</v>
      </c>
      <c r="E13" s="4">
        <f>J2-L2</f>
        <v>5.308260596215562</v>
      </c>
      <c r="F13" s="4">
        <f>J2+L2</f>
        <v>7.0403114037844388</v>
      </c>
      <c r="G13" s="1">
        <f t="shared" ref="G13:G20" si="5">IF(OR(AND(A13&gt;=C13,A13&lt;=D13),AND(C13&gt;=A13,C13&lt;=B13)), 1,0)</f>
        <v>1</v>
      </c>
      <c r="H13" s="1">
        <f t="shared" ref="H13:H20" si="6">IF(OR(AND(A13&gt;=E13,A13&lt;=F13),AND(E13&gt;=A13,E13&lt;=B13)), 1,0)</f>
        <v>0</v>
      </c>
      <c r="I13" s="1">
        <f t="shared" ref="I13:I20" si="7">IF(OR(AND(C13&gt;=E13,C13&lt;=F13),AND(E13&gt;=C13,E13&lt;=D13)), 1,0)</f>
        <v>0</v>
      </c>
    </row>
    <row r="14" spans="1:12" x14ac:dyDescent="0.3">
      <c r="A14" s="4">
        <f t="shared" ref="A14:A20" si="8">F3-G3</f>
        <v>10.917155126525733</v>
      </c>
      <c r="B14" s="4">
        <f t="shared" ref="B14:B20" si="9">F3+G3</f>
        <v>14.778776350990322</v>
      </c>
      <c r="C14" s="4">
        <f t="shared" ref="C14:C20" si="10">H3-L3</f>
        <v>1.3865865962155612</v>
      </c>
      <c r="D14" s="4">
        <f t="shared" ref="D14:D20" si="11">H3+L3</f>
        <v>3.1186374037844389</v>
      </c>
      <c r="E14" s="4">
        <f t="shared" ref="E14:E20" si="12">J3-L3</f>
        <v>14.608451596215561</v>
      </c>
      <c r="F14" s="4">
        <f t="shared" ref="F14:F20" si="13">J3+L3</f>
        <v>16.340502403784438</v>
      </c>
      <c r="G14" s="1">
        <f t="shared" si="5"/>
        <v>0</v>
      </c>
      <c r="H14" s="1">
        <f t="shared" si="6"/>
        <v>1</v>
      </c>
      <c r="I14" s="1">
        <f t="shared" si="7"/>
        <v>0</v>
      </c>
    </row>
    <row r="15" spans="1:12" x14ac:dyDescent="0.3">
      <c r="A15" s="4">
        <f t="shared" si="8"/>
        <v>13.796611939088244</v>
      </c>
      <c r="B15" s="4">
        <f t="shared" si="9"/>
        <v>18.670920528444228</v>
      </c>
      <c r="C15" s="4">
        <f t="shared" si="10"/>
        <v>12.127667596215561</v>
      </c>
      <c r="D15" s="4">
        <f t="shared" si="11"/>
        <v>13.85971840378444</v>
      </c>
      <c r="E15" s="4">
        <f t="shared" si="12"/>
        <v>11.838031596215561</v>
      </c>
      <c r="F15" s="4">
        <f t="shared" si="13"/>
        <v>13.57008240378444</v>
      </c>
      <c r="G15" s="1">
        <f t="shared" si="5"/>
        <v>1</v>
      </c>
      <c r="H15" s="1">
        <f t="shared" si="6"/>
        <v>0</v>
      </c>
      <c r="I15" s="1">
        <f t="shared" si="7"/>
        <v>1</v>
      </c>
    </row>
    <row r="16" spans="1:12" x14ac:dyDescent="0.3">
      <c r="A16" s="4">
        <f t="shared" si="8"/>
        <v>16.437922727271665</v>
      </c>
      <c r="B16" s="4">
        <f t="shared" si="9"/>
        <v>22.246796808511707</v>
      </c>
      <c r="C16" s="4">
        <f t="shared" si="10"/>
        <v>3.7773705962155613</v>
      </c>
      <c r="D16" s="4">
        <f t="shared" si="11"/>
        <v>5.5094214037844385</v>
      </c>
      <c r="E16" s="4">
        <f t="shared" si="12"/>
        <v>20.862231596215562</v>
      </c>
      <c r="F16" s="4">
        <f t="shared" si="13"/>
        <v>22.594282403784437</v>
      </c>
      <c r="G16" s="1">
        <f t="shared" si="5"/>
        <v>0</v>
      </c>
      <c r="H16" s="1">
        <f t="shared" si="6"/>
        <v>1</v>
      </c>
      <c r="I16" s="1">
        <f t="shared" si="7"/>
        <v>0</v>
      </c>
    </row>
    <row r="17" spans="1:9" x14ac:dyDescent="0.3">
      <c r="A17" s="4">
        <f t="shared" si="8"/>
        <v>15.650982257143221</v>
      </c>
      <c r="B17" s="4">
        <f t="shared" si="9"/>
        <v>21.21537718986141</v>
      </c>
      <c r="C17" s="4">
        <f t="shared" si="10"/>
        <v>-0.86602540378443871</v>
      </c>
      <c r="D17" s="4">
        <f t="shared" si="11"/>
        <v>0.86602540378443871</v>
      </c>
      <c r="E17" s="4">
        <f t="shared" si="12"/>
        <v>3.8888955962155616</v>
      </c>
      <c r="F17" s="4">
        <f t="shared" si="13"/>
        <v>5.6209464037844388</v>
      </c>
      <c r="G17" s="1">
        <f t="shared" si="5"/>
        <v>0</v>
      </c>
      <c r="H17" s="1">
        <f t="shared" si="6"/>
        <v>0</v>
      </c>
      <c r="I17" s="1">
        <f t="shared" si="7"/>
        <v>0</v>
      </c>
    </row>
    <row r="18" spans="1:9" x14ac:dyDescent="0.3">
      <c r="A18" s="4">
        <f t="shared" si="8"/>
        <v>16.131040298455392</v>
      </c>
      <c r="B18" s="4">
        <f t="shared" si="9"/>
        <v>21.843643245848401</v>
      </c>
      <c r="C18" s="4">
        <f t="shared" si="10"/>
        <v>-0.86602540378443871</v>
      </c>
      <c r="D18" s="4">
        <f t="shared" si="11"/>
        <v>0.86602540378443871</v>
      </c>
      <c r="E18" s="4">
        <f t="shared" si="12"/>
        <v>0.76111159621556135</v>
      </c>
      <c r="F18" s="4">
        <f t="shared" si="13"/>
        <v>2.4931624037844387</v>
      </c>
      <c r="G18" s="1">
        <f t="shared" si="5"/>
        <v>0</v>
      </c>
      <c r="H18" s="1">
        <f t="shared" si="6"/>
        <v>0</v>
      </c>
      <c r="I18" s="1">
        <f t="shared" si="7"/>
        <v>1</v>
      </c>
    </row>
    <row r="19" spans="1:9" x14ac:dyDescent="0.3">
      <c r="A19" s="4">
        <f t="shared" si="8"/>
        <v>16.994796179957177</v>
      </c>
      <c r="B19" s="4">
        <f t="shared" si="9"/>
        <v>23.00520382004283</v>
      </c>
      <c r="C19" s="4">
        <f t="shared" si="10"/>
        <v>-0.86602540378443871</v>
      </c>
      <c r="D19" s="4">
        <f t="shared" si="11"/>
        <v>0.86602540378443871</v>
      </c>
      <c r="E19" s="4">
        <f t="shared" si="12"/>
        <v>2.5841015962155613</v>
      </c>
      <c r="F19" s="4">
        <f t="shared" si="13"/>
        <v>4.3161524037844385</v>
      </c>
      <c r="G19" s="1">
        <f t="shared" si="5"/>
        <v>0</v>
      </c>
      <c r="H19" s="1">
        <f t="shared" si="6"/>
        <v>0</v>
      </c>
      <c r="I19" s="1">
        <f t="shared" si="7"/>
        <v>0</v>
      </c>
    </row>
    <row r="20" spans="1:9" x14ac:dyDescent="0.3">
      <c r="A20" s="4">
        <f t="shared" si="8"/>
        <v>18.197370168027788</v>
      </c>
      <c r="B20" s="4">
        <f t="shared" si="9"/>
        <v>24.629182294498989</v>
      </c>
      <c r="C20" s="4">
        <f t="shared" si="10"/>
        <v>0.19747559621556132</v>
      </c>
      <c r="D20" s="4">
        <f t="shared" si="11"/>
        <v>1.9295264037844388</v>
      </c>
      <c r="E20" s="4">
        <f t="shared" si="12"/>
        <v>-0.25347140378443866</v>
      </c>
      <c r="F20" s="4">
        <f t="shared" si="13"/>
        <v>1.4785794037844386</v>
      </c>
      <c r="G20" s="1">
        <f t="shared" si="5"/>
        <v>0</v>
      </c>
      <c r="H20" s="1">
        <f t="shared" si="6"/>
        <v>0</v>
      </c>
      <c r="I20" s="1">
        <f t="shared" si="7"/>
        <v>1</v>
      </c>
    </row>
    <row r="22" spans="1:9" x14ac:dyDescent="0.3">
      <c r="A22" s="31" t="s">
        <v>57</v>
      </c>
      <c r="B22" s="31"/>
      <c r="C22" s="31" t="s">
        <v>57</v>
      </c>
      <c r="D22" s="31"/>
      <c r="E22" s="1" t="s">
        <v>67</v>
      </c>
    </row>
    <row r="23" spans="1:9" x14ac:dyDescent="0.3">
      <c r="A23" s="1" t="s">
        <v>59</v>
      </c>
      <c r="B23" s="1" t="s">
        <v>60</v>
      </c>
      <c r="C23" s="1" t="s">
        <v>61</v>
      </c>
      <c r="D23" s="1" t="s">
        <v>60</v>
      </c>
      <c r="E23" s="1" t="s">
        <v>66</v>
      </c>
    </row>
    <row r="24" spans="1:9" x14ac:dyDescent="0.3">
      <c r="A24" s="4">
        <f>H2-L2</f>
        <v>8.68036159621556</v>
      </c>
      <c r="B24" s="4">
        <f>H2+L2</f>
        <v>10.412412403784439</v>
      </c>
      <c r="C24" s="4">
        <f>J2-L2</f>
        <v>5.308260596215562</v>
      </c>
      <c r="D24" s="4">
        <f>J2+L2</f>
        <v>7.0403114037844388</v>
      </c>
      <c r="E24" s="4">
        <f>IF(OR(AND(C24&gt;=A24,C24&lt;=B24),AND(A24&gt;=C24,A24&lt;=D24)), 1,0)</f>
        <v>0</v>
      </c>
    </row>
    <row r="25" spans="1:9" x14ac:dyDescent="0.3">
      <c r="A25" s="4">
        <f t="shared" ref="A25:A31" si="14">H3-L3</f>
        <v>1.3865865962155612</v>
      </c>
      <c r="B25" s="4">
        <f t="shared" ref="B25:B31" si="15">H3+L3</f>
        <v>3.1186374037844389</v>
      </c>
      <c r="C25" s="4">
        <f t="shared" ref="C25:C31" si="16">J3-L3</f>
        <v>14.608451596215561</v>
      </c>
      <c r="D25" s="4">
        <f t="shared" ref="D25:D31" si="17">J3+L3</f>
        <v>16.340502403784438</v>
      </c>
      <c r="E25" s="4">
        <f t="shared" ref="E25:E31" si="18">IF(OR(AND(C25&gt;=A25,C25&lt;=B25),AND(A25&gt;=C25,A25&lt;=D25)), 1,0)</f>
        <v>0</v>
      </c>
    </row>
    <row r="26" spans="1:9" x14ac:dyDescent="0.3">
      <c r="A26" s="4">
        <f t="shared" si="14"/>
        <v>12.127667596215561</v>
      </c>
      <c r="B26" s="4">
        <f t="shared" si="15"/>
        <v>13.85971840378444</v>
      </c>
      <c r="C26" s="4">
        <f t="shared" si="16"/>
        <v>11.838031596215561</v>
      </c>
      <c r="D26" s="4">
        <f t="shared" si="17"/>
        <v>13.57008240378444</v>
      </c>
      <c r="E26" s="4">
        <f t="shared" si="18"/>
        <v>1</v>
      </c>
    </row>
    <row r="27" spans="1:9" x14ac:dyDescent="0.3">
      <c r="A27" s="4">
        <f t="shared" si="14"/>
        <v>3.7773705962155613</v>
      </c>
      <c r="B27" s="4">
        <f t="shared" si="15"/>
        <v>5.5094214037844385</v>
      </c>
      <c r="C27" s="4">
        <f t="shared" si="16"/>
        <v>20.862231596215562</v>
      </c>
      <c r="D27" s="4">
        <f t="shared" si="17"/>
        <v>22.594282403784437</v>
      </c>
      <c r="E27" s="4">
        <f t="shared" si="18"/>
        <v>0</v>
      </c>
    </row>
    <row r="28" spans="1:9" x14ac:dyDescent="0.3">
      <c r="A28" s="4">
        <f t="shared" si="14"/>
        <v>-0.86602540378443871</v>
      </c>
      <c r="B28" s="4">
        <f t="shared" si="15"/>
        <v>0.86602540378443871</v>
      </c>
      <c r="C28" s="4">
        <f t="shared" si="16"/>
        <v>3.8888955962155616</v>
      </c>
      <c r="D28" s="4">
        <f t="shared" si="17"/>
        <v>5.6209464037844388</v>
      </c>
      <c r="E28" s="4">
        <f t="shared" si="18"/>
        <v>0</v>
      </c>
    </row>
    <row r="29" spans="1:9" x14ac:dyDescent="0.3">
      <c r="A29" s="4">
        <f t="shared" si="14"/>
        <v>-0.86602540378443871</v>
      </c>
      <c r="B29" s="4">
        <f t="shared" si="15"/>
        <v>0.86602540378443871</v>
      </c>
      <c r="C29" s="4">
        <f t="shared" si="16"/>
        <v>0.76111159621556135</v>
      </c>
      <c r="D29" s="4">
        <f t="shared" si="17"/>
        <v>2.4931624037844387</v>
      </c>
      <c r="E29" s="4">
        <f t="shared" si="18"/>
        <v>1</v>
      </c>
    </row>
    <row r="30" spans="1:9" x14ac:dyDescent="0.3">
      <c r="A30" s="4">
        <f t="shared" si="14"/>
        <v>-0.86602540378443871</v>
      </c>
      <c r="B30" s="4">
        <f t="shared" si="15"/>
        <v>0.86602540378443871</v>
      </c>
      <c r="C30" s="4">
        <f t="shared" si="16"/>
        <v>2.5841015962155613</v>
      </c>
      <c r="D30" s="4">
        <f t="shared" si="17"/>
        <v>4.3161524037844385</v>
      </c>
      <c r="E30" s="4">
        <f t="shared" si="18"/>
        <v>0</v>
      </c>
    </row>
    <row r="31" spans="1:9" x14ac:dyDescent="0.3">
      <c r="A31" s="4">
        <f t="shared" si="14"/>
        <v>0.19747559621556132</v>
      </c>
      <c r="B31" s="4">
        <f t="shared" si="15"/>
        <v>1.9295264037844388</v>
      </c>
      <c r="C31" s="4">
        <f t="shared" si="16"/>
        <v>-0.25347140378443866</v>
      </c>
      <c r="D31" s="4">
        <f t="shared" si="17"/>
        <v>1.4785794037844386</v>
      </c>
      <c r="E31" s="4">
        <f t="shared" si="18"/>
        <v>1</v>
      </c>
    </row>
  </sheetData>
  <mergeCells count="8">
    <mergeCell ref="G11:I11"/>
    <mergeCell ref="A22:B22"/>
    <mergeCell ref="C22:D22"/>
    <mergeCell ref="A6:A9"/>
    <mergeCell ref="A3:A4"/>
    <mergeCell ref="A11:B11"/>
    <mergeCell ref="C11:D11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1ABC-79E7-479A-8781-7C2E06C514C8}">
  <dimension ref="A1:L49"/>
  <sheetViews>
    <sheetView topLeftCell="D1" workbookViewId="0">
      <selection activeCell="J2" sqref="J2:J15"/>
    </sheetView>
  </sheetViews>
  <sheetFormatPr defaultRowHeight="14.4" x14ac:dyDescent="0.3"/>
  <cols>
    <col min="1" max="1" width="10.6640625" bestFit="1" customWidth="1"/>
    <col min="2" max="2" width="17.5546875" bestFit="1" customWidth="1"/>
    <col min="3" max="3" width="12.6640625" bestFit="1" customWidth="1"/>
    <col min="4" max="4" width="14.33203125" bestFit="1" customWidth="1"/>
    <col min="5" max="5" width="15.5546875" bestFit="1" customWidth="1"/>
    <col min="6" max="6" width="14" bestFit="1" customWidth="1"/>
    <col min="7" max="7" width="20.44140625" bestFit="1" customWidth="1"/>
    <col min="8" max="8" width="32.6640625" bestFit="1" customWidth="1"/>
    <col min="9" max="9" width="29.6640625" bestFit="1" customWidth="1"/>
    <col min="10" max="10" width="31.88671875" bestFit="1" customWidth="1"/>
    <col min="11" max="11" width="29" bestFit="1" customWidth="1"/>
    <col min="12" max="12" width="18.33203125" bestFit="1" customWidth="1"/>
  </cols>
  <sheetData>
    <row r="1" spans="1:12" x14ac:dyDescent="0.3">
      <c r="A1" s="2" t="s">
        <v>0</v>
      </c>
      <c r="B1" s="2" t="s">
        <v>3</v>
      </c>
      <c r="C1" s="6" t="s">
        <v>39</v>
      </c>
      <c r="D1" s="2" t="s">
        <v>16</v>
      </c>
      <c r="E1" s="6" t="s">
        <v>38</v>
      </c>
      <c r="F1" s="2" t="s">
        <v>20</v>
      </c>
      <c r="G1" s="6" t="s">
        <v>41</v>
      </c>
      <c r="H1" s="2" t="s">
        <v>28</v>
      </c>
      <c r="I1" s="2" t="s">
        <v>29</v>
      </c>
      <c r="J1" s="2" t="s">
        <v>30</v>
      </c>
      <c r="K1" s="2" t="s">
        <v>31</v>
      </c>
      <c r="L1" s="6" t="s">
        <v>40</v>
      </c>
    </row>
    <row r="2" spans="1:12" x14ac:dyDescent="0.3">
      <c r="A2" s="35" t="s">
        <v>17</v>
      </c>
      <c r="B2" s="4">
        <v>4</v>
      </c>
      <c r="C2" s="1">
        <f>SQRT((0.2/(2*SQRT(6)))^2+((0.05*B2)^2))</f>
        <v>0.20412414523193151</v>
      </c>
      <c r="D2" s="4">
        <f>1.816-1.516</f>
        <v>0.30000000000000004</v>
      </c>
      <c r="E2" s="8">
        <f>SQRT((0.01/(2*SQRT(3)))^2 +2* (0.1*D2)^2)</f>
        <v>4.2524502740576918E-2</v>
      </c>
      <c r="F2" s="4">
        <f>B2/D2</f>
        <v>13.333333333333332</v>
      </c>
      <c r="G2" s="4">
        <f>F2*SQRT((C2/B2)^2+(E2/D2)^2)</f>
        <v>2.0087258209791381</v>
      </c>
      <c r="H2" s="4">
        <v>8.6445039999999995</v>
      </c>
      <c r="I2" s="4">
        <v>8.5353069999999995</v>
      </c>
      <c r="J2" s="4">
        <v>3.8785690000000002</v>
      </c>
      <c r="K2" s="4">
        <v>3.8785690000000002</v>
      </c>
      <c r="L2" s="7">
        <f>(H2+1.5-(H2-1.5))/(2*SQRT(3))</f>
        <v>0.86602540378443871</v>
      </c>
    </row>
    <row r="3" spans="1:12" x14ac:dyDescent="0.3">
      <c r="A3" s="35"/>
      <c r="B3" s="4">
        <v>6</v>
      </c>
      <c r="C3" s="1">
        <f t="shared" ref="C3:C15" si="0">SQRT((0.2/(2*SQRT(6)))^2+((0.05*B3)^2))</f>
        <v>0.30276503540974919</v>
      </c>
      <c r="D3" s="4">
        <f>1.866-1.299</f>
        <v>0.56700000000000017</v>
      </c>
      <c r="E3" s="8">
        <f>SQRT((0.01/(2*SQRT(3)))^2 +2* (0.1*D3)^2)</f>
        <v>8.0237854740348946E-2</v>
      </c>
      <c r="F3" s="4">
        <f t="shared" ref="F3:F15" si="1">B3/D3</f>
        <v>10.582010582010579</v>
      </c>
      <c r="G3" s="4">
        <f t="shared" ref="G3:G15" si="2">F3*SQRT((C3/B3)^2+(E3/D3)^2)</f>
        <v>1.5898468957175274</v>
      </c>
      <c r="H3" s="4">
        <v>9.2784180000000003</v>
      </c>
      <c r="I3" s="4">
        <v>9.239395</v>
      </c>
      <c r="J3" s="4">
        <v>9.1080140000000007</v>
      </c>
      <c r="K3" s="4">
        <v>9.1130250000000004</v>
      </c>
      <c r="L3" s="7">
        <f t="shared" ref="L3:L15" si="3">(H3+1.5-(H3-1.5))/(2*SQRT(3))</f>
        <v>0.86602540378443871</v>
      </c>
    </row>
    <row r="4" spans="1:12" x14ac:dyDescent="0.3">
      <c r="A4" s="35"/>
      <c r="B4" s="4">
        <v>8</v>
      </c>
      <c r="C4" s="1">
        <f t="shared" si="0"/>
        <v>0.40207793606049402</v>
      </c>
      <c r="D4" s="4">
        <f>1.625-0.942</f>
        <v>0.68300000000000005</v>
      </c>
      <c r="E4" s="8">
        <f t="shared" ref="E4:E15" si="4">SQRT((0.01/(2*SQRT(3)))^2 +2* (0.1*D4)^2)</f>
        <v>9.6633913991586509E-2</v>
      </c>
      <c r="F4" s="4">
        <f t="shared" si="1"/>
        <v>11.713030746705709</v>
      </c>
      <c r="G4" s="4">
        <f t="shared" si="2"/>
        <v>1.758668002441651</v>
      </c>
      <c r="H4" s="4">
        <v>10.259016000000001</v>
      </c>
      <c r="I4" s="4">
        <v>10.241096000000001</v>
      </c>
      <c r="J4" s="4">
        <v>0.58574499999999996</v>
      </c>
      <c r="K4" s="4">
        <v>0.58574499999999996</v>
      </c>
      <c r="L4" s="7">
        <f t="shared" si="3"/>
        <v>0.86602540378443871</v>
      </c>
    </row>
    <row r="5" spans="1:12" x14ac:dyDescent="0.3">
      <c r="A5" s="35"/>
      <c r="B5" s="4">
        <v>10</v>
      </c>
      <c r="C5" s="1">
        <f t="shared" si="0"/>
        <v>0.50166389810974699</v>
      </c>
      <c r="D5" s="4">
        <f>2.649-1.749</f>
        <v>0.89999999999999991</v>
      </c>
      <c r="E5" s="8">
        <f t="shared" si="4"/>
        <v>0.12731195282978472</v>
      </c>
      <c r="F5" s="4">
        <f t="shared" si="1"/>
        <v>11.111111111111112</v>
      </c>
      <c r="G5" s="4">
        <f t="shared" si="2"/>
        <v>1.667664691277037</v>
      </c>
      <c r="H5" s="4">
        <v>9.4810689999999997</v>
      </c>
      <c r="I5" s="4">
        <v>9.4773849999999999</v>
      </c>
      <c r="J5" s="4">
        <v>8.1149000000000004</v>
      </c>
      <c r="K5" s="4">
        <v>10.525549</v>
      </c>
      <c r="L5" s="7">
        <f t="shared" si="3"/>
        <v>0.86602540378443871</v>
      </c>
    </row>
    <row r="6" spans="1:12" x14ac:dyDescent="0.3">
      <c r="A6" s="35" t="s">
        <v>18</v>
      </c>
      <c r="B6" s="4">
        <v>6</v>
      </c>
      <c r="C6" s="1">
        <f t="shared" si="0"/>
        <v>0.30276503540974919</v>
      </c>
      <c r="D6" s="4">
        <f>2.889-2.49</f>
        <v>0.39899999999999958</v>
      </c>
      <c r="E6" s="8">
        <f t="shared" si="4"/>
        <v>5.6500914446877118E-2</v>
      </c>
      <c r="F6" s="4">
        <f t="shared" si="1"/>
        <v>15.037593984962422</v>
      </c>
      <c r="G6" s="4">
        <f t="shared" si="2"/>
        <v>2.2605781027955349</v>
      </c>
      <c r="H6" s="4">
        <v>34.291626000000001</v>
      </c>
      <c r="I6" s="4">
        <v>20.991667</v>
      </c>
      <c r="J6" s="4">
        <v>5.1152009999999999</v>
      </c>
      <c r="K6" s="4">
        <v>5.1152009999999999</v>
      </c>
      <c r="L6" s="7">
        <f t="shared" si="3"/>
        <v>0.86602540378443871</v>
      </c>
    </row>
    <row r="7" spans="1:12" x14ac:dyDescent="0.3">
      <c r="A7" s="35"/>
      <c r="B7" s="4">
        <v>10</v>
      </c>
      <c r="C7" s="1">
        <f t="shared" si="0"/>
        <v>0.50166389810974699</v>
      </c>
      <c r="D7" s="4">
        <f>3.278-2.645</f>
        <v>0.63300000000000001</v>
      </c>
      <c r="E7" s="8">
        <f t="shared" si="4"/>
        <v>8.9566251084509149E-2</v>
      </c>
      <c r="F7" s="4">
        <f t="shared" si="1"/>
        <v>15.797788309636651</v>
      </c>
      <c r="G7" s="4">
        <f t="shared" si="2"/>
        <v>2.3716402629857072</v>
      </c>
      <c r="H7" s="4">
        <v>33.939079999999997</v>
      </c>
      <c r="I7" s="4">
        <v>30.297635</v>
      </c>
      <c r="J7" s="4">
        <v>10.976539000000001</v>
      </c>
      <c r="K7" s="4">
        <v>11.066204000000001</v>
      </c>
      <c r="L7" s="7">
        <f t="shared" si="3"/>
        <v>0.86602540378443871</v>
      </c>
    </row>
    <row r="8" spans="1:12" x14ac:dyDescent="0.3">
      <c r="A8" s="35" t="s">
        <v>5</v>
      </c>
      <c r="B8" s="4">
        <v>4</v>
      </c>
      <c r="C8" s="1">
        <f t="shared" si="0"/>
        <v>0.20412414523193151</v>
      </c>
      <c r="D8" s="4">
        <f>1.733-1.533</f>
        <v>0.20000000000000018</v>
      </c>
      <c r="E8" s="8">
        <f t="shared" si="4"/>
        <v>2.8431203515386659E-2</v>
      </c>
      <c r="F8" s="4">
        <f t="shared" si="1"/>
        <v>19.999999999999982</v>
      </c>
      <c r="G8" s="4">
        <f t="shared" si="2"/>
        <v>3.0207614933986404</v>
      </c>
      <c r="H8" s="4">
        <v>3.7323019999999998</v>
      </c>
      <c r="I8" s="4">
        <v>2.7520389999999999</v>
      </c>
      <c r="J8" s="4">
        <v>7.5806399999999998</v>
      </c>
      <c r="K8" s="4">
        <v>8.4035299999999999</v>
      </c>
      <c r="L8" s="7">
        <f t="shared" si="3"/>
        <v>0.86602540378443871</v>
      </c>
    </row>
    <row r="9" spans="1:12" x14ac:dyDescent="0.3">
      <c r="A9" s="35"/>
      <c r="B9" s="4">
        <v>6</v>
      </c>
      <c r="C9" s="1">
        <f t="shared" si="0"/>
        <v>0.30276503540974919</v>
      </c>
      <c r="D9" s="4">
        <f>1.755-1.505</f>
        <v>0.25</v>
      </c>
      <c r="E9" s="8">
        <f t="shared" si="4"/>
        <v>3.5472994422987937E-2</v>
      </c>
      <c r="F9" s="4">
        <f t="shared" si="1"/>
        <v>24</v>
      </c>
      <c r="G9" s="4">
        <f t="shared" si="2"/>
        <v>3.6143418026892071</v>
      </c>
      <c r="H9" s="4">
        <v>0</v>
      </c>
      <c r="I9" s="4">
        <v>0</v>
      </c>
      <c r="J9" s="4">
        <v>6.9206089999999998</v>
      </c>
      <c r="K9" s="4">
        <v>9.1660719999999998</v>
      </c>
      <c r="L9" s="7">
        <f t="shared" si="3"/>
        <v>0.86602540378443871</v>
      </c>
    </row>
    <row r="10" spans="1:12" x14ac:dyDescent="0.3">
      <c r="A10" s="35"/>
      <c r="B10" s="4">
        <v>8</v>
      </c>
      <c r="C10" s="1">
        <f t="shared" si="0"/>
        <v>0.40207793606049402</v>
      </c>
      <c r="D10" s="4">
        <f>2.335-1.985</f>
        <v>0.34999999999999987</v>
      </c>
      <c r="E10" s="8">
        <f t="shared" si="4"/>
        <v>4.9581582602145041E-2</v>
      </c>
      <c r="F10" s="4">
        <f t="shared" si="1"/>
        <v>22.857142857142865</v>
      </c>
      <c r="G10" s="4">
        <f t="shared" si="2"/>
        <v>3.435731105587895</v>
      </c>
      <c r="H10" s="4">
        <v>20.903237000000001</v>
      </c>
      <c r="I10" s="4">
        <v>20.537459999999999</v>
      </c>
      <c r="J10" s="4">
        <v>11.300585999999999</v>
      </c>
      <c r="K10" s="4">
        <v>14.998445</v>
      </c>
      <c r="L10" s="7">
        <f t="shared" si="3"/>
        <v>0.86602540378443871</v>
      </c>
    </row>
    <row r="11" spans="1:12" x14ac:dyDescent="0.3">
      <c r="A11" s="35"/>
      <c r="B11" s="4">
        <v>10</v>
      </c>
      <c r="C11" s="1">
        <f t="shared" si="0"/>
        <v>0.50166389810974699</v>
      </c>
      <c r="D11" s="4">
        <f>2.181-1.747</f>
        <v>0.43399999999999994</v>
      </c>
      <c r="E11" s="8">
        <f t="shared" si="4"/>
        <v>6.144471770081894E-2</v>
      </c>
      <c r="F11" s="4">
        <f t="shared" si="1"/>
        <v>23.041474654377883</v>
      </c>
      <c r="G11" s="4">
        <f t="shared" si="2"/>
        <v>3.4608961569788685</v>
      </c>
      <c r="H11" s="4">
        <v>0</v>
      </c>
      <c r="I11" s="4">
        <v>0</v>
      </c>
      <c r="J11" s="4">
        <v>5.980734</v>
      </c>
      <c r="K11" s="4">
        <v>7.7118900000000004</v>
      </c>
      <c r="L11" s="7">
        <f t="shared" si="3"/>
        <v>0.86602540378443871</v>
      </c>
    </row>
    <row r="12" spans="1:12" x14ac:dyDescent="0.3">
      <c r="A12" s="35" t="s">
        <v>19</v>
      </c>
      <c r="B12" s="4">
        <v>4</v>
      </c>
      <c r="C12" s="1">
        <f t="shared" si="0"/>
        <v>0.20412414523193151</v>
      </c>
      <c r="D12" s="4">
        <f>1.816-1.582</f>
        <v>0.23399999999999999</v>
      </c>
      <c r="E12" s="8">
        <f t="shared" si="4"/>
        <v>3.3218268066431959E-2</v>
      </c>
      <c r="F12" s="4">
        <f t="shared" si="1"/>
        <v>17.094017094017094</v>
      </c>
      <c r="G12" s="4">
        <f t="shared" si="2"/>
        <v>2.5786684279325649</v>
      </c>
      <c r="H12" s="4">
        <v>2.3564500000000002</v>
      </c>
      <c r="I12" s="4">
        <v>1.966388</v>
      </c>
      <c r="J12" s="4">
        <v>5.4007199999999997</v>
      </c>
      <c r="K12" s="4">
        <v>6.5666690000000001</v>
      </c>
      <c r="L12" s="7">
        <f t="shared" si="3"/>
        <v>0.86602540378443871</v>
      </c>
    </row>
    <row r="13" spans="1:12" x14ac:dyDescent="0.3">
      <c r="A13" s="35"/>
      <c r="B13" s="4">
        <v>6</v>
      </c>
      <c r="C13" s="1">
        <f t="shared" si="0"/>
        <v>0.30276503540974919</v>
      </c>
      <c r="D13" s="4">
        <f>2.653-2.386</f>
        <v>0.2669999999999999</v>
      </c>
      <c r="E13" s="8">
        <f t="shared" si="4"/>
        <v>3.7869688846534404E-2</v>
      </c>
      <c r="F13" s="4">
        <f t="shared" si="1"/>
        <v>22.471910112359559</v>
      </c>
      <c r="G13" s="4">
        <f t="shared" si="2"/>
        <v>3.382988504829632</v>
      </c>
      <c r="H13" s="4">
        <v>2.6964359999999998</v>
      </c>
      <c r="I13" s="4">
        <v>2.3365200000000002</v>
      </c>
      <c r="J13" s="4">
        <v>5.0883609999999999</v>
      </c>
      <c r="K13" s="4">
        <v>6.1578549999999996</v>
      </c>
      <c r="L13" s="7">
        <f t="shared" si="3"/>
        <v>0.86602540378443882</v>
      </c>
    </row>
    <row r="14" spans="1:12" x14ac:dyDescent="0.3">
      <c r="A14" s="35"/>
      <c r="B14" s="4">
        <v>8</v>
      </c>
      <c r="C14" s="1">
        <f t="shared" si="0"/>
        <v>0.40207793606049402</v>
      </c>
      <c r="D14" s="4">
        <f>2.589-2.223</f>
        <v>0.3660000000000001</v>
      </c>
      <c r="E14" s="8">
        <f t="shared" si="4"/>
        <v>5.1840653288064718E-2</v>
      </c>
      <c r="F14" s="4">
        <f t="shared" si="1"/>
        <v>21.857923497267752</v>
      </c>
      <c r="G14" s="4">
        <f t="shared" si="2"/>
        <v>3.2851121880802689</v>
      </c>
      <c r="H14" s="4">
        <v>20.599260000000001</v>
      </c>
      <c r="I14" s="4">
        <v>12.359556</v>
      </c>
      <c r="J14" s="4">
        <v>4.5228460000000004</v>
      </c>
      <c r="K14" s="4">
        <v>4.5228460000000004</v>
      </c>
      <c r="L14" s="7">
        <f t="shared" si="3"/>
        <v>0.86602540378443871</v>
      </c>
    </row>
    <row r="15" spans="1:12" x14ac:dyDescent="0.3">
      <c r="A15" s="35"/>
      <c r="B15" s="4">
        <v>10</v>
      </c>
      <c r="C15" s="1">
        <f t="shared" si="0"/>
        <v>0.50166389810974699</v>
      </c>
      <c r="D15" s="4">
        <f>2.154-1.771</f>
        <v>0.38300000000000001</v>
      </c>
      <c r="E15" s="8">
        <f t="shared" si="4"/>
        <v>5.424125121467363E-2</v>
      </c>
      <c r="F15" s="4">
        <f t="shared" si="1"/>
        <v>26.109660574412533</v>
      </c>
      <c r="G15" s="4">
        <f t="shared" si="2"/>
        <v>3.9228386692392649</v>
      </c>
      <c r="H15" s="4">
        <v>1.3055099999999999</v>
      </c>
      <c r="I15" s="4">
        <v>1.2328239999999999</v>
      </c>
      <c r="J15" s="4">
        <v>5.5375459999999999</v>
      </c>
      <c r="K15" s="4">
        <v>7.1118560000000004</v>
      </c>
      <c r="L15" s="7">
        <f t="shared" si="3"/>
        <v>0.86602540378443871</v>
      </c>
    </row>
    <row r="17" spans="1:9" x14ac:dyDescent="0.3">
      <c r="A17" s="31" t="s">
        <v>58</v>
      </c>
      <c r="B17" s="31"/>
      <c r="C17" s="31" t="s">
        <v>58</v>
      </c>
      <c r="D17" s="31"/>
      <c r="E17" s="31" t="s">
        <v>58</v>
      </c>
      <c r="F17" s="31"/>
      <c r="G17" s="31" t="s">
        <v>63</v>
      </c>
      <c r="H17" s="31"/>
      <c r="I17" s="31"/>
    </row>
    <row r="18" spans="1:9" x14ac:dyDescent="0.3">
      <c r="A18" s="1" t="s">
        <v>55</v>
      </c>
      <c r="B18" s="1" t="s">
        <v>56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64</v>
      </c>
      <c r="H18" s="1" t="s">
        <v>65</v>
      </c>
      <c r="I18" s="1" t="s">
        <v>66</v>
      </c>
    </row>
    <row r="19" spans="1:9" x14ac:dyDescent="0.3">
      <c r="A19" s="4">
        <f>F2-G2</f>
        <v>11.324607512354195</v>
      </c>
      <c r="B19" s="4">
        <f>F2+G2</f>
        <v>15.342059154312469</v>
      </c>
      <c r="C19" s="4">
        <f>H2-L2</f>
        <v>7.7784785962155611</v>
      </c>
      <c r="D19" s="4">
        <f>H2+L2</f>
        <v>9.5105294037844388</v>
      </c>
      <c r="E19" s="4">
        <f>J2-L2</f>
        <v>3.0125435962155613</v>
      </c>
      <c r="F19" s="4">
        <f>J2+L2</f>
        <v>4.744594403784439</v>
      </c>
      <c r="G19" s="1">
        <f>IF(OR(AND(A19&gt;=C19,A19&lt;=D19),AND(C19&gt;=A19,C19&lt;=B19)), 1,0)</f>
        <v>0</v>
      </c>
      <c r="H19" s="1">
        <f>IF(OR(AND(A19&gt;=E19,A19&lt;=F19),AND(E19&gt;=A19,E19&lt;=B19)), 1,0)</f>
        <v>0</v>
      </c>
      <c r="I19" s="1">
        <f>IF(OR(AND(C19&gt;=E19,C19&lt;=F19),AND(E19&gt;=C19,E19&lt;=D19)), 1,0)</f>
        <v>0</v>
      </c>
    </row>
    <row r="20" spans="1:9" x14ac:dyDescent="0.3">
      <c r="A20" s="4">
        <f t="shared" ref="A20:A32" si="5">F3-G3</f>
        <v>8.9921636862930505</v>
      </c>
      <c r="B20" s="4">
        <f t="shared" ref="B20:B32" si="6">F3+G3</f>
        <v>12.171857477728107</v>
      </c>
      <c r="C20" s="4">
        <f t="shared" ref="C20:C32" si="7">H3-L3</f>
        <v>8.412392596215561</v>
      </c>
      <c r="D20" s="4">
        <f t="shared" ref="D20:D32" si="8">H3+L3</f>
        <v>10.14444340378444</v>
      </c>
      <c r="E20" s="4">
        <f t="shared" ref="E20:E32" si="9">J3-L3</f>
        <v>8.2419885962155615</v>
      </c>
      <c r="F20" s="4">
        <f t="shared" ref="F20:F32" si="10">J3+L3</f>
        <v>9.97403940378444</v>
      </c>
      <c r="G20" s="1">
        <f t="shared" ref="G20:G32" si="11">IF(OR(AND(A20&gt;=C20,A20&lt;=D20),AND(C20&gt;=A20,C20&lt;=B20)), 1,0)</f>
        <v>1</v>
      </c>
      <c r="H20" s="1">
        <f t="shared" ref="H20:H32" si="12">IF(OR(AND(A20&gt;=E20,A20&lt;=F20),AND(E20&gt;=A20,E20&lt;=B20)), 1,0)</f>
        <v>1</v>
      </c>
      <c r="I20" s="1">
        <f t="shared" ref="I20:I32" si="13">IF(OR(AND(C20&gt;=E20,C20&lt;=F20),AND(E20&gt;=C20,E20&lt;=D20)), 1,0)</f>
        <v>1</v>
      </c>
    </row>
    <row r="21" spans="1:9" x14ac:dyDescent="0.3">
      <c r="A21" s="4">
        <f t="shared" si="5"/>
        <v>9.9543627442640581</v>
      </c>
      <c r="B21" s="4">
        <f t="shared" si="6"/>
        <v>13.471698749147359</v>
      </c>
      <c r="C21" s="4">
        <f t="shared" si="7"/>
        <v>9.3929905962155615</v>
      </c>
      <c r="D21" s="4">
        <f t="shared" si="8"/>
        <v>11.12504140378444</v>
      </c>
      <c r="E21" s="4">
        <f t="shared" si="9"/>
        <v>-0.28028040378443875</v>
      </c>
      <c r="F21" s="4">
        <f t="shared" si="10"/>
        <v>1.4517704037844386</v>
      </c>
      <c r="G21" s="1">
        <f t="shared" si="11"/>
        <v>1</v>
      </c>
      <c r="H21" s="1">
        <f t="shared" si="12"/>
        <v>0</v>
      </c>
      <c r="I21" s="1">
        <f t="shared" si="13"/>
        <v>0</v>
      </c>
    </row>
    <row r="22" spans="1:9" x14ac:dyDescent="0.3">
      <c r="A22" s="4">
        <f t="shared" si="5"/>
        <v>9.4434464198340748</v>
      </c>
      <c r="B22" s="4">
        <f t="shared" si="6"/>
        <v>12.77877580238815</v>
      </c>
      <c r="C22" s="4">
        <f t="shared" si="7"/>
        <v>8.6150435962155605</v>
      </c>
      <c r="D22" s="4">
        <f t="shared" si="8"/>
        <v>10.347094403784439</v>
      </c>
      <c r="E22" s="4">
        <f t="shared" si="9"/>
        <v>7.2488745962155621</v>
      </c>
      <c r="F22" s="4">
        <f t="shared" si="10"/>
        <v>8.9809254037844397</v>
      </c>
      <c r="G22" s="1">
        <f t="shared" si="11"/>
        <v>1</v>
      </c>
      <c r="H22" s="1">
        <f t="shared" si="12"/>
        <v>0</v>
      </c>
      <c r="I22" s="1">
        <f t="shared" si="13"/>
        <v>1</v>
      </c>
    </row>
    <row r="23" spans="1:9" x14ac:dyDescent="0.3">
      <c r="A23" s="4">
        <f t="shared" si="5"/>
        <v>12.777015882166888</v>
      </c>
      <c r="B23" s="4">
        <f t="shared" si="6"/>
        <v>17.298172087757958</v>
      </c>
      <c r="C23" s="4">
        <f t="shared" si="7"/>
        <v>33.42560059621556</v>
      </c>
      <c r="D23" s="4">
        <f t="shared" si="8"/>
        <v>35.157651403784442</v>
      </c>
      <c r="E23" s="4">
        <f t="shared" si="9"/>
        <v>4.2491755962155615</v>
      </c>
      <c r="F23" s="4">
        <f t="shared" si="10"/>
        <v>5.9812264037844383</v>
      </c>
      <c r="G23" s="1">
        <f t="shared" si="11"/>
        <v>0</v>
      </c>
      <c r="H23" s="1">
        <f t="shared" si="12"/>
        <v>0</v>
      </c>
      <c r="I23" s="1">
        <f t="shared" si="13"/>
        <v>0</v>
      </c>
    </row>
    <row r="24" spans="1:9" x14ac:dyDescent="0.3">
      <c r="A24" s="4">
        <f t="shared" si="5"/>
        <v>13.426148046650944</v>
      </c>
      <c r="B24" s="4">
        <f t="shared" si="6"/>
        <v>18.169428572622358</v>
      </c>
      <c r="C24" s="4">
        <f t="shared" si="7"/>
        <v>33.073054596215556</v>
      </c>
      <c r="D24" s="4">
        <f t="shared" si="8"/>
        <v>34.805105403784438</v>
      </c>
      <c r="E24" s="4">
        <f t="shared" si="9"/>
        <v>10.110513596215561</v>
      </c>
      <c r="F24" s="4">
        <f t="shared" si="10"/>
        <v>11.84256440378444</v>
      </c>
      <c r="G24" s="1">
        <f t="shared" si="11"/>
        <v>0</v>
      </c>
      <c r="H24" s="1">
        <f t="shared" si="12"/>
        <v>0</v>
      </c>
      <c r="I24" s="1">
        <f t="shared" si="13"/>
        <v>0</v>
      </c>
    </row>
    <row r="25" spans="1:9" x14ac:dyDescent="0.3">
      <c r="A25" s="4">
        <f t="shared" si="5"/>
        <v>16.979238506601341</v>
      </c>
      <c r="B25" s="4">
        <f t="shared" si="6"/>
        <v>23.020761493398624</v>
      </c>
      <c r="C25" s="4">
        <f t="shared" si="7"/>
        <v>2.866276596215561</v>
      </c>
      <c r="D25" s="4">
        <f t="shared" si="8"/>
        <v>4.5983274037844382</v>
      </c>
      <c r="E25" s="4">
        <f t="shared" si="9"/>
        <v>6.7146145962155614</v>
      </c>
      <c r="F25" s="4">
        <f t="shared" si="10"/>
        <v>8.4466654037844382</v>
      </c>
      <c r="G25" s="1">
        <f t="shared" si="11"/>
        <v>0</v>
      </c>
      <c r="H25" s="1">
        <f t="shared" si="12"/>
        <v>0</v>
      </c>
      <c r="I25" s="1">
        <f t="shared" si="13"/>
        <v>0</v>
      </c>
    </row>
    <row r="26" spans="1:9" x14ac:dyDescent="0.3">
      <c r="A26" s="4">
        <f t="shared" si="5"/>
        <v>20.385658197310793</v>
      </c>
      <c r="B26" s="4">
        <f t="shared" si="6"/>
        <v>27.614341802689207</v>
      </c>
      <c r="C26" s="4">
        <f t="shared" si="7"/>
        <v>-0.86602540378443871</v>
      </c>
      <c r="D26" s="4">
        <f t="shared" si="8"/>
        <v>0.86602540378443871</v>
      </c>
      <c r="E26" s="4">
        <f t="shared" si="9"/>
        <v>6.0545835962155614</v>
      </c>
      <c r="F26" s="4">
        <f t="shared" si="10"/>
        <v>7.7866344037844382</v>
      </c>
      <c r="G26" s="1">
        <f t="shared" si="11"/>
        <v>0</v>
      </c>
      <c r="H26" s="1">
        <f t="shared" si="12"/>
        <v>0</v>
      </c>
      <c r="I26" s="1">
        <f t="shared" si="13"/>
        <v>0</v>
      </c>
    </row>
    <row r="27" spans="1:9" x14ac:dyDescent="0.3">
      <c r="A27" s="4">
        <f t="shared" si="5"/>
        <v>19.42141175155497</v>
      </c>
      <c r="B27" s="4">
        <f t="shared" si="6"/>
        <v>26.292873962730759</v>
      </c>
      <c r="C27" s="4">
        <f t="shared" si="7"/>
        <v>20.037211596215563</v>
      </c>
      <c r="D27" s="4">
        <f t="shared" si="8"/>
        <v>21.769262403784438</v>
      </c>
      <c r="E27" s="4">
        <f t="shared" si="9"/>
        <v>10.43456059621556</v>
      </c>
      <c r="F27" s="4">
        <f t="shared" si="10"/>
        <v>12.166611403784438</v>
      </c>
      <c r="G27" s="1">
        <f t="shared" si="11"/>
        <v>1</v>
      </c>
      <c r="H27" s="1">
        <f t="shared" si="12"/>
        <v>0</v>
      </c>
      <c r="I27" s="1">
        <f t="shared" si="13"/>
        <v>0</v>
      </c>
    </row>
    <row r="28" spans="1:9" x14ac:dyDescent="0.3">
      <c r="A28" s="4">
        <f t="shared" si="5"/>
        <v>19.580578497399014</v>
      </c>
      <c r="B28" s="4">
        <f t="shared" si="6"/>
        <v>26.502370811356752</v>
      </c>
      <c r="C28" s="4">
        <f t="shared" si="7"/>
        <v>-0.86602540378443871</v>
      </c>
      <c r="D28" s="4">
        <f t="shared" si="8"/>
        <v>0.86602540378443871</v>
      </c>
      <c r="E28" s="4">
        <f t="shared" si="9"/>
        <v>5.1147085962155616</v>
      </c>
      <c r="F28" s="4">
        <f t="shared" si="10"/>
        <v>6.8467594037844384</v>
      </c>
      <c r="G28" s="1">
        <f t="shared" si="11"/>
        <v>0</v>
      </c>
      <c r="H28" s="1">
        <f t="shared" si="12"/>
        <v>0</v>
      </c>
      <c r="I28" s="1">
        <f t="shared" si="13"/>
        <v>0</v>
      </c>
    </row>
    <row r="29" spans="1:9" x14ac:dyDescent="0.3">
      <c r="A29" s="4">
        <f t="shared" si="5"/>
        <v>14.515348666084529</v>
      </c>
      <c r="B29" s="4">
        <f t="shared" si="6"/>
        <v>19.67268552194966</v>
      </c>
      <c r="C29" s="4">
        <f t="shared" si="7"/>
        <v>1.4904245962155613</v>
      </c>
      <c r="D29" s="4">
        <f t="shared" si="8"/>
        <v>3.222475403784439</v>
      </c>
      <c r="E29" s="4">
        <f t="shared" si="9"/>
        <v>4.5346945962155614</v>
      </c>
      <c r="F29" s="4">
        <f t="shared" si="10"/>
        <v>6.2667454037844381</v>
      </c>
      <c r="G29" s="1">
        <f t="shared" si="11"/>
        <v>0</v>
      </c>
      <c r="H29" s="1">
        <f t="shared" si="12"/>
        <v>0</v>
      </c>
      <c r="I29" s="1">
        <f t="shared" si="13"/>
        <v>0</v>
      </c>
    </row>
    <row r="30" spans="1:9" x14ac:dyDescent="0.3">
      <c r="A30" s="4">
        <f t="shared" si="5"/>
        <v>19.088921607529926</v>
      </c>
      <c r="B30" s="4">
        <f t="shared" si="6"/>
        <v>25.854898617189193</v>
      </c>
      <c r="C30" s="4">
        <f t="shared" si="7"/>
        <v>1.830410596215561</v>
      </c>
      <c r="D30" s="4">
        <f t="shared" si="8"/>
        <v>3.5624614037844387</v>
      </c>
      <c r="E30" s="4">
        <f t="shared" si="9"/>
        <v>4.2223355962155615</v>
      </c>
      <c r="F30" s="4">
        <f t="shared" si="10"/>
        <v>5.9543864037844383</v>
      </c>
      <c r="G30" s="1">
        <f t="shared" si="11"/>
        <v>0</v>
      </c>
      <c r="H30" s="1">
        <f t="shared" si="12"/>
        <v>0</v>
      </c>
      <c r="I30" s="1">
        <f t="shared" si="13"/>
        <v>0</v>
      </c>
    </row>
    <row r="31" spans="1:9" x14ac:dyDescent="0.3">
      <c r="A31" s="4">
        <f t="shared" si="5"/>
        <v>18.572811309187482</v>
      </c>
      <c r="B31" s="4">
        <f t="shared" si="6"/>
        <v>25.143035685348021</v>
      </c>
      <c r="C31" s="4">
        <f t="shared" si="7"/>
        <v>19.733234596215564</v>
      </c>
      <c r="D31" s="4">
        <f t="shared" si="8"/>
        <v>21.465285403784439</v>
      </c>
      <c r="E31" s="4">
        <f t="shared" si="9"/>
        <v>3.6568205962155615</v>
      </c>
      <c r="F31" s="4">
        <f t="shared" si="10"/>
        <v>5.3888714037844387</v>
      </c>
      <c r="G31" s="1">
        <f t="shared" si="11"/>
        <v>1</v>
      </c>
      <c r="H31" s="1">
        <f t="shared" si="12"/>
        <v>0</v>
      </c>
      <c r="I31" s="1">
        <f t="shared" si="13"/>
        <v>0</v>
      </c>
    </row>
    <row r="32" spans="1:9" x14ac:dyDescent="0.3">
      <c r="A32" s="4">
        <f t="shared" si="5"/>
        <v>22.186821905173268</v>
      </c>
      <c r="B32" s="4">
        <f t="shared" si="6"/>
        <v>30.032499243651799</v>
      </c>
      <c r="C32" s="4">
        <f t="shared" si="7"/>
        <v>0.43948459621556124</v>
      </c>
      <c r="D32" s="4">
        <f t="shared" si="8"/>
        <v>2.1715354037844388</v>
      </c>
      <c r="E32" s="4">
        <f t="shared" si="9"/>
        <v>4.6715205962155615</v>
      </c>
      <c r="F32" s="4">
        <f t="shared" si="10"/>
        <v>6.4035714037844382</v>
      </c>
      <c r="G32" s="1">
        <f t="shared" si="11"/>
        <v>0</v>
      </c>
      <c r="H32" s="1">
        <f t="shared" si="12"/>
        <v>0</v>
      </c>
      <c r="I32" s="1">
        <f t="shared" si="13"/>
        <v>0</v>
      </c>
    </row>
    <row r="34" spans="1:5" x14ac:dyDescent="0.3">
      <c r="A34" s="31" t="s">
        <v>57</v>
      </c>
      <c r="B34" s="31"/>
      <c r="C34" s="31" t="s">
        <v>57</v>
      </c>
      <c r="D34" s="31"/>
      <c r="E34" s="1" t="s">
        <v>67</v>
      </c>
    </row>
    <row r="35" spans="1:5" x14ac:dyDescent="0.3">
      <c r="A35" s="1" t="s">
        <v>59</v>
      </c>
      <c r="B35" s="1" t="s">
        <v>60</v>
      </c>
      <c r="C35" s="1" t="s">
        <v>61</v>
      </c>
      <c r="D35" s="1" t="s">
        <v>60</v>
      </c>
      <c r="E35" s="1" t="s">
        <v>66</v>
      </c>
    </row>
    <row r="36" spans="1:5" x14ac:dyDescent="0.3">
      <c r="A36" s="4">
        <f>H2-L2</f>
        <v>7.7784785962155611</v>
      </c>
      <c r="B36" s="4">
        <f>H2+L2</f>
        <v>9.5105294037844388</v>
      </c>
      <c r="C36" s="4">
        <f>J2-L2</f>
        <v>3.0125435962155613</v>
      </c>
      <c r="D36" s="4">
        <f>J2+L2</f>
        <v>4.744594403784439</v>
      </c>
      <c r="E36" s="4">
        <f>IF(OR(AND(C36&gt;=A36,C36&lt;=B36),AND(A36&gt;=C36,A36&lt;=D36)), 1,0)</f>
        <v>0</v>
      </c>
    </row>
    <row r="37" spans="1:5" x14ac:dyDescent="0.3">
      <c r="A37" s="4">
        <f t="shared" ref="A37:A49" si="14">H3-L3</f>
        <v>8.412392596215561</v>
      </c>
      <c r="B37" s="4">
        <f t="shared" ref="B37:B49" si="15">H3+L3</f>
        <v>10.14444340378444</v>
      </c>
      <c r="C37" s="4">
        <f t="shared" ref="C37:C49" si="16">J3-L3</f>
        <v>8.2419885962155615</v>
      </c>
      <c r="D37" s="4">
        <f t="shared" ref="D37:D49" si="17">J3+L3</f>
        <v>9.97403940378444</v>
      </c>
      <c r="E37" s="4">
        <f t="shared" ref="E37:E49" si="18">IF(OR(AND(C37&gt;=A37,C37&lt;=B37),AND(A37&gt;=C37,A37&lt;=D37)), 1,0)</f>
        <v>1</v>
      </c>
    </row>
    <row r="38" spans="1:5" x14ac:dyDescent="0.3">
      <c r="A38" s="4">
        <f t="shared" si="14"/>
        <v>9.3929905962155615</v>
      </c>
      <c r="B38" s="4">
        <f t="shared" si="15"/>
        <v>11.12504140378444</v>
      </c>
      <c r="C38" s="4">
        <f t="shared" si="16"/>
        <v>-0.28028040378443875</v>
      </c>
      <c r="D38" s="4">
        <f t="shared" si="17"/>
        <v>1.4517704037844386</v>
      </c>
      <c r="E38" s="4">
        <f t="shared" si="18"/>
        <v>0</v>
      </c>
    </row>
    <row r="39" spans="1:5" x14ac:dyDescent="0.3">
      <c r="A39" s="4">
        <f t="shared" si="14"/>
        <v>8.6150435962155605</v>
      </c>
      <c r="B39" s="4">
        <f t="shared" si="15"/>
        <v>10.347094403784439</v>
      </c>
      <c r="C39" s="4">
        <f t="shared" si="16"/>
        <v>7.2488745962155621</v>
      </c>
      <c r="D39" s="4">
        <f t="shared" si="17"/>
        <v>8.9809254037844397</v>
      </c>
      <c r="E39" s="4">
        <f t="shared" si="18"/>
        <v>1</v>
      </c>
    </row>
    <row r="40" spans="1:5" x14ac:dyDescent="0.3">
      <c r="A40" s="4">
        <f t="shared" si="14"/>
        <v>33.42560059621556</v>
      </c>
      <c r="B40" s="4">
        <f t="shared" si="15"/>
        <v>35.157651403784442</v>
      </c>
      <c r="C40" s="4">
        <f t="shared" si="16"/>
        <v>4.2491755962155615</v>
      </c>
      <c r="D40" s="4">
        <f t="shared" si="17"/>
        <v>5.9812264037844383</v>
      </c>
      <c r="E40" s="4">
        <f t="shared" si="18"/>
        <v>0</v>
      </c>
    </row>
    <row r="41" spans="1:5" x14ac:dyDescent="0.3">
      <c r="A41" s="4">
        <f t="shared" si="14"/>
        <v>33.073054596215556</v>
      </c>
      <c r="B41" s="4">
        <f t="shared" si="15"/>
        <v>34.805105403784438</v>
      </c>
      <c r="C41" s="4">
        <f t="shared" si="16"/>
        <v>10.110513596215561</v>
      </c>
      <c r="D41" s="4">
        <f t="shared" si="17"/>
        <v>11.84256440378444</v>
      </c>
      <c r="E41" s="4">
        <f t="shared" si="18"/>
        <v>0</v>
      </c>
    </row>
    <row r="42" spans="1:5" x14ac:dyDescent="0.3">
      <c r="A42" s="4">
        <f t="shared" si="14"/>
        <v>2.866276596215561</v>
      </c>
      <c r="B42" s="4">
        <f t="shared" si="15"/>
        <v>4.5983274037844382</v>
      </c>
      <c r="C42" s="4">
        <f t="shared" si="16"/>
        <v>6.7146145962155614</v>
      </c>
      <c r="D42" s="4">
        <f t="shared" si="17"/>
        <v>8.4466654037844382</v>
      </c>
      <c r="E42" s="4">
        <f t="shared" si="18"/>
        <v>0</v>
      </c>
    </row>
    <row r="43" spans="1:5" x14ac:dyDescent="0.3">
      <c r="A43" s="4">
        <f t="shared" si="14"/>
        <v>-0.86602540378443871</v>
      </c>
      <c r="B43" s="4">
        <f t="shared" si="15"/>
        <v>0.86602540378443871</v>
      </c>
      <c r="C43" s="4">
        <f t="shared" si="16"/>
        <v>6.0545835962155614</v>
      </c>
      <c r="D43" s="4">
        <f t="shared" si="17"/>
        <v>7.7866344037844382</v>
      </c>
      <c r="E43" s="4">
        <f t="shared" si="18"/>
        <v>0</v>
      </c>
    </row>
    <row r="44" spans="1:5" x14ac:dyDescent="0.3">
      <c r="A44" s="4">
        <f t="shared" si="14"/>
        <v>20.037211596215563</v>
      </c>
      <c r="B44" s="4">
        <f t="shared" si="15"/>
        <v>21.769262403784438</v>
      </c>
      <c r="C44" s="4">
        <f t="shared" si="16"/>
        <v>10.43456059621556</v>
      </c>
      <c r="D44" s="4">
        <f t="shared" si="17"/>
        <v>12.166611403784438</v>
      </c>
      <c r="E44" s="4">
        <f t="shared" si="18"/>
        <v>0</v>
      </c>
    </row>
    <row r="45" spans="1:5" x14ac:dyDescent="0.3">
      <c r="A45" s="4">
        <f t="shared" si="14"/>
        <v>-0.86602540378443871</v>
      </c>
      <c r="B45" s="4">
        <f t="shared" si="15"/>
        <v>0.86602540378443871</v>
      </c>
      <c r="C45" s="4">
        <f t="shared" si="16"/>
        <v>5.1147085962155616</v>
      </c>
      <c r="D45" s="4">
        <f t="shared" si="17"/>
        <v>6.8467594037844384</v>
      </c>
      <c r="E45" s="4">
        <f t="shared" si="18"/>
        <v>0</v>
      </c>
    </row>
    <row r="46" spans="1:5" x14ac:dyDescent="0.3">
      <c r="A46" s="4">
        <f t="shared" si="14"/>
        <v>1.4904245962155613</v>
      </c>
      <c r="B46" s="4">
        <f t="shared" si="15"/>
        <v>3.222475403784439</v>
      </c>
      <c r="C46" s="4">
        <f t="shared" si="16"/>
        <v>4.5346945962155614</v>
      </c>
      <c r="D46" s="4">
        <f t="shared" si="17"/>
        <v>6.2667454037844381</v>
      </c>
      <c r="E46" s="4">
        <f t="shared" si="18"/>
        <v>0</v>
      </c>
    </row>
    <row r="47" spans="1:5" x14ac:dyDescent="0.3">
      <c r="A47" s="4">
        <f t="shared" si="14"/>
        <v>1.830410596215561</v>
      </c>
      <c r="B47" s="4">
        <f t="shared" si="15"/>
        <v>3.5624614037844387</v>
      </c>
      <c r="C47" s="4">
        <f t="shared" si="16"/>
        <v>4.2223355962155615</v>
      </c>
      <c r="D47" s="4">
        <f t="shared" si="17"/>
        <v>5.9543864037844383</v>
      </c>
      <c r="E47" s="4">
        <f t="shared" si="18"/>
        <v>0</v>
      </c>
    </row>
    <row r="48" spans="1:5" x14ac:dyDescent="0.3">
      <c r="A48" s="4">
        <f t="shared" si="14"/>
        <v>19.733234596215564</v>
      </c>
      <c r="B48" s="4">
        <f t="shared" si="15"/>
        <v>21.465285403784439</v>
      </c>
      <c r="C48" s="4">
        <f t="shared" si="16"/>
        <v>3.6568205962155615</v>
      </c>
      <c r="D48" s="4">
        <f t="shared" si="17"/>
        <v>5.3888714037844387</v>
      </c>
      <c r="E48" s="4">
        <f t="shared" si="18"/>
        <v>0</v>
      </c>
    </row>
    <row r="49" spans="1:5" x14ac:dyDescent="0.3">
      <c r="A49" s="4">
        <f t="shared" si="14"/>
        <v>0.43948459621556124</v>
      </c>
      <c r="B49" s="4">
        <f t="shared" si="15"/>
        <v>2.1715354037844388</v>
      </c>
      <c r="C49" s="4">
        <f t="shared" si="16"/>
        <v>4.6715205962155615</v>
      </c>
      <c r="D49" s="4">
        <f t="shared" si="17"/>
        <v>6.4035714037844382</v>
      </c>
      <c r="E49" s="4">
        <f t="shared" si="18"/>
        <v>0</v>
      </c>
    </row>
  </sheetData>
  <mergeCells count="10">
    <mergeCell ref="A2:A5"/>
    <mergeCell ref="A8:A11"/>
    <mergeCell ref="A12:A15"/>
    <mergeCell ref="A6:A7"/>
    <mergeCell ref="A34:B34"/>
    <mergeCell ref="C34:D34"/>
    <mergeCell ref="C17:D17"/>
    <mergeCell ref="E17:F17"/>
    <mergeCell ref="G17:I17"/>
    <mergeCell ref="A17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EFC9-F35E-46FB-8EE1-27740E2EBF67}">
  <dimension ref="A1:N41"/>
  <sheetViews>
    <sheetView tabSelected="1" topLeftCell="A49" workbookViewId="0">
      <selection activeCell="I62" sqref="I62"/>
    </sheetView>
  </sheetViews>
  <sheetFormatPr defaultRowHeight="14.4" x14ac:dyDescent="0.3"/>
  <cols>
    <col min="1" max="1" width="10.21875" bestFit="1" customWidth="1"/>
    <col min="2" max="2" width="11.77734375" bestFit="1" customWidth="1"/>
    <col min="3" max="3" width="12.6640625" bestFit="1" customWidth="1"/>
    <col min="4" max="4" width="14.33203125" bestFit="1" customWidth="1"/>
    <col min="5" max="5" width="15.5546875" bestFit="1" customWidth="1"/>
    <col min="6" max="6" width="14" bestFit="1" customWidth="1"/>
    <col min="7" max="7" width="20.44140625" bestFit="1" customWidth="1"/>
    <col min="8" max="8" width="32.6640625" bestFit="1" customWidth="1"/>
    <col min="9" max="9" width="29.6640625" bestFit="1" customWidth="1"/>
    <col min="10" max="10" width="32.6640625" bestFit="1" customWidth="1"/>
    <col min="11" max="11" width="29.6640625" bestFit="1" customWidth="1"/>
    <col min="12" max="12" width="34.109375" bestFit="1" customWidth="1"/>
    <col min="13" max="13" width="29.6640625" customWidth="1"/>
    <col min="14" max="14" width="18.33203125" bestFit="1" customWidth="1"/>
  </cols>
  <sheetData>
    <row r="1" spans="1:14" x14ac:dyDescent="0.3">
      <c r="A1" s="2" t="s">
        <v>0</v>
      </c>
      <c r="B1" s="2" t="s">
        <v>3</v>
      </c>
      <c r="C1" s="6" t="s">
        <v>39</v>
      </c>
      <c r="D1" s="2" t="s">
        <v>16</v>
      </c>
      <c r="E1" s="6" t="s">
        <v>38</v>
      </c>
      <c r="F1" s="2" t="s">
        <v>20</v>
      </c>
      <c r="G1" s="6" t="s">
        <v>41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36</v>
      </c>
      <c r="M1" s="2" t="s">
        <v>37</v>
      </c>
      <c r="N1" s="6" t="s">
        <v>40</v>
      </c>
    </row>
    <row r="2" spans="1:14" x14ac:dyDescent="0.3">
      <c r="A2" s="10" t="s">
        <v>17</v>
      </c>
      <c r="B2" s="11">
        <v>6</v>
      </c>
      <c r="C2" s="8">
        <f>SQRT((0.2/(2*SQRT(6)))^2+((0.05*B2)^2))</f>
        <v>0.30276503540974919</v>
      </c>
      <c r="D2" s="11">
        <f>1.766-0.966</f>
        <v>0.8</v>
      </c>
      <c r="E2" s="8">
        <f>SQRT((0.01/(2*SQRT(3)))^2 +2* (0.1*D2)^2)</f>
        <v>0.11317390747576643</v>
      </c>
      <c r="F2" s="11">
        <f>B2/D2</f>
        <v>7.5</v>
      </c>
      <c r="G2" s="4">
        <f>F2*SQRT((C2/B2)^2+(E2/D2)^2)</f>
        <v>1.1264819521597618</v>
      </c>
      <c r="H2" s="4">
        <v>6.5683160000000003</v>
      </c>
      <c r="I2" s="4">
        <v>7.2045070000000004</v>
      </c>
      <c r="J2" s="4">
        <v>6.4613259999999997</v>
      </c>
      <c r="K2" s="4">
        <v>6.5622870000000004</v>
      </c>
      <c r="L2" s="4">
        <v>6.6456249999999999</v>
      </c>
      <c r="M2" s="4">
        <v>6.0192480000000002</v>
      </c>
      <c r="N2" s="8">
        <f t="shared" ref="N2:N10" si="0">(J2+1.5-(J2-1.5))/(2*SQRT(3))</f>
        <v>0.86602540378443871</v>
      </c>
    </row>
    <row r="3" spans="1:14" x14ac:dyDescent="0.3">
      <c r="A3" s="10" t="s">
        <v>17</v>
      </c>
      <c r="B3" s="11">
        <v>10</v>
      </c>
      <c r="C3" s="8">
        <f t="shared" ref="C3:C10" si="1">SQRT((0.2/(2*SQRT(6)))^2+((0.05*B3)^2))</f>
        <v>0.50166389810974699</v>
      </c>
      <c r="D3" s="11">
        <f>2.468-1.233</f>
        <v>1.2349999999999999</v>
      </c>
      <c r="E3" s="8">
        <f>SQRT((0.01/(2*SQRT(3)))^2 +2* (0.1*D3)^2)</f>
        <v>0.17467922982808612</v>
      </c>
      <c r="F3" s="11">
        <f t="shared" ref="F3:F10" si="2">B3/D3</f>
        <v>8.097165991902834</v>
      </c>
      <c r="G3" s="4">
        <f t="shared" ref="G3:G10" si="3">F3*SQRT((C3/B3)^2+(E3/D3)^2)</f>
        <v>1.215172062143334</v>
      </c>
      <c r="H3" s="4">
        <v>7.3315250000000001</v>
      </c>
      <c r="I3" s="4">
        <v>7.3346400000000003</v>
      </c>
      <c r="J3" s="4">
        <v>6.7834909999999997</v>
      </c>
      <c r="K3" s="4">
        <v>6.7842269999999996</v>
      </c>
      <c r="L3" s="4">
        <v>7.3322950000000002</v>
      </c>
      <c r="M3" s="4">
        <v>7.3282749999999997</v>
      </c>
      <c r="N3" s="8">
        <f t="shared" si="0"/>
        <v>0.86602540378443871</v>
      </c>
    </row>
    <row r="4" spans="1:14" x14ac:dyDescent="0.3">
      <c r="A4" s="10" t="s">
        <v>52</v>
      </c>
      <c r="B4" s="11">
        <v>6</v>
      </c>
      <c r="C4" s="8">
        <f t="shared" si="1"/>
        <v>0.30276503540974919</v>
      </c>
      <c r="D4" s="11">
        <f>1.4-0.566</f>
        <v>0.83399999999999996</v>
      </c>
      <c r="E4" s="8">
        <f t="shared" ref="E4:E10" si="4">SQRT((0.01/(2*SQRT(3)))^2 +2* (0.1*D4)^2)</f>
        <v>0.11798073289030432</v>
      </c>
      <c r="F4" s="11">
        <f t="shared" si="2"/>
        <v>7.1942446043165473</v>
      </c>
      <c r="G4" s="4">
        <f t="shared" si="3"/>
        <v>1.0805333197193137</v>
      </c>
      <c r="H4" s="4">
        <v>16.336480000000002</v>
      </c>
      <c r="I4" s="4">
        <v>16.435361</v>
      </c>
      <c r="J4" s="4">
        <v>5.3392619999999997</v>
      </c>
      <c r="K4" s="4">
        <v>5.9471600000000002</v>
      </c>
      <c r="L4" s="4">
        <v>8.2400389999999994</v>
      </c>
      <c r="M4" s="4">
        <v>8.2092229999999997</v>
      </c>
      <c r="N4" s="8">
        <f t="shared" si="0"/>
        <v>0.86602540378443871</v>
      </c>
    </row>
    <row r="5" spans="1:14" x14ac:dyDescent="0.3">
      <c r="A5" s="10" t="s">
        <v>52</v>
      </c>
      <c r="B5" s="11">
        <v>10</v>
      </c>
      <c r="C5" s="8">
        <f t="shared" si="1"/>
        <v>0.50166389810974699</v>
      </c>
      <c r="D5" s="11">
        <f>2.066-0.9</f>
        <v>1.1659999999999999</v>
      </c>
      <c r="E5" s="8">
        <f t="shared" si="4"/>
        <v>0.164922567689608</v>
      </c>
      <c r="F5" s="11">
        <f t="shared" si="2"/>
        <v>8.5763293310463133</v>
      </c>
      <c r="G5" s="4">
        <f t="shared" si="3"/>
        <v>1.2871009247462091</v>
      </c>
      <c r="H5" s="4">
        <v>34.320768000000001</v>
      </c>
      <c r="I5" s="4">
        <v>34.331319000000001</v>
      </c>
      <c r="J5" s="4">
        <v>5.7138809999999998</v>
      </c>
      <c r="K5" s="4">
        <v>5.7349490000000003</v>
      </c>
      <c r="L5" s="4">
        <v>34.336846000000001</v>
      </c>
      <c r="M5" s="4">
        <v>34.321438000000001</v>
      </c>
      <c r="N5" s="8">
        <f t="shared" si="0"/>
        <v>0.86602540378443871</v>
      </c>
    </row>
    <row r="6" spans="1:14" x14ac:dyDescent="0.3">
      <c r="A6" s="10" t="s">
        <v>52</v>
      </c>
      <c r="B6" s="11">
        <v>10</v>
      </c>
      <c r="C6" s="8">
        <f t="shared" si="1"/>
        <v>0.50166389810974699</v>
      </c>
      <c r="D6" s="11">
        <f>2.535-1.266</f>
        <v>1.2690000000000001</v>
      </c>
      <c r="E6" s="8">
        <f t="shared" si="4"/>
        <v>0.17948691688625482</v>
      </c>
      <c r="F6" s="11">
        <f t="shared" si="2"/>
        <v>7.8802206461780919</v>
      </c>
      <c r="G6" s="4">
        <f t="shared" si="3"/>
        <v>1.1826066769580805</v>
      </c>
      <c r="H6" s="4">
        <v>16.372820999999998</v>
      </c>
      <c r="I6" s="4">
        <v>16.376239999999999</v>
      </c>
      <c r="J6" s="4">
        <v>7.2728729999999997</v>
      </c>
      <c r="K6" s="4">
        <v>7.3145860000000003</v>
      </c>
      <c r="L6" s="4">
        <v>9.3152640000000009</v>
      </c>
      <c r="M6" s="4">
        <v>9.0834709999999994</v>
      </c>
      <c r="N6" s="8">
        <f t="shared" si="0"/>
        <v>0.86602540378443893</v>
      </c>
    </row>
    <row r="7" spans="1:14" x14ac:dyDescent="0.3">
      <c r="A7" s="10" t="s">
        <v>22</v>
      </c>
      <c r="B7" s="11">
        <v>6</v>
      </c>
      <c r="C7" s="8">
        <f t="shared" si="1"/>
        <v>0.30276503540974919</v>
      </c>
      <c r="D7" s="11">
        <f>1.933-1.066</f>
        <v>0.86699999999999999</v>
      </c>
      <c r="E7" s="8">
        <f t="shared" si="4"/>
        <v>0.12264629359802658</v>
      </c>
      <c r="F7" s="11">
        <f t="shared" si="2"/>
        <v>6.9204152249134951</v>
      </c>
      <c r="G7" s="4">
        <f t="shared" si="3"/>
        <v>1.039385141913189</v>
      </c>
      <c r="H7" s="4">
        <v>1.2326900000000001</v>
      </c>
      <c r="I7" s="4">
        <v>1.446026</v>
      </c>
      <c r="J7" s="4">
        <v>0</v>
      </c>
      <c r="K7" s="4">
        <v>0</v>
      </c>
      <c r="L7" s="4">
        <v>0</v>
      </c>
      <c r="M7" s="4">
        <v>0</v>
      </c>
      <c r="N7" s="8">
        <f t="shared" si="0"/>
        <v>0.86602540378443871</v>
      </c>
    </row>
    <row r="8" spans="1:14" x14ac:dyDescent="0.3">
      <c r="A8" s="10" t="s">
        <v>22</v>
      </c>
      <c r="B8" s="11">
        <v>10</v>
      </c>
      <c r="C8" s="8">
        <f t="shared" si="1"/>
        <v>0.50166389810974699</v>
      </c>
      <c r="D8" s="11">
        <f>2.266-1.166</f>
        <v>1.1000000000000001</v>
      </c>
      <c r="E8" s="8">
        <f t="shared" si="4"/>
        <v>0.15559027390339455</v>
      </c>
      <c r="F8" s="11">
        <f t="shared" si="2"/>
        <v>9.0909090909090899</v>
      </c>
      <c r="G8" s="4">
        <f t="shared" si="3"/>
        <v>1.3643499260010956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8">
        <f t="shared" si="0"/>
        <v>0.86602540378443871</v>
      </c>
    </row>
    <row r="9" spans="1:14" x14ac:dyDescent="0.3">
      <c r="A9" s="10" t="s">
        <v>23</v>
      </c>
      <c r="B9" s="11">
        <v>6</v>
      </c>
      <c r="C9" s="8">
        <f t="shared" si="1"/>
        <v>0.30276503540974919</v>
      </c>
      <c r="D9" s="11">
        <f>1.6-0.733</f>
        <v>0.8670000000000001</v>
      </c>
      <c r="E9" s="8">
        <f t="shared" si="4"/>
        <v>0.12264629359802659</v>
      </c>
      <c r="F9" s="11">
        <f t="shared" si="2"/>
        <v>6.9204152249134943</v>
      </c>
      <c r="G9" s="4">
        <f t="shared" si="3"/>
        <v>1.0393851419131888</v>
      </c>
      <c r="H9" s="4">
        <v>2.5546129999999998</v>
      </c>
      <c r="I9" s="4">
        <v>2.6634419999999999</v>
      </c>
      <c r="J9" s="4">
        <v>2.349202</v>
      </c>
      <c r="K9" s="4">
        <v>2.6104340000000001</v>
      </c>
      <c r="L9" s="4">
        <v>2.6729880000000001</v>
      </c>
      <c r="M9" s="4">
        <v>1.603793</v>
      </c>
      <c r="N9" s="8">
        <f t="shared" si="0"/>
        <v>0.86602540378443871</v>
      </c>
    </row>
    <row r="10" spans="1:14" s="3" customFormat="1" x14ac:dyDescent="0.3">
      <c r="A10" s="10" t="s">
        <v>23</v>
      </c>
      <c r="B10" s="11">
        <v>10</v>
      </c>
      <c r="C10" s="8">
        <f t="shared" si="1"/>
        <v>0.50166389810974699</v>
      </c>
      <c r="D10" s="11">
        <f>2.535-1.366</f>
        <v>1.169</v>
      </c>
      <c r="E10" s="8">
        <f t="shared" si="4"/>
        <v>0.16534676692736794</v>
      </c>
      <c r="F10" s="11">
        <f t="shared" si="2"/>
        <v>8.5543199315654395</v>
      </c>
      <c r="G10" s="4">
        <f t="shared" si="3"/>
        <v>1.2837969473597752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8">
        <f t="shared" si="0"/>
        <v>0.86602540378443871</v>
      </c>
    </row>
    <row r="11" spans="1:14" x14ac:dyDescent="0.3">
      <c r="A11" s="18"/>
      <c r="B11" s="18"/>
      <c r="C11" s="14"/>
      <c r="D11" s="18"/>
      <c r="E11" s="15"/>
      <c r="F11" s="18"/>
      <c r="G11" s="16"/>
      <c r="H11" s="14"/>
      <c r="I11" s="14"/>
      <c r="J11" s="14"/>
      <c r="K11" s="14"/>
      <c r="L11" s="14"/>
      <c r="M11" s="14"/>
      <c r="N11" s="17"/>
    </row>
    <row r="12" spans="1:14" x14ac:dyDescent="0.3">
      <c r="A12" s="31" t="s">
        <v>58</v>
      </c>
      <c r="B12" s="31"/>
      <c r="C12" s="31" t="s">
        <v>68</v>
      </c>
      <c r="D12" s="31"/>
      <c r="E12" s="31" t="s">
        <v>69</v>
      </c>
      <c r="F12" s="31"/>
      <c r="G12" s="31" t="s">
        <v>70</v>
      </c>
      <c r="H12" s="31"/>
      <c r="I12" s="31" t="s">
        <v>63</v>
      </c>
      <c r="J12" s="31"/>
      <c r="K12" s="31"/>
      <c r="L12" s="31"/>
    </row>
    <row r="13" spans="1:14" x14ac:dyDescent="0.3">
      <c r="A13" s="1" t="s">
        <v>55</v>
      </c>
      <c r="B13" s="1" t="s">
        <v>56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61</v>
      </c>
      <c r="H13" s="1" t="s">
        <v>62</v>
      </c>
      <c r="I13" s="1" t="s">
        <v>64</v>
      </c>
      <c r="J13" s="1" t="s">
        <v>65</v>
      </c>
      <c r="K13" s="1" t="s">
        <v>66</v>
      </c>
      <c r="L13" s="10" t="s">
        <v>71</v>
      </c>
    </row>
    <row r="14" spans="1:14" x14ac:dyDescent="0.3">
      <c r="A14" s="4">
        <f>F2-G2</f>
        <v>6.3735180478402382</v>
      </c>
      <c r="B14" s="4">
        <f>F2+G2</f>
        <v>8.6264819521597609</v>
      </c>
      <c r="C14" s="4">
        <f>H2-N2</f>
        <v>5.7022905962155619</v>
      </c>
      <c r="D14" s="4">
        <f>H2+N2</f>
        <v>7.4343414037844386</v>
      </c>
      <c r="E14" s="4">
        <f t="shared" ref="E14:E22" si="5">J2-N2</f>
        <v>5.5953005962155613</v>
      </c>
      <c r="F14" s="4">
        <f t="shared" ref="F14:F22" si="6">J2+N2</f>
        <v>7.3273514037844381</v>
      </c>
      <c r="G14" s="4">
        <f>L2-N2</f>
        <v>5.7795995962155615</v>
      </c>
      <c r="H14" s="4">
        <f>L2+N2</f>
        <v>7.5116504037844383</v>
      </c>
      <c r="I14" s="1">
        <f t="shared" ref="I14:I22" si="7">IF(OR(AND(A14&gt;=C14,A14&lt;=D14),AND(C14&gt;=A14,C14&lt;=B14)), 1,0)</f>
        <v>1</v>
      </c>
      <c r="J14" s="1">
        <f t="shared" ref="J14:J22" si="8">IF(OR(AND(A14&gt;=E14,A14&lt;=F14),AND(E14&gt;=A14,E14&lt;=B14)), 1,0)</f>
        <v>1</v>
      </c>
      <c r="K14" s="1">
        <f t="shared" ref="K14:K22" si="9">IF(OR(AND(C14&gt;=E14,C14&lt;=F14),AND(E14&gt;=C14,E14&lt;=D14)), 1,0)</f>
        <v>1</v>
      </c>
      <c r="L14" s="1">
        <f>IF(OR(AND(G14&gt;=A14,G14&lt;=B14),AND(A14&gt;=G14,A14&lt;=H14)), 1,0)</f>
        <v>1</v>
      </c>
    </row>
    <row r="15" spans="1:14" x14ac:dyDescent="0.3">
      <c r="A15" s="4">
        <f t="shared" ref="A15:A22" si="10">F3-G3</f>
        <v>6.8819939297595001</v>
      </c>
      <c r="B15" s="4">
        <f t="shared" ref="B15:B22" si="11">F3+G3</f>
        <v>9.3123380540461689</v>
      </c>
      <c r="C15" s="4">
        <f t="shared" ref="C15:C22" si="12">H3-N3</f>
        <v>6.4654995962155617</v>
      </c>
      <c r="D15" s="4">
        <f t="shared" ref="D15:D22" si="13">H3+N3</f>
        <v>8.1975504037844384</v>
      </c>
      <c r="E15" s="4">
        <f t="shared" si="5"/>
        <v>5.9174655962155613</v>
      </c>
      <c r="F15" s="4">
        <f t="shared" si="6"/>
        <v>7.6495164037844381</v>
      </c>
      <c r="G15" s="4">
        <f t="shared" ref="G15:G22" si="14">L3-N3</f>
        <v>6.4662695962155619</v>
      </c>
      <c r="H15" s="4">
        <f t="shared" ref="H15:H22" si="15">L3+N3</f>
        <v>8.1983204037844395</v>
      </c>
      <c r="I15" s="1">
        <f t="shared" si="7"/>
        <v>1</v>
      </c>
      <c r="J15" s="1">
        <f t="shared" si="8"/>
        <v>1</v>
      </c>
      <c r="K15" s="1">
        <f t="shared" si="9"/>
        <v>1</v>
      </c>
      <c r="L15" s="1">
        <f t="shared" ref="L15:L22" si="16">IF(OR(AND(G15&gt;=A15,G15&lt;=B15),AND(A15&gt;=G15,A15&lt;=H15)), 1,0)</f>
        <v>1</v>
      </c>
    </row>
    <row r="16" spans="1:14" x14ac:dyDescent="0.3">
      <c r="A16" s="4">
        <f t="shared" si="10"/>
        <v>6.1137112845972332</v>
      </c>
      <c r="B16" s="4">
        <f t="shared" si="11"/>
        <v>8.2747779240358614</v>
      </c>
      <c r="C16" s="4">
        <f t="shared" si="12"/>
        <v>15.470454596215562</v>
      </c>
      <c r="D16" s="4">
        <f t="shared" si="13"/>
        <v>17.202505403784439</v>
      </c>
      <c r="E16" s="4">
        <f t="shared" si="5"/>
        <v>4.4732365962155614</v>
      </c>
      <c r="F16" s="4">
        <f t="shared" si="6"/>
        <v>6.2052874037844381</v>
      </c>
      <c r="G16" s="4">
        <f t="shared" si="14"/>
        <v>7.3740135962155611</v>
      </c>
      <c r="H16" s="4">
        <f t="shared" si="15"/>
        <v>9.1060644037844387</v>
      </c>
      <c r="I16" s="1">
        <f t="shared" si="7"/>
        <v>0</v>
      </c>
      <c r="J16" s="1">
        <f t="shared" si="8"/>
        <v>1</v>
      </c>
      <c r="K16" s="1">
        <f t="shared" si="9"/>
        <v>0</v>
      </c>
      <c r="L16" s="1">
        <f t="shared" si="16"/>
        <v>1</v>
      </c>
    </row>
    <row r="17" spans="1:12" x14ac:dyDescent="0.3">
      <c r="A17" s="4">
        <f t="shared" si="10"/>
        <v>7.2892284063001043</v>
      </c>
      <c r="B17" s="4">
        <f t="shared" si="11"/>
        <v>9.8634302557925224</v>
      </c>
      <c r="C17" s="4">
        <f t="shared" si="12"/>
        <v>33.45474259621556</v>
      </c>
      <c r="D17" s="4">
        <f t="shared" si="13"/>
        <v>35.186793403784442</v>
      </c>
      <c r="E17" s="4">
        <f t="shared" si="5"/>
        <v>4.8478555962155614</v>
      </c>
      <c r="F17" s="4">
        <f t="shared" si="6"/>
        <v>6.5799064037844381</v>
      </c>
      <c r="G17" s="4">
        <f t="shared" si="14"/>
        <v>33.47082059621556</v>
      </c>
      <c r="H17" s="4">
        <f t="shared" si="15"/>
        <v>35.202871403784442</v>
      </c>
      <c r="I17" s="1">
        <f t="shared" si="7"/>
        <v>0</v>
      </c>
      <c r="J17" s="1">
        <f t="shared" si="8"/>
        <v>0</v>
      </c>
      <c r="K17" s="1">
        <f t="shared" si="9"/>
        <v>0</v>
      </c>
      <c r="L17" s="1">
        <f t="shared" si="16"/>
        <v>0</v>
      </c>
    </row>
    <row r="18" spans="1:12" x14ac:dyDescent="0.3">
      <c r="A18" s="4">
        <f t="shared" si="10"/>
        <v>6.6976139692200114</v>
      </c>
      <c r="B18" s="4">
        <f t="shared" si="11"/>
        <v>9.0628273231361725</v>
      </c>
      <c r="C18" s="4">
        <f t="shared" si="12"/>
        <v>15.506795596215559</v>
      </c>
      <c r="D18" s="4">
        <f t="shared" si="13"/>
        <v>17.238846403784436</v>
      </c>
      <c r="E18" s="4">
        <f t="shared" si="5"/>
        <v>6.4068475962155604</v>
      </c>
      <c r="F18" s="4">
        <f t="shared" si="6"/>
        <v>8.1388984037844381</v>
      </c>
      <c r="G18" s="4">
        <f t="shared" si="14"/>
        <v>8.4492385962155616</v>
      </c>
      <c r="H18" s="4">
        <f t="shared" si="15"/>
        <v>10.18128940378444</v>
      </c>
      <c r="I18" s="1">
        <f t="shared" si="7"/>
        <v>0</v>
      </c>
      <c r="J18" s="1">
        <f t="shared" si="8"/>
        <v>1</v>
      </c>
      <c r="K18" s="1">
        <f t="shared" si="9"/>
        <v>0</v>
      </c>
      <c r="L18" s="1">
        <f t="shared" si="16"/>
        <v>1</v>
      </c>
    </row>
    <row r="19" spans="1:12" x14ac:dyDescent="0.3">
      <c r="A19" s="4">
        <f t="shared" si="10"/>
        <v>5.8810300830003062</v>
      </c>
      <c r="B19" s="4">
        <f t="shared" si="11"/>
        <v>7.9598003668266841</v>
      </c>
      <c r="C19" s="4">
        <f t="shared" si="12"/>
        <v>0.36666459621556136</v>
      </c>
      <c r="D19" s="4">
        <f t="shared" si="13"/>
        <v>2.0987154037844387</v>
      </c>
      <c r="E19" s="4">
        <f t="shared" si="5"/>
        <v>-0.86602540378443871</v>
      </c>
      <c r="F19" s="4">
        <f t="shared" si="6"/>
        <v>0.86602540378443871</v>
      </c>
      <c r="G19" s="4">
        <f t="shared" si="14"/>
        <v>-0.86602540378443871</v>
      </c>
      <c r="H19" s="4">
        <f t="shared" si="15"/>
        <v>0.86602540378443871</v>
      </c>
      <c r="I19" s="1">
        <f t="shared" si="7"/>
        <v>0</v>
      </c>
      <c r="J19" s="1">
        <f t="shared" si="8"/>
        <v>0</v>
      </c>
      <c r="K19" s="1">
        <f t="shared" si="9"/>
        <v>1</v>
      </c>
      <c r="L19" s="1">
        <f t="shared" si="16"/>
        <v>0</v>
      </c>
    </row>
    <row r="20" spans="1:12" x14ac:dyDescent="0.3">
      <c r="A20" s="4">
        <f t="shared" si="10"/>
        <v>7.7265591649079948</v>
      </c>
      <c r="B20" s="4">
        <f t="shared" si="11"/>
        <v>10.455259016910185</v>
      </c>
      <c r="C20" s="4">
        <f t="shared" si="12"/>
        <v>-0.86602540378443871</v>
      </c>
      <c r="D20" s="4">
        <f t="shared" si="13"/>
        <v>0.86602540378443871</v>
      </c>
      <c r="E20" s="4">
        <f t="shared" si="5"/>
        <v>-0.86602540378443871</v>
      </c>
      <c r="F20" s="4">
        <f t="shared" si="6"/>
        <v>0.86602540378443871</v>
      </c>
      <c r="G20" s="4">
        <f t="shared" si="14"/>
        <v>-0.86602540378443871</v>
      </c>
      <c r="H20" s="4">
        <f t="shared" si="15"/>
        <v>0.86602540378443871</v>
      </c>
      <c r="I20" s="1">
        <f t="shared" si="7"/>
        <v>0</v>
      </c>
      <c r="J20" s="1">
        <f t="shared" si="8"/>
        <v>0</v>
      </c>
      <c r="K20" s="1">
        <f t="shared" si="9"/>
        <v>1</v>
      </c>
      <c r="L20" s="1">
        <f t="shared" si="16"/>
        <v>0</v>
      </c>
    </row>
    <row r="21" spans="1:12" x14ac:dyDescent="0.3">
      <c r="A21" s="4">
        <f t="shared" si="10"/>
        <v>5.8810300830003053</v>
      </c>
      <c r="B21" s="4">
        <f t="shared" si="11"/>
        <v>7.9598003668266832</v>
      </c>
      <c r="C21" s="4">
        <f t="shared" si="12"/>
        <v>1.688587596215561</v>
      </c>
      <c r="D21" s="4">
        <f t="shared" si="13"/>
        <v>3.4206384037844386</v>
      </c>
      <c r="E21" s="4">
        <f t="shared" si="5"/>
        <v>1.4831765962155612</v>
      </c>
      <c r="F21" s="4">
        <f t="shared" si="6"/>
        <v>3.2152274037844388</v>
      </c>
      <c r="G21" s="4">
        <f t="shared" si="14"/>
        <v>1.8069625962155613</v>
      </c>
      <c r="H21" s="4">
        <f t="shared" si="15"/>
        <v>3.539013403784439</v>
      </c>
      <c r="I21" s="1">
        <f t="shared" si="7"/>
        <v>0</v>
      </c>
      <c r="J21" s="1">
        <f t="shared" si="8"/>
        <v>0</v>
      </c>
      <c r="K21" s="1">
        <f t="shared" si="9"/>
        <v>1</v>
      </c>
      <c r="L21" s="1">
        <f t="shared" si="16"/>
        <v>0</v>
      </c>
    </row>
    <row r="22" spans="1:12" x14ac:dyDescent="0.3">
      <c r="A22" s="4">
        <f t="shared" si="10"/>
        <v>7.2705229842056642</v>
      </c>
      <c r="B22" s="4">
        <f t="shared" si="11"/>
        <v>9.8381168789252147</v>
      </c>
      <c r="C22" s="4">
        <f t="shared" si="12"/>
        <v>-0.86602540378443871</v>
      </c>
      <c r="D22" s="4">
        <f t="shared" si="13"/>
        <v>0.86602540378443871</v>
      </c>
      <c r="E22" s="4">
        <f t="shared" si="5"/>
        <v>-0.86602540378443871</v>
      </c>
      <c r="F22" s="4">
        <f t="shared" si="6"/>
        <v>0.86602540378443871</v>
      </c>
      <c r="G22" s="4">
        <f t="shared" si="14"/>
        <v>-0.86602540378443871</v>
      </c>
      <c r="H22" s="4">
        <f t="shared" si="15"/>
        <v>0.86602540378443871</v>
      </c>
      <c r="I22" s="1">
        <f t="shared" si="7"/>
        <v>0</v>
      </c>
      <c r="J22" s="1">
        <f t="shared" si="8"/>
        <v>0</v>
      </c>
      <c r="K22" s="1">
        <f t="shared" si="9"/>
        <v>1</v>
      </c>
      <c r="L22" s="1">
        <f t="shared" si="16"/>
        <v>0</v>
      </c>
    </row>
    <row r="24" spans="1:12" x14ac:dyDescent="0.3">
      <c r="A24" s="31" t="s">
        <v>57</v>
      </c>
      <c r="B24" s="31"/>
      <c r="C24" s="31" t="s">
        <v>57</v>
      </c>
      <c r="D24" s="31"/>
      <c r="E24" s="1" t="s">
        <v>67</v>
      </c>
      <c r="H24" s="16"/>
      <c r="I24" s="14"/>
      <c r="J24" s="16"/>
      <c r="K24" s="14"/>
    </row>
    <row r="25" spans="1:12" x14ac:dyDescent="0.3">
      <c r="A25" s="1" t="s">
        <v>59</v>
      </c>
      <c r="B25" s="1" t="s">
        <v>60</v>
      </c>
      <c r="C25" s="1" t="s">
        <v>61</v>
      </c>
      <c r="D25" s="1" t="s">
        <v>60</v>
      </c>
      <c r="E25" s="1" t="s">
        <v>66</v>
      </c>
      <c r="H25" s="16"/>
      <c r="I25" s="14"/>
      <c r="J25" s="16"/>
      <c r="K25" s="14"/>
    </row>
    <row r="26" spans="1:12" x14ac:dyDescent="0.3">
      <c r="A26" s="4">
        <f>I2-N2</f>
        <v>6.3384815962155621</v>
      </c>
      <c r="B26" s="4">
        <f>I2+N2</f>
        <v>8.0705324037844388</v>
      </c>
      <c r="C26" s="4">
        <f>K2-N2</f>
        <v>5.6962615962155621</v>
      </c>
      <c r="D26" s="4">
        <f>K2+N2</f>
        <v>7.4283124037844388</v>
      </c>
      <c r="E26" s="4">
        <f>IF(OR(AND(C26&gt;=A26,C26&lt;=B26),AND(A26&gt;=C26,A26&lt;=D26)), 1,0)</f>
        <v>1</v>
      </c>
      <c r="H26" s="16"/>
      <c r="I26" s="14"/>
      <c r="J26" s="16"/>
      <c r="K26" s="14"/>
    </row>
    <row r="27" spans="1:12" x14ac:dyDescent="0.3">
      <c r="A27" s="4">
        <f t="shared" ref="A27:A34" si="17">I3-N3</f>
        <v>6.4686145962155619</v>
      </c>
      <c r="B27" s="4">
        <f t="shared" ref="B27:B34" si="18">I3+N3</f>
        <v>8.2006654037844395</v>
      </c>
      <c r="C27" s="4">
        <f t="shared" ref="C27:C34" si="19">K3-N3</f>
        <v>5.9182015962155612</v>
      </c>
      <c r="D27" s="4">
        <f t="shared" ref="D27:D34" si="20">K3+N3</f>
        <v>7.6502524037844379</v>
      </c>
      <c r="E27" s="4">
        <f t="shared" ref="E27:E34" si="21">IF(OR(AND(C27&gt;=A27,C27&lt;=B27),AND(A27&gt;=C27,A27&lt;=D27)), 1,0)</f>
        <v>1</v>
      </c>
      <c r="H27" s="16"/>
      <c r="I27" s="14"/>
      <c r="J27" s="16"/>
      <c r="K27" s="14"/>
    </row>
    <row r="28" spans="1:12" x14ac:dyDescent="0.3">
      <c r="A28" s="4">
        <f t="shared" si="17"/>
        <v>15.569335596215561</v>
      </c>
      <c r="B28" s="4">
        <f t="shared" si="18"/>
        <v>17.301386403784438</v>
      </c>
      <c r="C28" s="4">
        <f t="shared" si="19"/>
        <v>5.0811345962155618</v>
      </c>
      <c r="D28" s="4">
        <f t="shared" si="20"/>
        <v>6.8131854037844386</v>
      </c>
      <c r="E28" s="4">
        <f t="shared" si="21"/>
        <v>0</v>
      </c>
      <c r="H28" s="16"/>
      <c r="I28" s="14"/>
      <c r="J28" s="16"/>
      <c r="K28" s="14"/>
    </row>
    <row r="29" spans="1:12" x14ac:dyDescent="0.3">
      <c r="A29" s="4">
        <f t="shared" si="17"/>
        <v>33.46529359621556</v>
      </c>
      <c r="B29" s="4">
        <f t="shared" si="18"/>
        <v>35.197344403784442</v>
      </c>
      <c r="C29" s="4">
        <f t="shared" si="19"/>
        <v>4.8689235962155619</v>
      </c>
      <c r="D29" s="4">
        <f t="shared" si="20"/>
        <v>6.6009744037844387</v>
      </c>
      <c r="E29" s="4">
        <f t="shared" si="21"/>
        <v>0</v>
      </c>
      <c r="H29" s="16"/>
      <c r="I29" s="14"/>
      <c r="J29" s="16"/>
      <c r="K29" s="14"/>
    </row>
    <row r="30" spans="1:12" x14ac:dyDescent="0.3">
      <c r="A30" s="4">
        <f t="shared" si="17"/>
        <v>15.51021459621556</v>
      </c>
      <c r="B30" s="4">
        <f t="shared" si="18"/>
        <v>17.242265403784437</v>
      </c>
      <c r="C30" s="4">
        <f t="shared" si="19"/>
        <v>6.448560596215561</v>
      </c>
      <c r="D30" s="4">
        <f t="shared" si="20"/>
        <v>8.1806114037844395</v>
      </c>
      <c r="E30" s="4">
        <f t="shared" si="21"/>
        <v>0</v>
      </c>
      <c r="H30" s="16"/>
      <c r="I30" s="14"/>
      <c r="J30" s="16"/>
      <c r="K30" s="14"/>
    </row>
    <row r="31" spans="1:12" x14ac:dyDescent="0.3">
      <c r="A31" s="4">
        <f t="shared" si="17"/>
        <v>0.58000059621556133</v>
      </c>
      <c r="B31" s="4">
        <f t="shared" si="18"/>
        <v>2.3120514037844386</v>
      </c>
      <c r="C31" s="4">
        <f t="shared" si="19"/>
        <v>-0.86602540378443871</v>
      </c>
      <c r="D31" s="4">
        <f t="shared" si="20"/>
        <v>0.86602540378443871</v>
      </c>
      <c r="E31" s="4">
        <f t="shared" si="21"/>
        <v>1</v>
      </c>
      <c r="H31" s="16"/>
      <c r="I31" s="14"/>
      <c r="J31" s="16"/>
      <c r="K31" s="14"/>
    </row>
    <row r="32" spans="1:12" x14ac:dyDescent="0.3">
      <c r="A32" s="4">
        <f t="shared" si="17"/>
        <v>-0.86602540378443871</v>
      </c>
      <c r="B32" s="4">
        <f t="shared" si="18"/>
        <v>0.86602540378443871</v>
      </c>
      <c r="C32" s="4">
        <f t="shared" si="19"/>
        <v>-0.86602540378443871</v>
      </c>
      <c r="D32" s="4">
        <f t="shared" si="20"/>
        <v>0.86602540378443871</v>
      </c>
      <c r="E32" s="4">
        <f t="shared" si="21"/>
        <v>1</v>
      </c>
      <c r="H32" s="16"/>
      <c r="I32" s="14"/>
      <c r="J32" s="16"/>
      <c r="K32" s="14"/>
    </row>
    <row r="33" spans="1:11" x14ac:dyDescent="0.3">
      <c r="A33" s="4">
        <f t="shared" si="17"/>
        <v>1.797416596215561</v>
      </c>
      <c r="B33" s="4">
        <f t="shared" si="18"/>
        <v>3.5294674037844387</v>
      </c>
      <c r="C33" s="4">
        <f t="shared" si="19"/>
        <v>1.7444085962155613</v>
      </c>
      <c r="D33" s="4">
        <f t="shared" si="20"/>
        <v>3.476459403784439</v>
      </c>
      <c r="E33" s="4">
        <f t="shared" si="21"/>
        <v>1</v>
      </c>
      <c r="H33" s="14"/>
      <c r="I33" s="14"/>
      <c r="J33" s="14"/>
      <c r="K33" s="14"/>
    </row>
    <row r="34" spans="1:11" x14ac:dyDescent="0.3">
      <c r="A34" s="4">
        <f t="shared" si="17"/>
        <v>-0.86602540378443871</v>
      </c>
      <c r="B34" s="4">
        <f t="shared" si="18"/>
        <v>0.86602540378443871</v>
      </c>
      <c r="C34" s="4">
        <f t="shared" si="19"/>
        <v>-0.86602540378443871</v>
      </c>
      <c r="D34" s="4">
        <f t="shared" si="20"/>
        <v>0.86602540378443871</v>
      </c>
      <c r="E34" s="4">
        <f t="shared" si="21"/>
        <v>1</v>
      </c>
    </row>
    <row r="35" spans="1:11" x14ac:dyDescent="0.3">
      <c r="A35" s="16"/>
      <c r="B35" s="16"/>
      <c r="C35" s="16"/>
      <c r="D35" s="16"/>
      <c r="E35" s="16"/>
    </row>
    <row r="36" spans="1:11" x14ac:dyDescent="0.3">
      <c r="A36" s="4"/>
      <c r="B36" s="40" t="s">
        <v>89</v>
      </c>
      <c r="C36" s="40"/>
      <c r="D36" s="40" t="s">
        <v>90</v>
      </c>
      <c r="E36" s="40"/>
      <c r="F36" s="31" t="s">
        <v>91</v>
      </c>
      <c r="G36" s="31"/>
      <c r="H36" s="31" t="s">
        <v>92</v>
      </c>
      <c r="I36" s="31"/>
    </row>
    <row r="37" spans="1:11" x14ac:dyDescent="0.3">
      <c r="A37" s="1"/>
      <c r="B37" s="1" t="s">
        <v>88</v>
      </c>
      <c r="C37" s="1" t="s">
        <v>87</v>
      </c>
      <c r="D37" s="1" t="s">
        <v>88</v>
      </c>
      <c r="E37" s="1" t="s">
        <v>87</v>
      </c>
      <c r="F37" s="1" t="s">
        <v>88</v>
      </c>
      <c r="G37" s="1" t="s">
        <v>87</v>
      </c>
      <c r="H37" s="1" t="s">
        <v>88</v>
      </c>
      <c r="I37" s="1" t="s">
        <v>87</v>
      </c>
    </row>
    <row r="38" spans="1:11" x14ac:dyDescent="0.3">
      <c r="A38" s="1" t="s">
        <v>86</v>
      </c>
      <c r="B38" s="4">
        <f>F2-A14</f>
        <v>1.1264819521597618</v>
      </c>
      <c r="C38" s="4">
        <f>F2-B14</f>
        <v>-1.1264819521597609</v>
      </c>
      <c r="D38" s="4">
        <f>H2-C14</f>
        <v>0.86602540378443837</v>
      </c>
      <c r="E38" s="4">
        <f>H2-D14</f>
        <v>-0.86602540378443837</v>
      </c>
      <c r="F38" s="4">
        <f>J2-E14</f>
        <v>0.86602540378443837</v>
      </c>
      <c r="G38" s="4">
        <f>J2-F14</f>
        <v>-0.86602540378443837</v>
      </c>
      <c r="H38" s="4">
        <f>L2-G14</f>
        <v>0.86602540378443837</v>
      </c>
      <c r="I38" s="4">
        <f>L2-H14</f>
        <v>-0.86602540378443837</v>
      </c>
    </row>
    <row r="39" spans="1:11" x14ac:dyDescent="0.3">
      <c r="A39" s="1" t="s">
        <v>52</v>
      </c>
      <c r="B39" s="4">
        <f>F4-A16</f>
        <v>1.0805333197193141</v>
      </c>
      <c r="C39" s="4">
        <f>F4-B16</f>
        <v>-1.0805333197193141</v>
      </c>
      <c r="D39" s="4">
        <f>H4-C16</f>
        <v>0.86602540378443926</v>
      </c>
      <c r="E39" s="4">
        <f>H4-D16</f>
        <v>-0.86602540378443749</v>
      </c>
      <c r="F39" s="4">
        <f>J4-E16</f>
        <v>0.86602540378443837</v>
      </c>
      <c r="G39" s="4">
        <f>J4-F16</f>
        <v>-0.86602540378443837</v>
      </c>
      <c r="H39" s="4">
        <f>L4-G16</f>
        <v>0.86602540378443837</v>
      </c>
      <c r="I39" s="4">
        <f>L4-H16</f>
        <v>-0.86602540378443926</v>
      </c>
    </row>
    <row r="40" spans="1:11" x14ac:dyDescent="0.3">
      <c r="A40" s="1" t="s">
        <v>22</v>
      </c>
      <c r="B40" s="4">
        <f>F7-A19</f>
        <v>1.039385141913189</v>
      </c>
      <c r="C40" s="4">
        <f>F7-B19</f>
        <v>-1.039385141913189</v>
      </c>
      <c r="D40" s="4">
        <f>H7-C19</f>
        <v>0.86602540378443871</v>
      </c>
      <c r="E40" s="4">
        <f>H7-D19</f>
        <v>-0.8660254037844386</v>
      </c>
      <c r="F40" s="4">
        <f>J7-E19</f>
        <v>0.86602540378443871</v>
      </c>
      <c r="G40" s="4">
        <f>J7-F19</f>
        <v>-0.86602540378443871</v>
      </c>
      <c r="H40" s="4">
        <f>L7-G19</f>
        <v>0.86602540378443871</v>
      </c>
      <c r="I40" s="4">
        <f>L7-H19</f>
        <v>-0.86602540378443871</v>
      </c>
    </row>
    <row r="41" spans="1:11" x14ac:dyDescent="0.3">
      <c r="A41" s="1" t="s">
        <v>23</v>
      </c>
      <c r="B41" s="4">
        <f>F9-A21</f>
        <v>1.039385141913189</v>
      </c>
      <c r="C41" s="4">
        <f>F9-B21</f>
        <v>-1.039385141913189</v>
      </c>
      <c r="D41" s="4">
        <f>H9-C21</f>
        <v>0.86602540378443882</v>
      </c>
      <c r="E41" s="4">
        <f>H9-D21</f>
        <v>-0.86602540378443882</v>
      </c>
      <c r="F41" s="4">
        <f>J9-E21</f>
        <v>0.86602540378443882</v>
      </c>
      <c r="G41" s="4">
        <f>J9-F21</f>
        <v>-0.86602540378443882</v>
      </c>
      <c r="H41" s="4">
        <f>L9-G21</f>
        <v>0.86602540378443882</v>
      </c>
      <c r="I41" s="4">
        <f>L9-H21</f>
        <v>-0.86602540378443882</v>
      </c>
    </row>
  </sheetData>
  <mergeCells count="11">
    <mergeCell ref="B36:C36"/>
    <mergeCell ref="D36:E36"/>
    <mergeCell ref="F36:G36"/>
    <mergeCell ref="H36:I36"/>
    <mergeCell ref="G12:H12"/>
    <mergeCell ref="I12:L12"/>
    <mergeCell ref="A24:B24"/>
    <mergeCell ref="C24:D24"/>
    <mergeCell ref="A12:B12"/>
    <mergeCell ref="C12:D12"/>
    <mergeCell ref="E12:F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96CC-7311-4072-977D-A55655372E3B}">
  <dimension ref="A1:L43"/>
  <sheetViews>
    <sheetView workbookViewId="0">
      <selection activeCell="C2" sqref="C2:C14"/>
    </sheetView>
  </sheetViews>
  <sheetFormatPr defaultRowHeight="14.4" x14ac:dyDescent="0.3"/>
  <cols>
    <col min="1" max="1" width="10.21875" bestFit="1" customWidth="1"/>
    <col min="2" max="2" width="11.77734375" bestFit="1" customWidth="1"/>
    <col min="3" max="3" width="12.6640625" bestFit="1" customWidth="1"/>
    <col min="4" max="4" width="14.33203125" bestFit="1" customWidth="1"/>
    <col min="5" max="5" width="15.5546875" bestFit="1" customWidth="1"/>
    <col min="6" max="6" width="14" bestFit="1" customWidth="1"/>
    <col min="7" max="7" width="20.44140625" bestFit="1" customWidth="1"/>
    <col min="8" max="8" width="28.33203125" bestFit="1" customWidth="1"/>
    <col min="9" max="9" width="25.44140625" bestFit="1" customWidth="1"/>
    <col min="10" max="10" width="27.33203125" bestFit="1" customWidth="1"/>
    <col min="11" max="11" width="24.33203125" bestFit="1" customWidth="1"/>
    <col min="12" max="12" width="18.33203125" bestFit="1" customWidth="1"/>
  </cols>
  <sheetData>
    <row r="1" spans="1:12" x14ac:dyDescent="0.3">
      <c r="A1" s="2" t="s">
        <v>0</v>
      </c>
      <c r="B1" s="2" t="s">
        <v>3</v>
      </c>
      <c r="C1" s="6" t="s">
        <v>39</v>
      </c>
      <c r="D1" s="2" t="s">
        <v>16</v>
      </c>
      <c r="E1" s="6" t="s">
        <v>38</v>
      </c>
      <c r="F1" s="2" t="s">
        <v>20</v>
      </c>
      <c r="G1" s="6" t="s">
        <v>41</v>
      </c>
      <c r="H1" s="2" t="s">
        <v>24</v>
      </c>
      <c r="I1" s="2" t="s">
        <v>25</v>
      </c>
      <c r="J1" s="2" t="s">
        <v>26</v>
      </c>
      <c r="K1" s="2" t="s">
        <v>27</v>
      </c>
      <c r="L1" s="6" t="s">
        <v>40</v>
      </c>
    </row>
    <row r="2" spans="1:12" x14ac:dyDescent="0.3">
      <c r="A2" s="10" t="s">
        <v>17</v>
      </c>
      <c r="B2" s="11">
        <v>10</v>
      </c>
      <c r="C2" s="8">
        <f>SQRT((0.2/(2*SQRT(6)))^2+((0.05*B2)^2))</f>
        <v>0.50166389810974699</v>
      </c>
      <c r="D2" s="11">
        <f>2.635-1.5</f>
        <v>1.1349999999999998</v>
      </c>
      <c r="E2" s="8">
        <f>SQRT((0.01/(2*SQRT(3)))^2 +2* (0.1*D2)^2)</f>
        <v>0.16053919562939553</v>
      </c>
      <c r="F2" s="11">
        <f>B2/D2</f>
        <v>8.8105726872246706</v>
      </c>
      <c r="G2" s="4">
        <f>F2*SQRT((C2/B2)^2+(E2/D2)^2)</f>
        <v>1.3222651856602998</v>
      </c>
      <c r="H2" s="4">
        <v>0</v>
      </c>
      <c r="I2" s="4">
        <v>0</v>
      </c>
      <c r="J2" s="4">
        <v>0</v>
      </c>
      <c r="K2" s="4">
        <v>0</v>
      </c>
      <c r="L2" s="8">
        <f>(H2+1.5-(H2-1.5))/(2*SQRT(3))</f>
        <v>0.86602540378443871</v>
      </c>
    </row>
    <row r="3" spans="1:12" x14ac:dyDescent="0.3">
      <c r="A3" s="10" t="s">
        <v>17</v>
      </c>
      <c r="B3" s="11">
        <v>6</v>
      </c>
      <c r="C3" s="8">
        <f t="shared" ref="C3:C14" si="0">SQRT((0.2/(2*SQRT(6)))^2+((0.05*B3)^2))</f>
        <v>0.30276503540974919</v>
      </c>
      <c r="D3" s="11">
        <f>1.933-1.2</f>
        <v>0.7330000000000001</v>
      </c>
      <c r="E3" s="8">
        <f>SQRT((0.01/(2*SQRT(3)))^2 +2* (0.1*D3)^2)</f>
        <v>0.10370204112423892</v>
      </c>
      <c r="F3" s="11">
        <f t="shared" ref="F3:F14" si="1">B3/D3</f>
        <v>8.1855388813096859</v>
      </c>
      <c r="G3" s="4">
        <f t="shared" ref="G3:G14" si="2">F3*SQRT((C3/B3)^2+(E3/D3)^2)</f>
        <v>1.2295160675150361</v>
      </c>
      <c r="H3" s="4">
        <v>0</v>
      </c>
      <c r="I3" s="4">
        <v>0</v>
      </c>
      <c r="J3" s="4">
        <v>6.4777180000000003</v>
      </c>
      <c r="K3" s="4">
        <v>4.7018829999999996</v>
      </c>
      <c r="L3" s="8">
        <f t="shared" ref="L3:L14" si="3">(H3+1.5-(H3-1.5))/(2*SQRT(3))</f>
        <v>0.86602540378443871</v>
      </c>
    </row>
    <row r="4" spans="1:12" x14ac:dyDescent="0.3">
      <c r="A4" s="10" t="s">
        <v>17</v>
      </c>
      <c r="B4" s="11">
        <v>6</v>
      </c>
      <c r="C4" s="8">
        <f t="shared" si="0"/>
        <v>0.30276503540974919</v>
      </c>
      <c r="D4" s="11">
        <f>2.033-1.233</f>
        <v>0.79999999999999982</v>
      </c>
      <c r="E4" s="8">
        <f t="shared" ref="E4:E14" si="4">SQRT((0.01/(2*SQRT(3)))^2 +2* (0.1*D4)^2)</f>
        <v>0.11317390747576637</v>
      </c>
      <c r="F4" s="11">
        <f t="shared" si="1"/>
        <v>7.5000000000000018</v>
      </c>
      <c r="G4" s="4">
        <f t="shared" si="2"/>
        <v>1.1264819521597618</v>
      </c>
      <c r="H4" s="4">
        <v>5.980728</v>
      </c>
      <c r="I4" s="4">
        <v>4.7875969999999999</v>
      </c>
      <c r="J4" s="4">
        <v>6.2201329999999997</v>
      </c>
      <c r="K4" s="4">
        <v>4.9558260000000001</v>
      </c>
      <c r="L4" s="8">
        <f t="shared" si="3"/>
        <v>0.86602540378443871</v>
      </c>
    </row>
    <row r="5" spans="1:12" x14ac:dyDescent="0.3">
      <c r="A5" s="10" t="s">
        <v>21</v>
      </c>
      <c r="B5" s="11">
        <v>10</v>
      </c>
      <c r="C5" s="8">
        <f t="shared" si="0"/>
        <v>0.50166389810974699</v>
      </c>
      <c r="D5" s="11">
        <f>1.7-0.433</f>
        <v>1.2669999999999999</v>
      </c>
      <c r="E5" s="8">
        <f t="shared" si="4"/>
        <v>0.17920411081594453</v>
      </c>
      <c r="F5" s="11">
        <f t="shared" si="1"/>
        <v>7.8926598263614842</v>
      </c>
      <c r="G5" s="4">
        <f t="shared" si="2"/>
        <v>1.1844738893449875</v>
      </c>
      <c r="H5" s="4">
        <v>4.6073880000000003</v>
      </c>
      <c r="I5" s="4">
        <v>3.838317</v>
      </c>
      <c r="J5" s="4">
        <v>0</v>
      </c>
      <c r="K5" s="4">
        <v>0</v>
      </c>
      <c r="L5" s="8">
        <f t="shared" si="3"/>
        <v>0.86602540378443871</v>
      </c>
    </row>
    <row r="6" spans="1:12" x14ac:dyDescent="0.3">
      <c r="A6" s="10" t="s">
        <v>21</v>
      </c>
      <c r="B6" s="11">
        <v>10</v>
      </c>
      <c r="C6" s="8">
        <f t="shared" si="0"/>
        <v>0.50166389810974699</v>
      </c>
      <c r="D6" s="11">
        <f>2.935-1.7</f>
        <v>1.2350000000000001</v>
      </c>
      <c r="E6" s="8">
        <f t="shared" si="4"/>
        <v>0.17467922982808615</v>
      </c>
      <c r="F6" s="11">
        <f t="shared" si="1"/>
        <v>8.097165991902834</v>
      </c>
      <c r="G6" s="4">
        <f t="shared" si="2"/>
        <v>1.215172062143334</v>
      </c>
      <c r="H6" s="4">
        <v>10.571367</v>
      </c>
      <c r="I6" s="4">
        <v>8.7990890000000004</v>
      </c>
      <c r="J6" s="4">
        <v>13.980193</v>
      </c>
      <c r="K6" s="4">
        <v>12.953860000000001</v>
      </c>
      <c r="L6" s="8">
        <f t="shared" si="3"/>
        <v>0.86602540378443871</v>
      </c>
    </row>
    <row r="7" spans="1:12" x14ac:dyDescent="0.3">
      <c r="A7" s="10" t="s">
        <v>21</v>
      </c>
      <c r="B7" s="11">
        <v>6</v>
      </c>
      <c r="C7" s="8">
        <f t="shared" si="0"/>
        <v>0.30276503540974919</v>
      </c>
      <c r="D7" s="11">
        <f>2.066-1.166</f>
        <v>0.89999999999999991</v>
      </c>
      <c r="E7" s="8">
        <f t="shared" si="4"/>
        <v>0.12731195282978472</v>
      </c>
      <c r="F7" s="11">
        <f t="shared" si="1"/>
        <v>6.666666666666667</v>
      </c>
      <c r="G7" s="4">
        <f t="shared" si="2"/>
        <v>1.0012566406968555</v>
      </c>
      <c r="H7" s="4">
        <v>6.1900779999999997</v>
      </c>
      <c r="I7" s="4">
        <v>5.9311530000000001</v>
      </c>
      <c r="J7" s="4">
        <v>4.1795090000000004</v>
      </c>
      <c r="K7" s="4">
        <v>3.4914450000000001</v>
      </c>
      <c r="L7" s="8">
        <f t="shared" si="3"/>
        <v>0.86602540378443871</v>
      </c>
    </row>
    <row r="8" spans="1:12" x14ac:dyDescent="0.3">
      <c r="A8" s="10" t="s">
        <v>22</v>
      </c>
      <c r="B8" s="11">
        <v>6</v>
      </c>
      <c r="C8" s="8">
        <f t="shared" si="0"/>
        <v>0.30276503540974919</v>
      </c>
      <c r="D8" s="11">
        <f>1.966-1.1</f>
        <v>0.86599999999999988</v>
      </c>
      <c r="E8" s="8">
        <f t="shared" si="4"/>
        <v>0.12250491146616667</v>
      </c>
      <c r="F8" s="11">
        <f t="shared" si="1"/>
        <v>6.928406466512703</v>
      </c>
      <c r="G8" s="4">
        <f t="shared" si="2"/>
        <v>1.0405859465869209</v>
      </c>
      <c r="H8" s="4">
        <v>1.0886229999999999</v>
      </c>
      <c r="I8" s="4">
        <v>0.82735400000000003</v>
      </c>
      <c r="J8" s="4">
        <v>0</v>
      </c>
      <c r="K8" s="4">
        <v>0</v>
      </c>
      <c r="L8" s="8">
        <f t="shared" si="3"/>
        <v>0.86602540378443871</v>
      </c>
    </row>
    <row r="9" spans="1:12" x14ac:dyDescent="0.3">
      <c r="A9" s="10" t="s">
        <v>22</v>
      </c>
      <c r="B9" s="11">
        <v>6</v>
      </c>
      <c r="C9" s="8">
        <f t="shared" si="0"/>
        <v>0.30276503540974919</v>
      </c>
      <c r="D9" s="11">
        <f>2.401-1.6</f>
        <v>0.80099999999999971</v>
      </c>
      <c r="E9" s="8">
        <f t="shared" si="4"/>
        <v>0.1133152828762887</v>
      </c>
      <c r="F9" s="11">
        <f>B9/D9</f>
        <v>7.4906367041198525</v>
      </c>
      <c r="G9" s="4">
        <f t="shared" si="2"/>
        <v>1.1250747974525102</v>
      </c>
      <c r="H9" s="4">
        <v>0</v>
      </c>
      <c r="I9" s="4">
        <v>0</v>
      </c>
      <c r="J9" s="4">
        <v>0</v>
      </c>
      <c r="K9" s="4">
        <v>0</v>
      </c>
      <c r="L9" s="8">
        <f t="shared" si="3"/>
        <v>0.86602540378443871</v>
      </c>
    </row>
    <row r="10" spans="1:12" x14ac:dyDescent="0.3">
      <c r="A10" s="10" t="s">
        <v>22</v>
      </c>
      <c r="B10" s="11">
        <v>10</v>
      </c>
      <c r="C10" s="8">
        <f t="shared" si="0"/>
        <v>0.50166389810974699</v>
      </c>
      <c r="D10" s="11">
        <f>2.368-1.133</f>
        <v>1.2349999999999999</v>
      </c>
      <c r="E10" s="8">
        <f t="shared" si="4"/>
        <v>0.17467922982808612</v>
      </c>
      <c r="F10" s="11">
        <f>B10/D10</f>
        <v>8.097165991902834</v>
      </c>
      <c r="G10" s="4">
        <f t="shared" si="2"/>
        <v>1.215172062143334</v>
      </c>
      <c r="H10" s="4">
        <v>0</v>
      </c>
      <c r="I10" s="4">
        <v>0</v>
      </c>
      <c r="J10" s="4">
        <v>0</v>
      </c>
      <c r="K10" s="4">
        <v>0</v>
      </c>
      <c r="L10" s="8">
        <f t="shared" si="3"/>
        <v>0.86602540378443871</v>
      </c>
    </row>
    <row r="11" spans="1:12" x14ac:dyDescent="0.3">
      <c r="A11" s="10" t="s">
        <v>23</v>
      </c>
      <c r="B11" s="11">
        <v>10</v>
      </c>
      <c r="C11" s="8">
        <f t="shared" si="0"/>
        <v>0.50166389810974699</v>
      </c>
      <c r="D11" s="11">
        <f>3.001-1.7</f>
        <v>1.3009999999999999</v>
      </c>
      <c r="E11" s="8">
        <f t="shared" si="4"/>
        <v>0.18401182932989207</v>
      </c>
      <c r="F11" s="11">
        <f t="shared" si="1"/>
        <v>7.6863950807071486</v>
      </c>
      <c r="G11" s="4">
        <f t="shared" si="2"/>
        <v>1.1535122951328105</v>
      </c>
      <c r="H11" s="4">
        <v>1.1271439999999999</v>
      </c>
      <c r="I11" s="4">
        <v>1.123459</v>
      </c>
      <c r="J11" s="4">
        <v>0.47103600000000001</v>
      </c>
      <c r="K11" s="4">
        <v>0.35336200000000001</v>
      </c>
      <c r="L11" s="8">
        <f t="shared" si="3"/>
        <v>0.86602540378443871</v>
      </c>
    </row>
    <row r="12" spans="1:12" x14ac:dyDescent="0.3">
      <c r="A12" s="10" t="s">
        <v>23</v>
      </c>
      <c r="B12" s="11">
        <v>6</v>
      </c>
      <c r="C12" s="8">
        <f t="shared" si="0"/>
        <v>0.30276503540974919</v>
      </c>
      <c r="D12" s="11">
        <f>2.3-1.4</f>
        <v>0.89999999999999991</v>
      </c>
      <c r="E12" s="8">
        <f t="shared" si="4"/>
        <v>0.12731195282978472</v>
      </c>
      <c r="F12" s="11">
        <f t="shared" si="1"/>
        <v>6.666666666666667</v>
      </c>
      <c r="G12" s="4">
        <f t="shared" si="2"/>
        <v>1.0012566406968555</v>
      </c>
      <c r="H12" s="4">
        <v>0</v>
      </c>
      <c r="I12" s="4">
        <v>0</v>
      </c>
      <c r="J12" s="4">
        <v>0</v>
      </c>
      <c r="K12" s="4">
        <v>0</v>
      </c>
      <c r="L12" s="8">
        <f t="shared" si="3"/>
        <v>0.86602540378443871</v>
      </c>
    </row>
    <row r="13" spans="1:12" x14ac:dyDescent="0.3">
      <c r="A13" s="10" t="s">
        <v>23</v>
      </c>
      <c r="B13" s="11">
        <v>6</v>
      </c>
      <c r="C13" s="8">
        <f t="shared" si="0"/>
        <v>0.30276503540974919</v>
      </c>
      <c r="D13" s="11">
        <f>1.733-0.966</f>
        <v>0.76700000000000013</v>
      </c>
      <c r="E13" s="8">
        <f t="shared" si="4"/>
        <v>0.10850858644979824</v>
      </c>
      <c r="F13" s="11">
        <f t="shared" si="1"/>
        <v>7.8226857887874823</v>
      </c>
      <c r="G13" s="4">
        <f t="shared" si="2"/>
        <v>1.1749783860813316</v>
      </c>
      <c r="H13" s="4">
        <v>0</v>
      </c>
      <c r="I13" s="4">
        <v>0</v>
      </c>
      <c r="J13" s="4">
        <v>0</v>
      </c>
      <c r="K13" s="4">
        <v>0</v>
      </c>
      <c r="L13" s="8">
        <f t="shared" si="3"/>
        <v>0.86602540378443871</v>
      </c>
    </row>
    <row r="14" spans="1:12" x14ac:dyDescent="0.3">
      <c r="A14" s="10" t="s">
        <v>23</v>
      </c>
      <c r="B14" s="11">
        <v>10</v>
      </c>
      <c r="C14" s="8">
        <f t="shared" si="0"/>
        <v>0.50166389810974699</v>
      </c>
      <c r="D14" s="11">
        <f>2.501-1.366</f>
        <v>1.1349999999999998</v>
      </c>
      <c r="E14" s="8">
        <f t="shared" si="4"/>
        <v>0.16053919562939553</v>
      </c>
      <c r="F14" s="11">
        <f t="shared" si="1"/>
        <v>8.8105726872246706</v>
      </c>
      <c r="G14" s="4">
        <f t="shared" si="2"/>
        <v>1.3222651856602998</v>
      </c>
      <c r="H14" s="4">
        <v>0</v>
      </c>
      <c r="I14" s="4">
        <v>0</v>
      </c>
      <c r="J14" s="4">
        <v>0</v>
      </c>
      <c r="K14" s="4">
        <v>0</v>
      </c>
      <c r="L14" s="8">
        <f t="shared" si="3"/>
        <v>0.86602540378443871</v>
      </c>
    </row>
    <row r="15" spans="1:12" x14ac:dyDescent="0.3">
      <c r="A15" s="3"/>
      <c r="B15" s="3"/>
      <c r="C15" s="14"/>
      <c r="D15" s="3"/>
      <c r="E15" s="15"/>
      <c r="F15" s="3"/>
      <c r="G15" s="16"/>
      <c r="L15" s="17"/>
    </row>
    <row r="16" spans="1:12" x14ac:dyDescent="0.3">
      <c r="A16" s="31" t="s">
        <v>58</v>
      </c>
      <c r="B16" s="31"/>
      <c r="C16" s="31" t="s">
        <v>58</v>
      </c>
      <c r="D16" s="31"/>
      <c r="E16" s="31" t="s">
        <v>58</v>
      </c>
      <c r="F16" s="31"/>
      <c r="G16" s="31" t="s">
        <v>63</v>
      </c>
      <c r="H16" s="31"/>
      <c r="I16" s="31"/>
    </row>
    <row r="17" spans="1:9" x14ac:dyDescent="0.3">
      <c r="A17" s="1" t="s">
        <v>55</v>
      </c>
      <c r="B17" s="1" t="s">
        <v>56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64</v>
      </c>
      <c r="H17" s="1" t="s">
        <v>65</v>
      </c>
      <c r="I17" s="1" t="s">
        <v>66</v>
      </c>
    </row>
    <row r="18" spans="1:9" x14ac:dyDescent="0.3">
      <c r="A18" s="4">
        <f>F2-G2</f>
        <v>7.4883075015643712</v>
      </c>
      <c r="B18" s="4">
        <f>F2+G2</f>
        <v>10.13283787288497</v>
      </c>
      <c r="C18" s="4">
        <f>H2-L2</f>
        <v>-0.86602540378443871</v>
      </c>
      <c r="D18" s="4">
        <f>H2+L2</f>
        <v>0.86602540378443871</v>
      </c>
      <c r="E18" s="4">
        <f>J2-L2</f>
        <v>-0.86602540378443871</v>
      </c>
      <c r="F18" s="4">
        <f>J2+L2</f>
        <v>0.86602540378443871</v>
      </c>
      <c r="G18" s="1">
        <f>IF(OR(AND(A18&gt;=C18,A18&lt;=D18),AND(C18&gt;=A18,C18&lt;=B18)), 1,0)</f>
        <v>0</v>
      </c>
      <c r="H18" s="1">
        <f>IF(OR(AND(A18&gt;=E18,A18&lt;=F18),AND(E18&gt;=A18,E18&lt;=B18)), 1,0)</f>
        <v>0</v>
      </c>
      <c r="I18" s="1">
        <f>IF(OR(AND(C18&gt;=E18,C18&lt;=F18),AND(E18&gt;=C18,E18&lt;=D18)), 1,0)</f>
        <v>1</v>
      </c>
    </row>
    <row r="19" spans="1:9" x14ac:dyDescent="0.3">
      <c r="A19" s="4">
        <f t="shared" ref="A19:A30" si="5">F3-G3</f>
        <v>6.9560228137946503</v>
      </c>
      <c r="B19" s="4">
        <f t="shared" ref="B19:B30" si="6">F3+G3</f>
        <v>9.4150549488247215</v>
      </c>
      <c r="C19" s="4">
        <f t="shared" ref="C19:C30" si="7">H3-L3</f>
        <v>-0.86602540378443871</v>
      </c>
      <c r="D19" s="4">
        <f t="shared" ref="D19:D30" si="8">H3+L3</f>
        <v>0.86602540378443871</v>
      </c>
      <c r="E19" s="4">
        <f t="shared" ref="E19:E30" si="9">J3-L3</f>
        <v>5.6116925962155619</v>
      </c>
      <c r="F19" s="4">
        <f t="shared" ref="F19:F30" si="10">J3+L3</f>
        <v>7.3437434037844387</v>
      </c>
      <c r="G19" s="1">
        <f t="shared" ref="G19:G30" si="11">IF(OR(AND(A19&gt;=C19,A19&lt;=D19),AND(C19&gt;=A19,C19&lt;=B19)), 1,0)</f>
        <v>0</v>
      </c>
      <c r="H19" s="1">
        <f t="shared" ref="H19:H30" si="12">IF(OR(AND(A19&gt;=E19,A19&lt;=F19),AND(E19&gt;=A19,E19&lt;=B19)), 1,0)</f>
        <v>1</v>
      </c>
      <c r="I19" s="1">
        <f t="shared" ref="I19:I30" si="13">IF(OR(AND(C19&gt;=E19,C19&lt;=F19),AND(E19&gt;=C19,E19&lt;=D19)), 1,0)</f>
        <v>0</v>
      </c>
    </row>
    <row r="20" spans="1:9" x14ac:dyDescent="0.3">
      <c r="A20" s="4">
        <f t="shared" si="5"/>
        <v>6.37351804784024</v>
      </c>
      <c r="B20" s="4">
        <f t="shared" si="6"/>
        <v>8.6264819521597644</v>
      </c>
      <c r="C20" s="4">
        <f t="shared" si="7"/>
        <v>5.1147025962155617</v>
      </c>
      <c r="D20" s="4">
        <f t="shared" si="8"/>
        <v>6.8467534037844384</v>
      </c>
      <c r="E20" s="4">
        <f t="shared" si="9"/>
        <v>5.3541075962155613</v>
      </c>
      <c r="F20" s="4">
        <f t="shared" si="10"/>
        <v>7.0861584037844381</v>
      </c>
      <c r="G20" s="1">
        <f t="shared" si="11"/>
        <v>1</v>
      </c>
      <c r="H20" s="1">
        <f t="shared" si="12"/>
        <v>1</v>
      </c>
      <c r="I20" s="1">
        <f t="shared" si="13"/>
        <v>1</v>
      </c>
    </row>
    <row r="21" spans="1:9" x14ac:dyDescent="0.3">
      <c r="A21" s="4">
        <f t="shared" si="5"/>
        <v>6.7081859370164967</v>
      </c>
      <c r="B21" s="4">
        <f t="shared" si="6"/>
        <v>9.0771337157064718</v>
      </c>
      <c r="C21" s="4">
        <f t="shared" si="7"/>
        <v>3.7413625962155614</v>
      </c>
      <c r="D21" s="4">
        <f t="shared" si="8"/>
        <v>5.4734134037844386</v>
      </c>
      <c r="E21" s="4">
        <f t="shared" si="9"/>
        <v>-0.86602540378443871</v>
      </c>
      <c r="F21" s="4">
        <f t="shared" si="10"/>
        <v>0.86602540378443871</v>
      </c>
      <c r="G21" s="1">
        <f t="shared" si="11"/>
        <v>0</v>
      </c>
      <c r="H21" s="1">
        <f t="shared" si="12"/>
        <v>0</v>
      </c>
      <c r="I21" s="1">
        <f t="shared" si="13"/>
        <v>0</v>
      </c>
    </row>
    <row r="22" spans="1:9" x14ac:dyDescent="0.3">
      <c r="A22" s="4">
        <f t="shared" si="5"/>
        <v>6.8819939297595001</v>
      </c>
      <c r="B22" s="4">
        <f t="shared" si="6"/>
        <v>9.3123380540461689</v>
      </c>
      <c r="C22" s="4">
        <f t="shared" si="7"/>
        <v>9.7053415962155611</v>
      </c>
      <c r="D22" s="4">
        <f t="shared" si="8"/>
        <v>11.43739240378444</v>
      </c>
      <c r="E22" s="4">
        <f t="shared" si="9"/>
        <v>13.114167596215561</v>
      </c>
      <c r="F22" s="4">
        <f t="shared" si="10"/>
        <v>14.846218403784439</v>
      </c>
      <c r="G22" s="1">
        <f t="shared" si="11"/>
        <v>0</v>
      </c>
      <c r="H22" s="1">
        <f t="shared" si="12"/>
        <v>0</v>
      </c>
      <c r="I22" s="1">
        <f t="shared" si="13"/>
        <v>0</v>
      </c>
    </row>
    <row r="23" spans="1:9" x14ac:dyDescent="0.3">
      <c r="A23" s="4">
        <f t="shared" si="5"/>
        <v>5.6654100259698117</v>
      </c>
      <c r="B23" s="4">
        <f t="shared" si="6"/>
        <v>7.6679233073635222</v>
      </c>
      <c r="C23" s="4">
        <f t="shared" si="7"/>
        <v>5.3240525962155614</v>
      </c>
      <c r="D23" s="4">
        <f t="shared" si="8"/>
        <v>7.0561034037844381</v>
      </c>
      <c r="E23" s="4">
        <f t="shared" si="9"/>
        <v>3.3134835962155615</v>
      </c>
      <c r="F23" s="4">
        <f t="shared" si="10"/>
        <v>5.0455344037844387</v>
      </c>
      <c r="G23" s="1">
        <f t="shared" si="11"/>
        <v>1</v>
      </c>
      <c r="H23" s="1">
        <f t="shared" si="12"/>
        <v>0</v>
      </c>
      <c r="I23" s="1">
        <f t="shared" si="13"/>
        <v>0</v>
      </c>
    </row>
    <row r="24" spans="1:9" x14ac:dyDescent="0.3">
      <c r="A24" s="4">
        <f t="shared" si="5"/>
        <v>5.887820519925782</v>
      </c>
      <c r="B24" s="4">
        <f t="shared" si="6"/>
        <v>7.9689924130996239</v>
      </c>
      <c r="C24" s="4">
        <f t="shared" si="7"/>
        <v>0.22259759621556119</v>
      </c>
      <c r="D24" s="4">
        <f t="shared" si="8"/>
        <v>1.9546484037844385</v>
      </c>
      <c r="E24" s="4">
        <f t="shared" si="9"/>
        <v>-0.86602540378443871</v>
      </c>
      <c r="F24" s="4">
        <f t="shared" si="10"/>
        <v>0.86602540378443871</v>
      </c>
      <c r="G24" s="1">
        <f t="shared" si="11"/>
        <v>0</v>
      </c>
      <c r="H24" s="1">
        <f t="shared" si="12"/>
        <v>0</v>
      </c>
      <c r="I24" s="1">
        <f t="shared" si="13"/>
        <v>1</v>
      </c>
    </row>
    <row r="25" spans="1:9" x14ac:dyDescent="0.3">
      <c r="A25" s="4">
        <f t="shared" si="5"/>
        <v>6.3655619066673426</v>
      </c>
      <c r="B25" s="4">
        <f t="shared" si="6"/>
        <v>8.6157115015723633</v>
      </c>
      <c r="C25" s="4">
        <f t="shared" si="7"/>
        <v>-0.86602540378443871</v>
      </c>
      <c r="D25" s="4">
        <f t="shared" si="8"/>
        <v>0.86602540378443871</v>
      </c>
      <c r="E25" s="4">
        <f t="shared" si="9"/>
        <v>-0.86602540378443871</v>
      </c>
      <c r="F25" s="4">
        <f t="shared" si="10"/>
        <v>0.86602540378443871</v>
      </c>
      <c r="G25" s="1">
        <f t="shared" si="11"/>
        <v>0</v>
      </c>
      <c r="H25" s="1">
        <f t="shared" si="12"/>
        <v>0</v>
      </c>
      <c r="I25" s="1">
        <f t="shared" si="13"/>
        <v>1</v>
      </c>
    </row>
    <row r="26" spans="1:9" x14ac:dyDescent="0.3">
      <c r="A26" s="4">
        <f t="shared" si="5"/>
        <v>6.8819939297595001</v>
      </c>
      <c r="B26" s="4">
        <f t="shared" si="6"/>
        <v>9.3123380540461689</v>
      </c>
      <c r="C26" s="4">
        <f t="shared" si="7"/>
        <v>-0.86602540378443871</v>
      </c>
      <c r="D26" s="4">
        <f t="shared" si="8"/>
        <v>0.86602540378443871</v>
      </c>
      <c r="E26" s="4">
        <f t="shared" si="9"/>
        <v>-0.86602540378443871</v>
      </c>
      <c r="F26" s="4">
        <f t="shared" si="10"/>
        <v>0.86602540378443871</v>
      </c>
      <c r="G26" s="1">
        <f t="shared" si="11"/>
        <v>0</v>
      </c>
      <c r="H26" s="1">
        <f t="shared" si="12"/>
        <v>0</v>
      </c>
      <c r="I26" s="1">
        <f t="shared" si="13"/>
        <v>1</v>
      </c>
    </row>
    <row r="27" spans="1:9" x14ac:dyDescent="0.3">
      <c r="A27" s="4">
        <f t="shared" si="5"/>
        <v>6.5328827855743379</v>
      </c>
      <c r="B27" s="4">
        <f t="shared" si="6"/>
        <v>8.8399073758399584</v>
      </c>
      <c r="C27" s="4">
        <f t="shared" si="7"/>
        <v>0.26111859621556122</v>
      </c>
      <c r="D27" s="4">
        <f t="shared" si="8"/>
        <v>1.9931694037844387</v>
      </c>
      <c r="E27" s="4">
        <f t="shared" si="9"/>
        <v>-0.3949894037844387</v>
      </c>
      <c r="F27" s="4">
        <f t="shared" si="10"/>
        <v>1.3370614037844386</v>
      </c>
      <c r="G27" s="1">
        <f t="shared" si="11"/>
        <v>0</v>
      </c>
      <c r="H27" s="1">
        <f t="shared" si="12"/>
        <v>0</v>
      </c>
      <c r="I27" s="1">
        <f t="shared" si="13"/>
        <v>1</v>
      </c>
    </row>
    <row r="28" spans="1:9" x14ac:dyDescent="0.3">
      <c r="A28" s="4">
        <f t="shared" si="5"/>
        <v>5.6654100259698117</v>
      </c>
      <c r="B28" s="4">
        <f t="shared" si="6"/>
        <v>7.6679233073635222</v>
      </c>
      <c r="C28" s="4">
        <f t="shared" si="7"/>
        <v>-0.86602540378443871</v>
      </c>
      <c r="D28" s="4">
        <f t="shared" si="8"/>
        <v>0.86602540378443871</v>
      </c>
      <c r="E28" s="4">
        <f t="shared" si="9"/>
        <v>-0.86602540378443871</v>
      </c>
      <c r="F28" s="4">
        <f t="shared" si="10"/>
        <v>0.86602540378443871</v>
      </c>
      <c r="G28" s="1">
        <f t="shared" si="11"/>
        <v>0</v>
      </c>
      <c r="H28" s="1">
        <f t="shared" si="12"/>
        <v>0</v>
      </c>
      <c r="I28" s="1">
        <f t="shared" si="13"/>
        <v>1</v>
      </c>
    </row>
    <row r="29" spans="1:9" x14ac:dyDescent="0.3">
      <c r="A29" s="4">
        <f t="shared" si="5"/>
        <v>6.6477074027061507</v>
      </c>
      <c r="B29" s="4">
        <f t="shared" si="6"/>
        <v>8.9976641748688131</v>
      </c>
      <c r="C29" s="4">
        <f t="shared" si="7"/>
        <v>-0.86602540378443871</v>
      </c>
      <c r="D29" s="4">
        <f t="shared" si="8"/>
        <v>0.86602540378443871</v>
      </c>
      <c r="E29" s="4">
        <f t="shared" si="9"/>
        <v>-0.86602540378443871</v>
      </c>
      <c r="F29" s="4">
        <f t="shared" si="10"/>
        <v>0.86602540378443871</v>
      </c>
      <c r="G29" s="1">
        <f t="shared" si="11"/>
        <v>0</v>
      </c>
      <c r="H29" s="1">
        <f t="shared" si="12"/>
        <v>0</v>
      </c>
      <c r="I29" s="1">
        <f t="shared" si="13"/>
        <v>1</v>
      </c>
    </row>
    <row r="30" spans="1:9" x14ac:dyDescent="0.3">
      <c r="A30" s="4">
        <f t="shared" si="5"/>
        <v>7.4883075015643712</v>
      </c>
      <c r="B30" s="4">
        <f t="shared" si="6"/>
        <v>10.13283787288497</v>
      </c>
      <c r="C30" s="4">
        <f t="shared" si="7"/>
        <v>-0.86602540378443871</v>
      </c>
      <c r="D30" s="4">
        <f t="shared" si="8"/>
        <v>0.86602540378443871</v>
      </c>
      <c r="E30" s="4">
        <f t="shared" si="9"/>
        <v>-0.86602540378443871</v>
      </c>
      <c r="F30" s="4">
        <f t="shared" si="10"/>
        <v>0.86602540378443871</v>
      </c>
      <c r="G30" s="1">
        <f t="shared" si="11"/>
        <v>0</v>
      </c>
      <c r="H30" s="1">
        <f t="shared" si="12"/>
        <v>0</v>
      </c>
      <c r="I30" s="1">
        <f t="shared" si="13"/>
        <v>1</v>
      </c>
    </row>
    <row r="34" spans="1:5" x14ac:dyDescent="0.3">
      <c r="A34" s="31" t="s">
        <v>57</v>
      </c>
      <c r="B34" s="31"/>
      <c r="C34" s="31" t="s">
        <v>57</v>
      </c>
      <c r="D34" s="31"/>
      <c r="E34" s="1" t="s">
        <v>67</v>
      </c>
    </row>
    <row r="35" spans="1:5" x14ac:dyDescent="0.3">
      <c r="A35" s="1" t="s">
        <v>59</v>
      </c>
      <c r="B35" s="1" t="s">
        <v>60</v>
      </c>
      <c r="C35" s="1" t="s">
        <v>61</v>
      </c>
      <c r="D35" s="1" t="s">
        <v>60</v>
      </c>
      <c r="E35" s="1" t="s">
        <v>66</v>
      </c>
    </row>
    <row r="36" spans="1:5" x14ac:dyDescent="0.3">
      <c r="A36" s="4">
        <f>I2-L2</f>
        <v>-0.86602540378443871</v>
      </c>
      <c r="B36" s="4">
        <f>I2+L2</f>
        <v>0.86602540378443871</v>
      </c>
      <c r="C36" s="4">
        <f>K2-L2</f>
        <v>-0.86602540378443871</v>
      </c>
      <c r="D36" s="4">
        <f>K2+L2</f>
        <v>0.86602540378443871</v>
      </c>
      <c r="E36" s="4">
        <f>IF(OR(AND(C36&gt;=A36,C36&lt;=B36),AND(A36&gt;=C36,A36&lt;=D36)), 1,0)</f>
        <v>1</v>
      </c>
    </row>
    <row r="37" spans="1:5" x14ac:dyDescent="0.3">
      <c r="A37" s="4">
        <f t="shared" ref="A37:A43" si="14">I3-L3</f>
        <v>-0.86602540378443871</v>
      </c>
      <c r="B37" s="4">
        <f t="shared" ref="B37:B43" si="15">I3+L3</f>
        <v>0.86602540378443871</v>
      </c>
      <c r="C37" s="4">
        <f t="shared" ref="C37:C43" si="16">K3-L3</f>
        <v>3.8358575962155608</v>
      </c>
      <c r="D37" s="4">
        <f t="shared" ref="D37:D43" si="17">K3+L3</f>
        <v>5.567908403784438</v>
      </c>
      <c r="E37" s="4">
        <f t="shared" ref="E37:E43" si="18">IF(OR(AND(C37&gt;=A37,C37&lt;=B37),AND(A37&gt;=C37,A37&lt;=D37)), 1,0)</f>
        <v>0</v>
      </c>
    </row>
    <row r="38" spans="1:5" x14ac:dyDescent="0.3">
      <c r="A38" s="4">
        <f t="shared" si="14"/>
        <v>3.9215715962155611</v>
      </c>
      <c r="B38" s="4">
        <f t="shared" si="15"/>
        <v>5.6536224037844383</v>
      </c>
      <c r="C38" s="4">
        <f t="shared" si="16"/>
        <v>4.0898005962155617</v>
      </c>
      <c r="D38" s="4">
        <f t="shared" si="17"/>
        <v>5.8218514037844384</v>
      </c>
      <c r="E38" s="4">
        <f t="shared" si="18"/>
        <v>1</v>
      </c>
    </row>
    <row r="39" spans="1:5" x14ac:dyDescent="0.3">
      <c r="A39" s="4">
        <f t="shared" si="14"/>
        <v>2.9722915962155612</v>
      </c>
      <c r="B39" s="4">
        <f t="shared" si="15"/>
        <v>4.7043424037844384</v>
      </c>
      <c r="C39" s="4">
        <f t="shared" si="16"/>
        <v>-0.86602540378443871</v>
      </c>
      <c r="D39" s="4">
        <f t="shared" si="17"/>
        <v>0.86602540378443871</v>
      </c>
      <c r="E39" s="4">
        <f t="shared" si="18"/>
        <v>0</v>
      </c>
    </row>
    <row r="40" spans="1:5" x14ac:dyDescent="0.3">
      <c r="A40" s="4">
        <f t="shared" si="14"/>
        <v>7.933063596215562</v>
      </c>
      <c r="B40" s="4">
        <f t="shared" si="15"/>
        <v>9.6651144037844396</v>
      </c>
      <c r="C40" s="4">
        <f t="shared" si="16"/>
        <v>12.087834596215561</v>
      </c>
      <c r="D40" s="4">
        <f t="shared" si="17"/>
        <v>13.81988540378444</v>
      </c>
      <c r="E40" s="4">
        <f t="shared" si="18"/>
        <v>0</v>
      </c>
    </row>
    <row r="41" spans="1:5" x14ac:dyDescent="0.3">
      <c r="A41" s="4">
        <f t="shared" si="14"/>
        <v>5.0651275962155617</v>
      </c>
      <c r="B41" s="4">
        <f t="shared" si="15"/>
        <v>6.7971784037844385</v>
      </c>
      <c r="C41" s="4">
        <f t="shared" si="16"/>
        <v>2.6254195962155613</v>
      </c>
      <c r="D41" s="4">
        <f t="shared" si="17"/>
        <v>4.357470403784439</v>
      </c>
      <c r="E41" s="4">
        <f t="shared" si="18"/>
        <v>0</v>
      </c>
    </row>
    <row r="42" spans="1:5" x14ac:dyDescent="0.3">
      <c r="A42" s="4">
        <f t="shared" si="14"/>
        <v>-3.8671403784438674E-2</v>
      </c>
      <c r="B42" s="4">
        <f t="shared" si="15"/>
        <v>1.6933794037844387</v>
      </c>
      <c r="C42" s="4">
        <f t="shared" si="16"/>
        <v>-0.86602540378443871</v>
      </c>
      <c r="D42" s="4">
        <f t="shared" si="17"/>
        <v>0.86602540378443871</v>
      </c>
      <c r="E42" s="4">
        <f t="shared" si="18"/>
        <v>1</v>
      </c>
    </row>
    <row r="43" spans="1:5" x14ac:dyDescent="0.3">
      <c r="A43" s="4">
        <f t="shared" si="14"/>
        <v>-0.86602540378443871</v>
      </c>
      <c r="B43" s="4">
        <f t="shared" si="15"/>
        <v>0.86602540378443871</v>
      </c>
      <c r="C43" s="4">
        <f t="shared" si="16"/>
        <v>-0.86602540378443871</v>
      </c>
      <c r="D43" s="4">
        <f t="shared" si="17"/>
        <v>0.86602540378443871</v>
      </c>
      <c r="E43" s="4">
        <f t="shared" si="18"/>
        <v>1</v>
      </c>
    </row>
  </sheetData>
  <mergeCells count="6">
    <mergeCell ref="A16:B16"/>
    <mergeCell ref="C16:D16"/>
    <mergeCell ref="E16:F16"/>
    <mergeCell ref="G16:I16"/>
    <mergeCell ref="A34:B34"/>
    <mergeCell ref="C34:D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E74A-4D74-46D9-8CD0-F87593613B96}">
  <dimension ref="A1:I32"/>
  <sheetViews>
    <sheetView workbookViewId="0">
      <selection activeCell="E23" sqref="E23"/>
    </sheetView>
  </sheetViews>
  <sheetFormatPr defaultRowHeight="14.4" x14ac:dyDescent="0.3"/>
  <cols>
    <col min="1" max="1" width="9.88671875" bestFit="1" customWidth="1"/>
    <col min="2" max="2" width="19.21875" bestFit="1" customWidth="1"/>
    <col min="3" max="3" width="20.6640625" bestFit="1" customWidth="1"/>
    <col min="4" max="4" width="12.88671875" bestFit="1" customWidth="1"/>
    <col min="5" max="5" width="18.5546875" bestFit="1" customWidth="1"/>
    <col min="6" max="6" width="16.88671875" bestFit="1" customWidth="1"/>
    <col min="7" max="7" width="21.77734375" bestFit="1" customWidth="1"/>
    <col min="8" max="8" width="14" bestFit="1" customWidth="1"/>
  </cols>
  <sheetData>
    <row r="1" spans="1:9" x14ac:dyDescent="0.3">
      <c r="A1" s="41" t="s">
        <v>50</v>
      </c>
      <c r="B1" s="41"/>
      <c r="C1" s="41"/>
      <c r="D1" s="41"/>
      <c r="E1" s="41"/>
      <c r="G1" s="41" t="s">
        <v>51</v>
      </c>
      <c r="H1" s="41"/>
      <c r="I1" s="41"/>
    </row>
    <row r="2" spans="1:9" x14ac:dyDescent="0.3">
      <c r="A2" s="1" t="s">
        <v>0</v>
      </c>
      <c r="B2" s="1" t="s">
        <v>54</v>
      </c>
      <c r="C2" s="1" t="s">
        <v>53</v>
      </c>
      <c r="D2" s="1" t="s">
        <v>49</v>
      </c>
      <c r="E2" s="1" t="s">
        <v>46</v>
      </c>
      <c r="G2" s="1" t="s">
        <v>13</v>
      </c>
      <c r="H2" s="1" t="s">
        <v>48</v>
      </c>
      <c r="I2" s="10" t="s">
        <v>80</v>
      </c>
    </row>
    <row r="3" spans="1:9" x14ac:dyDescent="0.3">
      <c r="A3" s="1" t="s">
        <v>47</v>
      </c>
      <c r="B3" s="25">
        <f>SUM('Ultrasound gravity tests'!G28:G30)/COUNT('Ultrasound gravity tests'!G28:G30)</f>
        <v>1</v>
      </c>
      <c r="C3" s="25">
        <f>SUM('Ultrasound gravity tests'!H28:H30)/COUNT('Ultrasound gravity tests'!H28:H30)</f>
        <v>1</v>
      </c>
      <c r="D3" s="25">
        <f>SUM('Audio RADAR gravity test'!H28:H30)/COUNT('Audio RADAR gravity test'!H28:H30)</f>
        <v>1</v>
      </c>
      <c r="E3" s="25">
        <f>SUM('Ultrasound gravity tests'!I28:I30)/COUNT('Ultrasound gravity tests'!I28:I30)</f>
        <v>1</v>
      </c>
      <c r="G3" s="4">
        <v>8</v>
      </c>
      <c r="H3" s="1" t="s">
        <v>72</v>
      </c>
      <c r="I3" s="1">
        <v>45</v>
      </c>
    </row>
    <row r="4" spans="1:9" x14ac:dyDescent="0.3">
      <c r="A4" s="1" t="s">
        <v>22</v>
      </c>
      <c r="B4" s="25">
        <f>SUM('Ultrasound gravity tests'!G31:G33)/COUNT('Ultrasound gravity tests'!G31:G33)</f>
        <v>1</v>
      </c>
      <c r="C4" s="25">
        <f>SUM('Ultrasound gravity tests'!H31:H33)/COUNT('Ultrasound gravity tests'!H31:H33)</f>
        <v>1</v>
      </c>
      <c r="D4" s="25">
        <f>SUM('Audio RADAR gravity test'!H31:H33)/COUNT('Audio RADAR gravity test'!H31:H33)</f>
        <v>0.66666666666666663</v>
      </c>
      <c r="E4" s="25">
        <f>SUM('Ultrasound gravity tests'!I31:I33)/COUNT('Ultrasound gravity tests'!I31:I33)</f>
        <v>1</v>
      </c>
      <c r="G4" s="4">
        <v>10</v>
      </c>
      <c r="H4" s="1" t="s">
        <v>72</v>
      </c>
      <c r="I4" s="1">
        <v>20</v>
      </c>
    </row>
    <row r="5" spans="1:9" x14ac:dyDescent="0.3">
      <c r="A5" s="1" t="s">
        <v>23</v>
      </c>
      <c r="B5" s="25">
        <f>SUM('Ultrasound gravity tests'!G34:G36)/COUNT('Ultrasound gravity tests'!G34:G36)</f>
        <v>0.66666666666666663</v>
      </c>
      <c r="C5" s="25">
        <f>SUM('Ultrasound gravity tests'!H34:H36)/COUNT('Ultrasound gravity tests'!H34:H36)</f>
        <v>1</v>
      </c>
      <c r="D5" s="25">
        <f>SUM('Audio RADAR gravity test'!H34:H36)/COUNT('Audio RADAR gravity test'!H34:H36)</f>
        <v>1</v>
      </c>
      <c r="E5" s="25">
        <f>SUM('Ultrasound gravity tests'!I34:I36)/COUNT('Ultrasound gravity tests'!I34:I36)</f>
        <v>1</v>
      </c>
      <c r="G5" s="4">
        <v>12</v>
      </c>
      <c r="H5" s="1" t="s">
        <v>72</v>
      </c>
      <c r="I5" s="1">
        <v>20</v>
      </c>
    </row>
    <row r="6" spans="1:9" x14ac:dyDescent="0.3">
      <c r="A6" s="41" t="s">
        <v>74</v>
      </c>
      <c r="B6" s="41"/>
      <c r="C6" s="41"/>
      <c r="D6" s="41"/>
      <c r="E6" s="41"/>
      <c r="G6" s="4">
        <v>14</v>
      </c>
      <c r="H6" s="1" t="s">
        <v>73</v>
      </c>
      <c r="I6" s="1">
        <v>20</v>
      </c>
    </row>
    <row r="7" spans="1:9" x14ac:dyDescent="0.3">
      <c r="A7" s="9" t="s">
        <v>0</v>
      </c>
      <c r="B7" s="1" t="s">
        <v>54</v>
      </c>
      <c r="C7" s="1" t="s">
        <v>53</v>
      </c>
      <c r="D7" s="1" t="s">
        <v>49</v>
      </c>
      <c r="E7" s="1" t="s">
        <v>46</v>
      </c>
      <c r="G7" s="41"/>
      <c r="H7" s="41"/>
      <c r="I7" s="41"/>
    </row>
    <row r="8" spans="1:9" x14ac:dyDescent="0.3">
      <c r="A8" s="1" t="s">
        <v>17</v>
      </c>
      <c r="B8" s="25">
        <f>SUM('Ultrasound Outdoor tests'!G19:G22)/COUNT('Ultrasound Outdoor tests'!G19:G22)</f>
        <v>0.75</v>
      </c>
      <c r="C8" s="25">
        <f>SUM('Ultrasound Outdoor tests'!H19:H22)/COUNT('Ultrasound Outdoor tests'!H19:H22)</f>
        <v>0.25</v>
      </c>
      <c r="D8" s="25">
        <f>SUM('Audio Outdoor tests'!H13)/COUNT('Audio Outdoor tests'!H13)</f>
        <v>0</v>
      </c>
      <c r="E8" s="25">
        <f>SUM('Ultrasound Outdoor tests'!I19:I21)/COUNT('Ultrasound Outdoor tests'!I19:I21)</f>
        <v>0.33333333333333331</v>
      </c>
      <c r="G8" s="1" t="s">
        <v>13</v>
      </c>
      <c r="H8" s="1" t="s">
        <v>49</v>
      </c>
      <c r="I8" s="1" t="s">
        <v>83</v>
      </c>
    </row>
    <row r="9" spans="1:9" x14ac:dyDescent="0.3">
      <c r="A9" s="1" t="s">
        <v>52</v>
      </c>
      <c r="B9" s="25">
        <f>SUM('Ultrasound Outdoor tests'!G23:G24)/2</f>
        <v>0</v>
      </c>
      <c r="C9" s="25">
        <f>SUM('Ultrasound Outdoor tests'!H23:H24)/2</f>
        <v>0</v>
      </c>
      <c r="D9" s="25">
        <f>SUM('Audio Outdoor tests'!H14:H15)/2</f>
        <v>0.5</v>
      </c>
      <c r="E9" s="25">
        <f>SUM('Ultrasound Outdoor tests'!I23:I24)/2</f>
        <v>0</v>
      </c>
      <c r="G9" s="4">
        <v>38</v>
      </c>
      <c r="H9" s="1" t="s">
        <v>73</v>
      </c>
      <c r="I9" s="1">
        <v>20</v>
      </c>
    </row>
    <row r="10" spans="1:9" x14ac:dyDescent="0.3">
      <c r="A10" s="1" t="s">
        <v>22</v>
      </c>
      <c r="B10" s="25">
        <f>SUM('Ultrasound Outdoor tests'!G25:G28)/4</f>
        <v>0.25</v>
      </c>
      <c r="C10" s="25">
        <f>SUM('Ultrasound Outdoor tests'!H25:H28)/4</f>
        <v>0</v>
      </c>
      <c r="D10" s="25">
        <f>SUM('Audio Outdoor tests'!H16)/1</f>
        <v>1</v>
      </c>
      <c r="E10" s="25">
        <v>0</v>
      </c>
      <c r="G10" s="4">
        <v>39</v>
      </c>
      <c r="H10" s="1" t="s">
        <v>72</v>
      </c>
      <c r="I10" s="1">
        <v>20</v>
      </c>
    </row>
    <row r="11" spans="1:9" x14ac:dyDescent="0.3">
      <c r="A11" s="13" t="s">
        <v>23</v>
      </c>
      <c r="B11" s="27">
        <f>SUM('Ultrasound Outdoor tests'!G29:G32)/4</f>
        <v>0.25</v>
      </c>
      <c r="C11" s="27">
        <f>SUM('Ultrasound Outdoor tests'!H29:H32)/4</f>
        <v>0</v>
      </c>
      <c r="D11" s="27">
        <f>SUM('Audio Outdoor tests'!H17:H20)/4</f>
        <v>0</v>
      </c>
      <c r="E11" s="27">
        <f>SUM('Ultrasound Outdoor tests'!I29:I32)/4</f>
        <v>0</v>
      </c>
      <c r="G11" s="4">
        <v>39.5</v>
      </c>
      <c r="H11" s="1" t="s">
        <v>72</v>
      </c>
      <c r="I11" s="1">
        <v>23</v>
      </c>
    </row>
    <row r="12" spans="1:9" x14ac:dyDescent="0.3">
      <c r="A12" s="41" t="s">
        <v>76</v>
      </c>
      <c r="B12" s="41"/>
      <c r="C12" s="41"/>
      <c r="D12" s="41"/>
      <c r="E12" s="41"/>
      <c r="F12" s="41"/>
      <c r="G12" s="26">
        <v>40</v>
      </c>
      <c r="H12" s="1" t="s">
        <v>72</v>
      </c>
      <c r="I12" s="1">
        <v>30</v>
      </c>
    </row>
    <row r="13" spans="1:9" x14ac:dyDescent="0.3">
      <c r="A13" s="9" t="s">
        <v>0</v>
      </c>
      <c r="B13" s="1" t="s">
        <v>54</v>
      </c>
      <c r="C13" s="1" t="s">
        <v>53</v>
      </c>
      <c r="D13" s="1" t="s">
        <v>49</v>
      </c>
      <c r="E13" s="1" t="s">
        <v>46</v>
      </c>
      <c r="F13" s="10" t="s">
        <v>75</v>
      </c>
    </row>
    <row r="14" spans="1:9" x14ac:dyDescent="0.3">
      <c r="A14" s="1" t="s">
        <v>17</v>
      </c>
      <c r="B14" s="25">
        <f>SUM('Ultrasound Outdoor tests 2'!I14:I15)/2</f>
        <v>1</v>
      </c>
      <c r="C14" s="25">
        <f>SUM('Ultrasound Outdoor tests 2'!J14:J15)/2</f>
        <v>1</v>
      </c>
      <c r="D14" s="25">
        <f>SUM('Audio outdoor tests 2'!H18:H20)/3</f>
        <v>0.66666666666666663</v>
      </c>
      <c r="E14" s="25">
        <f>SUM('Ultrasound Outdoor tests 2'!K14:K15)/2</f>
        <v>1</v>
      </c>
      <c r="F14" s="25">
        <f>SUM('Ultrasound Outdoor tests 2'!L14:L15)/2</f>
        <v>1</v>
      </c>
    </row>
    <row r="15" spans="1:9" x14ac:dyDescent="0.3">
      <c r="A15" s="1" t="s">
        <v>52</v>
      </c>
      <c r="B15" s="25">
        <f>SUM('Ultrasound Outdoor tests 2'!I16:I18)/3</f>
        <v>0</v>
      </c>
      <c r="C15" s="25">
        <f>SUM('Ultrasound Outdoor tests 2'!J16:J18)/3</f>
        <v>0.66666666666666663</v>
      </c>
      <c r="D15" s="25">
        <f>SUM('Audio outdoor tests 2'!H21:H23)/3</f>
        <v>0</v>
      </c>
      <c r="E15" s="25">
        <f>SUM('Ultrasound Outdoor tests 2'!K16:K18)/3</f>
        <v>0</v>
      </c>
      <c r="F15" s="25">
        <f>SUM('Ultrasound Outdoor tests 2'!L16:L18)/3</f>
        <v>0.66666666666666663</v>
      </c>
    </row>
    <row r="16" spans="1:9" x14ac:dyDescent="0.3">
      <c r="A16" s="1" t="s">
        <v>22</v>
      </c>
      <c r="B16" s="25">
        <f>SUM('Ultrasound Outdoor tests 2'!I19:I20)/2</f>
        <v>0</v>
      </c>
      <c r="C16" s="25">
        <f>SUM('Ultrasound Outdoor tests 2'!J19:J20)/2</f>
        <v>0</v>
      </c>
      <c r="D16" s="25">
        <f>SUM('Audio outdoor tests 2'!H24:H26)/3</f>
        <v>0</v>
      </c>
      <c r="E16" s="25">
        <f>SUM('Ultrasound Outdoor tests 2'!K19:K20)/2</f>
        <v>1</v>
      </c>
      <c r="F16" s="25">
        <f>SUM('Ultrasound Outdoor tests 2'!L19:L20)/2</f>
        <v>0</v>
      </c>
    </row>
    <row r="17" spans="1:7" x14ac:dyDescent="0.3">
      <c r="A17" s="1" t="s">
        <v>23</v>
      </c>
      <c r="B17" s="25">
        <f>SUM('Ultrasound Outdoor tests 2'!I21:I22)/2</f>
        <v>0</v>
      </c>
      <c r="C17" s="25">
        <f>SUM('Ultrasound Outdoor tests 2'!J21:J22)/2</f>
        <v>0</v>
      </c>
      <c r="D17" s="25">
        <f>SUM('Audio outdoor tests 2'!H27:H30)/4</f>
        <v>0</v>
      </c>
      <c r="E17" s="25">
        <f>SUM('Ultrasound Outdoor tests 2'!K21:K22)/2</f>
        <v>1</v>
      </c>
      <c r="F17" s="25">
        <f>SUM('Ultrasound Outdoor tests 2'!L21:L22)/2</f>
        <v>0</v>
      </c>
    </row>
    <row r="18" spans="1:7" x14ac:dyDescent="0.3">
      <c r="A18" s="14"/>
      <c r="B18" s="29"/>
      <c r="C18" s="29"/>
      <c r="D18" s="29"/>
      <c r="E18" s="29"/>
      <c r="F18" s="29"/>
    </row>
    <row r="19" spans="1:7" x14ac:dyDescent="0.3">
      <c r="A19" s="41" t="s">
        <v>79</v>
      </c>
      <c r="B19" s="41"/>
      <c r="C19" s="41"/>
    </row>
    <row r="20" spans="1:7" x14ac:dyDescent="0.3">
      <c r="A20" s="1" t="s">
        <v>0</v>
      </c>
      <c r="B20" s="1" t="s">
        <v>85</v>
      </c>
      <c r="C20" s="1" t="s">
        <v>84</v>
      </c>
      <c r="D20" s="14"/>
      <c r="E20" s="14"/>
      <c r="F20" s="14"/>
    </row>
    <row r="21" spans="1:7" x14ac:dyDescent="0.3">
      <c r="A21" s="1" t="s">
        <v>17</v>
      </c>
      <c r="B21" s="1">
        <v>8.5</v>
      </c>
      <c r="C21" s="28" t="s">
        <v>78</v>
      </c>
      <c r="D21" s="14"/>
      <c r="E21" s="14"/>
      <c r="F21" s="14"/>
    </row>
    <row r="22" spans="1:7" x14ac:dyDescent="0.3">
      <c r="A22" s="1" t="s">
        <v>77</v>
      </c>
      <c r="B22" s="1">
        <v>8</v>
      </c>
      <c r="C22" s="28" t="s">
        <v>78</v>
      </c>
      <c r="D22" s="14"/>
      <c r="E22" s="14"/>
      <c r="F22" s="14"/>
    </row>
    <row r="23" spans="1:7" x14ac:dyDescent="0.3">
      <c r="A23" s="1" t="s">
        <v>22</v>
      </c>
      <c r="B23" s="28" t="s">
        <v>78</v>
      </c>
      <c r="C23" s="28" t="s">
        <v>78</v>
      </c>
      <c r="D23" s="14"/>
      <c r="E23" s="14"/>
      <c r="F23" s="14"/>
    </row>
    <row r="24" spans="1:7" x14ac:dyDescent="0.3">
      <c r="A24" s="1" t="s">
        <v>23</v>
      </c>
      <c r="B24" s="28" t="s">
        <v>78</v>
      </c>
      <c r="C24" s="28" t="s">
        <v>78</v>
      </c>
      <c r="D24" s="14"/>
      <c r="E24" s="14"/>
      <c r="F24" s="14"/>
    </row>
    <row r="26" spans="1:7" x14ac:dyDescent="0.3">
      <c r="C26" s="14"/>
      <c r="D26" s="14"/>
      <c r="E26" s="14"/>
      <c r="F26" s="14"/>
      <c r="G26" s="14"/>
    </row>
    <row r="27" spans="1:7" x14ac:dyDescent="0.3">
      <c r="C27" s="14"/>
      <c r="D27" s="14"/>
      <c r="E27" s="14"/>
      <c r="F27" s="14"/>
      <c r="G27" s="14"/>
    </row>
    <row r="28" spans="1:7" x14ac:dyDescent="0.3">
      <c r="C28" s="14"/>
      <c r="D28" s="14"/>
      <c r="E28" s="14"/>
      <c r="F28" s="14"/>
      <c r="G28" s="14"/>
    </row>
    <row r="29" spans="1:7" x14ac:dyDescent="0.3">
      <c r="C29" s="14"/>
      <c r="D29" s="14"/>
      <c r="E29" s="14"/>
      <c r="F29" s="14"/>
      <c r="G29" s="14"/>
    </row>
    <row r="30" spans="1:7" x14ac:dyDescent="0.3">
      <c r="C30" s="14"/>
      <c r="D30" s="14"/>
      <c r="E30" s="14"/>
      <c r="F30" s="14"/>
      <c r="G30" s="14"/>
    </row>
    <row r="31" spans="1:7" x14ac:dyDescent="0.3">
      <c r="C31" s="14"/>
      <c r="D31" s="14"/>
      <c r="E31" s="14"/>
      <c r="F31" s="14"/>
      <c r="G31" s="14"/>
    </row>
    <row r="32" spans="1:7" x14ac:dyDescent="0.3">
      <c r="C32" s="14"/>
      <c r="D32" s="14"/>
      <c r="E32" s="14"/>
      <c r="F32" s="14"/>
      <c r="G32" s="14"/>
    </row>
  </sheetData>
  <mergeCells count="6">
    <mergeCell ref="A19:C19"/>
    <mergeCell ref="A1:E1"/>
    <mergeCell ref="A6:E6"/>
    <mergeCell ref="A12:F12"/>
    <mergeCell ref="G1:I1"/>
    <mergeCell ref="G7:I7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FC0-6A7E-4014-983B-80D82470E250}">
  <dimension ref="A1:B4"/>
  <sheetViews>
    <sheetView workbookViewId="0">
      <selection activeCell="P26" sqref="P26"/>
    </sheetView>
  </sheetViews>
  <sheetFormatPr defaultRowHeight="14.4" x14ac:dyDescent="0.3"/>
  <cols>
    <col min="1" max="1" width="18.21875" bestFit="1" customWidth="1"/>
    <col min="2" max="2" width="11.77734375" bestFit="1" customWidth="1"/>
  </cols>
  <sheetData>
    <row r="1" spans="1:2" x14ac:dyDescent="0.3">
      <c r="A1" s="41" t="s">
        <v>81</v>
      </c>
      <c r="B1" s="41"/>
    </row>
    <row r="2" spans="1:2" x14ac:dyDescent="0.3">
      <c r="A2" s="1" t="s">
        <v>0</v>
      </c>
      <c r="B2" s="1" t="s">
        <v>82</v>
      </c>
    </row>
    <row r="3" spans="1:2" x14ac:dyDescent="0.3">
      <c r="A3" s="1" t="s">
        <v>52</v>
      </c>
      <c r="B3" s="30">
        <v>1</v>
      </c>
    </row>
    <row r="4" spans="1:2" x14ac:dyDescent="0.3">
      <c r="A4" s="1" t="s">
        <v>5</v>
      </c>
      <c r="B4" s="30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Ultrasound gravity tests</vt:lpstr>
      <vt:lpstr>Audio RADAR gravity test</vt:lpstr>
      <vt:lpstr>Frequency tests</vt:lpstr>
      <vt:lpstr>Audio Outdoor tests</vt:lpstr>
      <vt:lpstr>Ultrasound Outdoor tests</vt:lpstr>
      <vt:lpstr>Ultrasound Outdoor tests 2</vt:lpstr>
      <vt:lpstr>Audio outdoor tests 2</vt:lpstr>
      <vt:lpstr>Summary</vt:lpstr>
      <vt:lpstr>S-Band 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Edwards</dc:creator>
  <cp:lastModifiedBy>juicy</cp:lastModifiedBy>
  <dcterms:created xsi:type="dcterms:W3CDTF">2015-06-05T18:17:20Z</dcterms:created>
  <dcterms:modified xsi:type="dcterms:W3CDTF">2021-11-06T20:04:17Z</dcterms:modified>
</cp:coreProperties>
</file>