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Electronics" sheetId="1" r:id="rId1"/>
    <sheet name="Packaging and Assembly" sheetId="4" r:id="rId2"/>
    <sheet name="Unit Economics" sheetId="5" r:id="rId3"/>
    <sheet name="Plastics Overview" sheetId="2" r:id="rId4"/>
  </sheets>
  <calcPr calcId="145621"/>
</workbook>
</file>

<file path=xl/calcChain.xml><?xml version="1.0" encoding="utf-8"?>
<calcChain xmlns="http://schemas.openxmlformats.org/spreadsheetml/2006/main">
  <c r="L15" i="4" l="1"/>
  <c r="M15" i="4" s="1"/>
  <c r="L2" i="4"/>
  <c r="M2" i="4" s="1"/>
  <c r="N2" i="4" s="1"/>
  <c r="P28" i="1" l="1"/>
  <c r="P3" i="5"/>
  <c r="O3" i="5"/>
  <c r="Q28" i="1" l="1"/>
  <c r="R28" i="1" s="1"/>
  <c r="R29" i="1"/>
  <c r="H3" i="5"/>
  <c r="N3" i="5" s="1"/>
  <c r="P17" i="1" l="1"/>
  <c r="Q17" i="1" s="1"/>
  <c r="R17" i="1" s="1"/>
  <c r="P9" i="1"/>
  <c r="Q9" i="1" s="1"/>
  <c r="R9" i="1" s="1"/>
  <c r="L14" i="4" l="1"/>
  <c r="M14" i="4" s="1"/>
  <c r="L7" i="4" l="1"/>
  <c r="M7" i="4" s="1"/>
  <c r="N7" i="4" s="1"/>
  <c r="L8" i="4"/>
  <c r="M8" i="4" s="1"/>
  <c r="N8" i="4" s="1"/>
  <c r="L6" i="4"/>
  <c r="M6" i="4" s="1"/>
  <c r="N6" i="4" s="1"/>
  <c r="L5" i="4"/>
  <c r="M5" i="4" s="1"/>
  <c r="N5" i="4" s="1"/>
  <c r="L4" i="4"/>
  <c r="M4" i="4" s="1"/>
  <c r="N4" i="4" s="1"/>
  <c r="L3" i="4"/>
  <c r="M3" i="4" s="1"/>
  <c r="N3" i="4" s="1"/>
  <c r="J3" i="5"/>
  <c r="P20" i="1"/>
  <c r="Q20" i="1" s="1"/>
  <c r="R20" i="1" s="1"/>
  <c r="N11" i="4" l="1"/>
  <c r="B3" i="5" s="1"/>
  <c r="M11" i="4"/>
  <c r="P27" i="1"/>
  <c r="Q27" i="1" s="1"/>
  <c r="R27" i="1" s="1"/>
  <c r="P6" i="1" l="1"/>
  <c r="Q6" i="1" s="1"/>
  <c r="R6" i="1" s="1"/>
  <c r="P13" i="1"/>
  <c r="Q13" i="1" s="1"/>
  <c r="R13" i="1" s="1"/>
  <c r="P19" i="1"/>
  <c r="Q19" i="1" s="1"/>
  <c r="R19" i="1" s="1"/>
  <c r="P18" i="1"/>
  <c r="Q18" i="1" s="1"/>
  <c r="R18" i="1" s="1"/>
  <c r="P4" i="1"/>
  <c r="Q4" i="1" s="1"/>
  <c r="R4" i="1" s="1"/>
  <c r="P26" i="1" l="1"/>
  <c r="Q26" i="1" s="1"/>
  <c r="R26" i="1" s="1"/>
  <c r="P3" i="1" l="1"/>
  <c r="Q3" i="1" s="1"/>
  <c r="R3" i="1" s="1"/>
  <c r="P8" i="1"/>
  <c r="Q8" i="1" s="1"/>
  <c r="R8" i="1" s="1"/>
  <c r="P22" i="1"/>
  <c r="Q22" i="1" s="1"/>
  <c r="R22" i="1" s="1"/>
  <c r="P10" i="1"/>
  <c r="Q10" i="1" s="1"/>
  <c r="R10" i="1" s="1"/>
  <c r="P11" i="1"/>
  <c r="Q11" i="1" s="1"/>
  <c r="R11" i="1" s="1"/>
  <c r="P15" i="1"/>
  <c r="Q15" i="1" s="1"/>
  <c r="R15" i="1" s="1"/>
  <c r="P16" i="1"/>
  <c r="Q16" i="1" s="1"/>
  <c r="R16" i="1" s="1"/>
  <c r="P21" i="1"/>
  <c r="Q21" i="1" s="1"/>
  <c r="R21" i="1" s="1"/>
  <c r="P7" i="1"/>
  <c r="Q7" i="1" s="1"/>
  <c r="R7" i="1" s="1"/>
  <c r="P12" i="1"/>
  <c r="Q12" i="1" s="1"/>
  <c r="R12" i="1" s="1"/>
  <c r="P5" i="1"/>
  <c r="Q5" i="1" s="1"/>
  <c r="R5" i="1" s="1"/>
  <c r="P14" i="1"/>
  <c r="Q14" i="1" s="1"/>
  <c r="R14" i="1" s="1"/>
  <c r="P25" i="1"/>
  <c r="Q25" i="1" s="1"/>
  <c r="R25" i="1" s="1"/>
  <c r="P24" i="1"/>
  <c r="Q24" i="1" s="1"/>
  <c r="R24" i="1" s="1"/>
  <c r="P23" i="1"/>
  <c r="Q23" i="1" s="1"/>
  <c r="R23" i="1" s="1"/>
  <c r="P2" i="1"/>
  <c r="Q2" i="1" s="1"/>
  <c r="R2" i="1" s="1"/>
  <c r="R31" i="1" s="1"/>
  <c r="A3" i="5" s="1"/>
  <c r="Q31" i="1" l="1"/>
  <c r="D3" i="5" s="1"/>
  <c r="M3" i="5" s="1"/>
  <c r="K3" i="5" l="1"/>
  <c r="Q3" i="5" s="1"/>
  <c r="R3" i="5" s="1"/>
</calcChain>
</file>

<file path=xl/sharedStrings.xml><?xml version="1.0" encoding="utf-8"?>
<sst xmlns="http://schemas.openxmlformats.org/spreadsheetml/2006/main" count="226" uniqueCount="150">
  <si>
    <t>Part type</t>
  </si>
  <si>
    <t>Part number</t>
  </si>
  <si>
    <t>Supplier</t>
  </si>
  <si>
    <t># per board</t>
  </si>
  <si>
    <t>unit price</t>
  </si>
  <si>
    <t>total price</t>
  </si>
  <si>
    <t>MCU</t>
  </si>
  <si>
    <t>Mouser</t>
  </si>
  <si>
    <t># of boards</t>
  </si>
  <si>
    <t>Boost Converter</t>
  </si>
  <si>
    <t>Inductor</t>
  </si>
  <si>
    <t>V reg</t>
  </si>
  <si>
    <t>595-TPS78001DDCR</t>
  </si>
  <si>
    <t>Switch</t>
  </si>
  <si>
    <t>77-VJ0805G106KXQTBC</t>
  </si>
  <si>
    <t>77-VJ0805G475KXYTBC</t>
  </si>
  <si>
    <t>Cap 10uf</t>
  </si>
  <si>
    <t>Cap 4.7uf</t>
  </si>
  <si>
    <t>Res 1M</t>
  </si>
  <si>
    <t>71-CRCW0402-1.0M-E3</t>
  </si>
  <si>
    <t>Header debug</t>
  </si>
  <si>
    <t>649-221111-00010T4LF</t>
  </si>
  <si>
    <t>Cap 1uf</t>
  </si>
  <si>
    <t>Osc</t>
  </si>
  <si>
    <t>581-ST3215SB3H5HSZA1</t>
  </si>
  <si>
    <t>Cap 12pf</t>
  </si>
  <si>
    <t>581-04025A120J</t>
  </si>
  <si>
    <t>Op Amp</t>
  </si>
  <si>
    <t>863-LMV321SQ3T2G</t>
  </si>
  <si>
    <t>Cap 100nf</t>
  </si>
  <si>
    <t>77-VJ0402V104ZXJCBC</t>
  </si>
  <si>
    <t>Battery</t>
  </si>
  <si>
    <t>USB</t>
  </si>
  <si>
    <t>649-10118193-0001LF</t>
  </si>
  <si>
    <t>Button</t>
  </si>
  <si>
    <t>Alibaba</t>
  </si>
  <si>
    <t>710-885012106017</t>
  </si>
  <si>
    <t>754-RR0816P-3243D50D</t>
  </si>
  <si>
    <t>Res 324k</t>
  </si>
  <si>
    <t>http://www.alibaba.com/product-detail/Shenzhen-China-Litium-ion-Battery-3_1354542923.html?spm=a2700.7724838.30.223.nzpfuI</t>
  </si>
  <si>
    <t>579-MCP1640TI/MC</t>
  </si>
  <si>
    <t>Case</t>
  </si>
  <si>
    <t>Total Quantity</t>
  </si>
  <si>
    <t>Motor</t>
  </si>
  <si>
    <t>http://www.alibaba.com/product-detail/high-qunatity-cell-phone-vibration-motor_1698966227.html?spm=a2700.7724838.0.0.EzqQ8A</t>
  </si>
  <si>
    <t>Price/unit</t>
  </si>
  <si>
    <t>Sale Price</t>
  </si>
  <si>
    <t>Gross Profit</t>
  </si>
  <si>
    <t>Tolerance (%)</t>
  </si>
  <si>
    <t>754-RR0816P-302D</t>
  </si>
  <si>
    <t>Res 3k</t>
  </si>
  <si>
    <t>PCB assembly</t>
  </si>
  <si>
    <t>Triode</t>
  </si>
  <si>
    <t>Medical Plastics</t>
  </si>
  <si>
    <t>Charger IC</t>
  </si>
  <si>
    <t>Packaging</t>
  </si>
  <si>
    <t>ABS (Acrylonitrile butadiene styrene)</t>
  </si>
  <si>
    <t>HDPE (High-density polyethylene)</t>
  </si>
  <si>
    <t>LDPW (Low-density polyethylene) </t>
  </si>
  <si>
    <t>PA (Polyamides) </t>
  </si>
  <si>
    <t>PC (Polycarbonate) </t>
  </si>
  <si>
    <t>PC/ABS (Polycarbonate/Acrylonitrile Butadiene Styrene)</t>
  </si>
  <si>
    <t>PE (Polyethylene)</t>
  </si>
  <si>
    <t>PE/ABS (Polyethylene/Acrylonitrile Butadiene Styrene)</t>
  </si>
  <si>
    <t>PP (Polypropylene)</t>
  </si>
  <si>
    <t>PU (Polyurethanes)</t>
  </si>
  <si>
    <t>Plastic</t>
  </si>
  <si>
    <t>Sensor</t>
  </si>
  <si>
    <t>http://www.alibaba.com/product-detail/Smart-bes-hc-sr04-ultrasonic-sensor_60289273879.html?spm=a2700.7724838.0.0.3tIQ1Z</t>
  </si>
  <si>
    <t>Battery Shipping</t>
  </si>
  <si>
    <t>Sensor Shipping</t>
  </si>
  <si>
    <t>Our Current Stock</t>
  </si>
  <si>
    <t>Module Filler</t>
  </si>
  <si>
    <t>Charger Cable</t>
  </si>
  <si>
    <t>http://www.alibaba.com/product-detail/USB-2-0-Micro-USB-Cable_60373215664.html?spm=a2700.7724838.0.0.d3qJNd</t>
  </si>
  <si>
    <t>Min Order</t>
  </si>
  <si>
    <t>Res 150R</t>
  </si>
  <si>
    <t>594-MCT06030C1500FP5</t>
  </si>
  <si>
    <t>Price Break (50)</t>
  </si>
  <si>
    <t>Price Break (10)</t>
  </si>
  <si>
    <t>Price Break (100)</t>
  </si>
  <si>
    <t>Price Break (25)</t>
  </si>
  <si>
    <t>Cable Shipping</t>
  </si>
  <si>
    <t>GST</t>
  </si>
  <si>
    <t>Packing Material</t>
  </si>
  <si>
    <t>Pamphlets</t>
  </si>
  <si>
    <t>Total Cost</t>
  </si>
  <si>
    <t>Construction Time (hrs)</t>
  </si>
  <si>
    <t>Construction Cost</t>
  </si>
  <si>
    <t>Lanyard</t>
  </si>
  <si>
    <t>http://www.alibaba.com/product-detail/Printed-cheap-promotional-lanyards-adjustable-lanyard_52369454.html?spm=a2700.7724838.0.0.kKZVR1&amp;s=p</t>
  </si>
  <si>
    <t>963-LBR2012T4R7M</t>
  </si>
  <si>
    <t>http://www.pbtech.co.nz/index.php?z=p&amp;p=ADPDNX1040&amp;name=DYNAMIX-SPAUSB-5V1.5A-5V-1.5A-Small-Form-Single-US</t>
  </si>
  <si>
    <t>Charger</t>
  </si>
  <si>
    <t>PB Tech</t>
  </si>
  <si>
    <t>904-EFM32TG822F32</t>
  </si>
  <si>
    <t>506-FSMRA4JH</t>
  </si>
  <si>
    <t>612-EG1247</t>
  </si>
  <si>
    <t>Mouser Part number</t>
  </si>
  <si>
    <t>Manufacturer Parts Number</t>
  </si>
  <si>
    <t>EFM32TG822F32-QFP48</t>
  </si>
  <si>
    <t>DNF</t>
  </si>
  <si>
    <t>MCP1640T-I/MC</t>
  </si>
  <si>
    <t>TPS78001DDCR</t>
  </si>
  <si>
    <t>LMV321SQ3T2G</t>
  </si>
  <si>
    <t>ST3215SB32768H5HSZA1</t>
  </si>
  <si>
    <t>LBR2012T4R7M</t>
  </si>
  <si>
    <t>VJ0805G106KXQTW1BC</t>
  </si>
  <si>
    <t>VJ0805G475KXYTW1BC</t>
  </si>
  <si>
    <t>04025A120JAT2A</t>
  </si>
  <si>
    <t>VJ0402V104ZXJCW1BC</t>
  </si>
  <si>
    <t>885012106017</t>
  </si>
  <si>
    <t>CRCW04021M00FKED</t>
  </si>
  <si>
    <t>RR0816P-3243-D-50D</t>
  </si>
  <si>
    <t>RR0816P-302-D</t>
  </si>
  <si>
    <t>MCT06030C1500FP500</t>
  </si>
  <si>
    <t>PCB Populating</t>
  </si>
  <si>
    <t>20021111-00010T4LF</t>
  </si>
  <si>
    <t>EG1247</t>
  </si>
  <si>
    <t>FSMRA4JH04</t>
  </si>
  <si>
    <t>10118193-0001LF</t>
  </si>
  <si>
    <t>PMOSFET</t>
  </si>
  <si>
    <t>595-CSD23382F4T</t>
  </si>
  <si>
    <t>CSD23382F4T</t>
  </si>
  <si>
    <t>Res 18.7k</t>
  </si>
  <si>
    <t>754-RR0510P-1872D</t>
  </si>
  <si>
    <t>RR0510P-1872-D</t>
  </si>
  <si>
    <t>Mounting Side</t>
  </si>
  <si>
    <t>Top</t>
  </si>
  <si>
    <t>Bottom</t>
  </si>
  <si>
    <t>Price Break (250)</t>
  </si>
  <si>
    <t>Price Break (500)</t>
  </si>
  <si>
    <t>Wage Rate ($/hr)</t>
  </si>
  <si>
    <t>Testing Time (hrs)</t>
  </si>
  <si>
    <t>Profit/Cost (%)</t>
  </si>
  <si>
    <t>Construction Cost/Unit</t>
  </si>
  <si>
    <t>GST/unit</t>
  </si>
  <si>
    <t>Component Cost</t>
  </si>
  <si>
    <t>/Unit</t>
  </si>
  <si>
    <t>Total</t>
  </si>
  <si>
    <t>PCB Cart</t>
  </si>
  <si>
    <t>Res 536k</t>
  </si>
  <si>
    <t>603-RT0603BRD07536KL</t>
  </si>
  <si>
    <t>RT0603BRD07536KL</t>
  </si>
  <si>
    <t>MCP73832T-2ACI/OT</t>
  </si>
  <si>
    <t>579-MCP73832T-2ACIOT</t>
  </si>
  <si>
    <t>PCB Single Board</t>
  </si>
  <si>
    <t>50-100 units should be minimum size, makes pcb panels, population, minimum order size etc easier and give close to highest profit margin</t>
  </si>
  <si>
    <t>Electronics/unit</t>
  </si>
  <si>
    <t>Package/unit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</si>
</sst>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777777"/>
      <name val="Arial Narrow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49" fontId="4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('Unit Economics'!$A$2,'Unit Economics'!$B$2,'Unit Economics'!$H$2,'Unit Economics'!$J$2)</c:f>
              <c:strCache>
                <c:ptCount val="4"/>
                <c:pt idx="0">
                  <c:v>Electronics/unit</c:v>
                </c:pt>
                <c:pt idx="1">
                  <c:v>Package/unit</c:v>
                </c:pt>
                <c:pt idx="2">
                  <c:v>Construction Cost/Unit</c:v>
                </c:pt>
                <c:pt idx="3">
                  <c:v>GST/unit</c:v>
                </c:pt>
              </c:strCache>
            </c:strRef>
          </c:cat>
          <c:val>
            <c:numRef>
              <c:f>('Unit Economics'!$A$3:$B$3,'Unit Economics'!$H$3,'Unit Economics'!$J$3)</c:f>
              <c:numCache>
                <c:formatCode>General</c:formatCode>
                <c:ptCount val="4"/>
                <c:pt idx="0">
                  <c:v>15.366000000000001</c:v>
                </c:pt>
                <c:pt idx="1">
                  <c:v>13.129999999999999</c:v>
                </c:pt>
                <c:pt idx="2">
                  <c:v>10.200000000000001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6288"/>
        <c:axId val="200157824"/>
      </c:barChart>
      <c:catAx>
        <c:axId val="2001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7824"/>
        <c:crosses val="autoZero"/>
        <c:auto val="1"/>
        <c:lblAlgn val="ctr"/>
        <c:lblOffset val="100"/>
        <c:noMultiLvlLbl val="0"/>
      </c:catAx>
      <c:valAx>
        <c:axId val="2001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123825</xdr:rowOff>
    </xdr:from>
    <xdr:to>
      <xdr:col>5</xdr:col>
      <xdr:colOff>895350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1" max="1" width="15.42578125" bestFit="1" customWidth="1"/>
    <col min="2" max="2" width="22.140625" customWidth="1"/>
    <col min="3" max="3" width="26.140625" bestFit="1" customWidth="1"/>
    <col min="4" max="4" width="15.140625" bestFit="1" customWidth="1"/>
    <col min="5" max="6" width="15.140625" customWidth="1"/>
    <col min="7" max="7" width="13.28515625" bestFit="1" customWidth="1"/>
    <col min="8" max="8" width="11" bestFit="1" customWidth="1"/>
    <col min="10" max="10" width="14.85546875" bestFit="1" customWidth="1"/>
    <col min="11" max="12" width="14.85546875" customWidth="1"/>
    <col min="13" max="13" width="15.85546875" bestFit="1" customWidth="1"/>
    <col min="14" max="15" width="15.85546875" customWidth="1"/>
    <col min="16" max="16" width="13.7109375" bestFit="1" customWidth="1"/>
    <col min="17" max="17" width="10" bestFit="1" customWidth="1"/>
    <col min="18" max="19" width="10" customWidth="1"/>
    <col min="20" max="20" width="16.7109375" bestFit="1" customWidth="1"/>
    <col min="21" max="21" width="10.7109375" bestFit="1" customWidth="1"/>
    <col min="22" max="22" width="9.85546875" bestFit="1" customWidth="1"/>
    <col min="25" max="25" width="11.28515625" bestFit="1" customWidth="1"/>
    <col min="26" max="26" width="10.5703125" style="4" bestFit="1" customWidth="1"/>
  </cols>
  <sheetData>
    <row r="1" spans="1:28" x14ac:dyDescent="0.25">
      <c r="A1" t="s">
        <v>0</v>
      </c>
      <c r="B1" t="s">
        <v>98</v>
      </c>
      <c r="C1" t="s">
        <v>99</v>
      </c>
      <c r="D1" t="s">
        <v>2</v>
      </c>
      <c r="E1" t="s">
        <v>116</v>
      </c>
      <c r="F1" t="s">
        <v>127</v>
      </c>
      <c r="G1" t="s">
        <v>48</v>
      </c>
      <c r="H1" t="s">
        <v>3</v>
      </c>
      <c r="I1" t="s">
        <v>4</v>
      </c>
      <c r="J1" t="s">
        <v>79</v>
      </c>
      <c r="K1" t="s">
        <v>81</v>
      </c>
      <c r="L1" t="s">
        <v>78</v>
      </c>
      <c r="M1" t="s">
        <v>80</v>
      </c>
      <c r="N1" t="s">
        <v>130</v>
      </c>
      <c r="O1" t="s">
        <v>131</v>
      </c>
      <c r="P1" t="s">
        <v>42</v>
      </c>
      <c r="Q1" t="s">
        <v>5</v>
      </c>
      <c r="R1" t="s">
        <v>45</v>
      </c>
      <c r="S1" t="s">
        <v>75</v>
      </c>
      <c r="T1" t="s">
        <v>71</v>
      </c>
    </row>
    <row r="2" spans="1:28" x14ac:dyDescent="0.25">
      <c r="A2" t="s">
        <v>6</v>
      </c>
      <c r="B2" s="1" t="s">
        <v>95</v>
      </c>
      <c r="C2" s="1" t="s">
        <v>100</v>
      </c>
      <c r="D2" t="s">
        <v>7</v>
      </c>
      <c r="F2" t="s">
        <v>128</v>
      </c>
      <c r="H2">
        <v>1</v>
      </c>
      <c r="I2">
        <v>3.51</v>
      </c>
      <c r="J2">
        <v>3.42</v>
      </c>
      <c r="K2">
        <v>3.37</v>
      </c>
      <c r="L2">
        <v>3.31</v>
      </c>
      <c r="M2">
        <v>3.24</v>
      </c>
      <c r="N2">
        <v>3.19</v>
      </c>
      <c r="O2">
        <v>3.11</v>
      </c>
      <c r="P2">
        <f>H2*'Unit Economics'!$C$3</f>
        <v>100</v>
      </c>
      <c r="Q2">
        <f>IF(P2&lt;10,P2*I2,IF(P2&lt;25,P2*J2,IF(P2&lt;50,P2*K2,IF(P2&lt;100,P2*L2,IF(P2&lt;250,P2*M2,IF(P2&lt;500,P2*N2,P2*O2))))))</f>
        <v>324</v>
      </c>
      <c r="R2">
        <f>Q2/P2</f>
        <v>3.24</v>
      </c>
      <c r="S2">
        <v>1</v>
      </c>
      <c r="T2">
        <v>0</v>
      </c>
      <c r="AA2" s="3"/>
      <c r="AB2" s="3"/>
    </row>
    <row r="3" spans="1:28" x14ac:dyDescent="0.25">
      <c r="A3" t="s">
        <v>9</v>
      </c>
      <c r="B3" s="1" t="s">
        <v>40</v>
      </c>
      <c r="C3" s="6" t="s">
        <v>102</v>
      </c>
      <c r="D3" t="s">
        <v>7</v>
      </c>
      <c r="F3" t="s">
        <v>128</v>
      </c>
      <c r="H3">
        <v>1</v>
      </c>
      <c r="I3">
        <v>1.1000000000000001</v>
      </c>
      <c r="J3">
        <v>1.02</v>
      </c>
      <c r="K3">
        <v>0.83499999999999996</v>
      </c>
      <c r="L3">
        <v>0.83499999999999996</v>
      </c>
      <c r="M3">
        <v>0.76800000000000002</v>
      </c>
      <c r="N3">
        <v>0.76800000000000002</v>
      </c>
      <c r="O3">
        <v>0.76800000000000002</v>
      </c>
      <c r="P3">
        <f>H3*'Unit Economics'!$C$3</f>
        <v>100</v>
      </c>
      <c r="Q3">
        <f t="shared" ref="Q3:Q27" si="0">IF(P3&lt;10,P3*I3,IF(P3&lt;25,P3*J3,IF(P3&lt;50,P3*K3,IF(P3&lt;100,P3*L3,IF(P3&lt;250,P3*M3,IF(P3&lt;500,P3*N3,P3*O3))))))</f>
        <v>76.8</v>
      </c>
      <c r="R3">
        <f t="shared" ref="R3:R28" si="1">Q3/P3</f>
        <v>0.76800000000000002</v>
      </c>
      <c r="S3">
        <v>1</v>
      </c>
      <c r="T3">
        <v>0</v>
      </c>
    </row>
    <row r="4" spans="1:28" x14ac:dyDescent="0.25">
      <c r="A4" t="s">
        <v>11</v>
      </c>
      <c r="B4" s="1" t="s">
        <v>12</v>
      </c>
      <c r="C4" s="6" t="s">
        <v>103</v>
      </c>
      <c r="D4" t="s">
        <v>7</v>
      </c>
      <c r="F4" t="s">
        <v>128</v>
      </c>
      <c r="H4">
        <v>1</v>
      </c>
      <c r="I4">
        <v>1.7</v>
      </c>
      <c r="J4">
        <v>1.53</v>
      </c>
      <c r="K4">
        <v>1.42</v>
      </c>
      <c r="L4">
        <v>1.27</v>
      </c>
      <c r="M4">
        <v>1.19</v>
      </c>
      <c r="N4">
        <v>1.1200000000000001</v>
      </c>
      <c r="O4">
        <v>0.98699999999999999</v>
      </c>
      <c r="P4">
        <f>H4*'Unit Economics'!$C$3</f>
        <v>100</v>
      </c>
      <c r="Q4">
        <f t="shared" si="0"/>
        <v>119</v>
      </c>
      <c r="R4">
        <f t="shared" si="1"/>
        <v>1.19</v>
      </c>
      <c r="S4">
        <v>1</v>
      </c>
      <c r="T4">
        <v>0</v>
      </c>
    </row>
    <row r="5" spans="1:28" x14ac:dyDescent="0.25">
      <c r="A5" t="s">
        <v>27</v>
      </c>
      <c r="B5" s="1" t="s">
        <v>28</v>
      </c>
      <c r="C5" s="7" t="s">
        <v>104</v>
      </c>
      <c r="D5" t="s">
        <v>7</v>
      </c>
      <c r="F5" t="s">
        <v>128</v>
      </c>
      <c r="H5">
        <v>1</v>
      </c>
      <c r="I5">
        <v>0.83499999999999996</v>
      </c>
      <c r="J5">
        <v>0.63100000000000001</v>
      </c>
      <c r="K5">
        <v>0.63100000000000001</v>
      </c>
      <c r="L5">
        <v>0.63100000000000001</v>
      </c>
      <c r="M5">
        <v>0.39700000000000002</v>
      </c>
      <c r="N5">
        <v>0.39700000000000002</v>
      </c>
      <c r="O5">
        <v>0.39700000000000002</v>
      </c>
      <c r="P5">
        <f>H5*'Unit Economics'!$C$3</f>
        <v>100</v>
      </c>
      <c r="Q5">
        <f t="shared" si="0"/>
        <v>39.700000000000003</v>
      </c>
      <c r="R5">
        <f t="shared" si="1"/>
        <v>0.39700000000000002</v>
      </c>
      <c r="S5">
        <v>1</v>
      </c>
      <c r="T5">
        <v>0</v>
      </c>
    </row>
    <row r="6" spans="1:28" x14ac:dyDescent="0.25">
      <c r="A6" t="s">
        <v>54</v>
      </c>
      <c r="B6" s="1" t="s">
        <v>145</v>
      </c>
      <c r="C6" s="6" t="s">
        <v>144</v>
      </c>
      <c r="D6" t="s">
        <v>7</v>
      </c>
      <c r="F6" t="s">
        <v>128</v>
      </c>
      <c r="H6">
        <v>1</v>
      </c>
      <c r="I6">
        <v>1</v>
      </c>
      <c r="J6">
        <v>0.93500000000000005</v>
      </c>
      <c r="K6">
        <v>0.78500000000000003</v>
      </c>
      <c r="L6">
        <v>0.78500000000000003</v>
      </c>
      <c r="M6">
        <v>0.70099999999999996</v>
      </c>
      <c r="N6">
        <v>0.70099999999999996</v>
      </c>
      <c r="O6">
        <v>0.70099999999999996</v>
      </c>
      <c r="P6">
        <f>H6*'Unit Economics'!$C$3</f>
        <v>100</v>
      </c>
      <c r="Q6">
        <f t="shared" si="0"/>
        <v>70.099999999999994</v>
      </c>
      <c r="R6">
        <f t="shared" si="1"/>
        <v>0.70099999999999996</v>
      </c>
      <c r="S6">
        <v>1</v>
      </c>
      <c r="T6">
        <v>0</v>
      </c>
    </row>
    <row r="7" spans="1:28" x14ac:dyDescent="0.25">
      <c r="A7" t="s">
        <v>23</v>
      </c>
      <c r="B7" s="1" t="s">
        <v>24</v>
      </c>
      <c r="C7" s="6" t="s">
        <v>105</v>
      </c>
      <c r="D7" t="s">
        <v>7</v>
      </c>
      <c r="F7" t="s">
        <v>128</v>
      </c>
      <c r="H7">
        <v>1</v>
      </c>
      <c r="I7">
        <v>1.35</v>
      </c>
      <c r="J7">
        <v>1.21</v>
      </c>
      <c r="K7">
        <v>1.21</v>
      </c>
      <c r="L7">
        <v>1.31</v>
      </c>
      <c r="M7">
        <v>1</v>
      </c>
      <c r="N7">
        <v>1</v>
      </c>
      <c r="O7">
        <v>0.94699999999999995</v>
      </c>
      <c r="P7">
        <f>H7*'Unit Economics'!$C$3</f>
        <v>100</v>
      </c>
      <c r="Q7">
        <f t="shared" si="0"/>
        <v>100</v>
      </c>
      <c r="R7">
        <f t="shared" si="1"/>
        <v>1</v>
      </c>
      <c r="S7">
        <v>1</v>
      </c>
      <c r="T7">
        <v>0</v>
      </c>
    </row>
    <row r="8" spans="1:28" x14ac:dyDescent="0.25">
      <c r="A8" t="s">
        <v>10</v>
      </c>
      <c r="B8" s="1" t="s">
        <v>91</v>
      </c>
      <c r="C8" s="7" t="s">
        <v>106</v>
      </c>
      <c r="D8" t="s">
        <v>7</v>
      </c>
      <c r="F8" t="s">
        <v>128</v>
      </c>
      <c r="G8">
        <v>20</v>
      </c>
      <c r="H8">
        <v>1</v>
      </c>
      <c r="I8">
        <v>0.16700000000000001</v>
      </c>
      <c r="J8">
        <v>0.14399999999999999</v>
      </c>
      <c r="K8">
        <v>0.14399999999999999</v>
      </c>
      <c r="L8">
        <v>0.14399999999999999</v>
      </c>
      <c r="M8">
        <v>0.104</v>
      </c>
      <c r="N8">
        <v>0.104</v>
      </c>
      <c r="O8">
        <v>9.5000000000000001E-2</v>
      </c>
      <c r="P8">
        <f>H8*'Unit Economics'!$C$3</f>
        <v>100</v>
      </c>
      <c r="Q8">
        <f t="shared" si="0"/>
        <v>10.4</v>
      </c>
      <c r="R8">
        <f t="shared" si="1"/>
        <v>0.10400000000000001</v>
      </c>
      <c r="S8">
        <v>1</v>
      </c>
      <c r="T8">
        <v>0</v>
      </c>
    </row>
    <row r="9" spans="1:28" x14ac:dyDescent="0.25">
      <c r="A9" t="s">
        <v>121</v>
      </c>
      <c r="B9" s="1" t="s">
        <v>122</v>
      </c>
      <c r="C9" s="6" t="s">
        <v>123</v>
      </c>
      <c r="D9" t="s">
        <v>7</v>
      </c>
      <c r="F9" t="s">
        <v>128</v>
      </c>
      <c r="H9">
        <v>2</v>
      </c>
      <c r="I9">
        <v>0.752</v>
      </c>
      <c r="J9">
        <v>0.66</v>
      </c>
      <c r="K9">
        <v>0.57899999999999996</v>
      </c>
      <c r="L9">
        <v>0.51800000000000002</v>
      </c>
      <c r="M9">
        <v>0.49299999999999999</v>
      </c>
      <c r="N9">
        <v>0.49299999999999999</v>
      </c>
      <c r="O9">
        <v>0.49299999999999999</v>
      </c>
      <c r="P9">
        <f>H9*'Unit Economics'!$C$3</f>
        <v>200</v>
      </c>
      <c r="Q9">
        <f t="shared" si="0"/>
        <v>98.6</v>
      </c>
      <c r="R9">
        <f t="shared" si="1"/>
        <v>0.49299999999999999</v>
      </c>
      <c r="S9">
        <v>1</v>
      </c>
      <c r="T9">
        <v>0</v>
      </c>
    </row>
    <row r="10" spans="1:28" x14ac:dyDescent="0.25">
      <c r="A10" t="s">
        <v>16</v>
      </c>
      <c r="B10" s="1" t="s">
        <v>14</v>
      </c>
      <c r="C10" s="7" t="s">
        <v>107</v>
      </c>
      <c r="D10" t="s">
        <v>7</v>
      </c>
      <c r="F10" t="s">
        <v>128</v>
      </c>
      <c r="G10">
        <v>10</v>
      </c>
      <c r="H10">
        <v>1</v>
      </c>
      <c r="I10">
        <v>0.16700000000000001</v>
      </c>
      <c r="J10">
        <v>0.16700000000000001</v>
      </c>
      <c r="K10">
        <v>0.16700000000000001</v>
      </c>
      <c r="L10">
        <v>0.13400000000000001</v>
      </c>
      <c r="M10">
        <v>0.11700000000000001</v>
      </c>
      <c r="N10">
        <v>0.11700000000000001</v>
      </c>
      <c r="O10">
        <v>0.1</v>
      </c>
      <c r="P10">
        <f>H10*'Unit Economics'!$C$3</f>
        <v>100</v>
      </c>
      <c r="Q10">
        <f t="shared" si="0"/>
        <v>11.700000000000001</v>
      </c>
      <c r="R10">
        <f t="shared" si="1"/>
        <v>0.11700000000000001</v>
      </c>
      <c r="S10">
        <v>1</v>
      </c>
      <c r="T10">
        <v>0</v>
      </c>
    </row>
    <row r="11" spans="1:28" x14ac:dyDescent="0.25">
      <c r="A11" t="s">
        <v>17</v>
      </c>
      <c r="B11" s="1" t="s">
        <v>15</v>
      </c>
      <c r="C11" s="6" t="s">
        <v>108</v>
      </c>
      <c r="D11" t="s">
        <v>7</v>
      </c>
      <c r="F11" t="s">
        <v>128</v>
      </c>
      <c r="G11">
        <v>10</v>
      </c>
      <c r="H11">
        <v>4</v>
      </c>
      <c r="I11">
        <v>0.16700000000000001</v>
      </c>
      <c r="J11">
        <v>0.16700000000000001</v>
      </c>
      <c r="K11">
        <v>0.16700000000000001</v>
      </c>
      <c r="L11">
        <v>0.14199999999999999</v>
      </c>
      <c r="M11">
        <v>0.12</v>
      </c>
      <c r="N11">
        <v>0.12</v>
      </c>
      <c r="O11">
        <v>0.105</v>
      </c>
      <c r="P11">
        <f>H11*'Unit Economics'!$C$3</f>
        <v>400</v>
      </c>
      <c r="Q11">
        <f t="shared" si="0"/>
        <v>48</v>
      </c>
      <c r="R11">
        <f t="shared" si="1"/>
        <v>0.12</v>
      </c>
      <c r="S11">
        <v>1</v>
      </c>
      <c r="T11">
        <v>0</v>
      </c>
    </row>
    <row r="12" spans="1:28" x14ac:dyDescent="0.25">
      <c r="A12" t="s">
        <v>25</v>
      </c>
      <c r="B12" s="1" t="s">
        <v>26</v>
      </c>
      <c r="C12" s="6" t="s">
        <v>109</v>
      </c>
      <c r="D12" t="s">
        <v>7</v>
      </c>
      <c r="F12" t="s">
        <v>128</v>
      </c>
      <c r="G12">
        <v>5</v>
      </c>
      <c r="H12">
        <v>2</v>
      </c>
      <c r="I12">
        <v>0.16700000000000001</v>
      </c>
      <c r="J12">
        <v>0.16700000000000001</v>
      </c>
      <c r="K12">
        <v>0.16700000000000001</v>
      </c>
      <c r="L12">
        <v>0.16700000000000001</v>
      </c>
      <c r="M12">
        <v>5.7000000000000002E-2</v>
      </c>
      <c r="N12">
        <v>5.7000000000000002E-2</v>
      </c>
      <c r="O12">
        <v>5.7000000000000002E-2</v>
      </c>
      <c r="P12">
        <f>H12*'Unit Economics'!$C$3</f>
        <v>200</v>
      </c>
      <c r="Q12">
        <f t="shared" si="0"/>
        <v>11.4</v>
      </c>
      <c r="R12">
        <f t="shared" si="1"/>
        <v>5.7000000000000002E-2</v>
      </c>
      <c r="S12">
        <v>1</v>
      </c>
      <c r="T12">
        <v>0</v>
      </c>
    </row>
    <row r="13" spans="1:28" x14ac:dyDescent="0.25">
      <c r="A13" t="s">
        <v>22</v>
      </c>
      <c r="B13" s="1" t="s">
        <v>36</v>
      </c>
      <c r="C13" s="8" t="s">
        <v>111</v>
      </c>
      <c r="D13" t="s">
        <v>7</v>
      </c>
      <c r="F13" t="s">
        <v>128</v>
      </c>
      <c r="G13">
        <v>20</v>
      </c>
      <c r="H13">
        <v>3</v>
      </c>
      <c r="I13">
        <v>0.13400000000000001</v>
      </c>
      <c r="J13">
        <v>0.13200000000000001</v>
      </c>
      <c r="K13">
        <v>0.13200000000000001</v>
      </c>
      <c r="L13">
        <v>0.11</v>
      </c>
      <c r="M13">
        <v>8.5000000000000006E-2</v>
      </c>
      <c r="N13">
        <v>7.4999999999999997E-2</v>
      </c>
      <c r="O13">
        <v>6.8000000000000005E-2</v>
      </c>
      <c r="P13">
        <f>H13*'Unit Economics'!$C$3</f>
        <v>300</v>
      </c>
      <c r="Q13">
        <f t="shared" si="0"/>
        <v>22.5</v>
      </c>
      <c r="R13">
        <f t="shared" si="1"/>
        <v>7.4999999999999997E-2</v>
      </c>
      <c r="S13">
        <v>1</v>
      </c>
      <c r="T13">
        <v>0</v>
      </c>
    </row>
    <row r="14" spans="1:28" x14ac:dyDescent="0.25">
      <c r="A14" t="s">
        <v>29</v>
      </c>
      <c r="B14" s="1" t="s">
        <v>30</v>
      </c>
      <c r="C14" s="7" t="s">
        <v>110</v>
      </c>
      <c r="D14" t="s">
        <v>7</v>
      </c>
      <c r="F14" t="s">
        <v>128</v>
      </c>
      <c r="G14">
        <v>20</v>
      </c>
      <c r="H14">
        <v>1</v>
      </c>
      <c r="I14">
        <v>0.11700000000000001</v>
      </c>
      <c r="J14">
        <v>0.11700000000000001</v>
      </c>
      <c r="K14">
        <v>0.11700000000000001</v>
      </c>
      <c r="L14">
        <v>9.1999999999999998E-2</v>
      </c>
      <c r="M14">
        <v>0.08</v>
      </c>
      <c r="N14">
        <v>0.08</v>
      </c>
      <c r="O14">
        <v>6.7000000000000004E-2</v>
      </c>
      <c r="P14">
        <f>H14*'Unit Economics'!$C$3</f>
        <v>100</v>
      </c>
      <c r="Q14">
        <f t="shared" si="0"/>
        <v>8</v>
      </c>
      <c r="R14">
        <f t="shared" si="1"/>
        <v>0.08</v>
      </c>
      <c r="S14">
        <v>1</v>
      </c>
      <c r="T14">
        <v>0</v>
      </c>
    </row>
    <row r="15" spans="1:28" x14ac:dyDescent="0.25">
      <c r="A15" t="s">
        <v>18</v>
      </c>
      <c r="B15" s="1" t="s">
        <v>19</v>
      </c>
      <c r="C15" s="6" t="s">
        <v>112</v>
      </c>
      <c r="D15" t="s">
        <v>7</v>
      </c>
      <c r="F15" t="s">
        <v>128</v>
      </c>
      <c r="G15">
        <v>1</v>
      </c>
      <c r="H15">
        <v>6</v>
      </c>
      <c r="I15">
        <v>0.16700000000000001</v>
      </c>
      <c r="J15">
        <v>7.4999999999999997E-2</v>
      </c>
      <c r="K15">
        <v>7.4999999999999997E-2</v>
      </c>
      <c r="L15">
        <v>7.4999999999999997E-2</v>
      </c>
      <c r="M15">
        <v>4.2999999999999997E-2</v>
      </c>
      <c r="N15">
        <v>4.2999999999999997E-2</v>
      </c>
      <c r="O15">
        <v>4.2999999999999997E-2</v>
      </c>
      <c r="P15">
        <f>H15*'Unit Economics'!$C$3</f>
        <v>600</v>
      </c>
      <c r="Q15">
        <f t="shared" si="0"/>
        <v>25.799999999999997</v>
      </c>
      <c r="R15">
        <f t="shared" si="1"/>
        <v>4.2999999999999997E-2</v>
      </c>
      <c r="S15">
        <v>1</v>
      </c>
      <c r="T15">
        <v>0</v>
      </c>
    </row>
    <row r="16" spans="1:28" x14ac:dyDescent="0.25">
      <c r="A16" t="s">
        <v>38</v>
      </c>
      <c r="B16" s="1" t="s">
        <v>37</v>
      </c>
      <c r="C16" s="6" t="s">
        <v>113</v>
      </c>
      <c r="D16" t="s">
        <v>7</v>
      </c>
      <c r="F16" t="s">
        <v>128</v>
      </c>
      <c r="G16">
        <v>0.5</v>
      </c>
      <c r="H16">
        <v>1</v>
      </c>
      <c r="I16">
        <v>0.16700000000000001</v>
      </c>
      <c r="J16">
        <v>8.4000000000000005E-2</v>
      </c>
      <c r="K16">
        <v>8.4000000000000005E-2</v>
      </c>
      <c r="L16">
        <v>8.4000000000000005E-2</v>
      </c>
      <c r="M16">
        <v>3.6999999999999998E-2</v>
      </c>
      <c r="N16">
        <v>3.6999999999999998E-2</v>
      </c>
      <c r="O16">
        <v>3.6999999999999998E-2</v>
      </c>
      <c r="P16">
        <f>H16*'Unit Economics'!$C$3</f>
        <v>100</v>
      </c>
      <c r="Q16">
        <f t="shared" si="0"/>
        <v>3.6999999999999997</v>
      </c>
      <c r="R16">
        <f t="shared" si="1"/>
        <v>3.6999999999999998E-2</v>
      </c>
      <c r="S16">
        <v>1</v>
      </c>
      <c r="T16">
        <v>0</v>
      </c>
    </row>
    <row r="17" spans="1:20" x14ac:dyDescent="0.25">
      <c r="A17" t="s">
        <v>124</v>
      </c>
      <c r="B17" s="1" t="s">
        <v>125</v>
      </c>
      <c r="C17" s="6" t="s">
        <v>126</v>
      </c>
      <c r="D17" t="s">
        <v>7</v>
      </c>
      <c r="F17" t="s">
        <v>128</v>
      </c>
      <c r="H17">
        <v>1</v>
      </c>
      <c r="I17">
        <v>0.11700000000000001</v>
      </c>
      <c r="J17">
        <v>6.5000000000000002E-2</v>
      </c>
      <c r="K17">
        <v>6.5000000000000002E-2</v>
      </c>
      <c r="L17">
        <v>6.5000000000000002E-2</v>
      </c>
      <c r="M17">
        <v>2.8000000000000001E-2</v>
      </c>
      <c r="N17">
        <v>2.8000000000000001E-2</v>
      </c>
      <c r="O17">
        <v>2.8000000000000001E-2</v>
      </c>
      <c r="P17">
        <f>H17*'Unit Economics'!$C$3</f>
        <v>100</v>
      </c>
      <c r="Q17">
        <f t="shared" si="0"/>
        <v>2.8000000000000003</v>
      </c>
      <c r="R17">
        <f t="shared" si="1"/>
        <v>2.8000000000000004E-2</v>
      </c>
      <c r="S17">
        <v>1</v>
      </c>
      <c r="T17">
        <v>0</v>
      </c>
    </row>
    <row r="18" spans="1:20" x14ac:dyDescent="0.25">
      <c r="A18" t="s">
        <v>50</v>
      </c>
      <c r="B18" s="1" t="s">
        <v>49</v>
      </c>
      <c r="C18" s="6" t="s">
        <v>114</v>
      </c>
      <c r="D18" t="s">
        <v>7</v>
      </c>
      <c r="F18" t="s">
        <v>128</v>
      </c>
      <c r="G18">
        <v>0.5</v>
      </c>
      <c r="H18">
        <v>1</v>
      </c>
      <c r="I18">
        <v>0.16700000000000001</v>
      </c>
      <c r="J18">
        <v>8.4000000000000005E-2</v>
      </c>
      <c r="K18">
        <v>8.4000000000000005E-2</v>
      </c>
      <c r="L18">
        <v>8.4000000000000005E-2</v>
      </c>
      <c r="M18">
        <v>3.6999999999999998E-2</v>
      </c>
      <c r="N18">
        <v>3.6999999999999998E-2</v>
      </c>
      <c r="O18">
        <v>3.6999999999999998E-2</v>
      </c>
      <c r="P18">
        <f>H18*'Unit Economics'!$C$3</f>
        <v>100</v>
      </c>
      <c r="Q18">
        <f t="shared" si="0"/>
        <v>3.6999999999999997</v>
      </c>
      <c r="R18">
        <f t="shared" si="1"/>
        <v>3.6999999999999998E-2</v>
      </c>
      <c r="S18">
        <v>1</v>
      </c>
      <c r="T18">
        <v>0</v>
      </c>
    </row>
    <row r="19" spans="1:20" x14ac:dyDescent="0.25">
      <c r="A19" t="s">
        <v>141</v>
      </c>
      <c r="B19" s="1" t="s">
        <v>142</v>
      </c>
      <c r="C19" s="6" t="s">
        <v>143</v>
      </c>
      <c r="D19" t="s">
        <v>7</v>
      </c>
      <c r="F19" t="s">
        <v>128</v>
      </c>
      <c r="G19">
        <v>1</v>
      </c>
      <c r="H19">
        <v>1</v>
      </c>
      <c r="I19">
        <v>0.55100000000000005</v>
      </c>
      <c r="J19">
        <v>0.34200000000000003</v>
      </c>
      <c r="K19">
        <v>0.34200000000000003</v>
      </c>
      <c r="L19">
        <v>0.34200000000000003</v>
      </c>
      <c r="M19">
        <v>0.112</v>
      </c>
      <c r="N19">
        <v>0.112</v>
      </c>
      <c r="O19">
        <v>0.112</v>
      </c>
      <c r="P19">
        <f>H19*'Unit Economics'!$C$3</f>
        <v>100</v>
      </c>
      <c r="Q19">
        <f t="shared" si="0"/>
        <v>11.200000000000001</v>
      </c>
      <c r="R19">
        <f t="shared" si="1"/>
        <v>0.11200000000000002</v>
      </c>
      <c r="S19">
        <v>1</v>
      </c>
      <c r="T19">
        <v>0</v>
      </c>
    </row>
    <row r="20" spans="1:20" x14ac:dyDescent="0.25">
      <c r="A20" t="s">
        <v>76</v>
      </c>
      <c r="B20" s="1" t="s">
        <v>77</v>
      </c>
      <c r="C20" s="6" t="s">
        <v>115</v>
      </c>
      <c r="D20" t="s">
        <v>7</v>
      </c>
      <c r="F20" t="s">
        <v>128</v>
      </c>
      <c r="G20">
        <v>1</v>
      </c>
      <c r="H20">
        <v>1</v>
      </c>
      <c r="I20">
        <v>0.16700000000000001</v>
      </c>
      <c r="J20">
        <v>0.16700000000000001</v>
      </c>
      <c r="K20">
        <v>0.16700000000000001</v>
      </c>
      <c r="L20">
        <v>8.6999999999999994E-2</v>
      </c>
      <c r="M20">
        <v>6.8000000000000005E-2</v>
      </c>
      <c r="N20">
        <v>6.8000000000000005E-2</v>
      </c>
      <c r="O20">
        <v>5.5E-2</v>
      </c>
      <c r="P20">
        <f>H20*'Unit Economics'!$C$3</f>
        <v>100</v>
      </c>
      <c r="Q20">
        <f t="shared" si="0"/>
        <v>6.8000000000000007</v>
      </c>
      <c r="R20">
        <f t="shared" si="1"/>
        <v>6.8000000000000005E-2</v>
      </c>
      <c r="S20">
        <v>1</v>
      </c>
      <c r="T20">
        <v>0</v>
      </c>
    </row>
    <row r="21" spans="1:20" x14ac:dyDescent="0.25">
      <c r="A21" t="s">
        <v>20</v>
      </c>
      <c r="B21" s="1" t="s">
        <v>21</v>
      </c>
      <c r="C21" s="6" t="s">
        <v>117</v>
      </c>
      <c r="D21" t="s">
        <v>7</v>
      </c>
      <c r="E21" s="1" t="s">
        <v>101</v>
      </c>
      <c r="F21" t="s">
        <v>128</v>
      </c>
      <c r="H21">
        <v>1</v>
      </c>
      <c r="I21">
        <v>1.07</v>
      </c>
      <c r="J21">
        <v>1.01</v>
      </c>
      <c r="K21">
        <v>1.01</v>
      </c>
      <c r="L21">
        <v>1.01</v>
      </c>
      <c r="M21">
        <v>0.77</v>
      </c>
      <c r="N21">
        <v>0.77</v>
      </c>
      <c r="O21">
        <v>0.67</v>
      </c>
      <c r="P21">
        <f>H21*'Unit Economics'!$C$3</f>
        <v>100</v>
      </c>
      <c r="Q21">
        <f t="shared" si="0"/>
        <v>77</v>
      </c>
      <c r="R21">
        <f t="shared" si="1"/>
        <v>0.77</v>
      </c>
      <c r="S21">
        <v>1</v>
      </c>
      <c r="T21">
        <v>0</v>
      </c>
    </row>
    <row r="22" spans="1:20" x14ac:dyDescent="0.25">
      <c r="A22" t="s">
        <v>13</v>
      </c>
      <c r="B22" s="1" t="s">
        <v>97</v>
      </c>
      <c r="C22" s="7" t="s">
        <v>118</v>
      </c>
      <c r="D22" t="s">
        <v>7</v>
      </c>
      <c r="E22" s="1" t="s">
        <v>101</v>
      </c>
      <c r="F22" t="s">
        <v>129</v>
      </c>
      <c r="H22">
        <v>1</v>
      </c>
      <c r="I22">
        <v>1.0900000000000001</v>
      </c>
      <c r="J22">
        <v>1.05</v>
      </c>
      <c r="K22">
        <v>1.03</v>
      </c>
      <c r="L22">
        <v>0.91900000000000004</v>
      </c>
      <c r="M22">
        <v>0.875</v>
      </c>
      <c r="N22">
        <v>0.85299999999999998</v>
      </c>
      <c r="O22">
        <v>0.72099999999999997</v>
      </c>
      <c r="P22">
        <f>H22*'Unit Economics'!$C$3</f>
        <v>100</v>
      </c>
      <c r="Q22">
        <f t="shared" si="0"/>
        <v>87.5</v>
      </c>
      <c r="R22">
        <f t="shared" si="1"/>
        <v>0.875</v>
      </c>
      <c r="S22">
        <v>1</v>
      </c>
      <c r="T22">
        <v>0</v>
      </c>
    </row>
    <row r="23" spans="1:20" x14ac:dyDescent="0.25">
      <c r="A23" t="s">
        <v>34</v>
      </c>
      <c r="B23" s="1" t="s">
        <v>96</v>
      </c>
      <c r="C23" s="6" t="s">
        <v>119</v>
      </c>
      <c r="D23" t="s">
        <v>7</v>
      </c>
      <c r="E23" s="1" t="s">
        <v>101</v>
      </c>
      <c r="F23" t="s">
        <v>129</v>
      </c>
      <c r="H23">
        <v>1</v>
      </c>
      <c r="I23">
        <v>0.38400000000000001</v>
      </c>
      <c r="J23">
        <v>0.38400000000000001</v>
      </c>
      <c r="K23">
        <v>0.35699999999999998</v>
      </c>
      <c r="L23">
        <v>0.32600000000000001</v>
      </c>
      <c r="M23">
        <v>0.29599999999999999</v>
      </c>
      <c r="N23">
        <v>0.26200000000000001</v>
      </c>
      <c r="O23">
        <v>0.23200000000000001</v>
      </c>
      <c r="P23">
        <f>H23*'Unit Economics'!$C$3</f>
        <v>100</v>
      </c>
      <c r="Q23">
        <f t="shared" si="0"/>
        <v>29.599999999999998</v>
      </c>
      <c r="R23">
        <f t="shared" si="1"/>
        <v>0.29599999999999999</v>
      </c>
      <c r="S23">
        <v>1</v>
      </c>
      <c r="T23">
        <v>0</v>
      </c>
    </row>
    <row r="24" spans="1:20" x14ac:dyDescent="0.25">
      <c r="A24" t="s">
        <v>32</v>
      </c>
      <c r="B24" s="1" t="s">
        <v>33</v>
      </c>
      <c r="C24" s="6" t="s">
        <v>120</v>
      </c>
      <c r="D24" t="s">
        <v>7</v>
      </c>
      <c r="E24" s="1" t="s">
        <v>101</v>
      </c>
      <c r="F24" t="s">
        <v>128</v>
      </c>
      <c r="H24">
        <v>1</v>
      </c>
      <c r="I24">
        <v>0.68500000000000005</v>
      </c>
      <c r="J24">
        <v>0.66100000000000003</v>
      </c>
      <c r="K24">
        <v>0.66100000000000003</v>
      </c>
      <c r="L24">
        <v>0.66100000000000003</v>
      </c>
      <c r="M24">
        <v>0.46400000000000002</v>
      </c>
      <c r="N24">
        <v>0.46400000000000002</v>
      </c>
      <c r="O24">
        <v>0.39700000000000002</v>
      </c>
      <c r="P24">
        <f>H24*'Unit Economics'!$C$3</f>
        <v>100</v>
      </c>
      <c r="Q24">
        <f t="shared" si="0"/>
        <v>46.400000000000006</v>
      </c>
      <c r="R24">
        <f t="shared" si="1"/>
        <v>0.46400000000000008</v>
      </c>
      <c r="S24">
        <v>1</v>
      </c>
      <c r="T24">
        <v>0</v>
      </c>
    </row>
    <row r="25" spans="1:20" ht="16.5" x14ac:dyDescent="0.3">
      <c r="A25" t="s">
        <v>31</v>
      </c>
      <c r="B25" s="2" t="s">
        <v>39</v>
      </c>
      <c r="C25" s="2"/>
      <c r="D25" t="s">
        <v>35</v>
      </c>
      <c r="F25" t="s">
        <v>129</v>
      </c>
      <c r="H25">
        <v>1</v>
      </c>
      <c r="I25">
        <v>2.4</v>
      </c>
      <c r="J25">
        <v>2.4</v>
      </c>
      <c r="K25">
        <v>2.4</v>
      </c>
      <c r="L25">
        <v>2.4</v>
      </c>
      <c r="M25">
        <v>2.4</v>
      </c>
      <c r="N25">
        <v>2.4</v>
      </c>
      <c r="O25">
        <v>2.4</v>
      </c>
      <c r="P25">
        <f>H25*'Unit Economics'!$C$3</f>
        <v>100</v>
      </c>
      <c r="Q25">
        <f t="shared" si="0"/>
        <v>240</v>
      </c>
      <c r="R25">
        <f t="shared" si="1"/>
        <v>2.4</v>
      </c>
      <c r="S25">
        <v>1</v>
      </c>
      <c r="T25">
        <v>7</v>
      </c>
    </row>
    <row r="26" spans="1:20" x14ac:dyDescent="0.25">
      <c r="A26" t="s">
        <v>43</v>
      </c>
      <c r="B26" t="s">
        <v>44</v>
      </c>
      <c r="D26" t="s">
        <v>35</v>
      </c>
      <c r="F26" t="s">
        <v>129</v>
      </c>
      <c r="H26">
        <v>1</v>
      </c>
      <c r="I26">
        <v>0.6</v>
      </c>
      <c r="J26">
        <v>0.6</v>
      </c>
      <c r="K26">
        <v>0.6</v>
      </c>
      <c r="L26">
        <v>0.6</v>
      </c>
      <c r="M26">
        <v>0.6</v>
      </c>
      <c r="N26">
        <v>0.6</v>
      </c>
      <c r="O26">
        <v>0.6</v>
      </c>
      <c r="P26">
        <f>H26*'Unit Economics'!$C$3</f>
        <v>100</v>
      </c>
      <c r="Q26">
        <f t="shared" si="0"/>
        <v>60</v>
      </c>
      <c r="R26">
        <f t="shared" si="1"/>
        <v>0.6</v>
      </c>
      <c r="S26">
        <v>1</v>
      </c>
      <c r="T26">
        <v>9</v>
      </c>
    </row>
    <row r="27" spans="1:20" x14ac:dyDescent="0.25">
      <c r="A27" t="s">
        <v>67</v>
      </c>
      <c r="B27" s="1" t="s">
        <v>68</v>
      </c>
      <c r="C27" s="1"/>
      <c r="D27" t="s">
        <v>35</v>
      </c>
      <c r="F27" t="s">
        <v>128</v>
      </c>
      <c r="H27">
        <v>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f>H27*'Unit Economics'!$C$3</f>
        <v>100</v>
      </c>
      <c r="Q27">
        <f t="shared" si="0"/>
        <v>10</v>
      </c>
      <c r="R27">
        <f t="shared" si="1"/>
        <v>0.1</v>
      </c>
      <c r="S27">
        <v>1</v>
      </c>
      <c r="T27">
        <v>13</v>
      </c>
    </row>
    <row r="28" spans="1:20" x14ac:dyDescent="0.25">
      <c r="A28" t="s">
        <v>146</v>
      </c>
      <c r="B28" s="1"/>
      <c r="C28" s="1"/>
      <c r="D28" t="s">
        <v>140</v>
      </c>
      <c r="H28">
        <v>1</v>
      </c>
      <c r="I28">
        <v>4.28</v>
      </c>
      <c r="J28">
        <v>2.25</v>
      </c>
      <c r="K28">
        <v>1.02</v>
      </c>
      <c r="L28">
        <v>0.62</v>
      </c>
      <c r="M28">
        <v>0.41</v>
      </c>
      <c r="N28">
        <v>0.28999999999999998</v>
      </c>
      <c r="O28">
        <v>0.25</v>
      </c>
      <c r="P28">
        <f>H28*'Unit Economics'!$C$3</f>
        <v>100</v>
      </c>
      <c r="Q28">
        <f>IF(P28&lt;10,P28*I28,IF(P28&lt;25,P28*J28,IF(P28&lt;50,P28*K28,IF(P28&lt;100,P28*L28,IF(P28&lt;250,P28*M28,IF(P28&lt;500,P28*N28,P28*O28))))))</f>
        <v>41</v>
      </c>
      <c r="R28">
        <f t="shared" si="1"/>
        <v>0.41</v>
      </c>
      <c r="S28">
        <v>1</v>
      </c>
    </row>
    <row r="29" spans="1:20" x14ac:dyDescent="0.25">
      <c r="A29" t="s">
        <v>69</v>
      </c>
      <c r="B29" s="1"/>
      <c r="C29" s="1"/>
      <c r="D29" t="s">
        <v>35</v>
      </c>
      <c r="H29">
        <v>1</v>
      </c>
      <c r="Q29">
        <v>78.400000000000006</v>
      </c>
      <c r="R29">
        <f>Q29/P28</f>
        <v>0.78400000000000003</v>
      </c>
    </row>
    <row r="30" spans="1:20" x14ac:dyDescent="0.25">
      <c r="A30" t="s">
        <v>70</v>
      </c>
      <c r="B30" s="1"/>
      <c r="C30" s="1"/>
      <c r="D30" t="s">
        <v>35</v>
      </c>
      <c r="H30">
        <v>1</v>
      </c>
      <c r="Q30">
        <v>0</v>
      </c>
    </row>
    <row r="31" spans="1:20" x14ac:dyDescent="0.25">
      <c r="A31" t="s">
        <v>86</v>
      </c>
      <c r="Q31">
        <f>SUM(Q2:Q30)</f>
        <v>1664.1000000000001</v>
      </c>
      <c r="R31">
        <f>SUM(R2:R30)</f>
        <v>15.366000000000001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pane xSplit="1" topLeftCell="B1" activePane="topRight" state="frozen"/>
      <selection pane="topRight" activeCell="I16" sqref="I16"/>
    </sheetView>
  </sheetViews>
  <sheetFormatPr defaultRowHeight="15" x14ac:dyDescent="0.25"/>
  <cols>
    <col min="1" max="1" width="16" bestFit="1" customWidth="1"/>
    <col min="2" max="2" width="13.42578125" customWidth="1"/>
    <col min="3" max="3" width="15.140625" bestFit="1" customWidth="1"/>
    <col min="4" max="4" width="11" bestFit="1" customWidth="1"/>
    <col min="5" max="5" width="9.42578125" bestFit="1" customWidth="1"/>
    <col min="6" max="8" width="14.85546875" bestFit="1" customWidth="1"/>
    <col min="9" max="9" width="15.85546875" bestFit="1" customWidth="1"/>
    <col min="10" max="11" width="15.85546875" customWidth="1"/>
    <col min="12" max="12" width="13.7109375" bestFit="1" customWidth="1"/>
    <col min="13" max="13" width="10" bestFit="1" customWidth="1"/>
    <col min="14" max="14" width="10" customWidth="1"/>
    <col min="15" max="15" width="10" bestFit="1" customWidth="1"/>
    <col min="16" max="16" width="1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81</v>
      </c>
      <c r="H1" t="s">
        <v>78</v>
      </c>
      <c r="I1" t="s">
        <v>80</v>
      </c>
      <c r="J1" t="s">
        <v>130</v>
      </c>
      <c r="K1" t="s">
        <v>131</v>
      </c>
      <c r="L1" t="s">
        <v>42</v>
      </c>
      <c r="M1" t="s">
        <v>5</v>
      </c>
      <c r="N1" t="s">
        <v>45</v>
      </c>
      <c r="O1" t="s">
        <v>75</v>
      </c>
      <c r="P1" t="s">
        <v>71</v>
      </c>
    </row>
    <row r="2" spans="1:16" x14ac:dyDescent="0.25">
      <c r="A2" t="s">
        <v>51</v>
      </c>
      <c r="C2" t="s">
        <v>140</v>
      </c>
      <c r="D2">
        <v>1</v>
      </c>
      <c r="E2">
        <v>260.8</v>
      </c>
      <c r="F2">
        <v>29.5</v>
      </c>
      <c r="G2">
        <v>13.32</v>
      </c>
      <c r="H2">
        <v>6.28</v>
      </c>
      <c r="I2">
        <v>3.33</v>
      </c>
      <c r="J2">
        <v>1.71</v>
      </c>
      <c r="K2">
        <v>1.05</v>
      </c>
      <c r="L2">
        <f>D2*'Unit Economics'!$C$3</f>
        <v>100</v>
      </c>
      <c r="M2">
        <f>IF(L2&lt;10,L2*E2,IF(L2&lt;25,L2*F2,IF(L2&lt;50,L2*G2,IF(L2&lt;100,L2*H2,IF(L2&lt;250,L2*I2,IF(L2&lt;500,L2*J2,L2*K2))))))</f>
        <v>333</v>
      </c>
      <c r="N2">
        <f>M2/L2</f>
        <v>3.33</v>
      </c>
      <c r="O2">
        <v>1</v>
      </c>
      <c r="P2">
        <v>0</v>
      </c>
    </row>
    <row r="3" spans="1:16" x14ac:dyDescent="0.25">
      <c r="A3" t="s">
        <v>41</v>
      </c>
      <c r="B3" s="1"/>
      <c r="C3" t="s">
        <v>53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D3*'Unit Economics'!$C$3</f>
        <v>100</v>
      </c>
      <c r="M3">
        <f t="shared" ref="M3:M8" si="0">IF(L3&lt;10,L3*E3,IF(L3&lt;25,L3*F3,IF(L3&lt;50,L3*G3,IF(L3&lt;100,L3*H3,IF(L3&lt;250,L3*I3,IF(L3&lt;500,L3*J3,L3*K3))))))</f>
        <v>100</v>
      </c>
      <c r="N3">
        <f t="shared" ref="N3:N8" si="1">M3/L3</f>
        <v>1</v>
      </c>
      <c r="O3">
        <v>1</v>
      </c>
      <c r="P3">
        <v>0</v>
      </c>
    </row>
    <row r="4" spans="1:16" x14ac:dyDescent="0.25">
      <c r="A4" t="s">
        <v>73</v>
      </c>
      <c r="B4" s="1" t="s">
        <v>74</v>
      </c>
      <c r="C4" t="s">
        <v>35</v>
      </c>
      <c r="D4">
        <v>1</v>
      </c>
      <c r="E4">
        <v>0.75</v>
      </c>
      <c r="F4">
        <v>0.75</v>
      </c>
      <c r="G4">
        <v>0.75</v>
      </c>
      <c r="H4">
        <v>0.75</v>
      </c>
      <c r="I4">
        <v>0.5</v>
      </c>
      <c r="J4">
        <v>0.4</v>
      </c>
      <c r="K4">
        <v>0.3</v>
      </c>
      <c r="L4">
        <f>D4*'Unit Economics'!$C$3</f>
        <v>100</v>
      </c>
      <c r="M4">
        <f t="shared" si="0"/>
        <v>50</v>
      </c>
      <c r="N4">
        <f t="shared" si="1"/>
        <v>0.5</v>
      </c>
      <c r="O4">
        <v>50</v>
      </c>
      <c r="P4">
        <v>0</v>
      </c>
    </row>
    <row r="5" spans="1:16" x14ac:dyDescent="0.25">
      <c r="A5" t="s">
        <v>89</v>
      </c>
      <c r="B5" s="1" t="s">
        <v>90</v>
      </c>
      <c r="C5" t="s">
        <v>35</v>
      </c>
      <c r="D5">
        <v>1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0.15</v>
      </c>
      <c r="K5">
        <v>0.08</v>
      </c>
      <c r="L5">
        <f>D5*'Unit Economics'!$C$3</f>
        <v>100</v>
      </c>
      <c r="M5">
        <f t="shared" si="0"/>
        <v>30</v>
      </c>
      <c r="N5">
        <f t="shared" si="1"/>
        <v>0.3</v>
      </c>
      <c r="O5">
        <v>100</v>
      </c>
      <c r="P5">
        <v>0</v>
      </c>
    </row>
    <row r="6" spans="1:16" x14ac:dyDescent="0.25">
      <c r="A6" t="s">
        <v>55</v>
      </c>
      <c r="B6" s="1"/>
      <c r="D6">
        <v>1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f>D6*'Unit Economics'!$C$3</f>
        <v>100</v>
      </c>
      <c r="M6">
        <f t="shared" si="0"/>
        <v>500</v>
      </c>
      <c r="N6">
        <f t="shared" si="1"/>
        <v>5</v>
      </c>
      <c r="P6">
        <v>0</v>
      </c>
    </row>
    <row r="7" spans="1:16" x14ac:dyDescent="0.25">
      <c r="A7" t="s">
        <v>84</v>
      </c>
      <c r="B7" s="1"/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D7*'Unit Economics'!$C$3</f>
        <v>100</v>
      </c>
      <c r="M7">
        <f t="shared" si="0"/>
        <v>100</v>
      </c>
      <c r="N7">
        <f t="shared" si="1"/>
        <v>1</v>
      </c>
      <c r="P7">
        <v>0</v>
      </c>
    </row>
    <row r="8" spans="1:16" x14ac:dyDescent="0.25">
      <c r="A8" t="s">
        <v>85</v>
      </c>
      <c r="B8" s="1"/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f>D8*'Unit Economics'!$C$3</f>
        <v>100</v>
      </c>
      <c r="M8">
        <f t="shared" si="0"/>
        <v>200</v>
      </c>
      <c r="N8">
        <f t="shared" si="1"/>
        <v>2</v>
      </c>
      <c r="P8">
        <v>0</v>
      </c>
    </row>
    <row r="9" spans="1:16" x14ac:dyDescent="0.25">
      <c r="A9" t="s">
        <v>72</v>
      </c>
      <c r="B9" s="1"/>
      <c r="D9">
        <v>1</v>
      </c>
      <c r="M9">
        <v>0</v>
      </c>
      <c r="P9">
        <v>0</v>
      </c>
    </row>
    <row r="10" spans="1:16" x14ac:dyDescent="0.25">
      <c r="A10" t="s">
        <v>82</v>
      </c>
      <c r="B10" s="1"/>
      <c r="D10">
        <v>1</v>
      </c>
      <c r="M10">
        <v>0</v>
      </c>
    </row>
    <row r="11" spans="1:16" x14ac:dyDescent="0.25">
      <c r="A11" t="s">
        <v>86</v>
      </c>
      <c r="M11">
        <f>SUM(M2:M10)</f>
        <v>1313</v>
      </c>
      <c r="N11">
        <f>SUM(N2:N10)</f>
        <v>13.129999999999999</v>
      </c>
    </row>
    <row r="14" spans="1:16" x14ac:dyDescent="0.25">
      <c r="A14" t="s">
        <v>93</v>
      </c>
      <c r="B14" s="1" t="s">
        <v>92</v>
      </c>
      <c r="C14" t="s">
        <v>94</v>
      </c>
      <c r="D14">
        <v>0</v>
      </c>
      <c r="E14">
        <v>8.35</v>
      </c>
      <c r="F14">
        <v>8.35</v>
      </c>
      <c r="G14">
        <v>8.35</v>
      </c>
      <c r="H14">
        <v>8.35</v>
      </c>
      <c r="I14">
        <v>8.35</v>
      </c>
      <c r="J14">
        <v>8.35</v>
      </c>
      <c r="K14">
        <v>8.35</v>
      </c>
      <c r="L14">
        <f>D14*'Unit Economics'!$C$3</f>
        <v>0</v>
      </c>
      <c r="M14">
        <f>IF(L14&lt;10,L14*E14,IF(L14&lt;25,L14*F14,IF(L14&lt;50,L14*G14,IF(L14&lt;100,L14*H14,IF(L14&lt;250,L14*I14,IF(L14&lt;500,L14*J14,L14*K14))))))</f>
        <v>0</v>
      </c>
      <c r="O14">
        <v>1</v>
      </c>
      <c r="P14">
        <v>0</v>
      </c>
    </row>
    <row r="15" spans="1:16" x14ac:dyDescent="0.25">
      <c r="A15" t="s">
        <v>51</v>
      </c>
      <c r="C15" t="s">
        <v>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D15*'Unit Economics'!$C$3</f>
        <v>0</v>
      </c>
      <c r="M15">
        <f>IF(L15&lt;10,L15*E15,IF(L15&lt;25,L15*F15,IF(L15&lt;50,L15*G15,IF(L15&lt;100,L15*H15,IF(L15&lt;250,L15*I15,IF(L15&lt;500,L15*J15,L15*K15))))))</f>
        <v>0</v>
      </c>
      <c r="O15">
        <v>1</v>
      </c>
      <c r="P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I10" sqref="I10"/>
    </sheetView>
  </sheetViews>
  <sheetFormatPr defaultRowHeight="15" x14ac:dyDescent="0.25"/>
  <cols>
    <col min="1" max="1" width="15" customWidth="1"/>
    <col min="2" max="2" width="12.5703125" bestFit="1" customWidth="1"/>
    <col min="3" max="3" width="10.7109375" bestFit="1" customWidth="1"/>
    <col min="4" max="4" width="9.85546875" bestFit="1" customWidth="1"/>
    <col min="5" max="5" width="21.7109375" customWidth="1"/>
    <col min="6" max="6" width="17" bestFit="1" customWidth="1"/>
    <col min="7" max="7" width="16.140625" bestFit="1" customWidth="1"/>
    <col min="8" max="8" width="21.5703125" bestFit="1" customWidth="1"/>
    <col min="9" max="9" width="9.5703125" bestFit="1" customWidth="1"/>
    <col min="10" max="10" width="8.7109375" bestFit="1" customWidth="1"/>
    <col min="11" max="11" width="11.28515625" bestFit="1" customWidth="1"/>
    <col min="13" max="13" width="15.85546875" bestFit="1" customWidth="1"/>
    <col min="14" max="14" width="16.7109375" bestFit="1" customWidth="1"/>
    <col min="15" max="15" width="9.5703125" bestFit="1" customWidth="1"/>
    <col min="16" max="16" width="8" customWidth="1"/>
    <col min="17" max="17" width="11.28515625" bestFit="1" customWidth="1"/>
    <col min="18" max="18" width="14.28515625" bestFit="1" customWidth="1"/>
  </cols>
  <sheetData>
    <row r="1" spans="1:18" x14ac:dyDescent="0.25">
      <c r="C1" s="10" t="s">
        <v>138</v>
      </c>
      <c r="D1" s="10"/>
      <c r="E1" s="10"/>
      <c r="F1" s="10"/>
      <c r="G1" s="10"/>
      <c r="H1" s="10"/>
      <c r="I1" s="10"/>
      <c r="J1" s="10"/>
      <c r="K1" s="10"/>
      <c r="M1" s="10" t="s">
        <v>139</v>
      </c>
      <c r="N1" s="10"/>
      <c r="O1" s="10"/>
      <c r="P1" s="10"/>
      <c r="Q1" s="10"/>
      <c r="R1" s="10"/>
    </row>
    <row r="2" spans="1:18" x14ac:dyDescent="0.25">
      <c r="A2" t="s">
        <v>148</v>
      </c>
      <c r="B2" t="s">
        <v>149</v>
      </c>
      <c r="C2" t="s">
        <v>8</v>
      </c>
      <c r="D2" t="s">
        <v>45</v>
      </c>
      <c r="E2" t="s">
        <v>87</v>
      </c>
      <c r="F2" t="s">
        <v>133</v>
      </c>
      <c r="G2" t="s">
        <v>132</v>
      </c>
      <c r="H2" t="s">
        <v>135</v>
      </c>
      <c r="I2" t="s">
        <v>46</v>
      </c>
      <c r="J2" t="s">
        <v>136</v>
      </c>
      <c r="K2" t="s">
        <v>47</v>
      </c>
      <c r="M2" t="s">
        <v>137</v>
      </c>
      <c r="N2" t="s">
        <v>88</v>
      </c>
      <c r="O2" t="s">
        <v>46</v>
      </c>
      <c r="P2" t="s">
        <v>83</v>
      </c>
      <c r="Q2" t="s">
        <v>47</v>
      </c>
      <c r="R2" t="s">
        <v>134</v>
      </c>
    </row>
    <row r="3" spans="1:18" x14ac:dyDescent="0.25">
      <c r="A3">
        <f>Electronics!R31</f>
        <v>15.366000000000001</v>
      </c>
      <c r="B3">
        <f>'Packaging and Assembly'!N11</f>
        <v>13.129999999999999</v>
      </c>
      <c r="C3">
        <v>100</v>
      </c>
      <c r="D3">
        <f>(Electronics!Q31+'Packaging and Assembly'!M11)/C3</f>
        <v>29.771000000000004</v>
      </c>
      <c r="E3">
        <v>0.4</v>
      </c>
      <c r="F3">
        <v>0.2</v>
      </c>
      <c r="G3">
        <v>17</v>
      </c>
      <c r="H3">
        <f>(F3+E3)*G3</f>
        <v>10.200000000000001</v>
      </c>
      <c r="I3">
        <v>200</v>
      </c>
      <c r="J3">
        <f>I3*0.15</f>
        <v>30</v>
      </c>
      <c r="K3">
        <f>I3-J3-D3-H3</f>
        <v>130.029</v>
      </c>
      <c r="M3" s="9">
        <f>D3*C3</f>
        <v>2977.1000000000004</v>
      </c>
      <c r="N3" s="9">
        <f>H3*C3</f>
        <v>1020.0000000000001</v>
      </c>
      <c r="O3" s="9">
        <f>I3*C3</f>
        <v>20000</v>
      </c>
      <c r="P3" s="9">
        <f>J3*C3</f>
        <v>3000</v>
      </c>
      <c r="Q3" s="9">
        <f>K3*C3</f>
        <v>13002.9</v>
      </c>
      <c r="R3">
        <f>Q3/(M3+N3)*100</f>
        <v>325.30834855270069</v>
      </c>
    </row>
    <row r="6" spans="1:18" x14ac:dyDescent="0.25">
      <c r="A6" t="s">
        <v>147</v>
      </c>
    </row>
  </sheetData>
  <mergeCells count="2">
    <mergeCell ref="C1:K1"/>
    <mergeCell ref="M1:R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43" sqref="A43"/>
    </sheetView>
  </sheetViews>
  <sheetFormatPr defaultRowHeight="15" x14ac:dyDescent="0.25"/>
  <cols>
    <col min="1" max="1" width="52.28515625" bestFit="1" customWidth="1"/>
  </cols>
  <sheetData>
    <row r="1" spans="1:1" x14ac:dyDescent="0.25">
      <c r="A1" s="5" t="s">
        <v>66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  <row r="11" spans="1:1" x14ac:dyDescent="0.25">
      <c r="A11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Electronics</vt:lpstr>
      <vt:lpstr>Packaging and Assembly</vt:lpstr>
      <vt:lpstr>Unit Economics</vt:lpstr>
      <vt:lpstr>Plastics 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2016-07-16T23:30:52Z</dcterms:modified>
</cp:coreProperties>
</file>