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0" yWindow="45" windowWidth="18975" windowHeight="11955" tabRatio="426"/>
  </bookViews>
  <sheets>
    <sheet name="Coupon calc" sheetId="4" r:id="rId1"/>
  </sheets>
  <definedNames>
    <definedName name="rF" localSheetId="0">'Coupon calc'!$B$17</definedName>
    <definedName name="rF">#REF!</definedName>
    <definedName name="S" localSheetId="0">'Coupon calc'!$B$12</definedName>
    <definedName name="S">#REF!</definedName>
    <definedName name="sigma" localSheetId="0">'Coupon calc'!$B$18</definedName>
    <definedName name="sigma">#REF!</definedName>
    <definedName name="T" localSheetId="0">'Coupon calc'!$B$11</definedName>
    <definedName name="T">#REF!</definedName>
    <definedName name="Xbuy" localSheetId="0">'Coupon calc'!$B$14</definedName>
    <definedName name="Xbuy">#REF!</definedName>
    <definedName name="Xsell" localSheetId="0">'Coupon calc'!$B$15</definedName>
    <definedName name="Xsell">#REF!</definedName>
  </definedNames>
  <calcPr calcId="144525"/>
</workbook>
</file>

<file path=xl/calcChain.xml><?xml version="1.0" encoding="utf-8"?>
<calcChain xmlns="http://schemas.openxmlformats.org/spreadsheetml/2006/main">
  <c r="B9" i="4" l="1"/>
  <c r="B10" i="4" s="1"/>
  <c r="B11" i="4" s="1"/>
  <c r="B12" i="4"/>
  <c r="B14" i="4"/>
  <c r="I7" i="4"/>
  <c r="I9" i="4"/>
  <c r="H16" i="4"/>
  <c r="I16" i="4"/>
  <c r="J16" i="4"/>
  <c r="F18" i="4"/>
  <c r="F19" i="4"/>
  <c r="F20" i="4"/>
  <c r="C18" i="4"/>
  <c r="C16" i="4"/>
  <c r="C17" i="4"/>
  <c r="B26" i="4" l="1"/>
  <c r="B28" i="4" s="1"/>
  <c r="B21" i="4"/>
  <c r="B15" i="4"/>
  <c r="B33" i="4" s="1"/>
  <c r="B27" i="4" l="1"/>
  <c r="B29" i="4" s="1"/>
  <c r="B30" i="4" s="1"/>
  <c r="B22" i="4" s="1"/>
  <c r="B34" i="4"/>
  <c r="B36" i="4" s="1"/>
  <c r="B35" i="4"/>
  <c r="B23" i="4" l="1"/>
  <c r="I6" i="4"/>
  <c r="I8" i="4" s="1"/>
  <c r="I10" i="4" s="1"/>
  <c r="F16" i="4" s="1"/>
  <c r="B37" i="4"/>
</calcChain>
</file>

<file path=xl/comments1.xml><?xml version="1.0" encoding="utf-8"?>
<comments xmlns="http://schemas.openxmlformats.org/spreadsheetml/2006/main">
  <authors>
    <author>gpbu0008</author>
    <author>dko55</author>
  </authors>
  <commentList>
    <comment ref="F3" authorId="0">
      <text>
        <r>
          <rPr>
            <b/>
            <sz val="8"/>
            <color indexed="81"/>
            <rFont val="Tahoma"/>
            <family val="2"/>
            <charset val="204"/>
          </rPr>
          <t>gpbu0008:</t>
        </r>
        <r>
          <rPr>
            <sz val="8"/>
            <color indexed="81"/>
            <rFont val="Tahoma"/>
            <family val="2"/>
            <charset val="204"/>
          </rPr>
          <t xml:space="preserve">
Эмитента инструмента</t>
        </r>
      </text>
    </comment>
    <comment ref="I3" authorId="1">
      <text>
        <r>
          <rPr>
            <b/>
            <sz val="8"/>
            <color indexed="81"/>
            <rFont val="Tahoma"/>
            <family val="2"/>
            <charset val="204"/>
          </rPr>
          <t>dko55:</t>
        </r>
        <r>
          <rPr>
            <sz val="8"/>
            <color indexed="81"/>
            <rFont val="Tahoma"/>
            <family val="2"/>
            <charset val="204"/>
          </rPr>
          <t xml:space="preserve">
ставка заимствования Акрона</t>
        </r>
      </text>
    </comment>
  </commentList>
</comments>
</file>

<file path=xl/sharedStrings.xml><?xml version="1.0" encoding="utf-8"?>
<sst xmlns="http://schemas.openxmlformats.org/spreadsheetml/2006/main" count="42" uniqueCount="36">
  <si>
    <t>Оценка инструмента по формуле Black-Scholes</t>
  </si>
  <si>
    <t>Описание инструмента</t>
  </si>
  <si>
    <t>Текущая дата</t>
  </si>
  <si>
    <t>Дата исполнения опциона</t>
  </si>
  <si>
    <t>Период действия опциона (г)</t>
  </si>
  <si>
    <t>Безрисковая ставка доходности</t>
  </si>
  <si>
    <r>
      <t xml:space="preserve">Сигма </t>
    </r>
    <r>
      <rPr>
        <sz val="11"/>
        <color indexed="8"/>
        <rFont val="Calibri"/>
        <family val="2"/>
        <charset val="204"/>
      </rPr>
      <t>σ</t>
    </r>
    <r>
      <rPr>
        <sz val="11"/>
        <color theme="1"/>
        <rFont val="Calibri"/>
        <family val="2"/>
        <charset val="204"/>
        <scheme val="minor"/>
      </rPr>
      <t xml:space="preserve"> (волатильность)</t>
    </r>
  </si>
  <si>
    <t>Текущая цена акции</t>
  </si>
  <si>
    <t>Стоимость купленного Call:</t>
  </si>
  <si>
    <t>Стоимость проданного Call:</t>
  </si>
  <si>
    <r>
      <t>N(d</t>
    </r>
    <r>
      <rPr>
        <vertAlign val="subscript"/>
        <sz val="11"/>
        <color indexed="8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>) =</t>
    </r>
  </si>
  <si>
    <r>
      <t>N(d</t>
    </r>
    <r>
      <rPr>
        <vertAlign val="subscript"/>
        <sz val="11"/>
        <color indexed="8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>) =</t>
    </r>
  </si>
  <si>
    <r>
      <t>d</t>
    </r>
    <r>
      <rPr>
        <vertAlign val="subscript"/>
        <sz val="11"/>
        <color indexed="8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=</t>
    </r>
  </si>
  <si>
    <r>
      <t>d</t>
    </r>
    <r>
      <rPr>
        <vertAlign val="subscript"/>
        <sz val="11"/>
        <color indexed="8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 xml:space="preserve"> =</t>
    </r>
  </si>
  <si>
    <t>Стоимость опциона</t>
  </si>
  <si>
    <t>Дивидендная доходность</t>
  </si>
  <si>
    <t>Premium</t>
  </si>
  <si>
    <t>Цена исполнения  (купить)</t>
  </si>
  <si>
    <t>Ставка дисконтирования</t>
  </si>
  <si>
    <t>Ticker</t>
  </si>
  <si>
    <t>Share price as of 20/11/12</t>
  </si>
  <si>
    <t>Bond floor</t>
  </si>
  <si>
    <t>Купон</t>
  </si>
  <si>
    <t>Volatility</t>
  </si>
  <si>
    <t>Call option</t>
  </si>
  <si>
    <t>Conversion rate</t>
  </si>
  <si>
    <t>Bond par value</t>
  </si>
  <si>
    <t>Option value per bond</t>
  </si>
  <si>
    <t>Option value as of % of par</t>
  </si>
  <si>
    <t>p</t>
  </si>
  <si>
    <t>Конв купон</t>
  </si>
  <si>
    <t>Term</t>
  </si>
  <si>
    <t>Exchangeables/Convertibles</t>
  </si>
  <si>
    <t>PV issuer coupon</t>
  </si>
  <si>
    <t>PV issuer Z-bond</t>
  </si>
  <si>
    <t>URKA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</si>
</sst>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-* #,##0.00_р_._-;\-* #,##0.00_р_._-;_-* &quot;-&quot;??_р_._-;_-@_-"/>
    <numFmt numFmtId="164" formatCode="0.0%"/>
    <numFmt numFmtId="165" formatCode="[$$-409]#,##0.0"/>
    <numFmt numFmtId="166" formatCode="[$$-409]#,##0.00"/>
    <numFmt numFmtId="167" formatCode="0.00000"/>
    <numFmt numFmtId="168" formatCode="0.0000"/>
    <numFmt numFmtId="169" formatCode="0.0"/>
    <numFmt numFmtId="170" formatCode="#,##0.0"/>
    <numFmt numFmtId="171" formatCode="_-* #,##0.0_р_._-;\-* #,##0.0_р_._-;_-* &quot;-&quot;??_р_._-;_-@_-"/>
  </numFmts>
  <fonts count="14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u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i/>
      <sz val="11"/>
      <color indexed="40"/>
      <name val="Calibri"/>
      <family val="2"/>
      <charset val="204"/>
    </font>
    <font>
      <sz val="8"/>
      <name val="Calibri"/>
      <family val="2"/>
      <charset val="204"/>
    </font>
    <font>
      <i/>
      <sz val="11"/>
      <color indexed="8"/>
      <name val="Calibri"/>
      <family val="2"/>
      <charset val="204"/>
    </font>
    <font>
      <b/>
      <sz val="11"/>
      <color indexed="4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4">
    <xf numFmtId="0" fontId="0" fillId="0" borderId="0" xfId="0"/>
    <xf numFmtId="0" fontId="6" fillId="0" borderId="0" xfId="0" applyFont="1"/>
    <xf numFmtId="166" fontId="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1" applyNumberFormat="1" applyFont="1" applyAlignment="1">
      <alignment horizontal="center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7" fillId="0" borderId="0" xfId="0" applyFont="1" applyAlignment="1">
      <alignment horizontal="right"/>
    </xf>
    <xf numFmtId="0" fontId="6" fillId="2" borderId="0" xfId="0" applyFont="1" applyFill="1"/>
    <xf numFmtId="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/>
    <xf numFmtId="0" fontId="6" fillId="0" borderId="0" xfId="0" applyFont="1" applyFill="1"/>
    <xf numFmtId="0" fontId="0" fillId="0" borderId="0" xfId="0" applyFill="1"/>
    <xf numFmtId="0" fontId="6" fillId="0" borderId="0" xfId="0" applyFont="1" applyAlignment="1">
      <alignment horizontal="center"/>
    </xf>
    <xf numFmtId="10" fontId="8" fillId="0" borderId="1" xfId="0" applyNumberFormat="1" applyFont="1" applyFill="1" applyBorder="1" applyAlignment="1">
      <alignment horizontal="center"/>
    </xf>
    <xf numFmtId="10" fontId="8" fillId="0" borderId="2" xfId="0" applyNumberFormat="1" applyFont="1" applyFill="1" applyBorder="1" applyAlignment="1">
      <alignment horizontal="center"/>
    </xf>
    <xf numFmtId="10" fontId="8" fillId="0" borderId="3" xfId="0" applyNumberFormat="1" applyFont="1" applyFill="1" applyBorder="1" applyAlignment="1">
      <alignment horizontal="center"/>
    </xf>
    <xf numFmtId="10" fontId="9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9" fontId="9" fillId="0" borderId="0" xfId="0" applyNumberFormat="1" applyFont="1" applyAlignment="1">
      <alignment horizontal="center"/>
    </xf>
    <xf numFmtId="165" fontId="0" fillId="0" borderId="0" xfId="0" applyNumberFormat="1"/>
    <xf numFmtId="166" fontId="6" fillId="0" borderId="4" xfId="0" applyNumberFormat="1" applyFont="1" applyBorder="1" applyAlignment="1">
      <alignment horizontal="center"/>
    </xf>
    <xf numFmtId="9" fontId="9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10" fontId="9" fillId="0" borderId="0" xfId="0" applyNumberFormat="1" applyFont="1"/>
    <xf numFmtId="165" fontId="6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0" fontId="8" fillId="0" borderId="0" xfId="0" applyNumberFormat="1" applyFont="1" applyFill="1" applyBorder="1" applyAlignment="1">
      <alignment horizontal="center"/>
    </xf>
    <xf numFmtId="9" fontId="6" fillId="0" borderId="0" xfId="0" applyNumberFormat="1" applyFont="1" applyBorder="1" applyAlignment="1">
      <alignment horizontal="center"/>
    </xf>
    <xf numFmtId="10" fontId="8" fillId="0" borderId="5" xfId="0" applyNumberFormat="1" applyFont="1" applyFill="1" applyBorder="1" applyAlignment="1">
      <alignment horizontal="center"/>
    </xf>
    <xf numFmtId="10" fontId="8" fillId="0" borderId="6" xfId="0" applyNumberFormat="1" applyFont="1" applyFill="1" applyBorder="1" applyAlignment="1">
      <alignment horizontal="center"/>
    </xf>
    <xf numFmtId="10" fontId="6" fillId="0" borderId="0" xfId="0" applyNumberFormat="1" applyFont="1" applyBorder="1" applyAlignment="1">
      <alignment horizontal="right"/>
    </xf>
    <xf numFmtId="10" fontId="8" fillId="0" borderId="7" xfId="0" applyNumberFormat="1" applyFont="1" applyFill="1" applyBorder="1" applyAlignment="1">
      <alignment horizontal="center"/>
    </xf>
    <xf numFmtId="10" fontId="8" fillId="0" borderId="8" xfId="0" applyNumberFormat="1" applyFont="1" applyFill="1" applyBorder="1" applyAlignment="1">
      <alignment horizontal="center"/>
    </xf>
    <xf numFmtId="10" fontId="8" fillId="0" borderId="9" xfId="0" applyNumberFormat="1" applyFont="1" applyFill="1" applyBorder="1" applyAlignment="1">
      <alignment horizontal="center"/>
    </xf>
    <xf numFmtId="10" fontId="9" fillId="0" borderId="0" xfId="1" applyNumberFormat="1" applyFont="1" applyAlignment="1">
      <alignment horizontal="center"/>
    </xf>
    <xf numFmtId="169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71" fontId="9" fillId="0" borderId="0" xfId="2" applyNumberFormat="1" applyFont="1"/>
    <xf numFmtId="170" fontId="11" fillId="0" borderId="0" xfId="0" applyNumberFormat="1" applyFont="1"/>
    <xf numFmtId="0" fontId="11" fillId="0" borderId="0" xfId="0" applyFont="1"/>
    <xf numFmtId="9" fontId="12" fillId="0" borderId="0" xfId="0" applyNumberFormat="1" applyFont="1" applyBorder="1" applyAlignment="1">
      <alignment horizontal="center"/>
    </xf>
    <xf numFmtId="10" fontId="12" fillId="0" borderId="0" xfId="0" applyNumberFormat="1" applyFont="1" applyFill="1" applyBorder="1" applyAlignment="1">
      <alignment horizontal="right"/>
    </xf>
    <xf numFmtId="165" fontId="13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right" vertical="center" textRotation="90"/>
    </xf>
    <xf numFmtId="165" fontId="6" fillId="2" borderId="0" xfId="0" applyNumberFormat="1" applyFont="1" applyFill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L37"/>
  <sheetViews>
    <sheetView tabSelected="1" workbookViewId="0">
      <selection activeCell="F23" sqref="F23"/>
    </sheetView>
  </sheetViews>
  <sheetFormatPr defaultRowHeight="15" x14ac:dyDescent="0.25"/>
  <cols>
    <col min="1" max="1" width="30" customWidth="1"/>
    <col min="2" max="2" width="15.5703125" style="12" customWidth="1"/>
    <col min="3" max="3" width="16.5703125" customWidth="1"/>
    <col min="4" max="4" width="21.28515625" customWidth="1"/>
    <col min="5" max="5" width="6.7109375" customWidth="1"/>
  </cols>
  <sheetData>
    <row r="1" spans="1:12" x14ac:dyDescent="0.25">
      <c r="A1" s="10" t="s">
        <v>1</v>
      </c>
      <c r="B1" s="49"/>
      <c r="E1" s="53" t="s">
        <v>32</v>
      </c>
      <c r="F1" s="53"/>
      <c r="G1" s="53"/>
      <c r="H1" s="53"/>
      <c r="I1" s="53"/>
      <c r="J1" s="53"/>
    </row>
    <row r="2" spans="1:12" x14ac:dyDescent="0.25">
      <c r="I2" s="30"/>
    </row>
    <row r="3" spans="1:12" x14ac:dyDescent="0.25">
      <c r="A3" t="s">
        <v>24</v>
      </c>
      <c r="F3" t="s">
        <v>18</v>
      </c>
      <c r="I3" s="28">
        <v>6.25E-2</v>
      </c>
    </row>
    <row r="4" spans="1:12" x14ac:dyDescent="0.25">
      <c r="A4" s="21" t="s">
        <v>19</v>
      </c>
      <c r="B4" s="12" t="s">
        <v>35</v>
      </c>
      <c r="F4" s="13" t="s">
        <v>31</v>
      </c>
      <c r="G4" s="13"/>
      <c r="I4" s="43">
        <v>3</v>
      </c>
    </row>
    <row r="5" spans="1:12" x14ac:dyDescent="0.25">
      <c r="A5" s="21" t="s">
        <v>20</v>
      </c>
      <c r="B5" s="22">
        <v>36.81</v>
      </c>
    </row>
    <row r="6" spans="1:12" x14ac:dyDescent="0.25">
      <c r="F6" t="s">
        <v>21</v>
      </c>
      <c r="I6" s="29">
        <f ca="1">B20-B22</f>
        <v>917.5934836035824</v>
      </c>
    </row>
    <row r="7" spans="1:12" x14ac:dyDescent="0.25">
      <c r="A7" s="1" t="s">
        <v>0</v>
      </c>
      <c r="F7" s="13" t="s">
        <v>34</v>
      </c>
      <c r="G7" s="13"/>
      <c r="I7" s="23">
        <f>(B20)/(1+I3)^I4</f>
        <v>833.70649297781392</v>
      </c>
      <c r="L7" s="40"/>
    </row>
    <row r="8" spans="1:12" x14ac:dyDescent="0.25">
      <c r="F8" s="13" t="s">
        <v>33</v>
      </c>
      <c r="G8" s="13"/>
      <c r="I8" s="23">
        <f ca="1">I6-I7</f>
        <v>83.886990625768476</v>
      </c>
      <c r="J8" s="40"/>
      <c r="K8" s="40"/>
      <c r="L8" s="40"/>
    </row>
    <row r="9" spans="1:12" x14ac:dyDescent="0.25">
      <c r="A9" t="s">
        <v>2</v>
      </c>
      <c r="B9" s="3">
        <f ca="1">TODAY()</f>
        <v>41253</v>
      </c>
      <c r="F9" s="44" t="s">
        <v>29</v>
      </c>
      <c r="G9" s="44"/>
      <c r="H9" s="45"/>
      <c r="I9" s="45">
        <f>1/(1+I3)^0.5</f>
        <v>0.97014250014533188</v>
      </c>
      <c r="J9" s="40"/>
      <c r="K9" s="40"/>
      <c r="L9" s="40"/>
    </row>
    <row r="10" spans="1:12" x14ac:dyDescent="0.25">
      <c r="A10" t="s">
        <v>3</v>
      </c>
      <c r="B10" s="3">
        <f ca="1">B9+1095</f>
        <v>42348</v>
      </c>
      <c r="D10" s="14"/>
      <c r="F10" s="40" t="s">
        <v>30</v>
      </c>
      <c r="G10" s="40"/>
      <c r="I10" s="41">
        <f ca="1">I8/((1-I9^(I4*2+1))/(1-I9)-1)/(B20/2)</f>
        <v>3.1050401928171177E-2</v>
      </c>
      <c r="J10" s="40"/>
      <c r="K10" s="40"/>
      <c r="L10" s="40"/>
    </row>
    <row r="11" spans="1:12" x14ac:dyDescent="0.25">
      <c r="A11" t="s">
        <v>4</v>
      </c>
      <c r="B11" s="4">
        <f ca="1">(B10-B9)/365</f>
        <v>3</v>
      </c>
      <c r="D11" s="15"/>
      <c r="G11" s="40"/>
      <c r="H11" s="40"/>
      <c r="I11" s="40"/>
      <c r="J11" s="40"/>
      <c r="K11" s="40"/>
      <c r="L11" s="40"/>
    </row>
    <row r="12" spans="1:12" x14ac:dyDescent="0.25">
      <c r="A12" t="s">
        <v>7</v>
      </c>
      <c r="B12" s="2">
        <f>B5</f>
        <v>36.81</v>
      </c>
      <c r="D12" s="15"/>
      <c r="G12" s="40"/>
      <c r="H12" s="40"/>
      <c r="I12" s="40"/>
      <c r="J12" s="40"/>
      <c r="K12" s="40"/>
    </row>
    <row r="13" spans="1:12" x14ac:dyDescent="0.25">
      <c r="A13" t="s">
        <v>16</v>
      </c>
      <c r="B13" s="25">
        <v>0.35</v>
      </c>
      <c r="D13" s="15"/>
      <c r="F13" s="16"/>
      <c r="G13" s="16"/>
      <c r="H13" s="50" t="s">
        <v>22</v>
      </c>
      <c r="I13" s="50"/>
      <c r="J13" s="16"/>
    </row>
    <row r="14" spans="1:12" x14ac:dyDescent="0.25">
      <c r="A14" t="s">
        <v>17</v>
      </c>
      <c r="B14" s="2">
        <f>S*(1+B13)</f>
        <v>49.693500000000007</v>
      </c>
      <c r="D14" s="15"/>
      <c r="F14" s="16"/>
      <c r="G14" s="16"/>
      <c r="H14" s="16"/>
      <c r="I14" s="16"/>
      <c r="J14" s="11"/>
      <c r="L14" s="14"/>
    </row>
    <row r="15" spans="1:12" x14ac:dyDescent="0.25">
      <c r="B15" s="2">
        <f>Xbuy</f>
        <v>49.693500000000007</v>
      </c>
      <c r="D15" s="15"/>
      <c r="F15" s="16"/>
      <c r="G15" s="51" t="s">
        <v>16</v>
      </c>
      <c r="H15" s="51"/>
      <c r="I15" s="51"/>
      <c r="J15" s="51"/>
      <c r="K15" s="14"/>
      <c r="L15" s="15"/>
    </row>
    <row r="16" spans="1:12" x14ac:dyDescent="0.25">
      <c r="A16" t="s">
        <v>15</v>
      </c>
      <c r="B16" s="20">
        <v>4.4150000000000002E-2</v>
      </c>
      <c r="C16" t="str">
        <f>"данные  Bloomberg"</f>
        <v>данные  Bloomberg</v>
      </c>
      <c r="D16" s="15"/>
      <c r="F16" s="42">
        <f ca="1">I10</f>
        <v>3.1050401928171177E-2</v>
      </c>
      <c r="G16" s="46">
        <v>0.2</v>
      </c>
      <c r="H16" s="32">
        <f>G16+5%</f>
        <v>0.25</v>
      </c>
      <c r="I16" s="32">
        <f>H16+5%</f>
        <v>0.3</v>
      </c>
      <c r="J16" s="32">
        <f>I16+5%</f>
        <v>0.35</v>
      </c>
      <c r="K16" s="15"/>
      <c r="L16" s="15"/>
    </row>
    <row r="17" spans="1:12" x14ac:dyDescent="0.25">
      <c r="A17" t="s">
        <v>5</v>
      </c>
      <c r="B17" s="20">
        <v>1.5900000000000001E-2</v>
      </c>
      <c r="C17" t="str">
        <f>"UST10"</f>
        <v>UST10</v>
      </c>
      <c r="E17" s="52" t="s">
        <v>23</v>
      </c>
      <c r="F17" s="47">
        <v>0.25</v>
      </c>
      <c r="G17" s="17">
        <f t="dataTable" ref="G17:J20" dt2D="1" dtr="0" r1="B13" r2="B18" ca="1"/>
        <v>2.6704253169774404E-2</v>
      </c>
      <c r="H17" s="18">
        <v>3.202025787676982E-2</v>
      </c>
      <c r="I17" s="18">
        <v>3.6503115634576255E-2</v>
      </c>
      <c r="J17" s="19">
        <v>4.0286014679187951E-2</v>
      </c>
      <c r="K17" s="15"/>
      <c r="L17" s="15"/>
    </row>
    <row r="18" spans="1:12" x14ac:dyDescent="0.25">
      <c r="A18" t="s">
        <v>6</v>
      </c>
      <c r="B18" s="39">
        <v>0.3</v>
      </c>
      <c r="C18" t="str">
        <f>"волатильность за  100 дней Bloomberg"</f>
        <v>волатильность за  100 дней Bloomberg</v>
      </c>
      <c r="E18" s="52"/>
      <c r="F18" s="35">
        <f>F17+5%</f>
        <v>0.3</v>
      </c>
      <c r="G18" s="33">
        <v>1.5741681016024571E-2</v>
      </c>
      <c r="H18" s="31">
        <v>2.1613850191627881E-2</v>
      </c>
      <c r="I18" s="31">
        <v>2.6676941718565026E-2</v>
      </c>
      <c r="J18" s="34">
        <v>3.1050401928171177E-2</v>
      </c>
      <c r="K18" s="15"/>
      <c r="L18" s="15"/>
    </row>
    <row r="19" spans="1:12" x14ac:dyDescent="0.25">
      <c r="E19" s="52"/>
      <c r="F19" s="35">
        <f>F18+5%</f>
        <v>0.35</v>
      </c>
      <c r="G19" s="33">
        <v>4.8385527683308784E-3</v>
      </c>
      <c r="H19" s="31">
        <v>1.1163219809982325E-2</v>
      </c>
      <c r="I19" s="31">
        <v>1.6695360673183394E-2</v>
      </c>
      <c r="J19" s="34">
        <v>2.1545993957156184E-2</v>
      </c>
      <c r="K19" s="15"/>
      <c r="L19" s="15"/>
    </row>
    <row r="20" spans="1:12" x14ac:dyDescent="0.25">
      <c r="A20" t="s">
        <v>26</v>
      </c>
      <c r="B20" s="48">
        <v>1000</v>
      </c>
      <c r="E20" s="52"/>
      <c r="F20" s="35">
        <f>F19+5%</f>
        <v>0.39999999999999997</v>
      </c>
      <c r="G20" s="36">
        <v>-5.9525808250215084E-3</v>
      </c>
      <c r="H20" s="37">
        <v>7.5963337795961804E-4</v>
      </c>
      <c r="I20" s="37">
        <v>6.6897577768578846E-3</v>
      </c>
      <c r="J20" s="38">
        <v>1.1943340343880919E-2</v>
      </c>
      <c r="K20" s="15"/>
      <c r="L20" s="15"/>
    </row>
    <row r="21" spans="1:12" ht="15.75" thickBot="1" x14ac:dyDescent="0.3">
      <c r="A21" t="s">
        <v>25</v>
      </c>
      <c r="B21" s="26">
        <f>B20/Xbuy</f>
        <v>20.123356173342586</v>
      </c>
    </row>
    <row r="22" spans="1:12" ht="15.75" thickBot="1" x14ac:dyDescent="0.3">
      <c r="A22" t="s">
        <v>27</v>
      </c>
      <c r="B22" s="27">
        <f ca="1">B21*B30</f>
        <v>82.406516396417643</v>
      </c>
    </row>
    <row r="23" spans="1:12" ht="15" customHeight="1" x14ac:dyDescent="0.25">
      <c r="A23" t="s">
        <v>28</v>
      </c>
      <c r="B23" s="5">
        <f ca="1">B22/B20</f>
        <v>8.2406516396417648E-2</v>
      </c>
    </row>
    <row r="25" spans="1:12" x14ac:dyDescent="0.25">
      <c r="A25" s="9" t="s">
        <v>8</v>
      </c>
    </row>
    <row r="26" spans="1:12" ht="18" x14ac:dyDescent="0.35">
      <c r="A26" s="6" t="s">
        <v>12</v>
      </c>
      <c r="B26" s="8">
        <f ca="1">(LN(S/Xbuy)+(rF-B16+0.5*sigma^2)*T)/(sigma*SQRT(T))</f>
        <v>-0.48084538736488996</v>
      </c>
    </row>
    <row r="27" spans="1:12" ht="18" x14ac:dyDescent="0.35">
      <c r="A27" s="6" t="s">
        <v>13</v>
      </c>
      <c r="B27" s="8">
        <f ca="1">B26-sigma*SQRT(T)</f>
        <v>-1.0004606296355532</v>
      </c>
    </row>
    <row r="28" spans="1:12" ht="18" x14ac:dyDescent="0.35">
      <c r="A28" s="6" t="s">
        <v>11</v>
      </c>
      <c r="B28" s="7">
        <f ca="1">NORMSDIST(B26)</f>
        <v>0.31531319481841824</v>
      </c>
    </row>
    <row r="29" spans="1:12" ht="18.75" thickBot="1" x14ac:dyDescent="0.4">
      <c r="A29" s="6" t="s">
        <v>10</v>
      </c>
      <c r="B29" s="7">
        <f ca="1">NORMSDIST(B27)</f>
        <v>0.15854382071543946</v>
      </c>
    </row>
    <row r="30" spans="1:12" ht="15.75" thickBot="1" x14ac:dyDescent="0.3">
      <c r="A30" s="6" t="s">
        <v>14</v>
      </c>
      <c r="B30" s="24">
        <f ca="1">S*$B$28-Xbuy*EXP(-rF*T)*B29</f>
        <v>4.0950682225453807</v>
      </c>
    </row>
    <row r="32" spans="1:12" x14ac:dyDescent="0.25">
      <c r="A32" s="9" t="s">
        <v>9</v>
      </c>
    </row>
    <row r="33" spans="1:2" ht="18" x14ac:dyDescent="0.35">
      <c r="A33" s="6" t="s">
        <v>12</v>
      </c>
      <c r="B33" s="8">
        <f ca="1">(LN(S/Xsell)+(rF-B16+0.5*sigma^2)*T)/(sigma*SQRT(T))</f>
        <v>-0.48084538736488996</v>
      </c>
    </row>
    <row r="34" spans="1:2" ht="18" x14ac:dyDescent="0.35">
      <c r="A34" s="6" t="s">
        <v>13</v>
      </c>
      <c r="B34" s="8">
        <f ca="1">B33-sigma*SQRT(T)</f>
        <v>-1.0004606296355532</v>
      </c>
    </row>
    <row r="35" spans="1:2" ht="18" x14ac:dyDescent="0.35">
      <c r="A35" s="6" t="s">
        <v>11</v>
      </c>
      <c r="B35" s="7">
        <f ca="1">NORMSDIST(B33)</f>
        <v>0.31531319481841824</v>
      </c>
    </row>
    <row r="36" spans="1:2" ht="18.75" thickBot="1" x14ac:dyDescent="0.4">
      <c r="A36" s="6" t="s">
        <v>10</v>
      </c>
      <c r="B36" s="7">
        <f ca="1">NORMSDIST(B34)</f>
        <v>0.15854382071543946</v>
      </c>
    </row>
    <row r="37" spans="1:2" ht="15.75" thickBot="1" x14ac:dyDescent="0.3">
      <c r="A37" s="6" t="s">
        <v>14</v>
      </c>
      <c r="B37" s="24">
        <f ca="1">S*B35-Xsell*EXP(-rF*T)*B36</f>
        <v>4.0950682225453807</v>
      </c>
    </row>
  </sheetData>
  <mergeCells count="4">
    <mergeCell ref="H13:I13"/>
    <mergeCell ref="G15:J15"/>
    <mergeCell ref="E17:E20"/>
    <mergeCell ref="E1:J1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Coupon calc</vt:lpstr>
      <vt:lpstr>'Coupon calc'!rF</vt:lpstr>
      <vt:lpstr>'Coupon calc'!S</vt:lpstr>
      <vt:lpstr>'Coupon calc'!sigma</vt:lpstr>
      <vt:lpstr>'Coupon calc'!T</vt:lpstr>
      <vt:lpstr>'Coupon calc'!Xbuy</vt:lpstr>
      <vt:lpstr>'Coupon calc'!Xsell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Селиванов Дмитрий Павлович</cp:lastModifiedBy>
  <dcterms:created xsi:type="dcterms:W3CDTF">2009-06-01T06:00:04Z</dcterms:created>
  <dcterms:modified xsi:type="dcterms:W3CDTF">2012-12-10T14:34:03Z</dcterms:modified>
</cp:coreProperties>
</file>