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ald\Documents\GitHub\pwillmott\finance\work\"/>
    </mc:Choice>
  </mc:AlternateContent>
  <bookViews>
    <workbookView xWindow="0" yWindow="0" windowWidth="20490" windowHeight="7755" tabRatio="599"/>
  </bookViews>
  <sheets>
    <sheet name="ibm" sheetId="1" r:id="rId1"/>
  </sheets>
  <calcPr calcId="152511"/>
</workbook>
</file>

<file path=xl/calcChain.xml><?xml version="1.0" encoding="utf-8"?>
<calcChain xmlns="http://schemas.openxmlformats.org/spreadsheetml/2006/main">
  <c r="AS34" i="1" l="1"/>
  <c r="Y24" i="1"/>
  <c r="Z7" i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Z6" i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Z2" i="1"/>
  <c r="V22" i="1"/>
  <c r="W22" i="1"/>
  <c r="X22" i="1"/>
  <c r="AS29" i="1"/>
  <c r="Y18" i="1"/>
  <c r="X18" i="1"/>
  <c r="Y9" i="1"/>
  <c r="X9" i="1"/>
  <c r="AC14" i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B14" i="1"/>
  <c r="AA14" i="1"/>
  <c r="H25" i="1"/>
  <c r="H29" i="1"/>
  <c r="H31" i="1"/>
  <c r="H33" i="1"/>
  <c r="H37" i="1"/>
  <c r="H38" i="1"/>
  <c r="H39" i="1"/>
  <c r="H40" i="1"/>
  <c r="Q14" i="1"/>
  <c r="P14" i="1"/>
  <c r="O14" i="1"/>
  <c r="P6" i="1"/>
  <c r="O6" i="1"/>
  <c r="P7" i="1"/>
  <c r="P8" i="1" s="1"/>
  <c r="O7" i="1"/>
  <c r="I7" i="1"/>
  <c r="X7" i="1" s="1"/>
  <c r="I6" i="1"/>
  <c r="I3" i="1"/>
  <c r="I4" i="1" s="1"/>
  <c r="I17" i="1" s="1"/>
  <c r="I2" i="1"/>
  <c r="M7" i="1"/>
  <c r="Q7" i="1" s="1"/>
  <c r="M6" i="1"/>
  <c r="M3" i="1"/>
  <c r="M2" i="1"/>
  <c r="N22" i="1"/>
  <c r="F10" i="1"/>
  <c r="J10" i="1"/>
  <c r="G10" i="1"/>
  <c r="K12" i="1"/>
  <c r="K10" i="1"/>
  <c r="L12" i="1"/>
  <c r="M12" i="1" s="1"/>
  <c r="H12" i="1"/>
  <c r="I12" i="1" s="1"/>
  <c r="H10" i="1"/>
  <c r="L10" i="1"/>
  <c r="L8" i="1"/>
  <c r="J8" i="1"/>
  <c r="H8" i="1"/>
  <c r="G8" i="1"/>
  <c r="F8" i="1"/>
  <c r="J4" i="1"/>
  <c r="J17" i="1" s="1"/>
  <c r="H4" i="1"/>
  <c r="H17" i="1" s="1"/>
  <c r="G4" i="1"/>
  <c r="G17" i="1" s="1"/>
  <c r="F4" i="1"/>
  <c r="F17" i="1" s="1"/>
  <c r="K8" i="1"/>
  <c r="K4" i="1"/>
  <c r="K17" i="1" s="1"/>
  <c r="B6" i="1"/>
  <c r="B7" i="1"/>
  <c r="N8" i="1"/>
  <c r="N10" i="1"/>
  <c r="B25" i="1"/>
  <c r="B26" i="1"/>
  <c r="B24" i="1"/>
  <c r="B23" i="1"/>
  <c r="B22" i="1"/>
  <c r="B19" i="1"/>
  <c r="B18" i="1"/>
  <c r="B17" i="1"/>
  <c r="N4" i="1"/>
  <c r="N9" i="1" s="1"/>
  <c r="B5" i="1"/>
  <c r="Z8" i="1" l="1"/>
  <c r="I10" i="1"/>
  <c r="X10" i="1" s="1"/>
  <c r="M10" i="1"/>
  <c r="M8" i="1"/>
  <c r="I8" i="1"/>
  <c r="I9" i="1" s="1"/>
  <c r="O8" i="1"/>
  <c r="Q6" i="1"/>
  <c r="Y10" i="1"/>
  <c r="Y12" i="1"/>
  <c r="Y6" i="1"/>
  <c r="Y7" i="1"/>
  <c r="X6" i="1"/>
  <c r="N11" i="1"/>
  <c r="M4" i="1"/>
  <c r="M17" i="1" s="1"/>
  <c r="F9" i="1"/>
  <c r="J9" i="1"/>
  <c r="K9" i="1"/>
  <c r="G9" i="1"/>
  <c r="H9" i="1"/>
  <c r="M9" i="1" l="1"/>
  <c r="Q8" i="1"/>
  <c r="Y8" i="1"/>
  <c r="X8" i="1"/>
  <c r="K18" i="1"/>
  <c r="J18" i="1"/>
  <c r="Y11" i="1"/>
  <c r="F18" i="1"/>
  <c r="M18" i="1"/>
  <c r="M11" i="1"/>
  <c r="F11" i="1"/>
  <c r="F20" i="1" s="1"/>
  <c r="J11" i="1"/>
  <c r="J13" i="1" s="1"/>
  <c r="K11" i="1"/>
  <c r="K20" i="1" s="1"/>
  <c r="H18" i="1"/>
  <c r="H11" i="1"/>
  <c r="J20" i="1"/>
  <c r="I18" i="1"/>
  <c r="I11" i="1"/>
  <c r="G18" i="1"/>
  <c r="G11" i="1"/>
  <c r="K13" i="1"/>
  <c r="Z14" i="1"/>
  <c r="Q2" i="1"/>
  <c r="Q4" i="1" s="1"/>
  <c r="P2" i="1"/>
  <c r="O2" i="1"/>
  <c r="O4" i="1" s="1"/>
  <c r="X14" i="1"/>
  <c r="X12" i="1"/>
  <c r="X3" i="1"/>
  <c r="X2" i="1"/>
  <c r="Y14" i="1"/>
  <c r="Y3" i="1"/>
  <c r="Y2" i="1"/>
  <c r="Z1" i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X11" i="1" l="1"/>
  <c r="AA8" i="1"/>
  <c r="F13" i="1"/>
  <c r="F15" i="1" s="1"/>
  <c r="P4" i="1"/>
  <c r="P9" i="1" s="1"/>
  <c r="M13" i="1"/>
  <c r="M20" i="1"/>
  <c r="I20" i="1"/>
  <c r="I13" i="1"/>
  <c r="J15" i="1"/>
  <c r="J19" i="1"/>
  <c r="G13" i="1"/>
  <c r="G20" i="1"/>
  <c r="F19" i="1"/>
  <c r="H13" i="1"/>
  <c r="H20" i="1"/>
  <c r="K15" i="1"/>
  <c r="K19" i="1"/>
  <c r="X4" i="1"/>
  <c r="X17" i="1" s="1"/>
  <c r="Y22" i="1"/>
  <c r="O9" i="1"/>
  <c r="Y4" i="1"/>
  <c r="Y17" i="1" s="1"/>
  <c r="Q3" i="1"/>
  <c r="O3" i="1"/>
  <c r="O17" i="1"/>
  <c r="P17" i="1"/>
  <c r="J38" i="1"/>
  <c r="J37" i="1"/>
  <c r="J35" i="1"/>
  <c r="J31" i="1"/>
  <c r="J29" i="1"/>
  <c r="J26" i="1"/>
  <c r="J25" i="1"/>
  <c r="J22" i="1"/>
  <c r="K38" i="1"/>
  <c r="K39" i="1"/>
  <c r="K37" i="1"/>
  <c r="K29" i="1"/>
  <c r="K31" i="1"/>
  <c r="K26" i="1"/>
  <c r="K25" i="1"/>
  <c r="K22" i="1"/>
  <c r="L22" i="1"/>
  <c r="P11" i="1" l="1"/>
  <c r="P12" i="1" s="1"/>
  <c r="P18" i="1"/>
  <c r="P3" i="1"/>
  <c r="AB8" i="1"/>
  <c r="O18" i="1"/>
  <c r="O11" i="1"/>
  <c r="O12" i="1" s="1"/>
  <c r="M15" i="1"/>
  <c r="M19" i="1"/>
  <c r="I15" i="1"/>
  <c r="I19" i="1"/>
  <c r="H19" i="1"/>
  <c r="H15" i="1"/>
  <c r="G19" i="1"/>
  <c r="G15" i="1"/>
  <c r="J40" i="1"/>
  <c r="O20" i="1"/>
  <c r="J33" i="1"/>
  <c r="P13" i="1"/>
  <c r="P15" i="1" s="1"/>
  <c r="N17" i="1"/>
  <c r="Q17" i="1"/>
  <c r="Q9" i="1"/>
  <c r="K40" i="1"/>
  <c r="K33" i="1"/>
  <c r="Q11" i="1" l="1"/>
  <c r="Q12" i="1" s="1"/>
  <c r="AC8" i="1"/>
  <c r="Y13" i="1"/>
  <c r="K42" i="1"/>
  <c r="K43" i="1" s="1"/>
  <c r="P20" i="1"/>
  <c r="J42" i="1"/>
  <c r="J43" i="1" s="1"/>
  <c r="O13" i="1"/>
  <c r="P19" i="1"/>
  <c r="Q18" i="1"/>
  <c r="X13" i="1"/>
  <c r="X20" i="1"/>
  <c r="L25" i="1"/>
  <c r="AD8" i="1" l="1"/>
  <c r="O19" i="1"/>
  <c r="O15" i="1"/>
  <c r="Y20" i="1"/>
  <c r="Q13" i="1"/>
  <c r="Q15" i="1" s="1"/>
  <c r="Q20" i="1"/>
  <c r="Y19" i="1"/>
  <c r="Y15" i="1"/>
  <c r="X15" i="1"/>
  <c r="X19" i="1"/>
  <c r="L37" i="1"/>
  <c r="L31" i="1"/>
  <c r="L29" i="1"/>
  <c r="AE8" i="1" l="1"/>
  <c r="Q19" i="1"/>
  <c r="L4" i="1"/>
  <c r="AF8" i="1" l="1"/>
  <c r="L9" i="1"/>
  <c r="L18" i="1" s="1"/>
  <c r="L17" i="1"/>
  <c r="L38" i="1"/>
  <c r="L40" i="1" s="1"/>
  <c r="L33" i="1"/>
  <c r="L11" i="1" l="1"/>
  <c r="L20" i="1" s="1"/>
  <c r="AG8" i="1"/>
  <c r="L13" i="1"/>
  <c r="L42" i="1"/>
  <c r="L43" i="1" s="1"/>
  <c r="H42" i="1"/>
  <c r="H43" i="1" s="1"/>
  <c r="M37" i="1"/>
  <c r="M39" i="1"/>
  <c r="M38" i="1"/>
  <c r="M31" i="1"/>
  <c r="M26" i="1"/>
  <c r="M25" i="1"/>
  <c r="AH8" i="1" l="1"/>
  <c r="L15" i="1"/>
  <c r="L19" i="1"/>
  <c r="M40" i="1"/>
  <c r="M33" i="1"/>
  <c r="M22" i="1"/>
  <c r="AI8" i="1" l="1"/>
  <c r="M42" i="1"/>
  <c r="M43" i="1" s="1"/>
  <c r="AS26" i="1"/>
  <c r="B8" i="1"/>
  <c r="AJ8" i="1" l="1"/>
  <c r="AK8" i="1" l="1"/>
  <c r="AL8" i="1" l="1"/>
  <c r="AM8" i="1" l="1"/>
  <c r="AN8" i="1" l="1"/>
  <c r="AP8" i="1" l="1"/>
  <c r="AO8" i="1"/>
  <c r="N18" i="1" l="1"/>
  <c r="N13" i="1"/>
  <c r="N15" i="1" s="1"/>
  <c r="N20" i="1"/>
  <c r="N19" i="1" l="1"/>
  <c r="AA2" i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Z4" i="1" l="1"/>
  <c r="Z17" i="1" l="1"/>
  <c r="Z9" i="1"/>
  <c r="AA4" i="1"/>
  <c r="AA3" i="1" s="1"/>
  <c r="Z3" i="1"/>
  <c r="AA17" i="1" l="1"/>
  <c r="AA9" i="1"/>
  <c r="Z18" i="1"/>
  <c r="AB4" i="1"/>
  <c r="AB3" i="1" s="1"/>
  <c r="AC4" i="1" l="1"/>
  <c r="AB9" i="1"/>
  <c r="AB17" i="1"/>
  <c r="AA18" i="1"/>
  <c r="AC9" i="1" l="1"/>
  <c r="AC17" i="1"/>
  <c r="AB18" i="1"/>
  <c r="AD4" i="1"/>
  <c r="AD3" i="1" s="1"/>
  <c r="AC3" i="1"/>
  <c r="AD9" i="1" l="1"/>
  <c r="AD17" i="1"/>
  <c r="AE4" i="1"/>
  <c r="AE3" i="1" s="1"/>
  <c r="AC18" i="1"/>
  <c r="AE17" i="1" l="1"/>
  <c r="AE9" i="1"/>
  <c r="AD18" i="1"/>
  <c r="AF4" i="1"/>
  <c r="AF3" i="1" s="1"/>
  <c r="AE18" i="1" l="1"/>
  <c r="AG4" i="1"/>
  <c r="AG3" i="1"/>
  <c r="AF9" i="1"/>
  <c r="AF17" i="1"/>
  <c r="AH4" i="1" l="1"/>
  <c r="AH3" i="1" s="1"/>
  <c r="AG17" i="1"/>
  <c r="AG9" i="1"/>
  <c r="AF18" i="1"/>
  <c r="AI4" i="1" l="1"/>
  <c r="AI3" i="1" s="1"/>
  <c r="AG18" i="1"/>
  <c r="AH9" i="1"/>
  <c r="AH17" i="1"/>
  <c r="AI17" i="1" l="1"/>
  <c r="AI9" i="1"/>
  <c r="AH18" i="1"/>
  <c r="AJ4" i="1"/>
  <c r="AJ3" i="1" s="1"/>
  <c r="AK4" i="1" l="1"/>
  <c r="AK3" i="1" s="1"/>
  <c r="AJ9" i="1"/>
  <c r="AJ17" i="1"/>
  <c r="AI18" i="1"/>
  <c r="AL4" i="1" l="1"/>
  <c r="AL3" i="1" s="1"/>
  <c r="AJ18" i="1"/>
  <c r="AK17" i="1"/>
  <c r="AK9" i="1"/>
  <c r="AM4" i="1" l="1"/>
  <c r="AM3" i="1" s="1"/>
  <c r="AL17" i="1"/>
  <c r="AL9" i="1"/>
  <c r="AK18" i="1"/>
  <c r="AN4" i="1" l="1"/>
  <c r="AL18" i="1"/>
  <c r="AM9" i="1"/>
  <c r="AM17" i="1"/>
  <c r="AN9" i="1" l="1"/>
  <c r="AN17" i="1"/>
  <c r="AN3" i="1"/>
  <c r="AM18" i="1"/>
  <c r="AO4" i="1"/>
  <c r="AO9" i="1" l="1"/>
  <c r="AO17" i="1"/>
  <c r="AP4" i="1"/>
  <c r="AP3" i="1" s="1"/>
  <c r="AO3" i="1"/>
  <c r="AN18" i="1"/>
  <c r="AP17" i="1" l="1"/>
  <c r="AP9" i="1"/>
  <c r="AO18" i="1"/>
  <c r="AP18" i="1" l="1"/>
  <c r="Z11" i="1"/>
  <c r="AS35" i="1" s="1"/>
  <c r="AS36" i="1" l="1"/>
  <c r="AS37" i="1"/>
  <c r="Z12" i="1"/>
  <c r="Z13" i="1" l="1"/>
  <c r="Z20" i="1"/>
  <c r="Z24" i="1" l="1"/>
  <c r="Z15" i="1"/>
  <c r="Z19" i="1"/>
  <c r="AA11" i="1" l="1"/>
  <c r="AA12" i="1" l="1"/>
  <c r="AA20" i="1" s="1"/>
  <c r="AA13" i="1" l="1"/>
  <c r="AA15" i="1" s="1"/>
  <c r="AA19" i="1"/>
  <c r="AA24" i="1" l="1"/>
  <c r="AB10" i="1"/>
  <c r="AB11" i="1" s="1"/>
  <c r="AB12" i="1" s="1"/>
  <c r="AB20" i="1" s="1"/>
  <c r="AB13" i="1" l="1"/>
  <c r="AB24" i="1" s="1"/>
  <c r="AB15" i="1" l="1"/>
  <c r="AB19" i="1"/>
  <c r="AC10" i="1"/>
  <c r="AC11" i="1" s="1"/>
  <c r="AC12" i="1" s="1"/>
  <c r="AC20" i="1" s="1"/>
  <c r="AC13" i="1" l="1"/>
  <c r="AC24" i="1" l="1"/>
  <c r="AD10" i="1" s="1"/>
  <c r="AC15" i="1"/>
  <c r="AC19" i="1"/>
  <c r="AD11" i="1" l="1"/>
  <c r="AD12" i="1" l="1"/>
  <c r="AD20" i="1" s="1"/>
  <c r="AD13" i="1" l="1"/>
  <c r="AD15" i="1" s="1"/>
  <c r="AD24" i="1" l="1"/>
  <c r="AD19" i="1"/>
  <c r="AE10" i="1" l="1"/>
  <c r="AE11" i="1" s="1"/>
  <c r="AE12" i="1" l="1"/>
  <c r="AE20" i="1" s="1"/>
  <c r="AE13" i="1"/>
  <c r="AE24" i="1" s="1"/>
  <c r="AF10" i="1" s="1"/>
  <c r="AF11" i="1" s="1"/>
  <c r="AE15" i="1"/>
  <c r="AE19" i="1" l="1"/>
  <c r="AF12" i="1"/>
  <c r="AF20" i="1" s="1"/>
  <c r="AF13" i="1" l="1"/>
  <c r="AF15" i="1" s="1"/>
  <c r="AF24" i="1" l="1"/>
  <c r="AF19" i="1"/>
  <c r="AG10" i="1" l="1"/>
  <c r="AG11" i="1" s="1"/>
  <c r="AG12" i="1" s="1"/>
  <c r="AG20" i="1" s="1"/>
  <c r="AG13" i="1" l="1"/>
  <c r="AG19" i="1" s="1"/>
  <c r="AG24" i="1"/>
  <c r="AG15" i="1" l="1"/>
  <c r="AH10" i="1"/>
  <c r="AH11" i="1" s="1"/>
  <c r="AH12" i="1" s="1"/>
  <c r="AH20" i="1" s="1"/>
  <c r="AH13" i="1" l="1"/>
  <c r="AH24" i="1" s="1"/>
  <c r="AI10" i="1" s="1"/>
  <c r="AH19" i="1" l="1"/>
  <c r="AH15" i="1"/>
  <c r="AI11" i="1"/>
  <c r="AI12" i="1" l="1"/>
  <c r="AI20" i="1" s="1"/>
  <c r="AI13" i="1" l="1"/>
  <c r="AI15" i="1" s="1"/>
  <c r="AI24" i="1" l="1"/>
  <c r="AJ10" i="1" s="1"/>
  <c r="AJ11" i="1" s="1"/>
  <c r="AI19" i="1"/>
  <c r="AJ12" i="1" l="1"/>
  <c r="AJ20" i="1" s="1"/>
  <c r="AJ13" i="1" l="1"/>
  <c r="AJ15" i="1"/>
  <c r="AJ19" i="1"/>
  <c r="AJ24" i="1"/>
  <c r="AK10" i="1" s="1"/>
  <c r="AK11" i="1" l="1"/>
  <c r="AK12" i="1" l="1"/>
  <c r="AK20" i="1" s="1"/>
  <c r="AK13" i="1" l="1"/>
  <c r="AK19" i="1" s="1"/>
  <c r="AK24" i="1" l="1"/>
  <c r="AL10" i="1" s="1"/>
  <c r="AL11" i="1" s="1"/>
  <c r="AK15" i="1"/>
  <c r="AL12" i="1" l="1"/>
  <c r="AL20" i="1" s="1"/>
  <c r="AL13" i="1" l="1"/>
  <c r="AL15" i="1" s="1"/>
  <c r="AL24" i="1" l="1"/>
  <c r="AM10" i="1" s="1"/>
  <c r="AM11" i="1" s="1"/>
  <c r="AL19" i="1"/>
  <c r="AM12" i="1" l="1"/>
  <c r="AM20" i="1" s="1"/>
  <c r="AM13" i="1" l="1"/>
  <c r="AM15" i="1" s="1"/>
  <c r="AM24" i="1" l="1"/>
  <c r="AN10" i="1" s="1"/>
  <c r="AN11" i="1" s="1"/>
  <c r="AM19" i="1"/>
  <c r="AN12" i="1" l="1"/>
  <c r="AN20" i="1" s="1"/>
  <c r="AN13" i="1" l="1"/>
  <c r="AN19" i="1" s="1"/>
  <c r="AN24" i="1" l="1"/>
  <c r="AO10" i="1" s="1"/>
  <c r="AO11" i="1" s="1"/>
  <c r="AN15" i="1"/>
  <c r="AO12" i="1" l="1"/>
  <c r="AO20" i="1" s="1"/>
  <c r="AO13" i="1" l="1"/>
  <c r="AO19" i="1" s="1"/>
  <c r="AO15" i="1" l="1"/>
  <c r="AO24" i="1"/>
  <c r="AP10" i="1" s="1"/>
  <c r="AP11" i="1"/>
  <c r="AP12" i="1" l="1"/>
  <c r="AP20" i="1" s="1"/>
  <c r="AP13" i="1" l="1"/>
  <c r="AQ13" i="1" l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AS25" i="1" s="1"/>
  <c r="AS27" i="1" s="1"/>
  <c r="AS28" i="1" s="1"/>
  <c r="AP15" i="1"/>
  <c r="AP19" i="1"/>
  <c r="AP24" i="1"/>
</calcChain>
</file>

<file path=xl/comments1.xml><?xml version="1.0" encoding="utf-8"?>
<comments xmlns="http://schemas.openxmlformats.org/spreadsheetml/2006/main">
  <authors>
    <author>ronald macmaster</author>
  </authors>
  <commentList>
    <comment ref="N12" authorId="0" shapeId="0">
      <text>
        <r>
          <rPr>
            <b/>
            <sz val="9"/>
            <color indexed="81"/>
            <rFont val="Tahoma"/>
            <family val="2"/>
          </rPr>
          <t>ronald macmaster:</t>
        </r>
        <r>
          <rPr>
            <sz val="9"/>
            <color indexed="81"/>
            <rFont val="Tahoma"/>
            <family val="2"/>
          </rPr>
          <t xml:space="preserve">
what the hell happened here?
Tax benefit propping up profits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ronald macmaster:</t>
        </r>
        <r>
          <rPr>
            <sz val="9"/>
            <color indexed="81"/>
            <rFont val="Tahoma"/>
            <family val="2"/>
          </rPr>
          <t xml:space="preserve">
DOWN 2% adjusting for currency
</t>
        </r>
      </text>
    </comment>
  </commentList>
</comments>
</file>

<file path=xl/sharedStrings.xml><?xml version="1.0" encoding="utf-8"?>
<sst xmlns="http://schemas.openxmlformats.org/spreadsheetml/2006/main" count="96" uniqueCount="91">
  <si>
    <t>P</t>
  </si>
  <si>
    <t>MC</t>
  </si>
  <si>
    <t>S/O</t>
  </si>
  <si>
    <t>cash</t>
  </si>
  <si>
    <t>debt</t>
  </si>
  <si>
    <t>EV</t>
  </si>
  <si>
    <t>revenue</t>
  </si>
  <si>
    <t>Q115</t>
  </si>
  <si>
    <t>Q416</t>
  </si>
  <si>
    <t>Q316</t>
  </si>
  <si>
    <t>Q215</t>
  </si>
  <si>
    <t>Q315</t>
  </si>
  <si>
    <t>Q415</t>
  </si>
  <si>
    <t>Q116</t>
  </si>
  <si>
    <t>Q216</t>
  </si>
  <si>
    <t>gross margin</t>
  </si>
  <si>
    <t>cost goods</t>
  </si>
  <si>
    <t>R&amp;D</t>
  </si>
  <si>
    <t>gross profit</t>
  </si>
  <si>
    <t>SG&amp;A</t>
  </si>
  <si>
    <t>operating margin</t>
  </si>
  <si>
    <t>interest</t>
  </si>
  <si>
    <t>net profit</t>
  </si>
  <si>
    <t>taxes</t>
  </si>
  <si>
    <t>net income</t>
  </si>
  <si>
    <t>net margin</t>
  </si>
  <si>
    <t>tax rate</t>
  </si>
  <si>
    <t>shares</t>
  </si>
  <si>
    <t>eps</t>
  </si>
  <si>
    <t>Q414</t>
  </si>
  <si>
    <t>revenue y/y</t>
  </si>
  <si>
    <t>Balance Sheet</t>
  </si>
  <si>
    <t>Income Statement</t>
  </si>
  <si>
    <t>Cash</t>
  </si>
  <si>
    <t>A/R</t>
  </si>
  <si>
    <t>Inventories</t>
  </si>
  <si>
    <t>Vendor NTR</t>
  </si>
  <si>
    <t>OCA</t>
  </si>
  <si>
    <t>PP&amp;E</t>
  </si>
  <si>
    <t>Goodwill+Intangibles</t>
  </si>
  <si>
    <t>ONCA</t>
  </si>
  <si>
    <t>Assets</t>
  </si>
  <si>
    <t>A/P</t>
  </si>
  <si>
    <t>A/E</t>
  </si>
  <si>
    <t>D/R</t>
  </si>
  <si>
    <t>Debt</t>
  </si>
  <si>
    <t>ONCL</t>
  </si>
  <si>
    <t>Liabilities</t>
  </si>
  <si>
    <t>S/E</t>
  </si>
  <si>
    <t>L+S/E</t>
  </si>
  <si>
    <t>Q114</t>
  </si>
  <si>
    <t>Q214</t>
  </si>
  <si>
    <t>Q314</t>
  </si>
  <si>
    <t>npv</t>
  </si>
  <si>
    <t>FORCAST:</t>
  </si>
  <si>
    <t>net cash</t>
  </si>
  <si>
    <t>total val</t>
  </si>
  <si>
    <t>per share</t>
  </si>
  <si>
    <t>curr price</t>
  </si>
  <si>
    <t>Maturity Rate</t>
  </si>
  <si>
    <t>Netflix</t>
  </si>
  <si>
    <t>Google</t>
  </si>
  <si>
    <t>Facebook</t>
  </si>
  <si>
    <t>AT&amp;T</t>
  </si>
  <si>
    <t>HP</t>
  </si>
  <si>
    <t>Microsoft</t>
  </si>
  <si>
    <t>DR</t>
  </si>
  <si>
    <t>TCK</t>
  </si>
  <si>
    <t>IBM</t>
  </si>
  <si>
    <t>services</t>
  </si>
  <si>
    <t>sales</t>
  </si>
  <si>
    <t>financing</t>
  </si>
  <si>
    <t>Other Q1 Gross Margins</t>
  </si>
  <si>
    <t>Q1 cost margins</t>
  </si>
  <si>
    <t>patent</t>
  </si>
  <si>
    <t>other</t>
  </si>
  <si>
    <t>other income</t>
  </si>
  <si>
    <t>operating expenses</t>
  </si>
  <si>
    <t>operating income (EBITDA)</t>
  </si>
  <si>
    <t>most values are in millions</t>
  </si>
  <si>
    <t>IBM's business is consulting and IT implementation,</t>
  </si>
  <si>
    <t>cloud and cognitive services,</t>
  </si>
  <si>
    <t>and enterprise systems and software.</t>
  </si>
  <si>
    <t>Discount Rate (equity)</t>
  </si>
  <si>
    <t>takeaway: IBM is not shrinking nearly as fast as one might think</t>
  </si>
  <si>
    <t>Their margin is influenced by USD/EUR, and EUR has been getting killed</t>
  </si>
  <si>
    <t>EV/E</t>
  </si>
  <si>
    <t>2016 Earnings</t>
  </si>
  <si>
    <t>Yeild</t>
  </si>
  <si>
    <t>IBM Bond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</si>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</sst>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8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4" fontId="0" fillId="0" borderId="0" xfId="0" applyNumberFormat="1"/>
    <xf numFmtId="9" fontId="0" fillId="0" borderId="0" xfId="0" applyNumberFormat="1"/>
    <xf numFmtId="0" fontId="0" fillId="0" borderId="0" xfId="0" applyNumberFormat="1"/>
    <xf numFmtId="0" fontId="16" fillId="0" borderId="0" xfId="0" applyFont="1"/>
    <xf numFmtId="0" fontId="0" fillId="0" borderId="0" xfId="0" applyFont="1"/>
    <xf numFmtId="3" fontId="16" fillId="0" borderId="0" xfId="0" applyNumberFormat="1" applyFont="1"/>
    <xf numFmtId="3" fontId="0" fillId="0" borderId="0" xfId="0" applyNumberFormat="1"/>
    <xf numFmtId="9" fontId="16" fillId="0" borderId="0" xfId="0" applyNumberFormat="1" applyFont="1"/>
    <xf numFmtId="8" fontId="0" fillId="34" borderId="10" xfId="0" applyNumberFormat="1" applyFill="1" applyBorder="1"/>
    <xf numFmtId="8" fontId="0" fillId="33" borderId="10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NumberFormat="1" applyBorder="1" applyAlignment="1">
      <alignment horizontal="right"/>
    </xf>
    <xf numFmtId="4" fontId="18" fillId="0" borderId="0" xfId="0" applyNumberFormat="1" applyFont="1"/>
    <xf numFmtId="10" fontId="0" fillId="0" borderId="0" xfId="0" applyNumberFormat="1"/>
    <xf numFmtId="10" fontId="0" fillId="0" borderId="0" xfId="0" applyNumberFormat="1" applyFont="1"/>
    <xf numFmtId="0" fontId="0" fillId="0" borderId="0" xfId="0" applyBorder="1"/>
    <xf numFmtId="3" fontId="0" fillId="0" borderId="0" xfId="0" applyNumberFormat="1" applyBorder="1"/>
    <xf numFmtId="3" fontId="0" fillId="0" borderId="0" xfId="0" applyNumberFormat="1" applyFont="1"/>
    <xf numFmtId="0" fontId="16" fillId="0" borderId="0" xfId="0" applyFont="1" applyFill="1" applyBorder="1"/>
    <xf numFmtId="3" fontId="16" fillId="0" borderId="0" xfId="0" applyNumberFormat="1" applyFont="1" applyBorder="1"/>
    <xf numFmtId="0" fontId="21" fillId="0" borderId="0" xfId="0" applyFont="1"/>
    <xf numFmtId="8" fontId="0" fillId="0" borderId="0" xfId="0" applyNumberFormat="1" applyBorder="1"/>
    <xf numFmtId="0" fontId="22" fillId="0" borderId="0" xfId="0" applyFont="1"/>
    <xf numFmtId="168" fontId="16" fillId="0" borderId="0" xfId="0" applyNumberFormat="1" applyFont="1"/>
    <xf numFmtId="168" fontId="0" fillId="0" borderId="0" xfId="0" applyNumberFormat="1"/>
    <xf numFmtId="9" fontId="23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9525</xdr:colOff>
      <xdr:row>45</xdr:row>
      <xdr:rowOff>152400</xdr:rowOff>
    </xdr:to>
    <xdr:cxnSp macro="">
      <xdr:nvCxnSpPr>
        <xdr:cNvPr id="5" name="Straight Connector 4"/>
        <xdr:cNvCxnSpPr/>
      </xdr:nvCxnSpPr>
      <xdr:spPr>
        <a:xfrm>
          <a:off x="9296400" y="0"/>
          <a:ext cx="9525" cy="853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9525</xdr:colOff>
      <xdr:row>45</xdr:row>
      <xdr:rowOff>152400</xdr:rowOff>
    </xdr:to>
    <xdr:cxnSp macro="">
      <xdr:nvCxnSpPr>
        <xdr:cNvPr id="3" name="Straight Connector 2"/>
        <xdr:cNvCxnSpPr/>
      </xdr:nvCxnSpPr>
      <xdr:spPr>
        <a:xfrm>
          <a:off x="7467600" y="0"/>
          <a:ext cx="9525" cy="853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0</xdr:row>
      <xdr:rowOff>0</xdr:rowOff>
    </xdr:from>
    <xdr:to>
      <xdr:col>25</xdr:col>
      <xdr:colOff>9525</xdr:colOff>
      <xdr:row>45</xdr:row>
      <xdr:rowOff>152400</xdr:rowOff>
    </xdr:to>
    <xdr:cxnSp macro="">
      <xdr:nvCxnSpPr>
        <xdr:cNvPr id="4" name="Straight Connector 3"/>
        <xdr:cNvCxnSpPr/>
      </xdr:nvCxnSpPr>
      <xdr:spPr>
        <a:xfrm>
          <a:off x="16611600" y="0"/>
          <a:ext cx="9525" cy="853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N44"/>
  <sheetViews>
    <sheetView tabSelected="1" workbookViewId="0">
      <selection activeCell="AS22" sqref="AS22"/>
    </sheetView>
  </sheetViews>
  <sheetFormatPr defaultRowHeight="15" x14ac:dyDescent="0.25"/>
  <cols>
    <col min="1" max="1" width="16.28515625" customWidth="1"/>
    <col min="2" max="2" width="17.5703125" bestFit="1" customWidth="1"/>
    <col min="5" max="5" width="25" customWidth="1"/>
    <col min="6" max="8" width="9.140625" customWidth="1"/>
    <col min="9" max="9" width="10.5703125" customWidth="1"/>
    <col min="22" max="22" width="12.7109375" customWidth="1"/>
    <col min="44" max="44" width="12.5703125" customWidth="1"/>
    <col min="45" max="45" width="14.5703125" bestFit="1" customWidth="1"/>
  </cols>
  <sheetData>
    <row r="1" spans="1:118" x14ac:dyDescent="0.25">
      <c r="A1" s="21" t="s">
        <v>79</v>
      </c>
      <c r="E1" s="5" t="s">
        <v>32</v>
      </c>
      <c r="F1" s="5" t="s">
        <v>50</v>
      </c>
      <c r="G1" s="5" t="s">
        <v>51</v>
      </c>
      <c r="H1" s="5" t="s">
        <v>52</v>
      </c>
      <c r="I1" t="s">
        <v>29</v>
      </c>
      <c r="J1" t="s">
        <v>7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</v>
      </c>
      <c r="Q1" t="s">
        <v>8</v>
      </c>
      <c r="S1" s="4"/>
      <c r="T1" s="4" t="s">
        <v>54</v>
      </c>
      <c r="U1">
        <v>2011</v>
      </c>
      <c r="V1">
        <v>2012</v>
      </c>
      <c r="W1" s="5">
        <v>2013</v>
      </c>
      <c r="X1">
        <v>2014</v>
      </c>
      <c r="Y1">
        <v>2015</v>
      </c>
      <c r="Z1">
        <f>Y1+1</f>
        <v>2016</v>
      </c>
      <c r="AA1">
        <f t="shared" ref="AA1:AP1" si="0">Z1+1</f>
        <v>2017</v>
      </c>
      <c r="AB1">
        <f t="shared" si="0"/>
        <v>2018</v>
      </c>
      <c r="AC1">
        <f t="shared" si="0"/>
        <v>2019</v>
      </c>
      <c r="AD1">
        <f t="shared" si="0"/>
        <v>2020</v>
      </c>
      <c r="AE1">
        <f t="shared" si="0"/>
        <v>2021</v>
      </c>
      <c r="AF1">
        <f t="shared" si="0"/>
        <v>2022</v>
      </c>
      <c r="AG1">
        <f t="shared" si="0"/>
        <v>2023</v>
      </c>
      <c r="AH1">
        <f t="shared" si="0"/>
        <v>2024</v>
      </c>
      <c r="AI1">
        <f t="shared" si="0"/>
        <v>2025</v>
      </c>
      <c r="AJ1">
        <f t="shared" si="0"/>
        <v>2026</v>
      </c>
      <c r="AK1">
        <f>AJ1+1</f>
        <v>2027</v>
      </c>
      <c r="AL1">
        <f t="shared" si="0"/>
        <v>2028</v>
      </c>
      <c r="AM1">
        <f t="shared" si="0"/>
        <v>2029</v>
      </c>
      <c r="AN1">
        <f t="shared" si="0"/>
        <v>2030</v>
      </c>
      <c r="AO1">
        <f>AN1+1</f>
        <v>2031</v>
      </c>
      <c r="AP1">
        <f t="shared" si="0"/>
        <v>2032</v>
      </c>
    </row>
    <row r="2" spans="1:118" s="4" customFormat="1" x14ac:dyDescent="0.25">
      <c r="A2" t="s">
        <v>67</v>
      </c>
      <c r="B2" s="12" t="s">
        <v>68</v>
      </c>
      <c r="E2" s="4" t="s">
        <v>6</v>
      </c>
      <c r="F2" s="4">
        <v>22236</v>
      </c>
      <c r="G2" s="4">
        <v>24047</v>
      </c>
      <c r="H2" s="4">
        <v>22397</v>
      </c>
      <c r="I2" s="4">
        <f>92793-H2-G2-F2</f>
        <v>24113</v>
      </c>
      <c r="J2" s="4">
        <v>19590</v>
      </c>
      <c r="K2" s="4">
        <v>20813</v>
      </c>
      <c r="L2" s="6">
        <v>19280</v>
      </c>
      <c r="M2" s="6">
        <f>81741-L2-K2-J2</f>
        <v>22058</v>
      </c>
      <c r="N2" s="4">
        <v>18684</v>
      </c>
      <c r="O2" s="4">
        <f>K2*0.95</f>
        <v>19772.349999999999</v>
      </c>
      <c r="P2" s="4">
        <f>L2*0.95</f>
        <v>18316</v>
      </c>
      <c r="Q2" s="4">
        <f>M2*0.95</f>
        <v>20955.099999999999</v>
      </c>
      <c r="S2"/>
      <c r="T2"/>
      <c r="U2" s="4">
        <v>106916</v>
      </c>
      <c r="V2" s="4">
        <v>104507</v>
      </c>
      <c r="W2" s="4">
        <v>98368</v>
      </c>
      <c r="X2" s="6">
        <f>SUM(F2:I2)</f>
        <v>92793</v>
      </c>
      <c r="Y2" s="6">
        <f>SUM(J2:M2)</f>
        <v>81741</v>
      </c>
      <c r="Z2" s="6">
        <f>Y2*(1+Z22)</f>
        <v>74384.31</v>
      </c>
      <c r="AA2" s="6">
        <f t="shared" ref="AA2:AP2" si="1">Z2*(1+AA22)</f>
        <v>68433.565199999997</v>
      </c>
      <c r="AB2" s="6">
        <f t="shared" si="1"/>
        <v>65011.886939999997</v>
      </c>
      <c r="AC2" s="6">
        <f t="shared" si="1"/>
        <v>61761.292592999991</v>
      </c>
      <c r="AD2" s="6">
        <f t="shared" si="1"/>
        <v>59290.840889279993</v>
      </c>
      <c r="AE2" s="6">
        <f t="shared" si="1"/>
        <v>56919.207253708788</v>
      </c>
      <c r="AF2" s="6">
        <f t="shared" si="1"/>
        <v>55211.631036097526</v>
      </c>
      <c r="AG2" s="6">
        <f t="shared" si="1"/>
        <v>53555.282105014601</v>
      </c>
      <c r="AH2" s="6">
        <f t="shared" si="1"/>
        <v>51948.623641864164</v>
      </c>
      <c r="AI2" s="6">
        <f t="shared" si="1"/>
        <v>50909.651169026882</v>
      </c>
      <c r="AJ2" s="6">
        <f t="shared" si="1"/>
        <v>49891.458145646342</v>
      </c>
      <c r="AK2" s="6">
        <f t="shared" si="1"/>
        <v>48893.628982733411</v>
      </c>
      <c r="AL2" s="6">
        <f t="shared" si="1"/>
        <v>48160.224547992409</v>
      </c>
      <c r="AM2" s="6">
        <f t="shared" si="1"/>
        <v>47437.821179772523</v>
      </c>
      <c r="AN2" s="6">
        <f t="shared" si="1"/>
        <v>46963.442967974799</v>
      </c>
      <c r="AO2" s="6">
        <f t="shared" si="1"/>
        <v>46728.625753134926</v>
      </c>
      <c r="AP2" s="6">
        <f t="shared" si="1"/>
        <v>46868.811630394324</v>
      </c>
    </row>
    <row r="3" spans="1:118" x14ac:dyDescent="0.25">
      <c r="A3" t="s">
        <v>0</v>
      </c>
      <c r="B3" s="22">
        <v>152.77000000000001</v>
      </c>
      <c r="E3" t="s">
        <v>16</v>
      </c>
      <c r="F3" s="7">
        <v>11608</v>
      </c>
      <c r="G3" s="7">
        <v>12003</v>
      </c>
      <c r="H3" s="7">
        <v>11523</v>
      </c>
      <c r="I3" s="7">
        <f>46386-H3-G3-F3</f>
        <v>11252</v>
      </c>
      <c r="J3" s="7">
        <v>10138</v>
      </c>
      <c r="K3" s="7">
        <v>10423</v>
      </c>
      <c r="L3" s="7">
        <v>9844</v>
      </c>
      <c r="M3" s="6">
        <f>41057-L3-K3-J3</f>
        <v>10652</v>
      </c>
      <c r="N3" s="7">
        <v>9999</v>
      </c>
      <c r="O3" s="7">
        <f>O2-O4</f>
        <v>10281.621999999999</v>
      </c>
      <c r="P3" s="7">
        <f>P2-P4</f>
        <v>9524.32</v>
      </c>
      <c r="Q3" s="7">
        <f>Q2-Q4</f>
        <v>10896.652</v>
      </c>
      <c r="X3" s="7">
        <f>SUM(F3:I3)</f>
        <v>46386</v>
      </c>
      <c r="Y3" s="7">
        <f>SUM(J3:M3)</f>
        <v>41057</v>
      </c>
      <c r="Z3">
        <f>Z2-Z4</f>
        <v>38679.841200000003</v>
      </c>
      <c r="AA3">
        <f>AA2-AA4</f>
        <v>35585.453904000002</v>
      </c>
      <c r="AB3">
        <f t="shared" ref="AB3:AP3" si="2">AB2-AB4</f>
        <v>33806.181208800001</v>
      </c>
      <c r="AC3">
        <f t="shared" si="2"/>
        <v>32115.872148359995</v>
      </c>
      <c r="AD3">
        <f t="shared" si="2"/>
        <v>30831.237262425599</v>
      </c>
      <c r="AE3">
        <f t="shared" si="2"/>
        <v>29597.987771928572</v>
      </c>
      <c r="AF3">
        <f t="shared" si="2"/>
        <v>28710.048138770715</v>
      </c>
      <c r="AG3">
        <f t="shared" si="2"/>
        <v>27848.746694607595</v>
      </c>
      <c r="AH3">
        <f t="shared" si="2"/>
        <v>27013.284293769368</v>
      </c>
      <c r="AI3">
        <f t="shared" si="2"/>
        <v>26473.018607893981</v>
      </c>
      <c r="AJ3">
        <f t="shared" si="2"/>
        <v>25943.558235736098</v>
      </c>
      <c r="AK3">
        <f t="shared" si="2"/>
        <v>25424.687071021373</v>
      </c>
      <c r="AL3">
        <f t="shared" si="2"/>
        <v>25043.316764956053</v>
      </c>
      <c r="AM3">
        <f t="shared" si="2"/>
        <v>24667.667013481714</v>
      </c>
      <c r="AN3">
        <f t="shared" si="2"/>
        <v>24420.990343346897</v>
      </c>
      <c r="AO3">
        <f t="shared" si="2"/>
        <v>24298.885391630163</v>
      </c>
      <c r="AP3">
        <f t="shared" si="2"/>
        <v>24371.782047805049</v>
      </c>
    </row>
    <row r="4" spans="1:118" x14ac:dyDescent="0.25">
      <c r="A4" s="4" t="s">
        <v>2</v>
      </c>
      <c r="B4" s="13">
        <v>959.96185200000002</v>
      </c>
      <c r="E4" t="s">
        <v>18</v>
      </c>
      <c r="F4" s="7">
        <f>F2-F3</f>
        <v>10628</v>
      </c>
      <c r="G4" s="7">
        <f>G2-G3</f>
        <v>12044</v>
      </c>
      <c r="H4" s="7">
        <f t="shared" ref="H4:J4" si="3">H2-H3</f>
        <v>10874</v>
      </c>
      <c r="I4" s="7">
        <f t="shared" si="3"/>
        <v>12861</v>
      </c>
      <c r="J4" s="7">
        <f t="shared" si="3"/>
        <v>9452</v>
      </c>
      <c r="K4" s="7">
        <f>K2-K3</f>
        <v>10390</v>
      </c>
      <c r="L4" s="7">
        <f>L2-L3</f>
        <v>9436</v>
      </c>
      <c r="M4" s="7">
        <f>M2-M3</f>
        <v>11406</v>
      </c>
      <c r="N4" s="7">
        <f>N2-N3</f>
        <v>8685</v>
      </c>
      <c r="O4" s="7">
        <f>O2*0.48</f>
        <v>9490.7279999999992</v>
      </c>
      <c r="P4" s="7">
        <f t="shared" ref="P4:Q4" si="4">P2*0.48</f>
        <v>8791.68</v>
      </c>
      <c r="Q4" s="7">
        <f t="shared" si="4"/>
        <v>10058.447999999999</v>
      </c>
      <c r="X4" s="7">
        <f>X2-X3</f>
        <v>46407</v>
      </c>
      <c r="Y4" s="7">
        <f>Y2-Y3</f>
        <v>40684</v>
      </c>
      <c r="Z4">
        <f>Z2*0.48</f>
        <v>35704.468799999995</v>
      </c>
      <c r="AA4">
        <f t="shared" ref="AA4:AP4" si="5">AA2*0.48</f>
        <v>32848.111295999995</v>
      </c>
      <c r="AB4">
        <f t="shared" si="5"/>
        <v>31205.705731199996</v>
      </c>
      <c r="AC4">
        <f t="shared" si="5"/>
        <v>29645.420444639996</v>
      </c>
      <c r="AD4">
        <f t="shared" si="5"/>
        <v>28459.603626854394</v>
      </c>
      <c r="AE4">
        <f t="shared" si="5"/>
        <v>27321.219481780216</v>
      </c>
      <c r="AF4">
        <f t="shared" si="5"/>
        <v>26501.582897326811</v>
      </c>
      <c r="AG4">
        <f t="shared" si="5"/>
        <v>25706.535410407007</v>
      </c>
      <c r="AH4">
        <f t="shared" si="5"/>
        <v>24935.339348094796</v>
      </c>
      <c r="AI4">
        <f t="shared" si="5"/>
        <v>24436.632561132901</v>
      </c>
      <c r="AJ4">
        <f t="shared" si="5"/>
        <v>23947.899909910244</v>
      </c>
      <c r="AK4">
        <f t="shared" si="5"/>
        <v>23468.941911712038</v>
      </c>
      <c r="AL4">
        <f t="shared" si="5"/>
        <v>23116.907783036357</v>
      </c>
      <c r="AM4">
        <f t="shared" si="5"/>
        <v>22770.154166290809</v>
      </c>
      <c r="AN4">
        <f t="shared" si="5"/>
        <v>22542.452624627902</v>
      </c>
      <c r="AO4">
        <f t="shared" si="5"/>
        <v>22429.740361504762</v>
      </c>
      <c r="AP4">
        <f t="shared" si="5"/>
        <v>22497.029582589275</v>
      </c>
    </row>
    <row r="5" spans="1:118" x14ac:dyDescent="0.25">
      <c r="A5" t="s">
        <v>1</v>
      </c>
      <c r="B5" s="11">
        <f>B3*B4</f>
        <v>146653.37213004002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18" x14ac:dyDescent="0.25">
      <c r="A6" t="s">
        <v>3</v>
      </c>
      <c r="B6" s="3">
        <f>14354+515</f>
        <v>14869</v>
      </c>
      <c r="E6" t="s">
        <v>19</v>
      </c>
      <c r="F6" s="7">
        <v>6272</v>
      </c>
      <c r="G6" s="7">
        <v>5593</v>
      </c>
      <c r="H6" s="7">
        <v>5281</v>
      </c>
      <c r="I6" s="7">
        <f>23180-H6-G6-F6</f>
        <v>6034</v>
      </c>
      <c r="J6" s="7">
        <v>5362</v>
      </c>
      <c r="K6" s="7">
        <v>5179</v>
      </c>
      <c r="L6" s="7">
        <v>4731</v>
      </c>
      <c r="M6" s="7">
        <f>20430-L6-K6-J6</f>
        <v>5158</v>
      </c>
      <c r="N6" s="7">
        <v>6012</v>
      </c>
      <c r="O6" s="7">
        <f>K6*0.99</f>
        <v>5127.21</v>
      </c>
      <c r="P6" s="7">
        <f>L6*0.99</f>
        <v>4683.6899999999996</v>
      </c>
      <c r="Q6" s="7">
        <f>M6*0.99</f>
        <v>5106.42</v>
      </c>
      <c r="X6" s="7">
        <f>SUM(F6:I6)</f>
        <v>23180</v>
      </c>
      <c r="Y6" s="7">
        <f>SUM(G6:J6)</f>
        <v>22270</v>
      </c>
      <c r="Z6" s="18">
        <f>Y6*(1+Z22)</f>
        <v>20265.7</v>
      </c>
      <c r="AA6" s="18">
        <f t="shared" ref="AA6:AP6" si="6">Z6*(1+AA22)</f>
        <v>18644.444000000003</v>
      </c>
      <c r="AB6" s="18">
        <f t="shared" si="6"/>
        <v>17712.221800000003</v>
      </c>
      <c r="AC6" s="18">
        <f t="shared" si="6"/>
        <v>16826.610710000001</v>
      </c>
      <c r="AD6" s="18">
        <f t="shared" si="6"/>
        <v>16153.5462816</v>
      </c>
      <c r="AE6" s="18">
        <f t="shared" si="6"/>
        <v>15507.404430335999</v>
      </c>
      <c r="AF6" s="18">
        <f t="shared" si="6"/>
        <v>15042.182297425918</v>
      </c>
      <c r="AG6" s="18">
        <f t="shared" si="6"/>
        <v>14590.916828503139</v>
      </c>
      <c r="AH6" s="18">
        <f t="shared" si="6"/>
        <v>14153.189323648045</v>
      </c>
      <c r="AI6" s="18">
        <f t="shared" si="6"/>
        <v>13870.125537175083</v>
      </c>
      <c r="AJ6" s="18">
        <f t="shared" si="6"/>
        <v>13592.72302643158</v>
      </c>
      <c r="AK6" s="18">
        <f t="shared" si="6"/>
        <v>13320.868565902949</v>
      </c>
      <c r="AL6" s="18">
        <f t="shared" si="6"/>
        <v>13121.055537414404</v>
      </c>
      <c r="AM6" s="18">
        <f t="shared" si="6"/>
        <v>12924.239704353187</v>
      </c>
      <c r="AN6" s="18">
        <f t="shared" si="6"/>
        <v>12794.997307309655</v>
      </c>
      <c r="AO6" s="18">
        <f t="shared" si="6"/>
        <v>12731.022320773107</v>
      </c>
      <c r="AP6" s="18">
        <f t="shared" si="6"/>
        <v>12769.215387735425</v>
      </c>
    </row>
    <row r="7" spans="1:118" x14ac:dyDescent="0.25">
      <c r="A7" t="s">
        <v>4</v>
      </c>
      <c r="B7" s="3">
        <f>34664</f>
        <v>34664</v>
      </c>
      <c r="E7" t="s">
        <v>17</v>
      </c>
      <c r="F7" s="7">
        <v>1402</v>
      </c>
      <c r="G7" s="7">
        <v>1361</v>
      </c>
      <c r="H7" s="7">
        <v>1354</v>
      </c>
      <c r="I7" s="7">
        <f>5437-H7-G7-F7</f>
        <v>1320</v>
      </c>
      <c r="J7" s="7">
        <v>1298</v>
      </c>
      <c r="K7" s="7">
        <v>1300</v>
      </c>
      <c r="L7" s="7">
        <v>1287</v>
      </c>
      <c r="M7" s="7">
        <f>5247-L7-K7-J7</f>
        <v>1362</v>
      </c>
      <c r="N7" s="7">
        <v>1458</v>
      </c>
      <c r="O7" s="7">
        <f>K7</f>
        <v>1300</v>
      </c>
      <c r="P7" s="7">
        <f>L7</f>
        <v>1287</v>
      </c>
      <c r="Q7" s="7">
        <f>M7</f>
        <v>1362</v>
      </c>
      <c r="S7" s="4"/>
      <c r="T7" s="4"/>
      <c r="U7" s="4"/>
      <c r="V7" s="4"/>
      <c r="W7" s="4"/>
      <c r="X7" s="7">
        <f>SUM(F7:I7)</f>
        <v>5437</v>
      </c>
      <c r="Y7" s="7">
        <f>SUM(G7:J7)</f>
        <v>5333</v>
      </c>
      <c r="Z7" s="18">
        <f>Y7*(1+Z22)</f>
        <v>4853.03</v>
      </c>
      <c r="AA7" s="18">
        <f t="shared" ref="AA7:AP7" si="7">Z7*(1+AA22)</f>
        <v>4464.7875999999997</v>
      </c>
      <c r="AB7" s="18">
        <f t="shared" si="7"/>
        <v>4241.5482199999997</v>
      </c>
      <c r="AC7" s="18">
        <f t="shared" si="7"/>
        <v>4029.4708089999995</v>
      </c>
      <c r="AD7" s="18">
        <f t="shared" si="7"/>
        <v>3868.2919766399991</v>
      </c>
      <c r="AE7" s="18">
        <f t="shared" si="7"/>
        <v>3713.5602975743991</v>
      </c>
      <c r="AF7" s="18">
        <f t="shared" si="7"/>
        <v>3602.1534886471673</v>
      </c>
      <c r="AG7" s="18">
        <f t="shared" si="7"/>
        <v>3494.0888839877521</v>
      </c>
      <c r="AH7" s="18">
        <f t="shared" si="7"/>
        <v>3389.2662174681195</v>
      </c>
      <c r="AI7" s="18">
        <f t="shared" si="7"/>
        <v>3321.4808931187572</v>
      </c>
      <c r="AJ7" s="18">
        <f t="shared" si="7"/>
        <v>3255.0512752563818</v>
      </c>
      <c r="AK7" s="18">
        <f t="shared" si="7"/>
        <v>3189.950249751254</v>
      </c>
      <c r="AL7" s="18">
        <f t="shared" si="7"/>
        <v>3142.1009960049851</v>
      </c>
      <c r="AM7" s="18">
        <f t="shared" si="7"/>
        <v>3094.9694810649103</v>
      </c>
      <c r="AN7" s="18">
        <f t="shared" si="7"/>
        <v>3064.0197862542614</v>
      </c>
      <c r="AO7" s="18">
        <f t="shared" si="7"/>
        <v>3048.69968732299</v>
      </c>
      <c r="AP7" s="18">
        <f t="shared" si="7"/>
        <v>3057.8457863849585</v>
      </c>
    </row>
    <row r="8" spans="1:118" s="4" customFormat="1" x14ac:dyDescent="0.25">
      <c r="A8" t="s">
        <v>5</v>
      </c>
      <c r="B8" s="1">
        <f>B5+B7-B6</f>
        <v>166448.37213004002</v>
      </c>
      <c r="E8" s="19" t="s">
        <v>77</v>
      </c>
      <c r="F8" s="20">
        <f>F6+F7</f>
        <v>7674</v>
      </c>
      <c r="G8" s="20">
        <f>G6+G7</f>
        <v>6954</v>
      </c>
      <c r="H8" s="20">
        <f t="shared" ref="H8" si="8">H6+H7</f>
        <v>6635</v>
      </c>
      <c r="I8" s="20">
        <f t="shared" ref="I8" si="9">I6+I7</f>
        <v>7354</v>
      </c>
      <c r="J8" s="20">
        <f t="shared" ref="J8" si="10">J6+J7</f>
        <v>6660</v>
      </c>
      <c r="K8" s="20">
        <f t="shared" ref="K8" si="11">K6+K7</f>
        <v>6479</v>
      </c>
      <c r="L8" s="20">
        <f>L6+L7</f>
        <v>6018</v>
      </c>
      <c r="M8" s="20">
        <f>M6+M7</f>
        <v>6520</v>
      </c>
      <c r="N8" s="20">
        <f>N6+N7</f>
        <v>7470</v>
      </c>
      <c r="O8" s="20">
        <f t="shared" ref="O8:Q8" si="12">O6+O7</f>
        <v>6427.21</v>
      </c>
      <c r="P8" s="20">
        <f t="shared" si="12"/>
        <v>5970.69</v>
      </c>
      <c r="Q8" s="20">
        <f t="shared" si="12"/>
        <v>6468.42</v>
      </c>
      <c r="S8"/>
      <c r="T8"/>
      <c r="U8"/>
      <c r="V8"/>
      <c r="W8"/>
      <c r="X8" s="6">
        <f>X6+X7</f>
        <v>28617</v>
      </c>
      <c r="Y8" s="6">
        <f>Y6+Y7</f>
        <v>27603</v>
      </c>
      <c r="Z8" s="6">
        <f t="shared" ref="Z8:AP8" si="13">Z6+Z7</f>
        <v>25118.73</v>
      </c>
      <c r="AA8" s="6">
        <f t="shared" si="13"/>
        <v>23109.231600000003</v>
      </c>
      <c r="AB8" s="6">
        <f t="shared" si="13"/>
        <v>21953.770020000004</v>
      </c>
      <c r="AC8" s="6">
        <f t="shared" si="13"/>
        <v>20856.081518999999</v>
      </c>
      <c r="AD8" s="6">
        <f t="shared" si="13"/>
        <v>20021.838258240001</v>
      </c>
      <c r="AE8" s="6">
        <f t="shared" si="13"/>
        <v>19220.964727910399</v>
      </c>
      <c r="AF8" s="6">
        <f t="shared" si="13"/>
        <v>18644.335786073083</v>
      </c>
      <c r="AG8" s="6">
        <f t="shared" si="13"/>
        <v>18085.005712490893</v>
      </c>
      <c r="AH8" s="6">
        <f t="shared" si="13"/>
        <v>17542.455541116164</v>
      </c>
      <c r="AI8" s="6">
        <f t="shared" si="13"/>
        <v>17191.606430293839</v>
      </c>
      <c r="AJ8" s="6">
        <f t="shared" si="13"/>
        <v>16847.774301687961</v>
      </c>
      <c r="AK8" s="6">
        <f t="shared" si="13"/>
        <v>16510.818815654202</v>
      </c>
      <c r="AL8" s="6">
        <f t="shared" si="13"/>
        <v>16263.156533419389</v>
      </c>
      <c r="AM8" s="6">
        <f t="shared" si="13"/>
        <v>16019.209185418098</v>
      </c>
      <c r="AN8" s="6">
        <f t="shared" si="13"/>
        <v>15859.017093563916</v>
      </c>
      <c r="AO8" s="6">
        <f t="shared" si="13"/>
        <v>15779.722008096098</v>
      </c>
      <c r="AP8" s="6">
        <f t="shared" si="13"/>
        <v>15827.061174120383</v>
      </c>
    </row>
    <row r="9" spans="1:118" x14ac:dyDescent="0.25">
      <c r="E9" s="4" t="s">
        <v>78</v>
      </c>
      <c r="F9" s="6">
        <f>F4-F8</f>
        <v>2954</v>
      </c>
      <c r="G9" s="6">
        <f>G4-G8</f>
        <v>5090</v>
      </c>
      <c r="H9" s="6">
        <f t="shared" ref="H9" si="14">H4-H8</f>
        <v>4239</v>
      </c>
      <c r="I9" s="6">
        <f t="shared" ref="I9" si="15">I4-I8</f>
        <v>5507</v>
      </c>
      <c r="J9" s="6">
        <f t="shared" ref="J9" si="16">J4-J8</f>
        <v>2792</v>
      </c>
      <c r="K9" s="6">
        <f t="shared" ref="K9:M9" si="17">K4-K8</f>
        <v>3911</v>
      </c>
      <c r="L9" s="6">
        <f t="shared" si="17"/>
        <v>3418</v>
      </c>
      <c r="M9" s="6">
        <f t="shared" si="17"/>
        <v>4886</v>
      </c>
      <c r="N9" s="6">
        <f>N4-N8</f>
        <v>1215</v>
      </c>
      <c r="O9" s="6">
        <f>O4-(O7+O6)</f>
        <v>3063.5179999999991</v>
      </c>
      <c r="P9" s="6">
        <f>P4-(P7+P6)</f>
        <v>2820.9900000000007</v>
      </c>
      <c r="Q9" s="6">
        <f>Q4-(Q7+Q6)</f>
        <v>3590.0279999999984</v>
      </c>
      <c r="S9" s="4"/>
      <c r="T9" s="4"/>
      <c r="U9" s="4"/>
      <c r="V9" s="4"/>
      <c r="W9" s="4"/>
      <c r="X9" s="6">
        <f>X4-X8</f>
        <v>17790</v>
      </c>
      <c r="Y9" s="6">
        <f>Y4-Y8</f>
        <v>13081</v>
      </c>
      <c r="Z9" s="6">
        <f>Z4-Z8</f>
        <v>10585.738799999996</v>
      </c>
      <c r="AA9" s="6">
        <f t="shared" ref="AA9:AP9" si="18">AA4-AA8</f>
        <v>9738.8796959999927</v>
      </c>
      <c r="AB9" s="6">
        <f>AB4-AB8</f>
        <v>9251.9357111999925</v>
      </c>
      <c r="AC9" s="6">
        <f t="shared" si="18"/>
        <v>8789.3389256399969</v>
      </c>
      <c r="AD9" s="6">
        <f t="shared" si="18"/>
        <v>8437.7653686143931</v>
      </c>
      <c r="AE9" s="6">
        <f t="shared" si="18"/>
        <v>8100.2547538698163</v>
      </c>
      <c r="AF9" s="6">
        <f t="shared" si="18"/>
        <v>7857.2471112537278</v>
      </c>
      <c r="AG9" s="6">
        <f t="shared" si="18"/>
        <v>7621.5296979161139</v>
      </c>
      <c r="AH9" s="6">
        <f t="shared" si="18"/>
        <v>7392.8838069786325</v>
      </c>
      <c r="AI9" s="6">
        <f t="shared" si="18"/>
        <v>7245.0261308390618</v>
      </c>
      <c r="AJ9" s="6">
        <f t="shared" si="18"/>
        <v>7100.1256082222826</v>
      </c>
      <c r="AK9" s="6">
        <f t="shared" si="18"/>
        <v>6958.1230960578359</v>
      </c>
      <c r="AL9" s="6">
        <f t="shared" si="18"/>
        <v>6853.7512496169675</v>
      </c>
      <c r="AM9" s="6">
        <f t="shared" si="18"/>
        <v>6750.9449808727113</v>
      </c>
      <c r="AN9" s="6">
        <f t="shared" si="18"/>
        <v>6683.4355310639858</v>
      </c>
      <c r="AO9" s="6">
        <f t="shared" si="18"/>
        <v>6650.0183534086646</v>
      </c>
      <c r="AP9" s="6">
        <f t="shared" si="18"/>
        <v>6669.9684084688924</v>
      </c>
    </row>
    <row r="10" spans="1:118" s="4" customFormat="1" x14ac:dyDescent="0.25">
      <c r="A10" t="s">
        <v>80</v>
      </c>
      <c r="E10" s="16" t="s">
        <v>76</v>
      </c>
      <c r="F10" s="17">
        <f>207+127-105</f>
        <v>229</v>
      </c>
      <c r="G10" s="17">
        <f>191+202-136</f>
        <v>257</v>
      </c>
      <c r="H10" s="17">
        <f>145+103-126</f>
        <v>122</v>
      </c>
      <c r="I10" s="17">
        <f>(742+1938-484)-H10-G10-F10</f>
        <v>1588</v>
      </c>
      <c r="J10" s="17">
        <f>173+143-108</f>
        <v>208</v>
      </c>
      <c r="K10" s="17">
        <f>128+301-115</f>
        <v>314</v>
      </c>
      <c r="L10" s="17">
        <f>188+133-117</f>
        <v>204</v>
      </c>
      <c r="M10" s="17">
        <f>(682+724-468)-L10-K10-J10</f>
        <v>212</v>
      </c>
      <c r="N10" s="17">
        <f>217-253-147</f>
        <v>-183</v>
      </c>
      <c r="O10" s="17">
        <v>200</v>
      </c>
      <c r="P10" s="17">
        <v>200</v>
      </c>
      <c r="Q10" s="17">
        <v>200</v>
      </c>
      <c r="S10"/>
      <c r="T10"/>
      <c r="U10"/>
      <c r="V10"/>
      <c r="W10"/>
      <c r="X10" s="18">
        <f>SUM(F10:I10)</f>
        <v>2196</v>
      </c>
      <c r="Y10" s="18">
        <f>SUM(J10:M10)</f>
        <v>938</v>
      </c>
      <c r="Z10" s="7">
        <v>700</v>
      </c>
      <c r="AA10" s="7">
        <v>800</v>
      </c>
      <c r="AB10" s="7">
        <f t="shared" ref="AA10:AP10" si="19">1000+AA24*$AS$22</f>
        <v>836.52863577599919</v>
      </c>
      <c r="AC10" s="7">
        <f t="shared" si="19"/>
        <v>1401.4826392066548</v>
      </c>
      <c r="AD10" s="7">
        <f t="shared" si="19"/>
        <v>1972.1686468380674</v>
      </c>
      <c r="AE10" s="7">
        <f t="shared" si="19"/>
        <v>2555.1249517034053</v>
      </c>
      <c r="AF10" s="7">
        <f t="shared" si="19"/>
        <v>3151.8262152155057</v>
      </c>
      <c r="AG10" s="7">
        <f t="shared" si="19"/>
        <v>3768.3343214977831</v>
      </c>
      <c r="AH10" s="7">
        <f t="shared" si="19"/>
        <v>4406.1667065849615</v>
      </c>
      <c r="AI10" s="7">
        <f t="shared" si="19"/>
        <v>5066.9135353445236</v>
      </c>
      <c r="AJ10" s="7">
        <f t="shared" si="19"/>
        <v>5756.3821566508041</v>
      </c>
      <c r="AK10" s="7">
        <f t="shared" si="19"/>
        <v>6476.346591483697</v>
      </c>
      <c r="AL10" s="7">
        <f t="shared" si="19"/>
        <v>7228.6768939860231</v>
      </c>
      <c r="AM10" s="7">
        <f t="shared" si="19"/>
        <v>8017.2928700277907</v>
      </c>
      <c r="AN10" s="7">
        <f t="shared" si="19"/>
        <v>8844.3141896782181</v>
      </c>
      <c r="AO10" s="7">
        <f t="shared" si="19"/>
        <v>9713.8681740397824</v>
      </c>
      <c r="AP10" s="7">
        <f t="shared" si="19"/>
        <v>10630.245819576894</v>
      </c>
    </row>
    <row r="11" spans="1:118" x14ac:dyDescent="0.25">
      <c r="A11" s="5" t="s">
        <v>81</v>
      </c>
      <c r="E11" s="4" t="s">
        <v>22</v>
      </c>
      <c r="F11" s="6">
        <f>F9+F10</f>
        <v>3183</v>
      </c>
      <c r="G11" s="6">
        <f>G9+G10</f>
        <v>5347</v>
      </c>
      <c r="H11" s="6">
        <f t="shared" ref="H11" si="20">H9+H10</f>
        <v>4361</v>
      </c>
      <c r="I11" s="6">
        <f t="shared" ref="I11" si="21">I9+I10</f>
        <v>7095</v>
      </c>
      <c r="J11" s="6">
        <f t="shared" ref="J11" si="22">J9+J10</f>
        <v>3000</v>
      </c>
      <c r="K11" s="6">
        <f t="shared" ref="K11:M11" si="23">K9+K10</f>
        <v>4225</v>
      </c>
      <c r="L11" s="6">
        <f t="shared" si="23"/>
        <v>3622</v>
      </c>
      <c r="M11" s="6">
        <f t="shared" si="23"/>
        <v>5098</v>
      </c>
      <c r="N11" s="6">
        <f>N9+N10</f>
        <v>1032</v>
      </c>
      <c r="O11" s="6">
        <f t="shared" ref="O11:Q11" si="24">O9+O10</f>
        <v>3263.5179999999991</v>
      </c>
      <c r="P11" s="6">
        <f t="shared" si="24"/>
        <v>3020.9900000000007</v>
      </c>
      <c r="Q11" s="6">
        <f t="shared" si="24"/>
        <v>3790.0279999999984</v>
      </c>
      <c r="S11" s="4"/>
      <c r="T11" s="4"/>
      <c r="U11" s="4"/>
      <c r="V11" s="4"/>
      <c r="W11" s="4"/>
      <c r="X11" s="6">
        <f>X9+X10</f>
        <v>19986</v>
      </c>
      <c r="Y11" s="6">
        <f>Y9+Y10</f>
        <v>14019</v>
      </c>
      <c r="Z11" s="6">
        <f t="shared" ref="Z11:AP11" si="25">Z9+Z10</f>
        <v>11285.738799999996</v>
      </c>
      <c r="AA11" s="6">
        <f t="shared" si="25"/>
        <v>10538.879695999993</v>
      </c>
      <c r="AB11" s="6">
        <f t="shared" si="25"/>
        <v>10088.464346975992</v>
      </c>
      <c r="AC11" s="6">
        <f t="shared" si="25"/>
        <v>10190.821564846652</v>
      </c>
      <c r="AD11" s="6">
        <f t="shared" si="25"/>
        <v>10409.93401545246</v>
      </c>
      <c r="AE11" s="6">
        <f t="shared" si="25"/>
        <v>10655.379705573221</v>
      </c>
      <c r="AF11" s="6">
        <f t="shared" si="25"/>
        <v>11009.073326469234</v>
      </c>
      <c r="AG11" s="6">
        <f t="shared" si="25"/>
        <v>11389.864019413897</v>
      </c>
      <c r="AH11" s="6">
        <f t="shared" si="25"/>
        <v>11799.050513563594</v>
      </c>
      <c r="AI11" s="6">
        <f t="shared" si="25"/>
        <v>12311.939666183585</v>
      </c>
      <c r="AJ11" s="6">
        <f t="shared" si="25"/>
        <v>12856.507764873088</v>
      </c>
      <c r="AK11" s="6">
        <f t="shared" si="25"/>
        <v>13434.469687541532</v>
      </c>
      <c r="AL11" s="6">
        <f t="shared" si="25"/>
        <v>14082.428143602991</v>
      </c>
      <c r="AM11" s="6">
        <f t="shared" si="25"/>
        <v>14768.237850900503</v>
      </c>
      <c r="AN11" s="6">
        <f t="shared" si="25"/>
        <v>15527.749720742204</v>
      </c>
      <c r="AO11" s="6">
        <f t="shared" si="25"/>
        <v>16363.886527448447</v>
      </c>
      <c r="AP11" s="6">
        <f t="shared" si="25"/>
        <v>17300.214228045785</v>
      </c>
    </row>
    <row r="12" spans="1:118" s="4" customFormat="1" x14ac:dyDescent="0.25">
      <c r="A12" s="5" t="s">
        <v>82</v>
      </c>
      <c r="E12" t="s">
        <v>23</v>
      </c>
      <c r="F12" s="5">
        <v>653</v>
      </c>
      <c r="G12" s="5">
        <v>1096</v>
      </c>
      <c r="H12" s="5">
        <f>906</f>
        <v>906</v>
      </c>
      <c r="I12" s="5">
        <f>4234-H12-G12-F12</f>
        <v>1579</v>
      </c>
      <c r="J12" s="5">
        <v>585</v>
      </c>
      <c r="K12" s="5">
        <f>698</f>
        <v>698</v>
      </c>
      <c r="L12" s="7">
        <f>659</f>
        <v>659</v>
      </c>
      <c r="M12" s="18">
        <f>2581-L12-K12-J12</f>
        <v>639</v>
      </c>
      <c r="N12" s="21">
        <v>-983</v>
      </c>
      <c r="O12" s="5">
        <f>0.2*O11</f>
        <v>652.70359999999982</v>
      </c>
      <c r="P12" s="5">
        <f t="shared" ref="P12:Q12" si="26">0.2*P11</f>
        <v>604.19800000000021</v>
      </c>
      <c r="Q12" s="5">
        <f t="shared" si="26"/>
        <v>758.00559999999973</v>
      </c>
      <c r="S12"/>
      <c r="T12"/>
      <c r="U12"/>
      <c r="V12"/>
      <c r="W12"/>
      <c r="X12" s="7">
        <f>SUM(F12:I12)</f>
        <v>4234</v>
      </c>
      <c r="Y12" s="7">
        <f>SUM(J12:M12)</f>
        <v>2581</v>
      </c>
      <c r="Z12">
        <f>0.2*Z11</f>
        <v>2257.1477599999994</v>
      </c>
      <c r="AA12">
        <f>0.2*AA11</f>
        <v>2107.7759391999984</v>
      </c>
      <c r="AB12">
        <f t="shared" ref="AA12:AP12" si="27">AB11*0.2</f>
        <v>2017.6928693951986</v>
      </c>
      <c r="AC12">
        <f t="shared" si="27"/>
        <v>2038.1643129693305</v>
      </c>
      <c r="AD12">
        <f t="shared" si="27"/>
        <v>2081.9868030904922</v>
      </c>
      <c r="AE12">
        <f t="shared" si="27"/>
        <v>2131.0759411146441</v>
      </c>
      <c r="AF12">
        <f t="shared" si="27"/>
        <v>2201.8146652938467</v>
      </c>
      <c r="AG12">
        <f t="shared" si="27"/>
        <v>2277.9728038827793</v>
      </c>
      <c r="AH12">
        <f t="shared" si="27"/>
        <v>2359.8101027127191</v>
      </c>
      <c r="AI12">
        <f t="shared" si="27"/>
        <v>2462.3879332367173</v>
      </c>
      <c r="AJ12">
        <f t="shared" si="27"/>
        <v>2571.3015529746176</v>
      </c>
      <c r="AK12">
        <f t="shared" si="27"/>
        <v>2686.8939375083064</v>
      </c>
      <c r="AL12">
        <f t="shared" si="27"/>
        <v>2816.4856287205985</v>
      </c>
      <c r="AM12">
        <f t="shared" si="27"/>
        <v>2953.647570180101</v>
      </c>
      <c r="AN12">
        <f t="shared" si="27"/>
        <v>3105.5499441484408</v>
      </c>
      <c r="AO12">
        <f t="shared" si="27"/>
        <v>3272.7773054896898</v>
      </c>
      <c r="AP12">
        <f t="shared" si="27"/>
        <v>3460.0428456091572</v>
      </c>
    </row>
    <row r="13" spans="1:118" x14ac:dyDescent="0.25">
      <c r="A13" s="4"/>
      <c r="E13" s="4" t="s">
        <v>24</v>
      </c>
      <c r="F13" s="6">
        <f>F11-F12</f>
        <v>2530</v>
      </c>
      <c r="G13" s="6">
        <f>G11-G12</f>
        <v>4251</v>
      </c>
      <c r="H13" s="6">
        <f t="shared" ref="H13:J13" si="28">H11-H12</f>
        <v>3455</v>
      </c>
      <c r="I13" s="6">
        <f t="shared" si="28"/>
        <v>5516</v>
      </c>
      <c r="J13" s="6">
        <f t="shared" si="28"/>
        <v>2415</v>
      </c>
      <c r="K13" s="6">
        <f t="shared" ref="K13" si="29">K11-K12</f>
        <v>3527</v>
      </c>
      <c r="L13" s="6">
        <f t="shared" ref="L13:M13" si="30">L11-L12</f>
        <v>2963</v>
      </c>
      <c r="M13" s="6">
        <f t="shared" si="30"/>
        <v>4459</v>
      </c>
      <c r="N13" s="6">
        <f t="shared" ref="N13" si="31">N11-N12</f>
        <v>2015</v>
      </c>
      <c r="O13" s="6">
        <f t="shared" ref="O13" si="32">O11-O12</f>
        <v>2610.8143999999993</v>
      </c>
      <c r="P13" s="6">
        <f t="shared" ref="P13" si="33">P11-P12</f>
        <v>2416.7920000000004</v>
      </c>
      <c r="Q13" s="6">
        <f t="shared" ref="Q13" si="34">Q11-Q12</f>
        <v>3032.0223999999989</v>
      </c>
      <c r="X13" s="6">
        <f>X11-X12</f>
        <v>15752</v>
      </c>
      <c r="Y13" s="6">
        <f>Y11-Y12</f>
        <v>11438</v>
      </c>
      <c r="Z13" s="6">
        <f>Z11-Z12</f>
        <v>9028.5910399999957</v>
      </c>
      <c r="AA13" s="6">
        <f t="shared" ref="AA13:AP13" si="35">AA11-AA12</f>
        <v>8431.1037567999938</v>
      </c>
      <c r="AB13" s="6">
        <f t="shared" si="35"/>
        <v>8070.7714775807935</v>
      </c>
      <c r="AC13" s="6">
        <f t="shared" si="35"/>
        <v>8152.6572518773219</v>
      </c>
      <c r="AD13" s="6">
        <f t="shared" si="35"/>
        <v>8327.9472123619671</v>
      </c>
      <c r="AE13" s="6">
        <f t="shared" si="35"/>
        <v>8524.3037644585766</v>
      </c>
      <c r="AF13" s="6">
        <f t="shared" si="35"/>
        <v>8807.2586611753868</v>
      </c>
      <c r="AG13" s="6">
        <f t="shared" si="35"/>
        <v>9111.8912155311173</v>
      </c>
      <c r="AH13" s="6">
        <f t="shared" si="35"/>
        <v>9439.2404108508745</v>
      </c>
      <c r="AI13" s="6">
        <f t="shared" si="35"/>
        <v>9849.5517329468676</v>
      </c>
      <c r="AJ13" s="6">
        <f t="shared" si="35"/>
        <v>10285.20621189847</v>
      </c>
      <c r="AK13" s="6">
        <f t="shared" si="35"/>
        <v>10747.575750033226</v>
      </c>
      <c r="AL13" s="6">
        <f t="shared" si="35"/>
        <v>11265.942514882392</v>
      </c>
      <c r="AM13" s="6">
        <f t="shared" si="35"/>
        <v>11814.590280720402</v>
      </c>
      <c r="AN13" s="6">
        <f t="shared" si="35"/>
        <v>12422.199776593763</v>
      </c>
      <c r="AO13" s="6">
        <f t="shared" si="35"/>
        <v>13091.109221958757</v>
      </c>
      <c r="AP13" s="6">
        <f t="shared" si="35"/>
        <v>13840.171382436627</v>
      </c>
      <c r="AQ13" s="6">
        <f>AP13*(1+$AS$23)</f>
        <v>13978.573096260994</v>
      </c>
      <c r="AR13" s="6">
        <f t="shared" ref="AR13:DC13" si="36">AQ13*(1+$AS$23)</f>
        <v>14118.358827223605</v>
      </c>
      <c r="AS13" s="6">
        <f t="shared" si="36"/>
        <v>14259.54241549584</v>
      </c>
      <c r="AT13" s="6">
        <f t="shared" si="36"/>
        <v>14402.137839650799</v>
      </c>
      <c r="AU13" s="6">
        <f t="shared" si="36"/>
        <v>14546.159218047307</v>
      </c>
      <c r="AV13" s="6">
        <f t="shared" si="36"/>
        <v>14691.62081022778</v>
      </c>
      <c r="AW13" s="6">
        <f t="shared" si="36"/>
        <v>14838.537018330058</v>
      </c>
      <c r="AX13" s="6">
        <f t="shared" si="36"/>
        <v>14986.92238851336</v>
      </c>
      <c r="AY13" s="6">
        <f t="shared" si="36"/>
        <v>15136.791612398494</v>
      </c>
      <c r="AZ13" s="6">
        <f t="shared" si="36"/>
        <v>15288.159528522479</v>
      </c>
      <c r="BA13" s="6">
        <f t="shared" si="36"/>
        <v>15441.041123807705</v>
      </c>
      <c r="BB13" s="6">
        <f t="shared" si="36"/>
        <v>15595.451535045782</v>
      </c>
      <c r="BC13" s="6">
        <f t="shared" si="36"/>
        <v>15751.406050396241</v>
      </c>
      <c r="BD13" s="6">
        <f t="shared" si="36"/>
        <v>15908.920110900204</v>
      </c>
      <c r="BE13" s="6">
        <f t="shared" si="36"/>
        <v>16068.009312009206</v>
      </c>
      <c r="BF13" s="6">
        <f t="shared" si="36"/>
        <v>16228.689405129298</v>
      </c>
      <c r="BG13" s="6">
        <f t="shared" si="36"/>
        <v>16390.976299180591</v>
      </c>
      <c r="BH13" s="6">
        <f t="shared" si="36"/>
        <v>16554.886062172398</v>
      </c>
      <c r="BI13" s="6">
        <f t="shared" si="36"/>
        <v>16720.434922794124</v>
      </c>
      <c r="BJ13" s="6">
        <f t="shared" si="36"/>
        <v>16887.639272022065</v>
      </c>
      <c r="BK13" s="6">
        <f t="shared" si="36"/>
        <v>17056.515664742285</v>
      </c>
      <c r="BL13" s="6">
        <f t="shared" si="36"/>
        <v>17227.080821389707</v>
      </c>
      <c r="BM13" s="6">
        <f t="shared" si="36"/>
        <v>17399.351629603603</v>
      </c>
      <c r="BN13" s="6">
        <f t="shared" si="36"/>
        <v>17573.345145899639</v>
      </c>
      <c r="BO13" s="6">
        <f t="shared" si="36"/>
        <v>17749.078597358635</v>
      </c>
      <c r="BP13" s="6">
        <f t="shared" si="36"/>
        <v>17926.569383332222</v>
      </c>
      <c r="BQ13" s="6">
        <f t="shared" si="36"/>
        <v>18105.835077165546</v>
      </c>
      <c r="BR13" s="6">
        <f t="shared" si="36"/>
        <v>18286.893427937201</v>
      </c>
      <c r="BS13" s="6">
        <f t="shared" si="36"/>
        <v>18469.762362216574</v>
      </c>
      <c r="BT13" s="6">
        <f t="shared" si="36"/>
        <v>18654.459985838741</v>
      </c>
      <c r="BU13" s="6">
        <f t="shared" si="36"/>
        <v>18841.00458569713</v>
      </c>
      <c r="BV13" s="6">
        <f t="shared" si="36"/>
        <v>19029.4146315541</v>
      </c>
      <c r="BW13" s="6">
        <f t="shared" si="36"/>
        <v>19219.70877786964</v>
      </c>
      <c r="BX13" s="6">
        <f t="shared" si="36"/>
        <v>19411.905865648336</v>
      </c>
      <c r="BY13" s="6">
        <f t="shared" si="36"/>
        <v>19606.02492430482</v>
      </c>
      <c r="BZ13" s="6">
        <f t="shared" si="36"/>
        <v>19802.085173547868</v>
      </c>
      <c r="CA13" s="6">
        <f t="shared" si="36"/>
        <v>20000.106025283349</v>
      </c>
      <c r="CB13" s="6">
        <f t="shared" si="36"/>
        <v>20200.107085536183</v>
      </c>
      <c r="CC13" s="6">
        <f t="shared" si="36"/>
        <v>20402.108156391547</v>
      </c>
      <c r="CD13" s="6">
        <f t="shared" si="36"/>
        <v>20606.129237955462</v>
      </c>
      <c r="CE13" s="6">
        <f t="shared" si="36"/>
        <v>20812.190530335018</v>
      </c>
      <c r="CF13" s="6">
        <f t="shared" si="36"/>
        <v>21020.312435638367</v>
      </c>
      <c r="CG13" s="6">
        <f t="shared" si="36"/>
        <v>21230.51555999475</v>
      </c>
      <c r="CH13" s="6">
        <f t="shared" si="36"/>
        <v>21442.820715594698</v>
      </c>
      <c r="CI13" s="6">
        <f t="shared" si="36"/>
        <v>21657.248922750645</v>
      </c>
      <c r="CJ13" s="6">
        <f t="shared" si="36"/>
        <v>21873.821411978151</v>
      </c>
      <c r="CK13" s="6">
        <f t="shared" si="36"/>
        <v>22092.559626097933</v>
      </c>
      <c r="CL13" s="6">
        <f t="shared" si="36"/>
        <v>22313.485222358911</v>
      </c>
      <c r="CM13" s="6">
        <f t="shared" si="36"/>
        <v>22536.620074582501</v>
      </c>
      <c r="CN13" s="6">
        <f t="shared" si="36"/>
        <v>22761.986275328327</v>
      </c>
      <c r="CO13" s="6">
        <f t="shared" si="36"/>
        <v>22989.60613808161</v>
      </c>
      <c r="CP13" s="6">
        <f t="shared" si="36"/>
        <v>23219.502199462426</v>
      </c>
      <c r="CQ13" s="6">
        <f t="shared" si="36"/>
        <v>23451.697221457049</v>
      </c>
      <c r="CR13" s="6">
        <f t="shared" si="36"/>
        <v>23686.214193671618</v>
      </c>
      <c r="CS13" s="6">
        <f t="shared" si="36"/>
        <v>23923.076335608333</v>
      </c>
      <c r="CT13" s="6">
        <f t="shared" si="36"/>
        <v>24162.307098964418</v>
      </c>
      <c r="CU13" s="6">
        <f t="shared" si="36"/>
        <v>24403.930169954063</v>
      </c>
      <c r="CV13" s="6">
        <f t="shared" si="36"/>
        <v>24647.969471653603</v>
      </c>
      <c r="CW13" s="6">
        <f t="shared" si="36"/>
        <v>24894.449166370141</v>
      </c>
      <c r="CX13" s="6">
        <f t="shared" si="36"/>
        <v>25143.393658033841</v>
      </c>
      <c r="CY13" s="6">
        <f t="shared" si="36"/>
        <v>25394.82759461418</v>
      </c>
      <c r="CZ13" s="6">
        <f t="shared" si="36"/>
        <v>25648.775870560323</v>
      </c>
      <c r="DA13" s="6">
        <f t="shared" si="36"/>
        <v>25905.263629265926</v>
      </c>
      <c r="DB13" s="6">
        <f t="shared" si="36"/>
        <v>26164.316265558587</v>
      </c>
      <c r="DC13" s="6">
        <f t="shared" si="36"/>
        <v>26425.959428214173</v>
      </c>
      <c r="DD13" s="6">
        <f t="shared" ref="DD13:DN13" si="37">DC13*(1+$AS$23)</f>
        <v>26690.219022496316</v>
      </c>
      <c r="DE13" s="6">
        <f t="shared" si="37"/>
        <v>26957.121212721278</v>
      </c>
      <c r="DF13" s="6">
        <f t="shared" si="37"/>
        <v>27226.69242484849</v>
      </c>
      <c r="DG13" s="6">
        <f t="shared" si="37"/>
        <v>27498.959349096975</v>
      </c>
      <c r="DH13" s="6">
        <f t="shared" si="37"/>
        <v>27773.948942587944</v>
      </c>
      <c r="DI13" s="6">
        <f t="shared" si="37"/>
        <v>28051.688432013823</v>
      </c>
      <c r="DJ13" s="6">
        <f t="shared" si="37"/>
        <v>28332.205316333962</v>
      </c>
      <c r="DK13" s="6">
        <f t="shared" si="37"/>
        <v>28615.527369497304</v>
      </c>
      <c r="DL13" s="6">
        <f t="shared" si="37"/>
        <v>28901.682643192278</v>
      </c>
      <c r="DM13" s="6">
        <f t="shared" si="37"/>
        <v>29190.6994696242</v>
      </c>
      <c r="DN13" s="6">
        <f t="shared" si="37"/>
        <v>29482.606464320441</v>
      </c>
    </row>
    <row r="14" spans="1:118" x14ac:dyDescent="0.25">
      <c r="B14" s="4"/>
      <c r="E14" t="s">
        <v>27</v>
      </c>
      <c r="F14" s="1">
        <v>1035.2</v>
      </c>
      <c r="G14" s="1">
        <v>999.6</v>
      </c>
      <c r="H14" s="1">
        <v>991.8</v>
      </c>
      <c r="I14" s="1">
        <v>1004.2725840000001</v>
      </c>
      <c r="J14" s="1">
        <v>988.1</v>
      </c>
      <c r="K14" s="1">
        <v>982.3</v>
      </c>
      <c r="L14" s="1">
        <v>970.11012600000004</v>
      </c>
      <c r="M14" s="1">
        <v>978.74452299999996</v>
      </c>
      <c r="N14" s="1">
        <v>959.96185200000002</v>
      </c>
      <c r="O14" s="1">
        <f>0.97*J14</f>
        <v>958.45699999999999</v>
      </c>
      <c r="P14" s="1">
        <f>0.97*K14</f>
        <v>952.8309999999999</v>
      </c>
      <c r="Q14" s="1">
        <f>0.97*L14</f>
        <v>941.00682222</v>
      </c>
      <c r="X14" s="7">
        <f>AVERAGE(F14:I14)</f>
        <v>1007.7181460000002</v>
      </c>
      <c r="Y14">
        <f>AVERAGE(J14:M14)</f>
        <v>979.81366224999999</v>
      </c>
      <c r="Z14" s="7">
        <f>AVERAGE(N14:Q14)</f>
        <v>953.06416855499992</v>
      </c>
      <c r="AA14" s="7">
        <f>Z14*0.99</f>
        <v>943.53352686944993</v>
      </c>
      <c r="AB14" s="7">
        <f>AA14*0.995</f>
        <v>938.81585923510272</v>
      </c>
      <c r="AC14" s="7">
        <f t="shared" ref="AC14:AP14" si="38">AB14*0.995</f>
        <v>934.12177993892715</v>
      </c>
      <c r="AD14" s="7">
        <f t="shared" si="38"/>
        <v>929.45117103923246</v>
      </c>
      <c r="AE14" s="7">
        <f t="shared" si="38"/>
        <v>924.80391518403633</v>
      </c>
      <c r="AF14" s="7">
        <f t="shared" si="38"/>
        <v>920.17989560811611</v>
      </c>
      <c r="AG14" s="7">
        <f t="shared" si="38"/>
        <v>915.57899613007555</v>
      </c>
      <c r="AH14" s="7">
        <f t="shared" si="38"/>
        <v>911.00110114942515</v>
      </c>
      <c r="AI14" s="7">
        <f t="shared" si="38"/>
        <v>906.44609564367806</v>
      </c>
      <c r="AJ14" s="7">
        <f t="shared" si="38"/>
        <v>901.9138651654597</v>
      </c>
      <c r="AK14" s="7">
        <f t="shared" si="38"/>
        <v>897.40429583963237</v>
      </c>
      <c r="AL14" s="7">
        <f t="shared" si="38"/>
        <v>892.91727436043425</v>
      </c>
      <c r="AM14" s="7">
        <f t="shared" si="38"/>
        <v>888.45268798863208</v>
      </c>
      <c r="AN14" s="7">
        <f t="shared" si="38"/>
        <v>884.01042454868889</v>
      </c>
      <c r="AO14" s="7">
        <f t="shared" si="38"/>
        <v>879.59037242594547</v>
      </c>
      <c r="AP14" s="7">
        <f t="shared" si="38"/>
        <v>875.19242056381574</v>
      </c>
    </row>
    <row r="15" spans="1:118" x14ac:dyDescent="0.25">
      <c r="E15" s="5" t="s">
        <v>28</v>
      </c>
      <c r="F15" s="1">
        <f>F13/F14</f>
        <v>2.4439721792890263</v>
      </c>
      <c r="G15" s="1">
        <f>G13/G14</f>
        <v>4.252701080432173</v>
      </c>
      <c r="H15" s="1">
        <f t="shared" ref="H15" si="39">H13/H14</f>
        <v>3.4835652349263966</v>
      </c>
      <c r="I15" s="1">
        <f t="shared" ref="I15" si="40">I13/I14</f>
        <v>5.4925326926977025</v>
      </c>
      <c r="J15" s="1">
        <f t="shared" ref="J15" si="41">J13/J14</f>
        <v>2.4440846068211717</v>
      </c>
      <c r="K15" s="1">
        <f t="shared" ref="K15:M15" si="42">K13/K14</f>
        <v>3.5905527842817877</v>
      </c>
      <c r="L15" s="1">
        <f t="shared" si="42"/>
        <v>3.0542924154571702</v>
      </c>
      <c r="M15" s="1">
        <f t="shared" si="42"/>
        <v>4.5558364774624645</v>
      </c>
      <c r="N15" s="1">
        <f>N13/N14</f>
        <v>2.0990417440046358</v>
      </c>
      <c r="O15" s="1">
        <f t="shared" ref="O15:Q15" si="43">O13/O14</f>
        <v>2.7239765581554511</v>
      </c>
      <c r="P15" s="1">
        <f t="shared" si="43"/>
        <v>2.5364330085817954</v>
      </c>
      <c r="Q15" s="1">
        <f t="shared" si="43"/>
        <v>3.2221045888348891</v>
      </c>
      <c r="X15" s="1">
        <f>X13/X14</f>
        <v>15.631354920545409</v>
      </c>
      <c r="Y15" s="1">
        <f>Y13/Y14</f>
        <v>11.673648205449894</v>
      </c>
      <c r="Z15" s="1">
        <f>Z13/Z14</f>
        <v>9.4732247186344303</v>
      </c>
      <c r="AA15" s="1">
        <f t="shared" ref="AA15" si="44">AA13/AA14</f>
        <v>8.93566949843696</v>
      </c>
      <c r="AB15" s="1">
        <f t="shared" ref="AB15" si="45">AB13/AB14</f>
        <v>8.5967566463528104</v>
      </c>
      <c r="AC15" s="1">
        <f t="shared" ref="AC15" si="46">AC13/AC14</f>
        <v>8.7276171340425677</v>
      </c>
      <c r="AD15" s="1">
        <f t="shared" ref="AD15" si="47">AD13/AD14</f>
        <v>8.9600696323297679</v>
      </c>
      <c r="AE15" s="1">
        <f t="shared" ref="AE15" si="48">AE13/AE14</f>
        <v>9.2174174703426051</v>
      </c>
      <c r="AF15" s="1">
        <f t="shared" ref="AF15" si="49">AF13/AF14</f>
        <v>9.5712356933803306</v>
      </c>
      <c r="AG15" s="1">
        <f t="shared" ref="AG15" si="50">AG13/AG14</f>
        <v>9.9520535683374263</v>
      </c>
      <c r="AH15" s="1">
        <f t="shared" ref="AH15" si="51">AH13/AH14</f>
        <v>10.361392976299621</v>
      </c>
      <c r="AI15" s="1">
        <f t="shared" ref="AI15" si="52">AI13/AI14</f>
        <v>10.866119651552566</v>
      </c>
      <c r="AJ15" s="1">
        <f t="shared" ref="AJ15" si="53">AJ13/AJ14</f>
        <v>11.403756621494679</v>
      </c>
      <c r="AK15" s="1">
        <f t="shared" ref="AK15" si="54">AK13/AK14</f>
        <v>11.976291845112623</v>
      </c>
      <c r="AL15" s="1">
        <f t="shared" ref="AL15" si="55">AL13/AL14</f>
        <v>12.617005895592957</v>
      </c>
      <c r="AM15" s="1">
        <f t="shared" ref="AM15" si="56">AM13/AM14</f>
        <v>13.297939710743012</v>
      </c>
      <c r="AN15" s="1">
        <f t="shared" ref="AN15" si="57">AN13/AN14</f>
        <v>14.052096481707927</v>
      </c>
      <c r="AO15" s="1">
        <f t="shared" ref="AO15" si="58">AO13/AO14</f>
        <v>14.883188393539317</v>
      </c>
      <c r="AP15" s="1">
        <f t="shared" ref="AP15" si="59">AP13/AP14</f>
        <v>15.813861108989636</v>
      </c>
    </row>
    <row r="16" spans="1:118" x14ac:dyDescent="0.25">
      <c r="A16" t="s">
        <v>72</v>
      </c>
    </row>
    <row r="17" spans="1:48" x14ac:dyDescent="0.25">
      <c r="A17" t="s">
        <v>69</v>
      </c>
      <c r="B17" s="14">
        <f>1-8382/12391</f>
        <v>0.32354127996126225</v>
      </c>
      <c r="E17" t="s">
        <v>15</v>
      </c>
      <c r="F17" s="2">
        <f>F4/F2</f>
        <v>0.47796366252923189</v>
      </c>
      <c r="G17" s="2">
        <f>G4/G2</f>
        <v>0.50085249719299707</v>
      </c>
      <c r="H17" s="2">
        <f t="shared" ref="H17:J17" si="60">H4/H2</f>
        <v>0.48551145242666427</v>
      </c>
      <c r="I17" s="2">
        <f t="shared" si="60"/>
        <v>0.53336374569734168</v>
      </c>
      <c r="J17" s="2">
        <f t="shared" si="60"/>
        <v>0.48249106687085247</v>
      </c>
      <c r="K17" s="2">
        <f t="shared" ref="K17" si="61">K4/K2</f>
        <v>0.49920722625282277</v>
      </c>
      <c r="L17" s="2">
        <f t="shared" ref="L17:M17" si="62">L4/L2</f>
        <v>0.48941908713692944</v>
      </c>
      <c r="M17" s="2">
        <f t="shared" si="62"/>
        <v>0.51709130474204368</v>
      </c>
      <c r="N17" s="2">
        <f>N4/N2</f>
        <v>0.46483622350674375</v>
      </c>
      <c r="O17" s="2">
        <f>O4/O2</f>
        <v>0.48</v>
      </c>
      <c r="P17" s="2">
        <f>P4/P2</f>
        <v>0.48000000000000004</v>
      </c>
      <c r="Q17" s="2">
        <f>Q4/Q2</f>
        <v>0.48</v>
      </c>
      <c r="X17" s="2">
        <f>X4/X2</f>
        <v>0.50011315508712939</v>
      </c>
      <c r="Y17" s="2">
        <f>Y4/Y2</f>
        <v>0.4977184032492874</v>
      </c>
      <c r="Z17" s="2">
        <f>Z4/Z2</f>
        <v>0.47999999999999993</v>
      </c>
      <c r="AA17" s="2">
        <f>AA4/AA2</f>
        <v>0.47999999999999993</v>
      </c>
      <c r="AB17" s="2">
        <f>AB4/AB2</f>
        <v>0.48</v>
      </c>
      <c r="AC17" s="2">
        <f>AC4/AC2</f>
        <v>0.48</v>
      </c>
      <c r="AD17" s="2">
        <f>AD4/AD2</f>
        <v>0.48</v>
      </c>
      <c r="AE17" s="2">
        <f>AE4/AE2</f>
        <v>0.47999999999999993</v>
      </c>
      <c r="AF17" s="2">
        <f>AF4/AF2</f>
        <v>0.48</v>
      </c>
      <c r="AG17" s="2">
        <f>AG4/AG2</f>
        <v>0.48</v>
      </c>
      <c r="AH17" s="2">
        <f>AH4/AH2</f>
        <v>0.47999999999999993</v>
      </c>
      <c r="AI17" s="2">
        <f>AI4/AI2</f>
        <v>0.48</v>
      </c>
      <c r="AJ17" s="2">
        <f>AJ4/AJ2</f>
        <v>0.48</v>
      </c>
      <c r="AK17" s="2">
        <f>AK4/AK2</f>
        <v>0.48</v>
      </c>
      <c r="AL17" s="2">
        <f>AL4/AL2</f>
        <v>0.48</v>
      </c>
      <c r="AM17" s="2">
        <f>AM4/AM2</f>
        <v>0.48</v>
      </c>
      <c r="AN17" s="2">
        <f>AN4/AN2</f>
        <v>0.48</v>
      </c>
      <c r="AO17" s="2">
        <f>AO4/AO2</f>
        <v>0.48</v>
      </c>
      <c r="AP17" s="2">
        <f>AP4/AP2</f>
        <v>0.48</v>
      </c>
    </row>
    <row r="18" spans="1:48" x14ac:dyDescent="0.25">
      <c r="A18" t="s">
        <v>70</v>
      </c>
      <c r="B18" s="14">
        <f>1-1378/5879</f>
        <v>0.76560639564551791</v>
      </c>
      <c r="E18" t="s">
        <v>20</v>
      </c>
      <c r="F18" s="2">
        <f>F9/F2</f>
        <v>0.1328476344666307</v>
      </c>
      <c r="G18" s="2">
        <f>G9/G2</f>
        <v>0.21166881523682787</v>
      </c>
      <c r="H18" s="2">
        <f t="shared" ref="H18:J18" si="63">H9/H2</f>
        <v>0.18926641960976917</v>
      </c>
      <c r="I18" s="2">
        <f t="shared" si="63"/>
        <v>0.22838302990088333</v>
      </c>
      <c r="J18" s="2">
        <f t="shared" si="63"/>
        <v>0.1425216947422154</v>
      </c>
      <c r="K18" s="2">
        <f t="shared" ref="K18" si="64">K9/K2</f>
        <v>0.18791140152789121</v>
      </c>
      <c r="L18" s="2">
        <f t="shared" ref="L18:M18" si="65">L9/L2</f>
        <v>0.17728215767634856</v>
      </c>
      <c r="M18" s="2">
        <f t="shared" si="65"/>
        <v>0.22150693625895368</v>
      </c>
      <c r="N18" s="2">
        <f>N9/N2</f>
        <v>6.5028901734104042E-2</v>
      </c>
      <c r="O18" s="2">
        <f>O9/O2</f>
        <v>0.15493949884561012</v>
      </c>
      <c r="P18" s="2">
        <f>P9/P2</f>
        <v>0.1540177986459926</v>
      </c>
      <c r="Q18" s="2">
        <f>Q9/Q2</f>
        <v>0.17132001278924933</v>
      </c>
      <c r="X18" s="2">
        <f>X9/X2</f>
        <v>0.19171704762212666</v>
      </c>
      <c r="Y18" s="2">
        <f t="shared" ref="Y18:AP18" si="66">Y9/Y2</f>
        <v>0.16002985038108172</v>
      </c>
      <c r="Z18" s="2">
        <f t="shared" si="66"/>
        <v>0.14231144713179428</v>
      </c>
      <c r="AA18" s="2">
        <f t="shared" si="66"/>
        <v>0.14231144713179422</v>
      </c>
      <c r="AB18" s="2">
        <f t="shared" si="66"/>
        <v>0.14231144713179422</v>
      </c>
      <c r="AC18" s="2">
        <f t="shared" si="66"/>
        <v>0.14231144713179431</v>
      </c>
      <c r="AD18" s="2">
        <f t="shared" si="66"/>
        <v>0.14231144713179422</v>
      </c>
      <c r="AE18" s="2">
        <f t="shared" si="66"/>
        <v>0.14231144713179422</v>
      </c>
      <c r="AF18" s="2">
        <f t="shared" si="66"/>
        <v>0.14231144713179433</v>
      </c>
      <c r="AG18" s="2">
        <f t="shared" si="66"/>
        <v>0.14231144713179428</v>
      </c>
      <c r="AH18" s="2">
        <f t="shared" si="66"/>
        <v>0.14231144713179433</v>
      </c>
      <c r="AI18" s="2">
        <f t="shared" si="66"/>
        <v>0.14231144713179436</v>
      </c>
      <c r="AJ18" s="2">
        <f t="shared" si="66"/>
        <v>0.14231144713179442</v>
      </c>
      <c r="AK18" s="2">
        <f t="shared" si="66"/>
        <v>0.14231144713179439</v>
      </c>
      <c r="AL18" s="2">
        <f t="shared" si="66"/>
        <v>0.14231144713179439</v>
      </c>
      <c r="AM18" s="2">
        <f t="shared" si="66"/>
        <v>0.14231144713179433</v>
      </c>
      <c r="AN18" s="2">
        <f t="shared" si="66"/>
        <v>0.14231144713179436</v>
      </c>
      <c r="AO18" s="2">
        <f t="shared" si="66"/>
        <v>0.14231144713179433</v>
      </c>
      <c r="AP18" s="2">
        <f t="shared" si="66"/>
        <v>0.14231144713179439</v>
      </c>
    </row>
    <row r="19" spans="1:48" x14ac:dyDescent="0.25">
      <c r="A19" t="s">
        <v>71</v>
      </c>
      <c r="B19" s="14">
        <f>1-238/414</f>
        <v>0.4251207729468599</v>
      </c>
      <c r="E19" t="s">
        <v>25</v>
      </c>
      <c r="F19" s="2">
        <f>F13/F2</f>
        <v>0.11377945673682317</v>
      </c>
      <c r="G19" s="2">
        <f>G13/G2</f>
        <v>0.17677880816733896</v>
      </c>
      <c r="H19" s="2">
        <f t="shared" ref="H19:J19" si="67">H13/H2</f>
        <v>0.1542617314818949</v>
      </c>
      <c r="I19" s="2">
        <f t="shared" si="67"/>
        <v>0.22875627255007672</v>
      </c>
      <c r="J19" s="2">
        <f t="shared" si="67"/>
        <v>0.12327718223583461</v>
      </c>
      <c r="K19" s="2">
        <f t="shared" ref="K19" si="68">K13/K2</f>
        <v>0.16946139432085716</v>
      </c>
      <c r="L19" s="2">
        <f t="shared" ref="L19:M19" si="69">L13/L2</f>
        <v>0.15368257261410789</v>
      </c>
      <c r="M19" s="2">
        <f t="shared" si="69"/>
        <v>0.20214888022486172</v>
      </c>
      <c r="N19" s="2">
        <f>N13/N2</f>
        <v>0.10784628559195034</v>
      </c>
      <c r="O19" s="2">
        <f>O13/O2</f>
        <v>0.13204370750062586</v>
      </c>
      <c r="P19" s="2">
        <f>P13/P2</f>
        <v>0.13194977069229091</v>
      </c>
      <c r="Q19" s="2">
        <f>Q13/Q2</f>
        <v>0.14469138300461459</v>
      </c>
      <c r="X19" s="2">
        <f>X13/X2</f>
        <v>0.16975418404405504</v>
      </c>
      <c r="Y19" s="2">
        <f>Y13/Y2</f>
        <v>0.13992977820188154</v>
      </c>
      <c r="Z19" s="2">
        <f>Z13/Z2</f>
        <v>0.12137762708291569</v>
      </c>
      <c r="AA19" s="2">
        <f>AA13/AA2</f>
        <v>0.12320129357808168</v>
      </c>
      <c r="AB19" s="2">
        <f>AB13/AB2</f>
        <v>0.12414301226219406</v>
      </c>
      <c r="AC19" s="2">
        <f>AC13/AC2</f>
        <v>0.1320026979616897</v>
      </c>
      <c r="AD19" s="2">
        <f>AD13/AD2</f>
        <v>0.14045925285346544</v>
      </c>
      <c r="AE19" s="2">
        <f>AE13/AE2</f>
        <v>0.14976146323441888</v>
      </c>
      <c r="AF19" s="2">
        <f>AF13/AF2</f>
        <v>0.15951817571585913</v>
      </c>
      <c r="AG19" s="2">
        <f>AG13/AG2</f>
        <v>0.17013991631421047</v>
      </c>
      <c r="AH19" s="2">
        <f>AH13/AH2</f>
        <v>0.18170337824396207</v>
      </c>
      <c r="AI19" s="2">
        <f>AI13/AI2</f>
        <v>0.1934712084403217</v>
      </c>
      <c r="AJ19" s="2">
        <f>AJ13/AJ2</f>
        <v>0.20615164587639906</v>
      </c>
      <c r="AK19" s="2">
        <f>AK13/AK2</f>
        <v>0.219815464174866</v>
      </c>
      <c r="AL19" s="2">
        <f>AL13/AL2</f>
        <v>0.2339262871097228</v>
      </c>
      <c r="AM19" s="2">
        <f>AM13/AM2</f>
        <v>0.24905423535257434</v>
      </c>
      <c r="AN19" s="2">
        <f>AN13/AN2</f>
        <v>0.26450785955077188</v>
      </c>
      <c r="AO19" s="2">
        <f>AO13/AO2</f>
        <v>0.2801518129618974</v>
      </c>
      <c r="AP19" s="2">
        <f>AP13/AP2</f>
        <v>0.29529597403876368</v>
      </c>
    </row>
    <row r="20" spans="1:48" x14ac:dyDescent="0.25">
      <c r="E20" t="s">
        <v>26</v>
      </c>
      <c r="F20" s="2">
        <f>F12/F11</f>
        <v>0.20515237197612315</v>
      </c>
      <c r="G20" s="2">
        <f>G12/G11</f>
        <v>0.20497475219749392</v>
      </c>
      <c r="H20" s="2">
        <f t="shared" ref="H20:J20" si="70">H12/H11</f>
        <v>0.20775051593671176</v>
      </c>
      <c r="I20" s="2">
        <f t="shared" si="70"/>
        <v>0.22255109231853418</v>
      </c>
      <c r="J20" s="2">
        <f t="shared" si="70"/>
        <v>0.19500000000000001</v>
      </c>
      <c r="K20" s="2">
        <f t="shared" ref="K20" si="71">K12/K11</f>
        <v>0.16520710059171598</v>
      </c>
      <c r="L20" s="2">
        <f t="shared" ref="L20:M20" si="72">L12/L11</f>
        <v>0.18194367752622861</v>
      </c>
      <c r="M20" s="2">
        <f t="shared" si="72"/>
        <v>0.12534327187132208</v>
      </c>
      <c r="N20" s="2">
        <f t="shared" ref="N20:Q20" si="73">N12/N11</f>
        <v>-0.95251937984496127</v>
      </c>
      <c r="O20" s="2">
        <f t="shared" si="73"/>
        <v>0.2</v>
      </c>
      <c r="P20" s="2">
        <f t="shared" si="73"/>
        <v>0.2</v>
      </c>
      <c r="Q20" s="2">
        <f t="shared" si="73"/>
        <v>0.2</v>
      </c>
      <c r="S20" s="4"/>
      <c r="T20" s="4"/>
      <c r="U20" s="4"/>
      <c r="V20" s="4"/>
      <c r="W20" s="4"/>
      <c r="X20" s="2">
        <f t="shared" ref="X20:Y20" si="74">X12/X11</f>
        <v>0.21184829380566397</v>
      </c>
      <c r="Y20" s="2">
        <f t="shared" si="74"/>
        <v>0.18410728297310794</v>
      </c>
      <c r="Z20" s="2">
        <f t="shared" ref="Z20:AP20" si="75">Z12/Z11</f>
        <v>0.2</v>
      </c>
      <c r="AA20" s="2">
        <f t="shared" si="75"/>
        <v>0.19999999999999998</v>
      </c>
      <c r="AB20" s="2">
        <f t="shared" si="75"/>
        <v>0.2</v>
      </c>
      <c r="AC20" s="2">
        <f t="shared" si="75"/>
        <v>0.2</v>
      </c>
      <c r="AD20" s="2">
        <f t="shared" si="75"/>
        <v>0.20000000000000004</v>
      </c>
      <c r="AE20" s="2">
        <f t="shared" si="75"/>
        <v>0.19999999999999998</v>
      </c>
      <c r="AF20" s="2">
        <f t="shared" si="75"/>
        <v>0.2</v>
      </c>
      <c r="AG20" s="2">
        <f t="shared" si="75"/>
        <v>0.19999999999999998</v>
      </c>
      <c r="AH20" s="2">
        <f t="shared" si="75"/>
        <v>0.2</v>
      </c>
      <c r="AI20" s="2">
        <f t="shared" si="75"/>
        <v>0.2</v>
      </c>
      <c r="AJ20" s="2">
        <f t="shared" si="75"/>
        <v>0.2</v>
      </c>
      <c r="AK20" s="2">
        <f t="shared" si="75"/>
        <v>0.2</v>
      </c>
      <c r="AL20" s="2">
        <f t="shared" si="75"/>
        <v>0.20000000000000004</v>
      </c>
      <c r="AM20" s="2">
        <f t="shared" si="75"/>
        <v>0.2</v>
      </c>
      <c r="AN20" s="2">
        <f t="shared" si="75"/>
        <v>0.2</v>
      </c>
      <c r="AO20" s="2">
        <f t="shared" si="75"/>
        <v>0.2</v>
      </c>
      <c r="AP20" s="2">
        <f t="shared" si="75"/>
        <v>0.2</v>
      </c>
    </row>
    <row r="21" spans="1:48" s="4" customFormat="1" x14ac:dyDescent="0.25">
      <c r="A21" t="s">
        <v>73</v>
      </c>
      <c r="E21"/>
      <c r="F21"/>
      <c r="G21"/>
      <c r="H21"/>
      <c r="I21"/>
      <c r="J21"/>
      <c r="K21"/>
      <c r="L21"/>
      <c r="M21"/>
      <c r="N21"/>
      <c r="O21"/>
      <c r="P21"/>
      <c r="Q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</row>
    <row r="22" spans="1:48" x14ac:dyDescent="0.25">
      <c r="A22" s="5" t="s">
        <v>19</v>
      </c>
      <c r="B22" s="15">
        <f>6012/7652</f>
        <v>0.78567694720334558</v>
      </c>
      <c r="E22" s="4" t="s">
        <v>30</v>
      </c>
      <c r="F22" s="4"/>
      <c r="G22" s="4"/>
      <c r="H22" s="4"/>
      <c r="I22" s="4"/>
      <c r="J22" s="8">
        <f>J2/F2-1</f>
        <v>-0.11899622234214791</v>
      </c>
      <c r="K22" s="8">
        <f>K2/G2-1</f>
        <v>-0.13448663034890007</v>
      </c>
      <c r="L22" s="8">
        <f>L2/H2-1</f>
        <v>-0.13917042461043894</v>
      </c>
      <c r="M22" s="26">
        <f>M2/I2-1</f>
        <v>-8.5223738232488744E-2</v>
      </c>
      <c r="N22" s="8">
        <f>N2/J2-1</f>
        <v>-4.6248085758039847E-2</v>
      </c>
      <c r="O22" s="4"/>
      <c r="P22" s="4"/>
      <c r="Q22" s="4"/>
      <c r="T22" t="s">
        <v>30</v>
      </c>
      <c r="V22" s="24">
        <f>V2/U2-1</f>
        <v>-2.2531707134572976E-2</v>
      </c>
      <c r="W22" s="24">
        <f>W2/V2-1</f>
        <v>-5.8742476580516123E-2</v>
      </c>
      <c r="X22" s="24">
        <f>X2/W2-1</f>
        <v>-5.6674934938191313E-2</v>
      </c>
      <c r="Y22" s="24">
        <f>Y2/X2-1</f>
        <v>-0.119103811709935</v>
      </c>
      <c r="Z22" s="24">
        <v>-0.09</v>
      </c>
      <c r="AA22" s="24">
        <v>-0.08</v>
      </c>
      <c r="AB22" s="24">
        <v>-0.05</v>
      </c>
      <c r="AC22" s="24">
        <v>-0.05</v>
      </c>
      <c r="AD22" s="24">
        <v>-0.04</v>
      </c>
      <c r="AE22" s="24">
        <v>-0.04</v>
      </c>
      <c r="AF22" s="24">
        <v>-0.03</v>
      </c>
      <c r="AG22" s="24">
        <v>-0.03</v>
      </c>
      <c r="AH22" s="24">
        <v>-0.03</v>
      </c>
      <c r="AI22" s="24">
        <v>-0.02</v>
      </c>
      <c r="AJ22" s="24">
        <v>-0.02</v>
      </c>
      <c r="AK22" s="24">
        <v>-0.02</v>
      </c>
      <c r="AL22" s="24">
        <v>-1.4999999999999999E-2</v>
      </c>
      <c r="AM22" s="24">
        <v>-1.4999999999999999E-2</v>
      </c>
      <c r="AN22" s="24">
        <v>-0.01</v>
      </c>
      <c r="AO22" s="24">
        <v>-5.0000000000000001E-3</v>
      </c>
      <c r="AP22" s="24">
        <v>3.0000000000000001E-3</v>
      </c>
      <c r="AR22" t="s">
        <v>90</v>
      </c>
      <c r="AS22" s="25">
        <v>7.0000000000000007E-2</v>
      </c>
      <c r="AV22" t="s">
        <v>66</v>
      </c>
    </row>
    <row r="23" spans="1:48" x14ac:dyDescent="0.25">
      <c r="A23" s="5" t="s">
        <v>17</v>
      </c>
      <c r="B23" s="14">
        <f>1458/7652</f>
        <v>0.19053842132775745</v>
      </c>
      <c r="AR23" t="s">
        <v>59</v>
      </c>
      <c r="AS23" s="25">
        <v>0.01</v>
      </c>
      <c r="AU23" t="s">
        <v>60</v>
      </c>
      <c r="AV23" s="2">
        <v>0.1</v>
      </c>
    </row>
    <row r="24" spans="1:48" x14ac:dyDescent="0.25">
      <c r="A24" s="5" t="s">
        <v>74</v>
      </c>
      <c r="B24" s="14">
        <f>-217/7652</f>
        <v>-2.8358599059069525E-2</v>
      </c>
      <c r="E24" t="s">
        <v>31</v>
      </c>
      <c r="T24" t="s">
        <v>55</v>
      </c>
      <c r="Y24" s="7">
        <f>$AS$26</f>
        <v>-19795</v>
      </c>
      <c r="Z24" s="7">
        <f>Y24+Z13</f>
        <v>-10766.408960000004</v>
      </c>
      <c r="AA24" s="7">
        <f>Z24+AA13</f>
        <v>-2335.3052032000105</v>
      </c>
      <c r="AB24" s="7">
        <f t="shared" ref="AB24:AP24" si="76">AA24+AB13</f>
        <v>5735.466274380783</v>
      </c>
      <c r="AC24" s="7">
        <f t="shared" si="76"/>
        <v>13888.123526258105</v>
      </c>
      <c r="AD24" s="7">
        <f t="shared" si="76"/>
        <v>22216.070738620074</v>
      </c>
      <c r="AE24" s="7">
        <f t="shared" si="76"/>
        <v>30740.374503078652</v>
      </c>
      <c r="AF24" s="7">
        <f t="shared" si="76"/>
        <v>39547.633164254039</v>
      </c>
      <c r="AG24" s="7">
        <f t="shared" si="76"/>
        <v>48659.524379785158</v>
      </c>
      <c r="AH24" s="7">
        <f t="shared" si="76"/>
        <v>58098.764790636036</v>
      </c>
      <c r="AI24" s="7">
        <f t="shared" si="76"/>
        <v>67948.316523582907</v>
      </c>
      <c r="AJ24" s="7">
        <f t="shared" si="76"/>
        <v>78233.522735481383</v>
      </c>
      <c r="AK24" s="7">
        <f t="shared" si="76"/>
        <v>88981.098485514609</v>
      </c>
      <c r="AL24" s="7">
        <f t="shared" si="76"/>
        <v>100247.041000397</v>
      </c>
      <c r="AM24" s="7">
        <f t="shared" si="76"/>
        <v>112061.6312811174</v>
      </c>
      <c r="AN24" s="7">
        <f t="shared" si="76"/>
        <v>124483.83105771116</v>
      </c>
      <c r="AO24" s="7">
        <f t="shared" si="76"/>
        <v>137574.94027966991</v>
      </c>
      <c r="AP24" s="7">
        <f t="shared" si="76"/>
        <v>151415.11166210653</v>
      </c>
      <c r="AR24" s="4" t="s">
        <v>83</v>
      </c>
      <c r="AS24" s="24">
        <v>4.4999999999999998E-2</v>
      </c>
      <c r="AU24" t="s">
        <v>61</v>
      </c>
      <c r="AV24" s="2">
        <v>0.04</v>
      </c>
    </row>
    <row r="25" spans="1:48" x14ac:dyDescent="0.25">
      <c r="A25" s="5" t="s">
        <v>21</v>
      </c>
      <c r="B25" s="14">
        <f>147/7652</f>
        <v>1.9210663878724516E-2</v>
      </c>
      <c r="E25" t="s">
        <v>33</v>
      </c>
      <c r="H25">
        <f>13844+11233+130162</f>
        <v>155239</v>
      </c>
      <c r="J25">
        <f>14489+18607+160443</f>
        <v>193539</v>
      </c>
      <c r="K25">
        <f>15319+19384+168145</f>
        <v>202848</v>
      </c>
      <c r="L25">
        <f>21120+20481+164065</f>
        <v>205666</v>
      </c>
      <c r="M25">
        <f>16689+21385+177665</f>
        <v>215739</v>
      </c>
      <c r="AR25" t="s">
        <v>53</v>
      </c>
      <c r="AS25" s="7">
        <f>NPV(AS24, Z13:DN13)</f>
        <v>288713.89153392497</v>
      </c>
      <c r="AU25" t="s">
        <v>62</v>
      </c>
      <c r="AV25" s="2">
        <v>0.08</v>
      </c>
    </row>
    <row r="26" spans="1:48" x14ac:dyDescent="0.25">
      <c r="A26" s="5" t="s">
        <v>75</v>
      </c>
      <c r="B26" s="14">
        <f>253/7652</f>
        <v>3.3063251437532672E-2</v>
      </c>
      <c r="E26" t="s">
        <v>34</v>
      </c>
      <c r="H26">
        <v>17460</v>
      </c>
      <c r="J26">
        <f>10905</f>
        <v>10905</v>
      </c>
      <c r="K26">
        <f>10370</f>
        <v>10370</v>
      </c>
      <c r="L26">
        <v>16849</v>
      </c>
      <c r="M26">
        <f>12953</f>
        <v>12953</v>
      </c>
      <c r="AR26" t="s">
        <v>55</v>
      </c>
      <c r="AS26" s="7">
        <f>$B$6-$B$7</f>
        <v>-19795</v>
      </c>
      <c r="AU26" t="s">
        <v>63</v>
      </c>
      <c r="AV26" s="2">
        <v>0.05</v>
      </c>
    </row>
    <row r="27" spans="1:48" x14ac:dyDescent="0.25">
      <c r="E27" t="s">
        <v>35</v>
      </c>
      <c r="H27">
        <v>2111</v>
      </c>
      <c r="J27">
        <v>2396</v>
      </c>
      <c r="K27">
        <v>2042</v>
      </c>
      <c r="L27">
        <v>2349</v>
      </c>
      <c r="M27">
        <v>2451</v>
      </c>
      <c r="AR27" t="s">
        <v>56</v>
      </c>
      <c r="AS27" s="7">
        <f>AS25+AS26</f>
        <v>268918.89153392497</v>
      </c>
      <c r="AU27" t="s">
        <v>64</v>
      </c>
      <c r="AV27" s="2">
        <v>0.1</v>
      </c>
    </row>
    <row r="28" spans="1:48" x14ac:dyDescent="0.25">
      <c r="B28" s="14"/>
      <c r="E28" t="s">
        <v>36</v>
      </c>
      <c r="H28">
        <v>9759</v>
      </c>
      <c r="J28">
        <v>7259</v>
      </c>
      <c r="K28">
        <v>9537</v>
      </c>
      <c r="L28">
        <v>13494</v>
      </c>
      <c r="M28">
        <v>11668</v>
      </c>
      <c r="AR28" s="9" t="s">
        <v>57</v>
      </c>
      <c r="AS28" s="9">
        <f>AS27/B4</f>
        <v>280.13497721149542</v>
      </c>
      <c r="AU28" t="s">
        <v>65</v>
      </c>
      <c r="AV28" s="2">
        <v>0.06</v>
      </c>
    </row>
    <row r="29" spans="1:48" x14ac:dyDescent="0.25">
      <c r="E29" t="s">
        <v>37</v>
      </c>
      <c r="H29">
        <f>9806+4318</f>
        <v>14124</v>
      </c>
      <c r="J29">
        <f>5141+9094</f>
        <v>14235</v>
      </c>
      <c r="K29">
        <f>9291+5010</f>
        <v>14301</v>
      </c>
      <c r="L29">
        <f>9539+5546</f>
        <v>15085</v>
      </c>
      <c r="M29">
        <v>11073</v>
      </c>
      <c r="AR29" s="10" t="s">
        <v>58</v>
      </c>
      <c r="AS29" s="10">
        <f>B3</f>
        <v>152.77000000000001</v>
      </c>
    </row>
    <row r="30" spans="1:48" x14ac:dyDescent="0.25">
      <c r="E30" t="s">
        <v>38</v>
      </c>
      <c r="H30">
        <v>20624</v>
      </c>
      <c r="J30">
        <v>20151</v>
      </c>
      <c r="K30">
        <v>21149</v>
      </c>
      <c r="L30">
        <v>22471</v>
      </c>
      <c r="M30">
        <v>22300</v>
      </c>
    </row>
    <row r="31" spans="1:48" x14ac:dyDescent="0.25">
      <c r="E31" t="s">
        <v>39</v>
      </c>
      <c r="H31">
        <f>4616+4142</f>
        <v>8758</v>
      </c>
      <c r="J31">
        <f>4711+4061</f>
        <v>8772</v>
      </c>
      <c r="K31">
        <f>5044+3779</f>
        <v>8823</v>
      </c>
      <c r="L31">
        <f>5116+3893</f>
        <v>9009</v>
      </c>
      <c r="M31">
        <f>5202+3924</f>
        <v>9126</v>
      </c>
      <c r="S31" s="4"/>
      <c r="T31" s="4"/>
      <c r="U31" s="4"/>
      <c r="V31" s="4"/>
      <c r="W31" s="4"/>
      <c r="AR31" s="23" t="s">
        <v>84</v>
      </c>
    </row>
    <row r="32" spans="1:48" s="4" customFormat="1" x14ac:dyDescent="0.25">
      <c r="A32"/>
      <c r="B32"/>
      <c r="E32" t="s">
        <v>40</v>
      </c>
      <c r="F32"/>
      <c r="G32"/>
      <c r="H32">
        <v>3764</v>
      </c>
      <c r="I32"/>
      <c r="J32">
        <v>3937</v>
      </c>
      <c r="K32">
        <v>4081</v>
      </c>
      <c r="L32">
        <v>5556</v>
      </c>
      <c r="M32">
        <v>7974</v>
      </c>
      <c r="N32"/>
      <c r="O32"/>
      <c r="P32"/>
      <c r="Q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R32" s="4" t="s">
        <v>85</v>
      </c>
    </row>
    <row r="33" spans="1:45" x14ac:dyDescent="0.25">
      <c r="E33" s="4" t="s">
        <v>41</v>
      </c>
      <c r="F33" s="4"/>
      <c r="G33" s="4"/>
      <c r="H33" s="4">
        <f>SUM(H25:H32)</f>
        <v>231839</v>
      </c>
      <c r="J33" s="4">
        <f>SUM(J25:J32)</f>
        <v>261194</v>
      </c>
      <c r="K33" s="4">
        <f>SUM(K25:K32)</f>
        <v>273151</v>
      </c>
      <c r="L33" s="4">
        <f>SUM(L25:L32)</f>
        <v>290479</v>
      </c>
      <c r="M33" s="4">
        <f>SUM(M25:M32)</f>
        <v>293284</v>
      </c>
      <c r="N33" s="4"/>
      <c r="O33" s="4"/>
      <c r="P33" s="4"/>
      <c r="Q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5" x14ac:dyDescent="0.25">
      <c r="A34" s="4"/>
      <c r="B34" s="4"/>
      <c r="AR34" t="s">
        <v>5</v>
      </c>
      <c r="AS34" s="7">
        <f>B8</f>
        <v>166448.37213004002</v>
      </c>
    </row>
    <row r="35" spans="1:45" x14ac:dyDescent="0.25">
      <c r="E35" t="s">
        <v>42</v>
      </c>
      <c r="H35">
        <v>30196</v>
      </c>
      <c r="J35">
        <f>23159</f>
        <v>23159</v>
      </c>
      <c r="K35">
        <v>26474</v>
      </c>
      <c r="L35">
        <v>35490</v>
      </c>
      <c r="M35">
        <v>33312</v>
      </c>
      <c r="AR35" t="s">
        <v>87</v>
      </c>
      <c r="AS35" s="7">
        <f>Z11</f>
        <v>11285.738799999996</v>
      </c>
    </row>
    <row r="36" spans="1:45" x14ac:dyDescent="0.25">
      <c r="E36" t="s">
        <v>43</v>
      </c>
      <c r="H36">
        <v>18453</v>
      </c>
      <c r="J36">
        <v>22827</v>
      </c>
      <c r="K36">
        <v>22724</v>
      </c>
      <c r="L36">
        <v>25181</v>
      </c>
      <c r="M36">
        <v>24032</v>
      </c>
      <c r="AR36" t="s">
        <v>86</v>
      </c>
      <c r="AS36">
        <f>AS34/AS35</f>
        <v>14.748557899465128</v>
      </c>
    </row>
    <row r="37" spans="1:45" x14ac:dyDescent="0.25">
      <c r="E37" t="s">
        <v>44</v>
      </c>
      <c r="H37">
        <f>8491+3031</f>
        <v>11522</v>
      </c>
      <c r="J37">
        <f>8944+3571</f>
        <v>12515</v>
      </c>
      <c r="K37">
        <f>9088+3474</f>
        <v>12562</v>
      </c>
      <c r="L37">
        <f>8940+3624</f>
        <v>12564</v>
      </c>
      <c r="M37">
        <f>8989+3546</f>
        <v>12535</v>
      </c>
      <c r="AR37" t="s">
        <v>88</v>
      </c>
      <c r="AS37" s="25">
        <f>AS35/AS34</f>
        <v>6.7803239260176493E-2</v>
      </c>
    </row>
    <row r="38" spans="1:45" x14ac:dyDescent="0.25">
      <c r="E38" t="s">
        <v>45</v>
      </c>
      <c r="H38">
        <f>6308+28987</f>
        <v>35295</v>
      </c>
      <c r="J38">
        <f>3799+40072</f>
        <v>43871</v>
      </c>
      <c r="K38">
        <f>2500+4499+47419</f>
        <v>54418</v>
      </c>
      <c r="L38">
        <f>8499+2500+53463</f>
        <v>64462</v>
      </c>
      <c r="M38">
        <f>7259+2500+53204</f>
        <v>62963</v>
      </c>
      <c r="S38" s="4"/>
      <c r="T38" s="4"/>
      <c r="U38" s="4"/>
      <c r="V38" s="4"/>
      <c r="W38" s="4"/>
      <c r="AR38" t="s">
        <v>89</v>
      </c>
      <c r="AS38" s="25">
        <v>3.7999999999999999E-2</v>
      </c>
    </row>
    <row r="39" spans="1:45" s="4" customFormat="1" x14ac:dyDescent="0.25">
      <c r="A39"/>
      <c r="B39"/>
      <c r="E39" t="s">
        <v>46</v>
      </c>
      <c r="F39"/>
      <c r="G39"/>
      <c r="H39">
        <f>24826</f>
        <v>24826</v>
      </c>
      <c r="I39"/>
      <c r="J39">
        <v>29816</v>
      </c>
      <c r="K39">
        <f>31296</f>
        <v>31296</v>
      </c>
      <c r="L39">
        <v>33427</v>
      </c>
      <c r="M39">
        <f>32175</f>
        <v>32175</v>
      </c>
      <c r="N39"/>
      <c r="O39"/>
      <c r="P39"/>
      <c r="Q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</row>
    <row r="40" spans="1:45" x14ac:dyDescent="0.25">
      <c r="E40" s="4" t="s">
        <v>47</v>
      </c>
      <c r="F40" s="4"/>
      <c r="G40" s="4"/>
      <c r="H40" s="4">
        <f>SUM(H35:H39)</f>
        <v>120292</v>
      </c>
      <c r="J40" s="4">
        <f>SUM(J35:J39)</f>
        <v>132188</v>
      </c>
      <c r="K40" s="4">
        <f>SUM(K35:K39)</f>
        <v>147474</v>
      </c>
      <c r="L40" s="4">
        <f>SUM(L35:L39)</f>
        <v>171124</v>
      </c>
      <c r="M40" s="4">
        <f>SUM(M35:M39)</f>
        <v>165017</v>
      </c>
      <c r="N40" s="4"/>
      <c r="O40" s="4"/>
      <c r="P40" s="4"/>
      <c r="Q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spans="1:45" s="4" customFormat="1" x14ac:dyDescent="0.25">
      <c r="E41"/>
      <c r="F41"/>
      <c r="G41"/>
      <c r="H41"/>
      <c r="I41"/>
      <c r="J41"/>
      <c r="K41"/>
      <c r="L41"/>
      <c r="M41"/>
      <c r="N41"/>
      <c r="O41"/>
      <c r="P41"/>
      <c r="Q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5" s="4" customFormat="1" x14ac:dyDescent="0.25">
      <c r="A42"/>
      <c r="B42"/>
      <c r="E42" s="4" t="s">
        <v>48</v>
      </c>
      <c r="H42" s="4">
        <f>H33-H40</f>
        <v>111547</v>
      </c>
      <c r="I42"/>
      <c r="J42" s="4">
        <f>J33-J40</f>
        <v>129006</v>
      </c>
      <c r="K42" s="4">
        <f>K33-K40</f>
        <v>125677</v>
      </c>
      <c r="L42" s="4">
        <f>L33-L40</f>
        <v>119355</v>
      </c>
      <c r="M42" s="4">
        <f>M33-M40</f>
        <v>128267</v>
      </c>
      <c r="S42"/>
      <c r="T42"/>
      <c r="U42"/>
      <c r="V42"/>
      <c r="W42"/>
    </row>
    <row r="43" spans="1:45" x14ac:dyDescent="0.25">
      <c r="A43" s="4"/>
      <c r="B43" s="4"/>
      <c r="E43" s="4" t="s">
        <v>49</v>
      </c>
      <c r="F43" s="4"/>
      <c r="G43" s="4"/>
      <c r="H43" s="4">
        <f>H42+H40</f>
        <v>231839</v>
      </c>
      <c r="J43" s="4">
        <f>J42+J40</f>
        <v>261194</v>
      </c>
      <c r="K43" s="4">
        <f>K40+K42</f>
        <v>273151</v>
      </c>
      <c r="L43" s="4">
        <f>L42+L40</f>
        <v>290479</v>
      </c>
      <c r="M43" s="4">
        <f>M42+M40</f>
        <v>293284</v>
      </c>
      <c r="N43" s="4"/>
      <c r="O43" s="4"/>
      <c r="P43" s="4"/>
      <c r="Q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 spans="1:45" x14ac:dyDescent="0.25">
      <c r="A44" s="4"/>
      <c r="B44" s="4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macmaster</dc:creator>
  <cp:lastModifiedBy>ronald macmaster</cp:lastModifiedBy>
  <cp:lastPrinted>2016-05-29T05:42:18Z</cp:lastPrinted>
  <dcterms:created xsi:type="dcterms:W3CDTF">2016-03-31T09:38:02Z</dcterms:created>
  <dcterms:modified xsi:type="dcterms:W3CDTF">2016-05-29T08:05:45Z</dcterms:modified>
</cp:coreProperties>
</file>