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finance\old\"/>
    </mc:Choice>
  </mc:AlternateContent>
  <bookViews>
    <workbookView xWindow="0" yWindow="0" windowWidth="20490" windowHeight="7755"/>
  </bookViews>
  <sheets>
    <sheet name="aapl" sheetId="1" r:id="rId1"/>
  </sheets>
  <calcPr calcId="152511"/>
</workbook>
</file>

<file path=xl/calcChain.xml><?xml version="1.0" encoding="utf-8"?>
<calcChain xmlns="http://schemas.openxmlformats.org/spreadsheetml/2006/main">
  <c r="AC2" i="1" l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B2" i="1"/>
  <c r="AA2" i="1"/>
  <c r="AS29" i="1"/>
  <c r="AS26" i="1"/>
  <c r="Z13" i="1" l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N9" i="1"/>
  <c r="O6" i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Q2" i="1"/>
  <c r="P2" i="1"/>
  <c r="P4" i="1" s="1"/>
  <c r="P8" i="1" s="1"/>
  <c r="O2" i="1"/>
  <c r="O4" i="1" s="1"/>
  <c r="O8" i="1" s="1"/>
  <c r="N2" i="1"/>
  <c r="X13" i="1"/>
  <c r="X11" i="1"/>
  <c r="X9" i="1"/>
  <c r="X7" i="1"/>
  <c r="X6" i="1"/>
  <c r="X3" i="1"/>
  <c r="X4" i="1" s="1"/>
  <c r="X2" i="1"/>
  <c r="Y13" i="1"/>
  <c r="Y11" i="1"/>
  <c r="Y9" i="1"/>
  <c r="Y7" i="1"/>
  <c r="Y3" i="1"/>
  <c r="Y2" i="1"/>
  <c r="Y21" i="1" s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Z1" i="1"/>
  <c r="Y4" i="1" l="1"/>
  <c r="Y16" i="1" s="1"/>
  <c r="Z2" i="1"/>
  <c r="AA21" i="1" s="1"/>
  <c r="O9" i="1"/>
  <c r="P9" i="1" s="1"/>
  <c r="Q9" i="1" s="1"/>
  <c r="O17" i="1"/>
  <c r="Q3" i="1"/>
  <c r="P17" i="1"/>
  <c r="Q4" i="1"/>
  <c r="N4" i="1"/>
  <c r="O3" i="1"/>
  <c r="O16" i="1"/>
  <c r="P3" i="1"/>
  <c r="P16" i="1"/>
  <c r="Z21" i="1"/>
  <c r="X8" i="1"/>
  <c r="X10" i="1" s="1"/>
  <c r="X16" i="1"/>
  <c r="J37" i="1"/>
  <c r="J36" i="1"/>
  <c r="J39" i="1" s="1"/>
  <c r="J34" i="1"/>
  <c r="J30" i="1"/>
  <c r="J28" i="1"/>
  <c r="J25" i="1"/>
  <c r="J24" i="1"/>
  <c r="F4" i="1"/>
  <c r="F16" i="1" s="1"/>
  <c r="J21" i="1"/>
  <c r="J4" i="1"/>
  <c r="J16" i="1" s="1"/>
  <c r="K37" i="1"/>
  <c r="K38" i="1"/>
  <c r="K36" i="1"/>
  <c r="K28" i="1"/>
  <c r="K30" i="1"/>
  <c r="K25" i="1"/>
  <c r="K24" i="1"/>
  <c r="K21" i="1"/>
  <c r="L21" i="1"/>
  <c r="K6" i="1"/>
  <c r="Y6" i="1" s="1"/>
  <c r="Y8" i="1" s="1"/>
  <c r="O10" i="1" l="1"/>
  <c r="J32" i="1"/>
  <c r="J41" i="1" s="1"/>
  <c r="J42" i="1" s="1"/>
  <c r="P10" i="1"/>
  <c r="P11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Y17" i="1"/>
  <c r="Y10" i="1"/>
  <c r="N8" i="1"/>
  <c r="N16" i="1"/>
  <c r="Q16" i="1"/>
  <c r="Q8" i="1"/>
  <c r="O11" i="1"/>
  <c r="O19" i="1" s="1"/>
  <c r="O12" i="1"/>
  <c r="K39" i="1"/>
  <c r="K32" i="1"/>
  <c r="K41" i="1" s="1"/>
  <c r="K42" i="1" s="1"/>
  <c r="N3" i="1"/>
  <c r="Z3" i="1" s="1"/>
  <c r="Z4" i="1" s="1"/>
  <c r="Z16" i="1" s="1"/>
  <c r="P12" i="1"/>
  <c r="P19" i="1"/>
  <c r="AA4" i="1"/>
  <c r="AA3" i="1" s="1"/>
  <c r="X17" i="1"/>
  <c r="J8" i="1"/>
  <c r="F8" i="1"/>
  <c r="F17" i="1" s="1"/>
  <c r="F10" i="1"/>
  <c r="G4" i="1"/>
  <c r="G16" i="1" s="1"/>
  <c r="H37" i="1"/>
  <c r="H38" i="1"/>
  <c r="H36" i="1"/>
  <c r="H30" i="1"/>
  <c r="H28" i="1"/>
  <c r="H24" i="1"/>
  <c r="O18" i="1" l="1"/>
  <c r="O14" i="1"/>
  <c r="N17" i="1"/>
  <c r="N10" i="1"/>
  <c r="P18" i="1"/>
  <c r="P14" i="1"/>
  <c r="AB4" i="1"/>
  <c r="AB21" i="1"/>
  <c r="Q17" i="1"/>
  <c r="Q10" i="1"/>
  <c r="Q11" i="1" s="1"/>
  <c r="Y12" i="1"/>
  <c r="Y19" i="1"/>
  <c r="AA16" i="1"/>
  <c r="AA8" i="1"/>
  <c r="X12" i="1"/>
  <c r="X19" i="1"/>
  <c r="J10" i="1"/>
  <c r="J17" i="1"/>
  <c r="G8" i="1"/>
  <c r="F19" i="1"/>
  <c r="F12" i="1"/>
  <c r="L24" i="1"/>
  <c r="Q12" i="1" l="1"/>
  <c r="Q19" i="1"/>
  <c r="AB8" i="1"/>
  <c r="AB16" i="1"/>
  <c r="N11" i="1"/>
  <c r="AB3" i="1"/>
  <c r="AA17" i="1"/>
  <c r="AA10" i="1"/>
  <c r="AC4" i="1"/>
  <c r="AC3" i="1" s="1"/>
  <c r="AC21" i="1"/>
  <c r="Y18" i="1"/>
  <c r="Y14" i="1"/>
  <c r="X14" i="1"/>
  <c r="X18" i="1"/>
  <c r="G10" i="1"/>
  <c r="G17" i="1"/>
  <c r="J12" i="1"/>
  <c r="J19" i="1"/>
  <c r="F14" i="1"/>
  <c r="F18" i="1"/>
  <c r="L36" i="1"/>
  <c r="L30" i="1"/>
  <c r="L28" i="1"/>
  <c r="AB10" i="1" l="1"/>
  <c r="AB17" i="1"/>
  <c r="Z11" i="1"/>
  <c r="N19" i="1"/>
  <c r="AD4" i="1"/>
  <c r="AD3" i="1" s="1"/>
  <c r="AD21" i="1"/>
  <c r="AC8" i="1"/>
  <c r="AC16" i="1"/>
  <c r="AA19" i="1"/>
  <c r="AA12" i="1"/>
  <c r="AA11" i="1"/>
  <c r="N12" i="1"/>
  <c r="Q18" i="1"/>
  <c r="Q14" i="1"/>
  <c r="J14" i="1"/>
  <c r="J18" i="1"/>
  <c r="G12" i="1"/>
  <c r="G19" i="1"/>
  <c r="L4" i="1"/>
  <c r="L8" i="1" s="1"/>
  <c r="K4" i="1"/>
  <c r="AA18" i="1" l="1"/>
  <c r="AA14" i="1"/>
  <c r="AE4" i="1"/>
  <c r="AE21" i="1"/>
  <c r="N14" i="1"/>
  <c r="N18" i="1"/>
  <c r="AC10" i="1"/>
  <c r="AC17" i="1"/>
  <c r="AD8" i="1"/>
  <c r="AD16" i="1"/>
  <c r="AB11" i="1"/>
  <c r="AB19" i="1" s="1"/>
  <c r="G14" i="1"/>
  <c r="G18" i="1"/>
  <c r="K16" i="1"/>
  <c r="K8" i="1"/>
  <c r="L37" i="1"/>
  <c r="L39" i="1" s="1"/>
  <c r="L32" i="1"/>
  <c r="L16" i="1"/>
  <c r="H39" i="1"/>
  <c r="H32" i="1"/>
  <c r="H4" i="1"/>
  <c r="H16" i="1" s="1"/>
  <c r="AE8" i="1" l="1"/>
  <c r="AE16" i="1"/>
  <c r="AD10" i="1"/>
  <c r="AD17" i="1"/>
  <c r="AE3" i="1"/>
  <c r="L41" i="1"/>
  <c r="L42" i="1" s="1"/>
  <c r="AB12" i="1"/>
  <c r="AC11" i="1"/>
  <c r="AC19" i="1" s="1"/>
  <c r="AF4" i="1"/>
  <c r="AF3" i="1" s="1"/>
  <c r="AF21" i="1"/>
  <c r="K10" i="1"/>
  <c r="K17" i="1"/>
  <c r="H41" i="1"/>
  <c r="H42" i="1" s="1"/>
  <c r="H8" i="1"/>
  <c r="H10" i="1" s="1"/>
  <c r="M36" i="1"/>
  <c r="M38" i="1"/>
  <c r="M37" i="1"/>
  <c r="M30" i="1"/>
  <c r="M25" i="1"/>
  <c r="M24" i="1"/>
  <c r="AC12" i="1" l="1"/>
  <c r="AC14" i="1" s="1"/>
  <c r="M39" i="1"/>
  <c r="AC18" i="1"/>
  <c r="AF8" i="1"/>
  <c r="AF16" i="1"/>
  <c r="AB14" i="1"/>
  <c r="AB18" i="1"/>
  <c r="AD11" i="1"/>
  <c r="AD19" i="1" s="1"/>
  <c r="AG4" i="1"/>
  <c r="AG3" i="1" s="1"/>
  <c r="AG21" i="1"/>
  <c r="M32" i="1"/>
  <c r="M41" i="1" s="1"/>
  <c r="M42" i="1" s="1"/>
  <c r="AE10" i="1"/>
  <c r="AE17" i="1"/>
  <c r="K12" i="1"/>
  <c r="K19" i="1"/>
  <c r="L17" i="1"/>
  <c r="L10" i="1"/>
  <c r="H17" i="1"/>
  <c r="M21" i="1"/>
  <c r="I4" i="1"/>
  <c r="I16" i="1" s="1"/>
  <c r="M4" i="1"/>
  <c r="M8" i="1" s="1"/>
  <c r="B5" i="1"/>
  <c r="B4" i="1"/>
  <c r="B3" i="1"/>
  <c r="AH4" i="1" l="1"/>
  <c r="AH3" i="1" s="1"/>
  <c r="AH21" i="1"/>
  <c r="AD12" i="1"/>
  <c r="AF10" i="1"/>
  <c r="AF17" i="1"/>
  <c r="AE11" i="1"/>
  <c r="AE12" i="1" s="1"/>
  <c r="AG8" i="1"/>
  <c r="AG16" i="1"/>
  <c r="K18" i="1"/>
  <c r="K14" i="1"/>
  <c r="L12" i="1"/>
  <c r="L19" i="1"/>
  <c r="H12" i="1"/>
  <c r="H19" i="1"/>
  <c r="B6" i="1"/>
  <c r="I8" i="1"/>
  <c r="M16" i="1"/>
  <c r="M10" i="1"/>
  <c r="M17" i="1"/>
  <c r="AE19" i="1" l="1"/>
  <c r="AE14" i="1"/>
  <c r="AE18" i="1"/>
  <c r="AI4" i="1"/>
  <c r="AI21" i="1"/>
  <c r="AG10" i="1"/>
  <c r="AG17" i="1"/>
  <c r="AF11" i="1"/>
  <c r="AF19" i="1" s="1"/>
  <c r="AD14" i="1"/>
  <c r="AD18" i="1"/>
  <c r="AH8" i="1"/>
  <c r="AH16" i="1"/>
  <c r="L18" i="1"/>
  <c r="L14" i="1"/>
  <c r="H18" i="1"/>
  <c r="H14" i="1"/>
  <c r="M12" i="1"/>
  <c r="M19" i="1"/>
  <c r="I17" i="1"/>
  <c r="I10" i="1"/>
  <c r="AI8" i="1" l="1"/>
  <c r="AI16" i="1"/>
  <c r="AG11" i="1"/>
  <c r="AG19" i="1" s="1"/>
  <c r="AI3" i="1"/>
  <c r="AH10" i="1"/>
  <c r="AH17" i="1"/>
  <c r="AF12" i="1"/>
  <c r="AJ4" i="1"/>
  <c r="AJ21" i="1"/>
  <c r="M18" i="1"/>
  <c r="M14" i="1"/>
  <c r="I19" i="1"/>
  <c r="I12" i="1"/>
  <c r="AK4" i="1" l="1"/>
  <c r="AK3" i="1" s="1"/>
  <c r="AK21" i="1"/>
  <c r="AG12" i="1"/>
  <c r="AJ8" i="1"/>
  <c r="AJ16" i="1"/>
  <c r="AF14" i="1"/>
  <c r="AF18" i="1"/>
  <c r="AH11" i="1"/>
  <c r="AH19" i="1" s="1"/>
  <c r="AJ3" i="1"/>
  <c r="AI10" i="1"/>
  <c r="AI17" i="1"/>
  <c r="I14" i="1"/>
  <c r="I18" i="1"/>
  <c r="AJ10" i="1" l="1"/>
  <c r="AJ17" i="1"/>
  <c r="AL4" i="1"/>
  <c r="AL3" i="1"/>
  <c r="AL21" i="1"/>
  <c r="AH12" i="1"/>
  <c r="AI11" i="1"/>
  <c r="AI12" i="1" s="1"/>
  <c r="AG14" i="1"/>
  <c r="AG18" i="1"/>
  <c r="AK8" i="1"/>
  <c r="AK16" i="1"/>
  <c r="AI19" i="1" l="1"/>
  <c r="AI14" i="1"/>
  <c r="AI18" i="1"/>
  <c r="AH14" i="1"/>
  <c r="AH18" i="1"/>
  <c r="AL8" i="1"/>
  <c r="AL16" i="1"/>
  <c r="AK10" i="1"/>
  <c r="AK17" i="1"/>
  <c r="AM4" i="1"/>
  <c r="AM21" i="1"/>
  <c r="AJ11" i="1"/>
  <c r="AJ19" i="1" s="1"/>
  <c r="AN4" i="1" l="1"/>
  <c r="AN21" i="1"/>
  <c r="AK11" i="1"/>
  <c r="AK19" i="1" s="1"/>
  <c r="AM8" i="1"/>
  <c r="AM16" i="1"/>
  <c r="AJ12" i="1"/>
  <c r="AM3" i="1"/>
  <c r="AL10" i="1"/>
  <c r="AL17" i="1"/>
  <c r="Z8" i="1"/>
  <c r="Z17" i="1" s="1"/>
  <c r="AO4" i="1" l="1"/>
  <c r="AO3" i="1" s="1"/>
  <c r="AO21" i="1"/>
  <c r="AL11" i="1"/>
  <c r="AL19" i="1" s="1"/>
  <c r="AM10" i="1"/>
  <c r="AM17" i="1"/>
  <c r="AN8" i="1"/>
  <c r="AN16" i="1"/>
  <c r="AJ14" i="1"/>
  <c r="AJ18" i="1"/>
  <c r="AK12" i="1"/>
  <c r="AN3" i="1"/>
  <c r="Z10" i="1"/>
  <c r="AM11" i="1" l="1"/>
  <c r="AM19" i="1" s="1"/>
  <c r="AP4" i="1"/>
  <c r="AP21" i="1"/>
  <c r="AK14" i="1"/>
  <c r="AK18" i="1"/>
  <c r="AN10" i="1"/>
  <c r="AN17" i="1"/>
  <c r="AL12" i="1"/>
  <c r="AO8" i="1"/>
  <c r="AO16" i="1"/>
  <c r="Z12" i="1"/>
  <c r="Z19" i="1"/>
  <c r="AO10" i="1" l="1"/>
  <c r="AO17" i="1"/>
  <c r="AP8" i="1"/>
  <c r="AP16" i="1"/>
  <c r="AL14" i="1"/>
  <c r="AL18" i="1"/>
  <c r="AM12" i="1"/>
  <c r="AN11" i="1"/>
  <c r="AN19" i="1" s="1"/>
  <c r="AP3" i="1"/>
  <c r="Z18" i="1"/>
  <c r="Z14" i="1"/>
  <c r="AM14" i="1" l="1"/>
  <c r="AM18" i="1"/>
  <c r="AP10" i="1"/>
  <c r="AP17" i="1"/>
  <c r="AN12" i="1"/>
  <c r="AO11" i="1"/>
  <c r="AO19" i="1" s="1"/>
  <c r="AP11" i="1" l="1"/>
  <c r="AP19" i="1" s="1"/>
  <c r="AO12" i="1"/>
  <c r="AN14" i="1"/>
  <c r="AN18" i="1"/>
  <c r="AO14" i="1" l="1"/>
  <c r="AO18" i="1"/>
  <c r="AP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AS25" i="1" s="1"/>
  <c r="AS27" i="1" s="1"/>
  <c r="AS28" i="1" s="1"/>
  <c r="AP14" i="1" l="1"/>
  <c r="AP18" i="1"/>
</calcChain>
</file>

<file path=xl/sharedStrings.xml><?xml version="1.0" encoding="utf-8"?>
<sst xmlns="http://schemas.openxmlformats.org/spreadsheetml/2006/main" count="69" uniqueCount="69">
  <si>
    <t>P</t>
  </si>
  <si>
    <t>MC</t>
  </si>
  <si>
    <t>S/O</t>
  </si>
  <si>
    <t>cash</t>
  </si>
  <si>
    <t>debt</t>
  </si>
  <si>
    <t>EV</t>
  </si>
  <si>
    <t>revenue</t>
  </si>
  <si>
    <t>Q115</t>
  </si>
  <si>
    <t>Q416</t>
  </si>
  <si>
    <t>Q316</t>
  </si>
  <si>
    <t>Q215</t>
  </si>
  <si>
    <t>Q315</t>
  </si>
  <si>
    <t>Q415</t>
  </si>
  <si>
    <t>Q116</t>
  </si>
  <si>
    <t>Q216</t>
  </si>
  <si>
    <t>gross margin</t>
  </si>
  <si>
    <t>cost goods</t>
  </si>
  <si>
    <t>R&amp;D</t>
  </si>
  <si>
    <t>gross profit</t>
  </si>
  <si>
    <t>SG&amp;A</t>
  </si>
  <si>
    <t>operating income</t>
  </si>
  <si>
    <t>operating margin</t>
  </si>
  <si>
    <t>interest</t>
  </si>
  <si>
    <t>net profit</t>
  </si>
  <si>
    <t>taxes</t>
  </si>
  <si>
    <t>net income</t>
  </si>
  <si>
    <t>net margin</t>
  </si>
  <si>
    <t>tax rate</t>
  </si>
  <si>
    <t>shares</t>
  </si>
  <si>
    <t>eps</t>
  </si>
  <si>
    <t>Q414</t>
  </si>
  <si>
    <t>revenue y/y</t>
  </si>
  <si>
    <t>Balance Sheet</t>
  </si>
  <si>
    <t>Income Statement</t>
  </si>
  <si>
    <t>Cash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</si>
  <si>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</si>
  <si>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</si>
  <si>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</si>
  <si>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</si>
  <si>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</si>
  <si>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</si>
  <si>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</si>
  <si>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</si>
  <si>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</si>
  <si>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</si>
  <si>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</si>
  <si>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</si>
  <si>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</si>
  <si>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</si>
  <si>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</si>
  <si>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</si>
  <si>
    <t>Q114</t>
  </si>
  <si>
    <t>Q214</t>
  </si>
  <si>
    <t>Q314</t>
  </si>
  <si>
    <t>Discount Rate</t>
  </si>
  <si>
    <t>npv</t>
  </si>
  <si>
    <t>FORCAST:</t>
  </si>
  <si>
    <t>net cash</t>
  </si>
  <si>
    <t>total val</t>
  </si>
  <si>
    <t>per share</t>
  </si>
  <si>
    <t>curr price</t>
  </si>
  <si>
    <t>Maturity Rate</t>
  </si>
  <si>
    <t>Netflix</t>
  </si>
  <si>
    <t>Google</t>
  </si>
  <si>
    <t>Facebook</t>
  </si>
  <si>
    <t>AT&amp;T</t>
  </si>
  <si>
    <t>HP</t>
  </si>
  <si>
    <t>Microsoft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</si>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</sst>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3" fontId="16" fillId="0" borderId="0" xfId="0" applyNumberFormat="1" applyFont="1"/>
    <xf numFmtId="3" fontId="0" fillId="0" borderId="0" xfId="0" applyNumberFormat="1"/>
    <xf numFmtId="9" fontId="16" fillId="0" borderId="0" xfId="0" applyNumberFormat="1" applyFont="1"/>
    <xf numFmtId="4" fontId="16" fillId="0" borderId="0" xfId="0" applyNumberFormat="1" applyFont="1"/>
    <xf numFmtId="8" fontId="0" fillId="34" borderId="10" xfId="0" applyNumberFormat="1" applyFill="1" applyBorder="1"/>
    <xf numFmtId="8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9525</xdr:colOff>
      <xdr:row>44</xdr:row>
      <xdr:rowOff>152400</xdr:rowOff>
    </xdr:to>
    <xdr:cxnSp macro="">
      <xdr:nvCxnSpPr>
        <xdr:cNvPr id="5" name="Straight Connector 4"/>
        <xdr:cNvCxnSpPr/>
      </xdr:nvCxnSpPr>
      <xdr:spPr>
        <a:xfrm>
          <a:off x="92964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44</xdr:row>
      <xdr:rowOff>152400</xdr:rowOff>
    </xdr:to>
    <xdr:cxnSp macro="">
      <xdr:nvCxnSpPr>
        <xdr:cNvPr id="3" name="Straight Connector 2"/>
        <xdr:cNvCxnSpPr/>
      </xdr:nvCxnSpPr>
      <xdr:spPr>
        <a:xfrm>
          <a:off x="7467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9525</xdr:colOff>
      <xdr:row>44</xdr:row>
      <xdr:rowOff>152400</xdr:rowOff>
    </xdr:to>
    <xdr:cxnSp macro="">
      <xdr:nvCxnSpPr>
        <xdr:cNvPr id="4" name="Straight Connector 3"/>
        <xdr:cNvCxnSpPr/>
      </xdr:nvCxnSpPr>
      <xdr:spPr>
        <a:xfrm>
          <a:off x="16611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2"/>
  <sheetViews>
    <sheetView tabSelected="1" topLeftCell="AE9" workbookViewId="0">
      <selection activeCell="AR28" sqref="AR28"/>
    </sheetView>
  </sheetViews>
  <sheetFormatPr defaultRowHeight="15" x14ac:dyDescent="0.25"/>
  <cols>
    <col min="2" max="2" width="17.5703125" bestFit="1" customWidth="1"/>
    <col min="5" max="5" width="21.28515625" customWidth="1"/>
    <col min="6" max="8" width="9.140625" customWidth="1"/>
    <col min="22" max="22" width="12.7109375" customWidth="1"/>
    <col min="44" max="44" width="12.5703125" customWidth="1"/>
    <col min="45" max="45" width="11.85546875" bestFit="1" customWidth="1"/>
  </cols>
  <sheetData>
    <row r="1" spans="1:118" x14ac:dyDescent="0.25">
      <c r="A1" t="s">
        <v>0</v>
      </c>
      <c r="B1" s="3">
        <v>109.56</v>
      </c>
      <c r="E1" s="5" t="s">
        <v>33</v>
      </c>
      <c r="F1" s="5" t="s">
        <v>51</v>
      </c>
      <c r="G1" s="5" t="s">
        <v>52</v>
      </c>
      <c r="H1" s="5" t="s">
        <v>53</v>
      </c>
      <c r="I1" t="s">
        <v>30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8</v>
      </c>
      <c r="S1" s="4"/>
      <c r="T1" s="4"/>
      <c r="V1" s="4" t="s">
        <v>56</v>
      </c>
      <c r="W1" s="4"/>
      <c r="X1">
        <v>2014</v>
      </c>
      <c r="Y1">
        <v>2015</v>
      </c>
      <c r="Z1">
        <f>Y1+1</f>
        <v>2016</v>
      </c>
      <c r="AA1">
        <f t="shared" ref="AA1:AP1" si="0">Z1+1</f>
        <v>2017</v>
      </c>
      <c r="AB1">
        <f t="shared" si="0"/>
        <v>2018</v>
      </c>
      <c r="AC1">
        <f t="shared" si="0"/>
        <v>2019</v>
      </c>
      <c r="AD1">
        <f t="shared" si="0"/>
        <v>2020</v>
      </c>
      <c r="AE1">
        <f t="shared" si="0"/>
        <v>2021</v>
      </c>
      <c r="AF1">
        <f t="shared" si="0"/>
        <v>2022</v>
      </c>
      <c r="AG1">
        <f t="shared" si="0"/>
        <v>2023</v>
      </c>
      <c r="AH1">
        <f t="shared" si="0"/>
        <v>2024</v>
      </c>
      <c r="AI1">
        <f t="shared" si="0"/>
        <v>2025</v>
      </c>
      <c r="AJ1">
        <f t="shared" si="0"/>
        <v>2026</v>
      </c>
      <c r="AK1">
        <f>AJ1+1</f>
        <v>2027</v>
      </c>
      <c r="AL1">
        <f t="shared" si="0"/>
        <v>2028</v>
      </c>
      <c r="AM1">
        <f t="shared" si="0"/>
        <v>2029</v>
      </c>
      <c r="AN1">
        <f t="shared" si="0"/>
        <v>2030</v>
      </c>
      <c r="AO1">
        <f>AN1+1</f>
        <v>2031</v>
      </c>
      <c r="AP1">
        <f t="shared" si="0"/>
        <v>2032</v>
      </c>
    </row>
    <row r="2" spans="1:118" s="4" customFormat="1" x14ac:dyDescent="0.25">
      <c r="A2" s="4" t="s">
        <v>2</v>
      </c>
      <c r="B2" s="9">
        <v>5544583</v>
      </c>
      <c r="E2" s="4" t="s">
        <v>6</v>
      </c>
      <c r="F2" s="4">
        <v>45646</v>
      </c>
      <c r="G2" s="4">
        <v>37432</v>
      </c>
      <c r="H2" s="6">
        <v>42123</v>
      </c>
      <c r="I2" s="6">
        <v>74599</v>
      </c>
      <c r="J2" s="6">
        <v>58010</v>
      </c>
      <c r="K2" s="6">
        <v>49605</v>
      </c>
      <c r="L2" s="6">
        <v>51501</v>
      </c>
      <c r="M2" s="6">
        <v>75872</v>
      </c>
      <c r="N2" s="4">
        <f>J2*0.95</f>
        <v>55109.5</v>
      </c>
      <c r="O2" s="4">
        <f>K2*0.95</f>
        <v>47124.75</v>
      </c>
      <c r="P2" s="4">
        <f>L2*0.95</f>
        <v>48925.95</v>
      </c>
      <c r="Q2" s="4">
        <f>M2*0.95</f>
        <v>72078.399999999994</v>
      </c>
      <c r="S2"/>
      <c r="T2"/>
      <c r="U2"/>
      <c r="V2"/>
      <c r="W2"/>
      <c r="X2" s="6">
        <f>SUM(F2:I2)</f>
        <v>199800</v>
      </c>
      <c r="Y2" s="6">
        <f>SUM(J2:M2)</f>
        <v>234988</v>
      </c>
      <c r="Z2" s="4">
        <f>SUM(N2:Q2)</f>
        <v>223238.6</v>
      </c>
      <c r="AA2" s="4">
        <f>Z2*0.95</f>
        <v>212076.66999999998</v>
      </c>
      <c r="AB2" s="4">
        <f>AA2*0.96</f>
        <v>203593.60319999998</v>
      </c>
      <c r="AC2" s="4">
        <f t="shared" ref="AC2:AP2" si="1">AB2*0.96</f>
        <v>195449.85907199996</v>
      </c>
      <c r="AD2" s="4">
        <f t="shared" si="1"/>
        <v>187631.86470911995</v>
      </c>
      <c r="AE2" s="4">
        <f t="shared" si="1"/>
        <v>180126.59012075514</v>
      </c>
      <c r="AF2" s="4">
        <f t="shared" si="1"/>
        <v>172921.52651592492</v>
      </c>
      <c r="AG2" s="4">
        <f t="shared" si="1"/>
        <v>166004.66545528793</v>
      </c>
      <c r="AH2" s="4">
        <f t="shared" si="1"/>
        <v>159364.4788370764</v>
      </c>
      <c r="AI2" s="4">
        <f t="shared" si="1"/>
        <v>152989.89968359334</v>
      </c>
      <c r="AJ2" s="4">
        <f t="shared" si="1"/>
        <v>146870.30369624958</v>
      </c>
      <c r="AK2" s="4">
        <f t="shared" si="1"/>
        <v>140995.49154839959</v>
      </c>
      <c r="AL2" s="4">
        <f t="shared" si="1"/>
        <v>135355.67188646359</v>
      </c>
      <c r="AM2" s="4">
        <f t="shared" si="1"/>
        <v>129941.44501100504</v>
      </c>
      <c r="AN2" s="4">
        <f t="shared" si="1"/>
        <v>124743.78721056483</v>
      </c>
      <c r="AO2" s="4">
        <f t="shared" si="1"/>
        <v>119754.03572214223</v>
      </c>
      <c r="AP2" s="4">
        <f t="shared" si="1"/>
        <v>114963.87429325654</v>
      </c>
    </row>
    <row r="3" spans="1:118" x14ac:dyDescent="0.25">
      <c r="A3" t="s">
        <v>1</v>
      </c>
      <c r="B3" s="1">
        <f>B1*B2</f>
        <v>607464513.48000002</v>
      </c>
      <c r="E3" t="s">
        <v>16</v>
      </c>
      <c r="F3">
        <v>27699</v>
      </c>
      <c r="G3">
        <v>22697</v>
      </c>
      <c r="H3" s="7">
        <v>26114</v>
      </c>
      <c r="I3" s="7">
        <v>44858</v>
      </c>
      <c r="J3" s="7">
        <v>34354</v>
      </c>
      <c r="K3" s="7">
        <v>29924</v>
      </c>
      <c r="L3" s="7">
        <v>30953</v>
      </c>
      <c r="M3" s="7">
        <v>45449</v>
      </c>
      <c r="N3" s="7">
        <f>N2-N4</f>
        <v>33065.699999999997</v>
      </c>
      <c r="O3" s="7">
        <f t="shared" ref="O3:Q3" si="2">O2-O4</f>
        <v>28274.85</v>
      </c>
      <c r="P3" s="7">
        <f t="shared" si="2"/>
        <v>29355.569999999996</v>
      </c>
      <c r="Q3" s="7">
        <f t="shared" si="2"/>
        <v>43247.039999999994</v>
      </c>
      <c r="X3" s="7">
        <f>SUM(F3:I3)</f>
        <v>121368</v>
      </c>
      <c r="Y3" s="7">
        <f>SUM(J3:M3)</f>
        <v>140680</v>
      </c>
      <c r="Z3">
        <f>SUM(N3:Q3)</f>
        <v>133943.15999999997</v>
      </c>
      <c r="AA3">
        <f>AA2-AA4</f>
        <v>127246.00199999998</v>
      </c>
      <c r="AB3">
        <f t="shared" ref="AB3:AP3" si="3">AB2-AB4</f>
        <v>122156.16191999998</v>
      </c>
      <c r="AC3">
        <f t="shared" si="3"/>
        <v>117269.91544319998</v>
      </c>
      <c r="AD3">
        <f t="shared" si="3"/>
        <v>112579.11882547197</v>
      </c>
      <c r="AE3">
        <f t="shared" si="3"/>
        <v>108075.95407245308</v>
      </c>
      <c r="AF3">
        <f t="shared" si="3"/>
        <v>103752.91590955495</v>
      </c>
      <c r="AG3">
        <f t="shared" si="3"/>
        <v>99602.799273172757</v>
      </c>
      <c r="AH3">
        <f t="shared" si="3"/>
        <v>95618.687302245846</v>
      </c>
      <c r="AI3">
        <f t="shared" si="3"/>
        <v>91793.939810156007</v>
      </c>
      <c r="AJ3">
        <f t="shared" si="3"/>
        <v>88122.182217749738</v>
      </c>
      <c r="AK3">
        <f t="shared" si="3"/>
        <v>84597.294929039752</v>
      </c>
      <c r="AL3">
        <f t="shared" si="3"/>
        <v>81213.403131878149</v>
      </c>
      <c r="AM3">
        <f t="shared" si="3"/>
        <v>77964.867006603017</v>
      </c>
      <c r="AN3">
        <f t="shared" si="3"/>
        <v>74846.272326338891</v>
      </c>
      <c r="AO3">
        <f t="shared" si="3"/>
        <v>71852.421433285344</v>
      </c>
      <c r="AP3">
        <f t="shared" si="3"/>
        <v>68978.324575953913</v>
      </c>
    </row>
    <row r="4" spans="1:118" x14ac:dyDescent="0.25">
      <c r="A4" t="s">
        <v>3</v>
      </c>
      <c r="B4">
        <f>16689+21385+177665</f>
        <v>215739</v>
      </c>
      <c r="E4" t="s">
        <v>18</v>
      </c>
      <c r="F4">
        <f t="shared" ref="F4:M4" si="4">F2-F3</f>
        <v>17947</v>
      </c>
      <c r="G4">
        <f t="shared" si="4"/>
        <v>14735</v>
      </c>
      <c r="H4" s="7">
        <f t="shared" si="4"/>
        <v>16009</v>
      </c>
      <c r="I4" s="7">
        <f t="shared" si="4"/>
        <v>29741</v>
      </c>
      <c r="J4" s="7">
        <f t="shared" si="4"/>
        <v>23656</v>
      </c>
      <c r="K4" s="7">
        <f t="shared" si="4"/>
        <v>19681</v>
      </c>
      <c r="L4" s="7">
        <f t="shared" si="4"/>
        <v>20548</v>
      </c>
      <c r="M4" s="7">
        <f t="shared" si="4"/>
        <v>30423</v>
      </c>
      <c r="N4" s="7">
        <f>N2*0.4</f>
        <v>22043.800000000003</v>
      </c>
      <c r="O4" s="7">
        <f t="shared" ref="O4:Q4" si="5">O2*0.4</f>
        <v>18849.900000000001</v>
      </c>
      <c r="P4" s="7">
        <f t="shared" si="5"/>
        <v>19570.38</v>
      </c>
      <c r="Q4" s="7">
        <f t="shared" si="5"/>
        <v>28831.360000000001</v>
      </c>
      <c r="X4" s="7">
        <f>X2-X3</f>
        <v>78432</v>
      </c>
      <c r="Y4" s="7">
        <f>Y2-Y3</f>
        <v>94308</v>
      </c>
      <c r="Z4">
        <f>Z2-Z3</f>
        <v>89295.440000000031</v>
      </c>
      <c r="AA4">
        <f t="shared" ref="AA4:AP4" si="6">AA2*0.4</f>
        <v>84830.668000000005</v>
      </c>
      <c r="AB4">
        <f t="shared" si="6"/>
        <v>81437.441279999999</v>
      </c>
      <c r="AC4">
        <f t="shared" si="6"/>
        <v>78179.943628799985</v>
      </c>
      <c r="AD4">
        <f t="shared" si="6"/>
        <v>75052.745883647978</v>
      </c>
      <c r="AE4">
        <f t="shared" si="6"/>
        <v>72050.636048302054</v>
      </c>
      <c r="AF4">
        <f t="shared" si="6"/>
        <v>69168.61060636997</v>
      </c>
      <c r="AG4">
        <f t="shared" si="6"/>
        <v>66401.866182115176</v>
      </c>
      <c r="AH4">
        <f t="shared" si="6"/>
        <v>63745.791534830561</v>
      </c>
      <c r="AI4">
        <f t="shared" si="6"/>
        <v>61195.959873437336</v>
      </c>
      <c r="AJ4">
        <f t="shared" si="6"/>
        <v>58748.121478499837</v>
      </c>
      <c r="AK4">
        <f t="shared" si="6"/>
        <v>56398.196619359835</v>
      </c>
      <c r="AL4">
        <f t="shared" si="6"/>
        <v>54142.268754585442</v>
      </c>
      <c r="AM4">
        <f t="shared" si="6"/>
        <v>51976.578004402021</v>
      </c>
      <c r="AN4">
        <f t="shared" si="6"/>
        <v>49897.514884225937</v>
      </c>
      <c r="AO4">
        <f t="shared" si="6"/>
        <v>47901.614288856894</v>
      </c>
      <c r="AP4">
        <f t="shared" si="6"/>
        <v>45985.549717302616</v>
      </c>
    </row>
    <row r="5" spans="1:118" x14ac:dyDescent="0.25">
      <c r="A5" t="s">
        <v>4</v>
      </c>
      <c r="B5">
        <f>53204+2500+7259</f>
        <v>62963</v>
      </c>
      <c r="H5" s="7"/>
      <c r="I5" s="7"/>
      <c r="J5" s="7"/>
      <c r="K5" s="7"/>
      <c r="L5" s="7"/>
      <c r="M5" s="7"/>
    </row>
    <row r="6" spans="1:118" x14ac:dyDescent="0.25">
      <c r="A6" t="s">
        <v>5</v>
      </c>
      <c r="B6" s="1">
        <f>B3+B5-B4</f>
        <v>607311737.48000002</v>
      </c>
      <c r="E6" t="s">
        <v>17</v>
      </c>
      <c r="F6">
        <v>1422</v>
      </c>
      <c r="G6" s="7">
        <v>1603</v>
      </c>
      <c r="H6" s="7">
        <v>1686</v>
      </c>
      <c r="I6" s="7">
        <v>1895</v>
      </c>
      <c r="J6" s="7">
        <v>1918</v>
      </c>
      <c r="K6" s="7">
        <f>2034</f>
        <v>2034</v>
      </c>
      <c r="L6" s="7">
        <v>2220</v>
      </c>
      <c r="M6" s="7">
        <v>2404</v>
      </c>
      <c r="N6" s="7">
        <v>1918</v>
      </c>
      <c r="O6" s="7">
        <f>2034</f>
        <v>2034</v>
      </c>
      <c r="P6" s="7">
        <v>2220</v>
      </c>
      <c r="Q6" s="7">
        <v>2404</v>
      </c>
      <c r="X6" s="7">
        <f>SUM(F6:I6)</f>
        <v>6606</v>
      </c>
      <c r="Y6" s="7">
        <f>SUM(J6:M6)</f>
        <v>8576</v>
      </c>
      <c r="Z6">
        <f>SUM(N6:Q6)</f>
        <v>8576</v>
      </c>
      <c r="AA6">
        <f>Z6*0.99</f>
        <v>8490.24</v>
      </c>
      <c r="AB6">
        <f t="shared" ref="AB6:AP6" si="7">AA6*0.99</f>
        <v>8405.3375999999989</v>
      </c>
      <c r="AC6">
        <f t="shared" si="7"/>
        <v>8321.2842239999991</v>
      </c>
      <c r="AD6">
        <f t="shared" si="7"/>
        <v>8238.071381759999</v>
      </c>
      <c r="AE6">
        <f t="shared" si="7"/>
        <v>8155.6906679423992</v>
      </c>
      <c r="AF6">
        <f t="shared" si="7"/>
        <v>8074.133761262975</v>
      </c>
      <c r="AG6">
        <f t="shared" si="7"/>
        <v>7993.3924236503453</v>
      </c>
      <c r="AH6">
        <f t="shared" si="7"/>
        <v>7913.4584994138422</v>
      </c>
      <c r="AI6">
        <f t="shared" si="7"/>
        <v>7834.3239144197041</v>
      </c>
      <c r="AJ6">
        <f t="shared" si="7"/>
        <v>7755.9806752755067</v>
      </c>
      <c r="AK6">
        <f t="shared" si="7"/>
        <v>7678.4208685227513</v>
      </c>
      <c r="AL6">
        <f t="shared" si="7"/>
        <v>7601.6366598375234</v>
      </c>
      <c r="AM6">
        <f t="shared" si="7"/>
        <v>7525.6202932391479</v>
      </c>
      <c r="AN6">
        <f t="shared" si="7"/>
        <v>7450.3640903067562</v>
      </c>
      <c r="AO6">
        <f t="shared" si="7"/>
        <v>7375.860449403689</v>
      </c>
      <c r="AP6">
        <f t="shared" si="7"/>
        <v>7302.1018449096518</v>
      </c>
    </row>
    <row r="7" spans="1:118" x14ac:dyDescent="0.25">
      <c r="E7" t="s">
        <v>19</v>
      </c>
      <c r="F7">
        <v>2932</v>
      </c>
      <c r="G7" s="7">
        <v>2850</v>
      </c>
      <c r="H7" s="7">
        <v>3158</v>
      </c>
      <c r="I7" s="7">
        <v>3600</v>
      </c>
      <c r="J7" s="7">
        <v>3460</v>
      </c>
      <c r="K7" s="7">
        <v>3564</v>
      </c>
      <c r="L7" s="7">
        <v>3705</v>
      </c>
      <c r="M7" s="7">
        <v>3848</v>
      </c>
      <c r="N7" s="7">
        <v>3460</v>
      </c>
      <c r="O7" s="7">
        <v>3564</v>
      </c>
      <c r="P7" s="7">
        <v>3705</v>
      </c>
      <c r="Q7" s="7">
        <v>3848</v>
      </c>
      <c r="S7" s="4"/>
      <c r="T7" s="4"/>
      <c r="U7" s="4"/>
      <c r="V7" s="4"/>
      <c r="W7" s="4"/>
      <c r="X7" s="7">
        <f>SUM(F7:I7)</f>
        <v>12540</v>
      </c>
      <c r="Y7" s="7">
        <f>SUM(J7:M7)</f>
        <v>14577</v>
      </c>
      <c r="Z7">
        <f>SUM(N7:Q7)</f>
        <v>14577</v>
      </c>
      <c r="AA7">
        <f t="shared" ref="AA7:AP7" si="8">Z7*0.99</f>
        <v>14431.23</v>
      </c>
      <c r="AB7">
        <f t="shared" si="8"/>
        <v>14286.9177</v>
      </c>
      <c r="AC7">
        <f t="shared" si="8"/>
        <v>14144.048522999999</v>
      </c>
      <c r="AD7">
        <f t="shared" si="8"/>
        <v>14002.60803777</v>
      </c>
      <c r="AE7">
        <f t="shared" si="8"/>
        <v>13862.5819573923</v>
      </c>
      <c r="AF7">
        <f t="shared" si="8"/>
        <v>13723.956137818377</v>
      </c>
      <c r="AG7">
        <f t="shared" si="8"/>
        <v>13586.716576440193</v>
      </c>
      <c r="AH7">
        <f t="shared" si="8"/>
        <v>13450.84941067579</v>
      </c>
      <c r="AI7">
        <f t="shared" si="8"/>
        <v>13316.340916569032</v>
      </c>
      <c r="AJ7">
        <f t="shared" si="8"/>
        <v>13183.177507403341</v>
      </c>
      <c r="AK7">
        <f t="shared" si="8"/>
        <v>13051.345732329308</v>
      </c>
      <c r="AL7">
        <f t="shared" si="8"/>
        <v>12920.832275006014</v>
      </c>
      <c r="AM7">
        <f t="shared" si="8"/>
        <v>12791.623952255954</v>
      </c>
      <c r="AN7">
        <f t="shared" si="8"/>
        <v>12663.707712733394</v>
      </c>
      <c r="AO7">
        <f t="shared" si="8"/>
        <v>12537.07063560606</v>
      </c>
      <c r="AP7">
        <f t="shared" si="8"/>
        <v>12411.699929249999</v>
      </c>
    </row>
    <row r="8" spans="1:118" s="4" customFormat="1" x14ac:dyDescent="0.25">
      <c r="E8" s="4" t="s">
        <v>20</v>
      </c>
      <c r="F8" s="6">
        <f t="shared" ref="F8:M8" si="9">F4-(F6+F7)</f>
        <v>13593</v>
      </c>
      <c r="G8" s="6">
        <f t="shared" si="9"/>
        <v>10282</v>
      </c>
      <c r="H8" s="6">
        <f t="shared" si="9"/>
        <v>11165</v>
      </c>
      <c r="I8" s="6">
        <f t="shared" si="9"/>
        <v>24246</v>
      </c>
      <c r="J8" s="6">
        <f t="shared" si="9"/>
        <v>18278</v>
      </c>
      <c r="K8" s="6">
        <f t="shared" si="9"/>
        <v>14083</v>
      </c>
      <c r="L8" s="6">
        <f t="shared" si="9"/>
        <v>14623</v>
      </c>
      <c r="M8" s="6">
        <f t="shared" si="9"/>
        <v>24171</v>
      </c>
      <c r="N8" s="6">
        <f t="shared" ref="N8" si="10">N4-(N6+N7)</f>
        <v>16665.800000000003</v>
      </c>
      <c r="O8" s="6">
        <f t="shared" ref="O8" si="11">O4-(O6+O7)</f>
        <v>13251.900000000001</v>
      </c>
      <c r="P8" s="6">
        <f t="shared" ref="P8" si="12">P4-(P6+P7)</f>
        <v>13645.380000000001</v>
      </c>
      <c r="Q8" s="6">
        <f t="shared" ref="Q8" si="13">Q4-(Q6+Q7)</f>
        <v>22579.360000000001</v>
      </c>
      <c r="S8"/>
      <c r="T8"/>
      <c r="U8"/>
      <c r="V8"/>
      <c r="W8"/>
      <c r="X8" s="6">
        <f>X4-X6-X7</f>
        <v>59286</v>
      </c>
      <c r="Y8" s="6">
        <f>Y4-Y6-Y7</f>
        <v>71155</v>
      </c>
      <c r="Z8" s="6">
        <f>Z4-Z6-Z7</f>
        <v>66142.440000000031</v>
      </c>
      <c r="AA8" s="6">
        <f t="shared" ref="AA8:AP8" si="14">AA4-AA6-AA7</f>
        <v>61909.198000000004</v>
      </c>
      <c r="AB8" s="6">
        <f t="shared" si="14"/>
        <v>58745.185980000002</v>
      </c>
      <c r="AC8" s="6">
        <f t="shared" si="14"/>
        <v>55714.610881799985</v>
      </c>
      <c r="AD8" s="6">
        <f t="shared" si="14"/>
        <v>52812.066464117976</v>
      </c>
      <c r="AE8" s="6">
        <f t="shared" si="14"/>
        <v>50032.363422967355</v>
      </c>
      <c r="AF8" s="6">
        <f t="shared" si="14"/>
        <v>47370.520707288619</v>
      </c>
      <c r="AG8" s="6">
        <f t="shared" si="14"/>
        <v>44821.757182024638</v>
      </c>
      <c r="AH8" s="6">
        <f t="shared" si="14"/>
        <v>42381.483624740926</v>
      </c>
      <c r="AI8" s="6">
        <f t="shared" si="14"/>
        <v>40045.295042448597</v>
      </c>
      <c r="AJ8" s="6">
        <f t="shared" si="14"/>
        <v>37808.963295820991</v>
      </c>
      <c r="AK8" s="6">
        <f t="shared" si="14"/>
        <v>35668.430018507774</v>
      </c>
      <c r="AL8" s="6">
        <f t="shared" si="14"/>
        <v>33619.799819741907</v>
      </c>
      <c r="AM8" s="6">
        <f t="shared" si="14"/>
        <v>31659.33375890692</v>
      </c>
      <c r="AN8" s="6">
        <f t="shared" si="14"/>
        <v>29783.443081185786</v>
      </c>
      <c r="AO8" s="6">
        <f t="shared" si="14"/>
        <v>27988.68320384714</v>
      </c>
      <c r="AP8" s="6">
        <f t="shared" si="14"/>
        <v>26271.747943142967</v>
      </c>
    </row>
    <row r="9" spans="1:118" x14ac:dyDescent="0.25">
      <c r="E9" t="s">
        <v>22</v>
      </c>
      <c r="F9" s="7">
        <v>225</v>
      </c>
      <c r="G9" s="7">
        <v>202</v>
      </c>
      <c r="H9" s="7">
        <v>307</v>
      </c>
      <c r="I9" s="7">
        <v>170</v>
      </c>
      <c r="J9" s="7">
        <v>286</v>
      </c>
      <c r="K9" s="7">
        <v>390</v>
      </c>
      <c r="L9" s="7">
        <v>439</v>
      </c>
      <c r="M9" s="7">
        <v>402</v>
      </c>
      <c r="N9" s="7">
        <f>M9+10</f>
        <v>412</v>
      </c>
      <c r="O9" s="7">
        <f t="shared" ref="O9:Q9" si="15">N9+10</f>
        <v>422</v>
      </c>
      <c r="P9" s="7">
        <f t="shared" si="15"/>
        <v>432</v>
      </c>
      <c r="Q9" s="7">
        <f t="shared" si="15"/>
        <v>442</v>
      </c>
      <c r="S9" s="4"/>
      <c r="T9" s="4"/>
      <c r="U9" s="4"/>
      <c r="V9" s="4"/>
      <c r="W9" s="4"/>
      <c r="X9" s="7">
        <f>SUM(F9:I9)</f>
        <v>904</v>
      </c>
      <c r="Y9" s="7">
        <f>SUM(J9:M9)</f>
        <v>1517</v>
      </c>
      <c r="Z9">
        <f>SUM(N9:Q9)</f>
        <v>1708</v>
      </c>
      <c r="AA9">
        <f>Z9*1.01</f>
        <v>1725.08</v>
      </c>
      <c r="AB9">
        <f>AA9*1.01</f>
        <v>1742.3308</v>
      </c>
      <c r="AC9">
        <f>AB9*1.01</f>
        <v>1759.7541079999999</v>
      </c>
      <c r="AD9">
        <f t="shared" ref="AD9:AP9" si="16">AC9*1.01</f>
        <v>1777.3516490799998</v>
      </c>
      <c r="AE9">
        <f t="shared" si="16"/>
        <v>1795.1251655707997</v>
      </c>
      <c r="AF9">
        <f t="shared" si="16"/>
        <v>1813.0764172265078</v>
      </c>
      <c r="AG9">
        <f t="shared" si="16"/>
        <v>1831.2071813987729</v>
      </c>
      <c r="AH9">
        <f t="shared" si="16"/>
        <v>1849.5192532127608</v>
      </c>
      <c r="AI9">
        <f t="shared" si="16"/>
        <v>1868.0144457448885</v>
      </c>
      <c r="AJ9">
        <f t="shared" si="16"/>
        <v>1886.6945902023374</v>
      </c>
      <c r="AK9">
        <f t="shared" si="16"/>
        <v>1905.5615361043608</v>
      </c>
      <c r="AL9">
        <f t="shared" si="16"/>
        <v>1924.6171514654045</v>
      </c>
      <c r="AM9">
        <f t="shared" si="16"/>
        <v>1943.8633229800585</v>
      </c>
      <c r="AN9">
        <f t="shared" si="16"/>
        <v>1963.3019562098591</v>
      </c>
      <c r="AO9">
        <f t="shared" si="16"/>
        <v>1982.9349757719576</v>
      </c>
      <c r="AP9">
        <f t="shared" si="16"/>
        <v>2002.7643255296773</v>
      </c>
    </row>
    <row r="10" spans="1:118" s="4" customFormat="1" x14ac:dyDescent="0.25">
      <c r="E10" s="4" t="s">
        <v>23</v>
      </c>
      <c r="F10" s="6">
        <f t="shared" ref="F10:M10" si="17">F8+F9</f>
        <v>13818</v>
      </c>
      <c r="G10" s="6">
        <f t="shared" si="17"/>
        <v>10484</v>
      </c>
      <c r="H10" s="6">
        <f t="shared" si="17"/>
        <v>11472</v>
      </c>
      <c r="I10" s="6">
        <f t="shared" si="17"/>
        <v>24416</v>
      </c>
      <c r="J10" s="6">
        <f t="shared" si="17"/>
        <v>18564</v>
      </c>
      <c r="K10" s="6">
        <f t="shared" si="17"/>
        <v>14473</v>
      </c>
      <c r="L10" s="6">
        <f t="shared" si="17"/>
        <v>15062</v>
      </c>
      <c r="M10" s="6">
        <f t="shared" si="17"/>
        <v>24573</v>
      </c>
      <c r="N10" s="6">
        <f t="shared" ref="N10" si="18">N8+N9</f>
        <v>17077.800000000003</v>
      </c>
      <c r="O10" s="6">
        <f t="shared" ref="O10" si="19">O8+O9</f>
        <v>13673.900000000001</v>
      </c>
      <c r="P10" s="6">
        <f t="shared" ref="P10" si="20">P8+P9</f>
        <v>14077.380000000001</v>
      </c>
      <c r="Q10" s="6">
        <f t="shared" ref="Q10" si="21">Q8+Q9</f>
        <v>23021.360000000001</v>
      </c>
      <c r="S10"/>
      <c r="T10"/>
      <c r="U10"/>
      <c r="V10"/>
      <c r="W10"/>
      <c r="X10" s="6">
        <f>X8+X9</f>
        <v>60190</v>
      </c>
      <c r="Y10" s="6">
        <f>Y8+Y9</f>
        <v>72672</v>
      </c>
      <c r="Z10" s="6">
        <f>Z8+Z9</f>
        <v>67850.440000000031</v>
      </c>
      <c r="AA10" s="6">
        <f t="shared" ref="AA10:AP10" si="22">AA8+AA9</f>
        <v>63634.278000000006</v>
      </c>
      <c r="AB10" s="6">
        <f t="shared" si="22"/>
        <v>60487.516780000005</v>
      </c>
      <c r="AC10" s="6">
        <f t="shared" si="22"/>
        <v>57474.364989799986</v>
      </c>
      <c r="AD10" s="6">
        <f t="shared" si="22"/>
        <v>54589.418113197979</v>
      </c>
      <c r="AE10" s="6">
        <f t="shared" si="22"/>
        <v>51827.488588538152</v>
      </c>
      <c r="AF10" s="6">
        <f t="shared" si="22"/>
        <v>49183.597124515123</v>
      </c>
      <c r="AG10" s="6">
        <f t="shared" si="22"/>
        <v>46652.964363423409</v>
      </c>
      <c r="AH10" s="6">
        <f t="shared" si="22"/>
        <v>44231.002877953688</v>
      </c>
      <c r="AI10" s="6">
        <f t="shared" si="22"/>
        <v>41913.309488193489</v>
      </c>
      <c r="AJ10" s="6">
        <f t="shared" si="22"/>
        <v>39695.657886023328</v>
      </c>
      <c r="AK10" s="6">
        <f t="shared" si="22"/>
        <v>37573.991554612134</v>
      </c>
      <c r="AL10" s="6">
        <f t="shared" si="22"/>
        <v>35544.416971207313</v>
      </c>
      <c r="AM10" s="6">
        <f t="shared" si="22"/>
        <v>33603.197081886981</v>
      </c>
      <c r="AN10" s="6">
        <f t="shared" si="22"/>
        <v>31746.745037395645</v>
      </c>
      <c r="AO10" s="6">
        <f t="shared" si="22"/>
        <v>29971.618179619098</v>
      </c>
      <c r="AP10" s="6">
        <f t="shared" si="22"/>
        <v>28274.512268672646</v>
      </c>
    </row>
    <row r="11" spans="1:118" x14ac:dyDescent="0.25">
      <c r="E11" t="s">
        <v>24</v>
      </c>
      <c r="F11" s="7">
        <v>3595</v>
      </c>
      <c r="G11" s="7">
        <v>2736</v>
      </c>
      <c r="H11" s="7">
        <v>3005</v>
      </c>
      <c r="I11" s="7">
        <v>6392</v>
      </c>
      <c r="J11" s="7">
        <v>4995</v>
      </c>
      <c r="K11" s="7">
        <v>3796</v>
      </c>
      <c r="L11" s="7">
        <v>3938</v>
      </c>
      <c r="M11" s="7">
        <v>6212</v>
      </c>
      <c r="N11" s="4">
        <f>0.25*N10</f>
        <v>4269.4500000000007</v>
      </c>
      <c r="O11" s="4">
        <f t="shared" ref="O11:Q11" si="23">0.25*O10</f>
        <v>3418.4750000000004</v>
      </c>
      <c r="P11" s="4">
        <f t="shared" si="23"/>
        <v>3519.3450000000003</v>
      </c>
      <c r="Q11" s="4">
        <f t="shared" si="23"/>
        <v>5755.34</v>
      </c>
      <c r="S11" s="4"/>
      <c r="T11" s="4"/>
      <c r="U11" s="4"/>
      <c r="V11" s="4"/>
      <c r="W11" s="4"/>
      <c r="X11" s="7">
        <f>SUM(F11:I11)</f>
        <v>15728</v>
      </c>
      <c r="Y11" s="7">
        <f>SUM(J11:M11)</f>
        <v>18941</v>
      </c>
      <c r="Z11">
        <f>SUM(N11:Q11)</f>
        <v>16962.61</v>
      </c>
      <c r="AA11">
        <f>0.25*AA10</f>
        <v>15908.569500000001</v>
      </c>
      <c r="AB11">
        <f t="shared" ref="AB11:AP11" si="24">0.25*AB10</f>
        <v>15121.879195000001</v>
      </c>
      <c r="AC11">
        <f t="shared" si="24"/>
        <v>14368.591247449996</v>
      </c>
      <c r="AD11">
        <f t="shared" si="24"/>
        <v>13647.354528299495</v>
      </c>
      <c r="AE11">
        <f t="shared" si="24"/>
        <v>12956.872147134538</v>
      </c>
      <c r="AF11">
        <f t="shared" si="24"/>
        <v>12295.899281128781</v>
      </c>
      <c r="AG11">
        <f t="shared" si="24"/>
        <v>11663.241090855852</v>
      </c>
      <c r="AH11">
        <f t="shared" si="24"/>
        <v>11057.750719488422</v>
      </c>
      <c r="AI11">
        <f t="shared" si="24"/>
        <v>10478.327372048372</v>
      </c>
      <c r="AJ11">
        <f t="shared" si="24"/>
        <v>9923.9144715058319</v>
      </c>
      <c r="AK11">
        <f t="shared" si="24"/>
        <v>9393.4978886530334</v>
      </c>
      <c r="AL11">
        <f t="shared" si="24"/>
        <v>8886.1042428018281</v>
      </c>
      <c r="AM11">
        <f t="shared" si="24"/>
        <v>8400.7992704717453</v>
      </c>
      <c r="AN11">
        <f t="shared" si="24"/>
        <v>7936.6862593489113</v>
      </c>
      <c r="AO11">
        <f t="shared" si="24"/>
        <v>7492.9045449047744</v>
      </c>
      <c r="AP11">
        <f t="shared" si="24"/>
        <v>7068.6280671681616</v>
      </c>
    </row>
    <row r="12" spans="1:118" s="4" customFormat="1" x14ac:dyDescent="0.25">
      <c r="E12" s="4" t="s">
        <v>25</v>
      </c>
      <c r="F12" s="6">
        <f t="shared" ref="F12:M12" si="25">F10-F11</f>
        <v>10223</v>
      </c>
      <c r="G12" s="6">
        <f t="shared" si="25"/>
        <v>7748</v>
      </c>
      <c r="H12" s="6">
        <f t="shared" si="25"/>
        <v>8467</v>
      </c>
      <c r="I12" s="6">
        <f t="shared" si="25"/>
        <v>18024</v>
      </c>
      <c r="J12" s="6">
        <f t="shared" si="25"/>
        <v>13569</v>
      </c>
      <c r="K12" s="6">
        <f t="shared" si="25"/>
        <v>10677</v>
      </c>
      <c r="L12" s="6">
        <f t="shared" si="25"/>
        <v>11124</v>
      </c>
      <c r="M12" s="6">
        <f t="shared" si="25"/>
        <v>18361</v>
      </c>
      <c r="N12" s="6">
        <f t="shared" ref="N12" si="26">N10-N11</f>
        <v>12808.350000000002</v>
      </c>
      <c r="O12" s="6">
        <f t="shared" ref="O12" si="27">O10-O11</f>
        <v>10255.425000000001</v>
      </c>
      <c r="P12" s="6">
        <f t="shared" ref="P12" si="28">P10-P11</f>
        <v>10558.035</v>
      </c>
      <c r="Q12" s="6">
        <f t="shared" ref="Q12" si="29">Q10-Q11</f>
        <v>17266.02</v>
      </c>
      <c r="S12"/>
      <c r="T12"/>
      <c r="U12"/>
      <c r="V12"/>
      <c r="W12"/>
      <c r="X12" s="6">
        <f>X10-X11</f>
        <v>44462</v>
      </c>
      <c r="Y12" s="6">
        <f>Y10-Y11</f>
        <v>53731</v>
      </c>
      <c r="Z12" s="6">
        <f>Z10-Z11</f>
        <v>50887.830000000031</v>
      </c>
      <c r="AA12" s="6">
        <f t="shared" ref="AA12:AP12" si="30">AA10-AA11</f>
        <v>47725.708500000008</v>
      </c>
      <c r="AB12" s="6">
        <f t="shared" si="30"/>
        <v>45365.637585000004</v>
      </c>
      <c r="AC12" s="6">
        <f t="shared" si="30"/>
        <v>43105.773742349993</v>
      </c>
      <c r="AD12" s="6">
        <f t="shared" si="30"/>
        <v>40942.063584898482</v>
      </c>
      <c r="AE12" s="6">
        <f t="shared" si="30"/>
        <v>38870.616441403618</v>
      </c>
      <c r="AF12" s="6">
        <f t="shared" si="30"/>
        <v>36887.697843386341</v>
      </c>
      <c r="AG12" s="6">
        <f t="shared" si="30"/>
        <v>34989.723272567557</v>
      </c>
      <c r="AH12" s="6">
        <f t="shared" si="30"/>
        <v>33173.252158465264</v>
      </c>
      <c r="AI12" s="6">
        <f t="shared" si="30"/>
        <v>31434.982116145118</v>
      </c>
      <c r="AJ12" s="6">
        <f t="shared" si="30"/>
        <v>29771.743414517496</v>
      </c>
      <c r="AK12" s="6">
        <f t="shared" si="30"/>
        <v>28180.4936659591</v>
      </c>
      <c r="AL12" s="6">
        <f t="shared" si="30"/>
        <v>26658.312728405486</v>
      </c>
      <c r="AM12" s="6">
        <f t="shared" si="30"/>
        <v>25202.397811415234</v>
      </c>
      <c r="AN12" s="6">
        <f t="shared" si="30"/>
        <v>23810.058778046732</v>
      </c>
      <c r="AO12" s="6">
        <f t="shared" si="30"/>
        <v>22478.713634714324</v>
      </c>
      <c r="AP12" s="6">
        <f t="shared" si="30"/>
        <v>21205.884201504487</v>
      </c>
      <c r="AQ12" s="6">
        <f>AP12*(1+$AS$23)</f>
        <v>20569.707675459351</v>
      </c>
      <c r="AR12" s="6">
        <f t="shared" ref="AR12:DC12" si="31">AQ12*(1+$AS$23)</f>
        <v>19952.61644519557</v>
      </c>
      <c r="AS12" s="6">
        <f t="shared" si="31"/>
        <v>19354.037951839702</v>
      </c>
      <c r="AT12" s="6">
        <f t="shared" si="31"/>
        <v>18773.416813284512</v>
      </c>
      <c r="AU12" s="6">
        <f t="shared" si="31"/>
        <v>18210.214308885978</v>
      </c>
      <c r="AV12" s="6">
        <f t="shared" si="31"/>
        <v>17663.907879619397</v>
      </c>
      <c r="AW12" s="6">
        <f t="shared" si="31"/>
        <v>17133.990643230816</v>
      </c>
      <c r="AX12" s="6">
        <f t="shared" si="31"/>
        <v>16619.970923933892</v>
      </c>
      <c r="AY12" s="6">
        <f t="shared" si="31"/>
        <v>16121.371796215875</v>
      </c>
      <c r="AZ12" s="6">
        <f t="shared" si="31"/>
        <v>15637.730642329399</v>
      </c>
      <c r="BA12" s="6">
        <f t="shared" si="31"/>
        <v>15168.598723059516</v>
      </c>
      <c r="BB12" s="6">
        <f t="shared" si="31"/>
        <v>14713.540761367731</v>
      </c>
      <c r="BC12" s="6">
        <f t="shared" si="31"/>
        <v>14272.134538526698</v>
      </c>
      <c r="BD12" s="6">
        <f t="shared" si="31"/>
        <v>13843.970502370896</v>
      </c>
      <c r="BE12" s="6">
        <f t="shared" si="31"/>
        <v>13428.651387299769</v>
      </c>
      <c r="BF12" s="6">
        <f t="shared" si="31"/>
        <v>13025.791845680777</v>
      </c>
      <c r="BG12" s="6">
        <f t="shared" si="31"/>
        <v>12635.018090310354</v>
      </c>
      <c r="BH12" s="6">
        <f t="shared" si="31"/>
        <v>12255.967547601043</v>
      </c>
      <c r="BI12" s="6">
        <f t="shared" si="31"/>
        <v>11888.288521173012</v>
      </c>
      <c r="BJ12" s="6">
        <f t="shared" si="31"/>
        <v>11531.639865537822</v>
      </c>
      <c r="BK12" s="6">
        <f t="shared" si="31"/>
        <v>11185.690669571686</v>
      </c>
      <c r="BL12" s="6">
        <f t="shared" si="31"/>
        <v>10850.119949484535</v>
      </c>
      <c r="BM12" s="6">
        <f t="shared" si="31"/>
        <v>10524.616350999999</v>
      </c>
      <c r="BN12" s="6">
        <f t="shared" si="31"/>
        <v>10208.877860469998</v>
      </c>
      <c r="BO12" s="6">
        <f t="shared" si="31"/>
        <v>9902.6115246558984</v>
      </c>
      <c r="BP12" s="6">
        <f t="shared" si="31"/>
        <v>9605.533178916221</v>
      </c>
      <c r="BQ12" s="6">
        <f t="shared" si="31"/>
        <v>9317.3671835487348</v>
      </c>
      <c r="BR12" s="6">
        <f t="shared" si="31"/>
        <v>9037.8461680422733</v>
      </c>
      <c r="BS12" s="6">
        <f t="shared" si="31"/>
        <v>8766.7107830010045</v>
      </c>
      <c r="BT12" s="6">
        <f t="shared" si="31"/>
        <v>8503.7094595109738</v>
      </c>
      <c r="BU12" s="6">
        <f t="shared" si="31"/>
        <v>8248.598175725645</v>
      </c>
      <c r="BV12" s="6">
        <f t="shared" si="31"/>
        <v>8001.1402304538751</v>
      </c>
      <c r="BW12" s="6">
        <f t="shared" si="31"/>
        <v>7761.1060235402583</v>
      </c>
      <c r="BX12" s="6">
        <f t="shared" si="31"/>
        <v>7528.2728428340506</v>
      </c>
      <c r="BY12" s="6">
        <f t="shared" si="31"/>
        <v>7302.4246575490288</v>
      </c>
      <c r="BZ12" s="6">
        <f t="shared" si="31"/>
        <v>7083.3519178225579</v>
      </c>
      <c r="CA12" s="6">
        <f t="shared" si="31"/>
        <v>6870.8513602878811</v>
      </c>
      <c r="CB12" s="6">
        <f t="shared" si="31"/>
        <v>6664.7258194792448</v>
      </c>
      <c r="CC12" s="6">
        <f t="shared" si="31"/>
        <v>6464.7840448948673</v>
      </c>
      <c r="CD12" s="6">
        <f t="shared" si="31"/>
        <v>6270.8405235480213</v>
      </c>
      <c r="CE12" s="6">
        <f t="shared" si="31"/>
        <v>6082.7153078415804</v>
      </c>
      <c r="CF12" s="6">
        <f t="shared" si="31"/>
        <v>5900.2338486063327</v>
      </c>
      <c r="CG12" s="6">
        <f t="shared" si="31"/>
        <v>5723.2268331481428</v>
      </c>
      <c r="CH12" s="6">
        <f t="shared" si="31"/>
        <v>5551.5300281536984</v>
      </c>
      <c r="CI12" s="6">
        <f t="shared" si="31"/>
        <v>5384.9841273090869</v>
      </c>
      <c r="CJ12" s="6">
        <f t="shared" si="31"/>
        <v>5223.4346034898144</v>
      </c>
      <c r="CK12" s="6">
        <f t="shared" si="31"/>
        <v>5066.7315653851201</v>
      </c>
      <c r="CL12" s="6">
        <f t="shared" si="31"/>
        <v>4914.7296184235665</v>
      </c>
      <c r="CM12" s="6">
        <f t="shared" si="31"/>
        <v>4767.287729870859</v>
      </c>
      <c r="CN12" s="6">
        <f t="shared" si="31"/>
        <v>4624.2690979747331</v>
      </c>
      <c r="CO12" s="6">
        <f t="shared" si="31"/>
        <v>4485.5410250354907</v>
      </c>
      <c r="CP12" s="6">
        <f t="shared" si="31"/>
        <v>4350.974794284426</v>
      </c>
      <c r="CQ12" s="6">
        <f t="shared" si="31"/>
        <v>4220.4455504558928</v>
      </c>
      <c r="CR12" s="6">
        <f t="shared" si="31"/>
        <v>4093.832183942216</v>
      </c>
      <c r="CS12" s="6">
        <f t="shared" si="31"/>
        <v>3971.0172184239495</v>
      </c>
      <c r="CT12" s="6">
        <f t="shared" si="31"/>
        <v>3851.8867018712308</v>
      </c>
      <c r="CU12" s="6">
        <f t="shared" si="31"/>
        <v>3736.3301008150938</v>
      </c>
      <c r="CV12" s="6">
        <f t="shared" si="31"/>
        <v>3624.2401977906411</v>
      </c>
      <c r="CW12" s="6">
        <f t="shared" si="31"/>
        <v>3515.5129918569219</v>
      </c>
      <c r="CX12" s="6">
        <f t="shared" si="31"/>
        <v>3410.0476021012141</v>
      </c>
      <c r="CY12" s="6">
        <f t="shared" si="31"/>
        <v>3307.7461740381777</v>
      </c>
      <c r="CZ12" s="6">
        <f t="shared" si="31"/>
        <v>3208.5137888170325</v>
      </c>
      <c r="DA12" s="6">
        <f t="shared" si="31"/>
        <v>3112.2583751525212</v>
      </c>
      <c r="DB12" s="6">
        <f t="shared" si="31"/>
        <v>3018.8906238979457</v>
      </c>
      <c r="DC12" s="6">
        <f t="shared" si="31"/>
        <v>2928.3239051810074</v>
      </c>
      <c r="DD12" s="6">
        <f t="shared" ref="DD12:DN12" si="32">DC12*(1+$AS$23)</f>
        <v>2840.474188025577</v>
      </c>
      <c r="DE12" s="6">
        <f t="shared" si="32"/>
        <v>2755.2599623848096</v>
      </c>
      <c r="DF12" s="6">
        <f t="shared" si="32"/>
        <v>2672.6021635132652</v>
      </c>
      <c r="DG12" s="6">
        <f t="shared" si="32"/>
        <v>2592.4240986078671</v>
      </c>
      <c r="DH12" s="6">
        <f t="shared" si="32"/>
        <v>2514.6513756496311</v>
      </c>
      <c r="DI12" s="6">
        <f t="shared" si="32"/>
        <v>2439.2118343801421</v>
      </c>
      <c r="DJ12" s="6">
        <f t="shared" si="32"/>
        <v>2366.0354793487377</v>
      </c>
      <c r="DK12" s="6">
        <f t="shared" si="32"/>
        <v>2295.0544149682755</v>
      </c>
      <c r="DL12" s="6">
        <f t="shared" si="32"/>
        <v>2226.2027825192272</v>
      </c>
      <c r="DM12" s="6">
        <f t="shared" si="32"/>
        <v>2159.4166990436502</v>
      </c>
      <c r="DN12" s="6">
        <f t="shared" si="32"/>
        <v>2094.6341980723405</v>
      </c>
    </row>
    <row r="13" spans="1:118" x14ac:dyDescent="0.25">
      <c r="E13" t="s">
        <v>28</v>
      </c>
      <c r="F13">
        <v>6123.3019999999997</v>
      </c>
      <c r="G13">
        <v>6012.6350000000002</v>
      </c>
      <c r="H13" s="7">
        <v>5933.8450000000003</v>
      </c>
      <c r="I13" s="7">
        <v>5843.0820000000003</v>
      </c>
      <c r="J13">
        <v>5793.799</v>
      </c>
      <c r="K13">
        <v>5729.8860000000004</v>
      </c>
      <c r="L13" s="7">
        <v>5646.9160000000002</v>
      </c>
      <c r="M13" s="7">
        <v>5544.5829999999996</v>
      </c>
      <c r="N13" s="7">
        <v>5545.5829999999996</v>
      </c>
      <c r="O13" s="7">
        <v>5546.5829999999996</v>
      </c>
      <c r="P13" s="7">
        <v>5547.5829999999996</v>
      </c>
      <c r="Q13" s="7">
        <v>5548.5829999999996</v>
      </c>
      <c r="X13" s="7">
        <f>AVERAGE(F13:I13)</f>
        <v>5978.2160000000003</v>
      </c>
      <c r="Y13">
        <f>AVERAGE(J13:M13)</f>
        <v>5678.7960000000003</v>
      </c>
      <c r="Z13" s="7">
        <f>AVERAGE(N13:Q13)</f>
        <v>5547.0829999999996</v>
      </c>
      <c r="AA13" s="7">
        <v>5548</v>
      </c>
      <c r="AB13" s="7">
        <v>5548</v>
      </c>
      <c r="AC13" s="7">
        <v>5548</v>
      </c>
      <c r="AD13" s="7">
        <v>5548</v>
      </c>
      <c r="AE13" s="7">
        <v>5548</v>
      </c>
      <c r="AF13" s="7">
        <v>5548</v>
      </c>
      <c r="AG13" s="7">
        <v>5548</v>
      </c>
      <c r="AH13" s="7">
        <v>5548</v>
      </c>
      <c r="AI13" s="7">
        <v>5548</v>
      </c>
      <c r="AJ13" s="7">
        <v>5548</v>
      </c>
      <c r="AK13" s="7">
        <v>5548</v>
      </c>
      <c r="AL13" s="7">
        <v>5548</v>
      </c>
      <c r="AM13" s="7">
        <v>5548</v>
      </c>
      <c r="AN13" s="7">
        <v>5548</v>
      </c>
      <c r="AO13" s="7">
        <v>5548</v>
      </c>
      <c r="AP13" s="7">
        <v>5548</v>
      </c>
    </row>
    <row r="14" spans="1:118" x14ac:dyDescent="0.25">
      <c r="E14" s="5" t="s">
        <v>29</v>
      </c>
      <c r="F14" s="1">
        <f t="shared" ref="F14:M14" si="33">F12/F13</f>
        <v>1.6695240574448231</v>
      </c>
      <c r="G14" s="1">
        <f t="shared" si="33"/>
        <v>1.2886197149835306</v>
      </c>
      <c r="H14" s="1">
        <f t="shared" si="33"/>
        <v>1.4268994218756976</v>
      </c>
      <c r="I14" s="1">
        <f t="shared" si="33"/>
        <v>3.08467346513364</v>
      </c>
      <c r="J14" s="1">
        <f t="shared" si="33"/>
        <v>2.3419866653986445</v>
      </c>
      <c r="K14" s="1">
        <f t="shared" si="33"/>
        <v>1.8633878579783261</v>
      </c>
      <c r="L14" s="1">
        <f t="shared" si="33"/>
        <v>1.9699248226819737</v>
      </c>
      <c r="M14" s="1">
        <f t="shared" si="33"/>
        <v>3.311520451583104</v>
      </c>
      <c r="N14" s="1">
        <f t="shared" ref="N14" si="34">N12/N13</f>
        <v>2.3096489584593725</v>
      </c>
      <c r="O14" s="1">
        <f t="shared" ref="O14" si="35">O12/O13</f>
        <v>1.8489626856751269</v>
      </c>
      <c r="P14" s="1">
        <f t="shared" ref="P14" si="36">P12/P13</f>
        <v>1.9031774738656457</v>
      </c>
      <c r="Q14" s="1">
        <f t="shared" ref="Q14" si="37">Q12/Q13</f>
        <v>3.1117890820052616</v>
      </c>
      <c r="X14" s="1">
        <f>X12/X13</f>
        <v>7.4373358205859406</v>
      </c>
      <c r="Y14" s="1">
        <f>Y12/Y13</f>
        <v>9.4616887100716411</v>
      </c>
      <c r="Z14" s="1">
        <f>Z12/Z13</f>
        <v>9.1737999954210228</v>
      </c>
      <c r="AA14" s="1">
        <f t="shared" ref="AA14" si="38">AA12/AA13</f>
        <v>8.6023266943042547</v>
      </c>
      <c r="AB14" s="1">
        <f t="shared" ref="AB14" si="39">AB12/AB13</f>
        <v>8.1769353974405199</v>
      </c>
      <c r="AC14" s="1">
        <f t="shared" ref="AC14" si="40">AC12/AC13</f>
        <v>7.7696059376982687</v>
      </c>
      <c r="AD14" s="1">
        <f t="shared" ref="AD14" si="41">AD12/AD13</f>
        <v>7.3796077117697338</v>
      </c>
      <c r="AE14" s="1">
        <f t="shared" ref="AE14" si="42">AE12/AE13</f>
        <v>7.0062394450979841</v>
      </c>
      <c r="AF14" s="1">
        <f t="shared" ref="AF14" si="43">AF12/AF13</f>
        <v>6.6488280179139041</v>
      </c>
      <c r="AG14" s="1">
        <f t="shared" ref="AG14" si="44">AG12/AG13</f>
        <v>6.3067273382421698</v>
      </c>
      <c r="AH14" s="1">
        <f t="shared" ref="AH14" si="45">AH12/AH13</f>
        <v>5.9793172599973436</v>
      </c>
      <c r="AI14" s="1">
        <f t="shared" ref="AI14" si="46">AI12/AI13</f>
        <v>5.6660025443664592</v>
      </c>
      <c r="AJ14" s="1">
        <f t="shared" ref="AJ14" si="47">AJ12/AJ13</f>
        <v>5.3662118627464848</v>
      </c>
      <c r="AK14" s="1">
        <f t="shared" ref="AK14" si="48">AK12/AK13</f>
        <v>5.0793968395744598</v>
      </c>
      <c r="AL14" s="1">
        <f t="shared" ref="AL14" si="49">AL12/AL13</f>
        <v>4.8050311334544853</v>
      </c>
      <c r="AM14" s="1">
        <f t="shared" ref="AM14" si="50">AM12/AM13</f>
        <v>4.5426095550496095</v>
      </c>
      <c r="AN14" s="1">
        <f t="shared" ref="AN14" si="51">AN12/AN13</f>
        <v>4.2916472202679765</v>
      </c>
      <c r="AO14" s="1">
        <f t="shared" ref="AO14" si="52">AO12/AO13</f>
        <v>4.0516787373313488</v>
      </c>
      <c r="AP14" s="1">
        <f t="shared" ref="AP14" si="53">AP12/AP13</f>
        <v>3.8222574263706717</v>
      </c>
    </row>
    <row r="16" spans="1:118" x14ac:dyDescent="0.25">
      <c r="E16" t="s">
        <v>15</v>
      </c>
      <c r="F16" s="2">
        <f t="shared" ref="F16:M16" si="54">F4/F2</f>
        <v>0.39317793453971872</v>
      </c>
      <c r="G16" s="2">
        <f t="shared" si="54"/>
        <v>0.39364714682624491</v>
      </c>
      <c r="H16" s="2">
        <f t="shared" si="54"/>
        <v>0.38005365239892697</v>
      </c>
      <c r="I16" s="2">
        <f t="shared" si="54"/>
        <v>0.39867826646469789</v>
      </c>
      <c r="J16" s="2">
        <f t="shared" si="54"/>
        <v>0.40779176004137219</v>
      </c>
      <c r="K16" s="2">
        <f t="shared" si="54"/>
        <v>0.3967543594395726</v>
      </c>
      <c r="L16" s="2">
        <f t="shared" si="54"/>
        <v>0.39898254402827127</v>
      </c>
      <c r="M16" s="2">
        <f t="shared" si="54"/>
        <v>0.40097796288485871</v>
      </c>
      <c r="N16" s="2">
        <f t="shared" ref="N16:Q16" si="55">N4/N2</f>
        <v>0.40000000000000008</v>
      </c>
      <c r="O16" s="2">
        <f t="shared" si="55"/>
        <v>0.4</v>
      </c>
      <c r="P16" s="2">
        <f t="shared" si="55"/>
        <v>0.4</v>
      </c>
      <c r="Q16" s="2">
        <f t="shared" si="55"/>
        <v>0.4</v>
      </c>
      <c r="X16" s="2">
        <f t="shared" ref="X16:Y16" si="56">X4/X2</f>
        <v>0.39255255255255256</v>
      </c>
      <c r="Y16" s="2">
        <f t="shared" si="56"/>
        <v>0.40133113180247504</v>
      </c>
      <c r="Z16" s="2">
        <f t="shared" ref="Z16:AP16" si="57">Z4/Z2</f>
        <v>0.40000000000000013</v>
      </c>
      <c r="AA16" s="2">
        <f t="shared" si="57"/>
        <v>0.40000000000000008</v>
      </c>
      <c r="AB16" s="2">
        <f t="shared" si="57"/>
        <v>0.4</v>
      </c>
      <c r="AC16" s="2">
        <f t="shared" si="57"/>
        <v>0.4</v>
      </c>
      <c r="AD16" s="2">
        <f t="shared" si="57"/>
        <v>0.39999999999999997</v>
      </c>
      <c r="AE16" s="2">
        <f t="shared" si="57"/>
        <v>0.4</v>
      </c>
      <c r="AF16" s="2">
        <f t="shared" si="57"/>
        <v>0.4</v>
      </c>
      <c r="AG16" s="2">
        <f t="shared" si="57"/>
        <v>0.4</v>
      </c>
      <c r="AH16" s="2">
        <f t="shared" si="57"/>
        <v>0.4</v>
      </c>
      <c r="AI16" s="2">
        <f t="shared" si="57"/>
        <v>0.4</v>
      </c>
      <c r="AJ16" s="2">
        <f t="shared" si="57"/>
        <v>0.4</v>
      </c>
      <c r="AK16" s="2">
        <f t="shared" si="57"/>
        <v>0.4</v>
      </c>
      <c r="AL16" s="2">
        <f t="shared" si="57"/>
        <v>0.4</v>
      </c>
      <c r="AM16" s="2">
        <f t="shared" si="57"/>
        <v>0.4</v>
      </c>
      <c r="AN16" s="2">
        <f t="shared" si="57"/>
        <v>0.4</v>
      </c>
      <c r="AO16" s="2">
        <f t="shared" si="57"/>
        <v>0.4</v>
      </c>
      <c r="AP16" s="2">
        <f t="shared" si="57"/>
        <v>0.4</v>
      </c>
    </row>
    <row r="17" spans="5:48" x14ac:dyDescent="0.25">
      <c r="E17" t="s">
        <v>21</v>
      </c>
      <c r="F17" s="2">
        <f t="shared" ref="F17:M17" si="58">F8/F2</f>
        <v>0.29779170135389738</v>
      </c>
      <c r="G17" s="2">
        <f t="shared" si="58"/>
        <v>0.27468476170121819</v>
      </c>
      <c r="H17" s="2">
        <f t="shared" si="58"/>
        <v>0.26505709469885813</v>
      </c>
      <c r="I17" s="2">
        <f t="shared" si="58"/>
        <v>0.32501776163219348</v>
      </c>
      <c r="J17" s="2">
        <f t="shared" si="58"/>
        <v>0.31508360627478021</v>
      </c>
      <c r="K17" s="2">
        <f t="shared" si="58"/>
        <v>0.28390283237576858</v>
      </c>
      <c r="L17" s="2">
        <f t="shared" si="58"/>
        <v>0.28393623424787867</v>
      </c>
      <c r="M17" s="2">
        <f t="shared" si="58"/>
        <v>0.31857602277520036</v>
      </c>
      <c r="N17" s="2">
        <f t="shared" ref="N17:Q17" si="59">N8/N2</f>
        <v>0.30241246971937691</v>
      </c>
      <c r="O17" s="2">
        <f t="shared" si="59"/>
        <v>0.28120891888020627</v>
      </c>
      <c r="P17" s="2">
        <f t="shared" si="59"/>
        <v>0.27889862128379728</v>
      </c>
      <c r="Q17" s="2">
        <f t="shared" si="59"/>
        <v>0.31326111567404386</v>
      </c>
      <c r="X17" s="2">
        <f t="shared" ref="X17:Y17" si="60">X8/X2</f>
        <v>0.29672672672672673</v>
      </c>
      <c r="Y17" s="2">
        <f t="shared" si="60"/>
        <v>0.30280269630789658</v>
      </c>
      <c r="Z17" s="2">
        <f t="shared" ref="Z17:AP17" si="61">Z8/Z2</f>
        <v>0.2962858573741281</v>
      </c>
      <c r="AA17" s="2">
        <f t="shared" si="61"/>
        <v>0.29191894610567021</v>
      </c>
      <c r="AB17" s="2">
        <f t="shared" si="61"/>
        <v>0.28854141317147242</v>
      </c>
      <c r="AC17" s="2">
        <f t="shared" si="61"/>
        <v>0.28505833233308087</v>
      </c>
      <c r="AD17" s="2">
        <f t="shared" si="61"/>
        <v>0.28146640521848959</v>
      </c>
      <c r="AE17" s="2">
        <f t="shared" si="61"/>
        <v>0.27776223038156744</v>
      </c>
      <c r="AF17" s="2">
        <f t="shared" si="61"/>
        <v>0.27394230008099141</v>
      </c>
      <c r="AG17" s="2">
        <f t="shared" si="61"/>
        <v>0.27000299695852242</v>
      </c>
      <c r="AH17" s="2">
        <f t="shared" si="61"/>
        <v>0.26594059061347619</v>
      </c>
      <c r="AI17" s="2">
        <f t="shared" si="61"/>
        <v>0.26175123407014733</v>
      </c>
      <c r="AJ17" s="2">
        <f t="shared" si="61"/>
        <v>0.25743096013483946</v>
      </c>
      <c r="AK17" s="2">
        <f t="shared" si="61"/>
        <v>0.25297567763905315</v>
      </c>
      <c r="AL17" s="2">
        <f t="shared" si="61"/>
        <v>0.24838116756527362</v>
      </c>
      <c r="AM17" s="2">
        <f t="shared" si="61"/>
        <v>0.24364307905168839</v>
      </c>
      <c r="AN17" s="2">
        <f t="shared" si="61"/>
        <v>0.23875692527205364</v>
      </c>
      <c r="AO17" s="2">
        <f t="shared" si="61"/>
        <v>0.23371807918680523</v>
      </c>
      <c r="AP17" s="2">
        <f t="shared" si="61"/>
        <v>0.22852176916139294</v>
      </c>
    </row>
    <row r="18" spans="5:48" x14ac:dyDescent="0.25">
      <c r="E18" t="s">
        <v>26</v>
      </c>
      <c r="F18" s="2">
        <f t="shared" ref="F18:M18" si="62">F12/F2</f>
        <v>0.22396266923717303</v>
      </c>
      <c r="G18" s="2">
        <f t="shared" si="62"/>
        <v>0.20698867279333191</v>
      </c>
      <c r="H18" s="2">
        <f t="shared" si="62"/>
        <v>0.20100657597986848</v>
      </c>
      <c r="I18" s="2">
        <f t="shared" si="62"/>
        <v>0.24161181785278624</v>
      </c>
      <c r="J18" s="2">
        <f t="shared" si="62"/>
        <v>0.2339079469057059</v>
      </c>
      <c r="K18" s="2">
        <f t="shared" si="62"/>
        <v>0.21524039915331117</v>
      </c>
      <c r="L18" s="2">
        <f t="shared" si="62"/>
        <v>0.21599580590668144</v>
      </c>
      <c r="M18" s="2">
        <f t="shared" si="62"/>
        <v>0.24199968367777308</v>
      </c>
      <c r="N18" s="2">
        <f t="shared" ref="N18:Q18" si="63">N12/N2</f>
        <v>0.23241637104310514</v>
      </c>
      <c r="O18" s="2">
        <f t="shared" si="63"/>
        <v>0.21762290516130062</v>
      </c>
      <c r="P18" s="2">
        <f t="shared" si="63"/>
        <v>0.21579621857112638</v>
      </c>
      <c r="Q18" s="2">
        <f t="shared" si="63"/>
        <v>0.23954499544939956</v>
      </c>
      <c r="X18" s="2">
        <f t="shared" ref="X18:Y18" si="64">X12/X2</f>
        <v>0.22253253253253252</v>
      </c>
      <c r="Y18" s="2">
        <f t="shared" si="64"/>
        <v>0.22865422915212691</v>
      </c>
      <c r="Z18" s="2">
        <f t="shared" ref="Z18:AP18" si="65">Z12/Z2</f>
        <v>0.22795264797396161</v>
      </c>
      <c r="AA18" s="2">
        <f t="shared" si="65"/>
        <v>0.22503988062430447</v>
      </c>
      <c r="AB18" s="2">
        <f t="shared" si="65"/>
        <v>0.22282447420725254</v>
      </c>
      <c r="AC18" s="2">
        <f t="shared" si="65"/>
        <v>0.22054645599140932</v>
      </c>
      <c r="AD18" s="2">
        <f t="shared" si="65"/>
        <v>0.21820421413159077</v>
      </c>
      <c r="AE18" s="2">
        <f t="shared" si="65"/>
        <v>0.21579610436940558</v>
      </c>
      <c r="AF18" s="2">
        <f t="shared" si="65"/>
        <v>0.21332044995560012</v>
      </c>
      <c r="AG18" s="2">
        <f t="shared" si="65"/>
        <v>0.21077554161868883</v>
      </c>
      <c r="AH18" s="2">
        <f t="shared" si="65"/>
        <v>0.20815963758385192</v>
      </c>
      <c r="AI18" s="2">
        <f t="shared" si="65"/>
        <v>0.20547096364634201</v>
      </c>
      <c r="AJ18" s="2">
        <f t="shared" si="65"/>
        <v>0.2027077133039096</v>
      </c>
      <c r="AK18" s="2">
        <f t="shared" si="65"/>
        <v>0.19986804795304799</v>
      </c>
      <c r="AL18" s="2">
        <f t="shared" si="65"/>
        <v>0.19695009715415909</v>
      </c>
      <c r="AM18" s="2">
        <f t="shared" si="65"/>
        <v>0.19395195897106413</v>
      </c>
      <c r="AN18" s="2">
        <f t="shared" si="65"/>
        <v>0.1908717003906244</v>
      </c>
      <c r="AO18" s="2">
        <f t="shared" si="65"/>
        <v>0.18770735782859355</v>
      </c>
      <c r="AP18" s="2">
        <f t="shared" si="65"/>
        <v>0.18445693772820568</v>
      </c>
    </row>
    <row r="19" spans="5:48" x14ac:dyDescent="0.25">
      <c r="E19" t="s">
        <v>27</v>
      </c>
      <c r="F19" s="2">
        <f t="shared" ref="F19:M19" si="66">F11/F10</f>
        <v>0.26016789694601244</v>
      </c>
      <c r="G19" s="2">
        <f t="shared" si="66"/>
        <v>0.26096909576497518</v>
      </c>
      <c r="H19" s="2">
        <f t="shared" si="66"/>
        <v>0.26194211994421202</v>
      </c>
      <c r="I19" s="2">
        <f t="shared" si="66"/>
        <v>0.26179554390563564</v>
      </c>
      <c r="J19" s="2">
        <f t="shared" si="66"/>
        <v>0.26906916612798965</v>
      </c>
      <c r="K19" s="2">
        <f t="shared" si="66"/>
        <v>0.26228148967042081</v>
      </c>
      <c r="L19" s="2">
        <f t="shared" si="66"/>
        <v>0.26145266232903996</v>
      </c>
      <c r="M19" s="2">
        <f t="shared" si="66"/>
        <v>0.25279778618809262</v>
      </c>
      <c r="N19" s="2">
        <f t="shared" ref="N19:Q19" si="67">N11/N10</f>
        <v>0.25</v>
      </c>
      <c r="O19" s="2">
        <f t="shared" si="67"/>
        <v>0.25</v>
      </c>
      <c r="P19" s="2">
        <f t="shared" si="67"/>
        <v>0.25</v>
      </c>
      <c r="Q19" s="2">
        <f t="shared" si="67"/>
        <v>0.25</v>
      </c>
      <c r="X19" s="2">
        <f t="shared" ref="X19:Y19" si="68">X11/X10</f>
        <v>0.26130586476158829</v>
      </c>
      <c r="Y19" s="2">
        <f t="shared" si="68"/>
        <v>0.2606368339938353</v>
      </c>
      <c r="Z19" s="2">
        <f t="shared" ref="Z19:AP19" si="69">Z11/Z10</f>
        <v>0.24999999999999989</v>
      </c>
      <c r="AA19" s="2">
        <f t="shared" si="69"/>
        <v>0.25</v>
      </c>
      <c r="AB19" s="2">
        <f t="shared" si="69"/>
        <v>0.25</v>
      </c>
      <c r="AC19" s="2">
        <f t="shared" si="69"/>
        <v>0.25</v>
      </c>
      <c r="AD19" s="2">
        <f t="shared" si="69"/>
        <v>0.25</v>
      </c>
      <c r="AE19" s="2">
        <f t="shared" si="69"/>
        <v>0.25</v>
      </c>
      <c r="AF19" s="2">
        <f t="shared" si="69"/>
        <v>0.25</v>
      </c>
      <c r="AG19" s="2">
        <f t="shared" si="69"/>
        <v>0.25</v>
      </c>
      <c r="AH19" s="2">
        <f t="shared" si="69"/>
        <v>0.25</v>
      </c>
      <c r="AI19" s="2">
        <f t="shared" si="69"/>
        <v>0.25</v>
      </c>
      <c r="AJ19" s="2">
        <f t="shared" si="69"/>
        <v>0.25</v>
      </c>
      <c r="AK19" s="2">
        <f t="shared" si="69"/>
        <v>0.25</v>
      </c>
      <c r="AL19" s="2">
        <f t="shared" si="69"/>
        <v>0.25</v>
      </c>
      <c r="AM19" s="2">
        <f t="shared" si="69"/>
        <v>0.25</v>
      </c>
      <c r="AN19" s="2">
        <f t="shared" si="69"/>
        <v>0.25</v>
      </c>
      <c r="AO19" s="2">
        <f t="shared" si="69"/>
        <v>0.25</v>
      </c>
      <c r="AP19" s="2">
        <f t="shared" si="69"/>
        <v>0.25</v>
      </c>
    </row>
    <row r="20" spans="5:48" x14ac:dyDescent="0.25">
      <c r="S20" s="4"/>
      <c r="T20" s="4"/>
      <c r="U20" s="4"/>
      <c r="V20" s="4"/>
      <c r="W20" s="4"/>
    </row>
    <row r="21" spans="5:48" s="4" customFormat="1" x14ac:dyDescent="0.25">
      <c r="E21" s="4" t="s">
        <v>31</v>
      </c>
      <c r="J21" s="8">
        <f>J2/F2-1</f>
        <v>0.27086710774218981</v>
      </c>
      <c r="K21" s="8">
        <f>K2/G2-1</f>
        <v>0.32520303483650359</v>
      </c>
      <c r="L21" s="8">
        <f>L2/H2-1</f>
        <v>0.22263371554732569</v>
      </c>
      <c r="M21" s="8">
        <f>M2/I2-1</f>
        <v>1.7064571911151516E-2</v>
      </c>
      <c r="S21"/>
      <c r="T21"/>
      <c r="U21"/>
      <c r="V21"/>
      <c r="W21"/>
      <c r="Y21" s="8">
        <f>Y2/X2-1</f>
        <v>0.17611611611611622</v>
      </c>
      <c r="Z21" s="8">
        <f>Z2/Y2-1</f>
        <v>-4.9999999999999933E-2</v>
      </c>
      <c r="AA21" s="8">
        <f t="shared" ref="AA21:AP21" si="70">AA2/Z2-1</f>
        <v>-5.0000000000000044E-2</v>
      </c>
      <c r="AB21" s="8">
        <f t="shared" si="70"/>
        <v>-4.0000000000000036E-2</v>
      </c>
      <c r="AC21" s="8">
        <f t="shared" si="70"/>
        <v>-4.0000000000000147E-2</v>
      </c>
      <c r="AD21" s="8">
        <f t="shared" si="70"/>
        <v>-4.0000000000000036E-2</v>
      </c>
      <c r="AE21" s="8">
        <f t="shared" si="70"/>
        <v>-4.0000000000000147E-2</v>
      </c>
      <c r="AF21" s="8">
        <f t="shared" si="70"/>
        <v>-4.0000000000000036E-2</v>
      </c>
      <c r="AG21" s="8">
        <f t="shared" si="70"/>
        <v>-3.9999999999999925E-2</v>
      </c>
      <c r="AH21" s="8">
        <f t="shared" si="70"/>
        <v>-4.0000000000000147E-2</v>
      </c>
      <c r="AI21" s="8">
        <f t="shared" si="70"/>
        <v>-4.0000000000000036E-2</v>
      </c>
      <c r="AJ21" s="8">
        <f t="shared" si="70"/>
        <v>-4.0000000000000147E-2</v>
      </c>
      <c r="AK21" s="8">
        <f t="shared" si="70"/>
        <v>-4.0000000000000036E-2</v>
      </c>
      <c r="AL21" s="8">
        <f t="shared" si="70"/>
        <v>-4.0000000000000036E-2</v>
      </c>
      <c r="AM21" s="8">
        <f t="shared" si="70"/>
        <v>-4.0000000000000036E-2</v>
      </c>
      <c r="AN21" s="8">
        <f t="shared" si="70"/>
        <v>-4.0000000000000036E-2</v>
      </c>
      <c r="AO21" s="8">
        <f t="shared" si="70"/>
        <v>-4.0000000000000036E-2</v>
      </c>
      <c r="AP21" s="8">
        <f t="shared" si="70"/>
        <v>-4.0000000000000036E-2</v>
      </c>
    </row>
    <row r="22" spans="5:48" x14ac:dyDescent="0.25">
      <c r="AV22" t="s">
        <v>68</v>
      </c>
    </row>
    <row r="23" spans="5:48" x14ac:dyDescent="0.25">
      <c r="E23" t="s">
        <v>32</v>
      </c>
      <c r="AR23" t="s">
        <v>61</v>
      </c>
      <c r="AS23" s="2">
        <v>-0.03</v>
      </c>
      <c r="AU23" t="s">
        <v>62</v>
      </c>
      <c r="AV23" s="2">
        <v>0.1</v>
      </c>
    </row>
    <row r="24" spans="5:48" x14ac:dyDescent="0.25">
      <c r="E24" t="s">
        <v>34</v>
      </c>
      <c r="H24">
        <f>13844+11233+130162</f>
        <v>155239</v>
      </c>
      <c r="J24">
        <f>14489+18607+160443</f>
        <v>193539</v>
      </c>
      <c r="K24">
        <f>15319+19384+168145</f>
        <v>202848</v>
      </c>
      <c r="L24">
        <f>21120+20481+164065</f>
        <v>205666</v>
      </c>
      <c r="M24">
        <f>16689+21385+177665</f>
        <v>215739</v>
      </c>
      <c r="AR24" s="4" t="s">
        <v>54</v>
      </c>
      <c r="AS24" s="8">
        <v>0.06</v>
      </c>
      <c r="AU24" t="s">
        <v>63</v>
      </c>
      <c r="AV24" s="2">
        <v>0.04</v>
      </c>
    </row>
    <row r="25" spans="5:48" x14ac:dyDescent="0.25">
      <c r="E25" t="s">
        <v>35</v>
      </c>
      <c r="H25">
        <v>17460</v>
      </c>
      <c r="J25">
        <f>10905</f>
        <v>10905</v>
      </c>
      <c r="K25">
        <f>10370</f>
        <v>10370</v>
      </c>
      <c r="L25">
        <v>16849</v>
      </c>
      <c r="M25">
        <f>12953</f>
        <v>12953</v>
      </c>
      <c r="AR25" t="s">
        <v>55</v>
      </c>
      <c r="AS25" s="7">
        <f>NPV(AS24, Z12:DN12)</f>
        <v>469155.80843236862</v>
      </c>
      <c r="AU25" t="s">
        <v>64</v>
      </c>
      <c r="AV25" s="2">
        <v>0.08</v>
      </c>
    </row>
    <row r="26" spans="5:48" x14ac:dyDescent="0.25">
      <c r="E26" t="s">
        <v>36</v>
      </c>
      <c r="H26">
        <v>2111</v>
      </c>
      <c r="J26">
        <v>2396</v>
      </c>
      <c r="K26">
        <v>2042</v>
      </c>
      <c r="L26">
        <v>2349</v>
      </c>
      <c r="M26">
        <v>2451</v>
      </c>
      <c r="AR26" t="s">
        <v>57</v>
      </c>
      <c r="AS26" s="7">
        <f>$B$4-$B$5</f>
        <v>152776</v>
      </c>
      <c r="AU26" t="s">
        <v>65</v>
      </c>
      <c r="AV26" s="2">
        <v>0.05</v>
      </c>
    </row>
    <row r="27" spans="5:48" x14ac:dyDescent="0.25">
      <c r="E27" t="s">
        <v>37</v>
      </c>
      <c r="H27">
        <v>9759</v>
      </c>
      <c r="J27">
        <v>7259</v>
      </c>
      <c r="K27">
        <v>9537</v>
      </c>
      <c r="L27">
        <v>13494</v>
      </c>
      <c r="M27">
        <v>11668</v>
      </c>
      <c r="AR27" t="s">
        <v>58</v>
      </c>
      <c r="AS27" s="7">
        <f>AS25+AS26</f>
        <v>621931.80843236856</v>
      </c>
      <c r="AU27" t="s">
        <v>66</v>
      </c>
      <c r="AV27" s="2">
        <v>0.1</v>
      </c>
    </row>
    <row r="28" spans="5:48" x14ac:dyDescent="0.25">
      <c r="E28" t="s">
        <v>38</v>
      </c>
      <c r="H28">
        <f>9806+4318</f>
        <v>14124</v>
      </c>
      <c r="J28">
        <f>5141+9094</f>
        <v>14235</v>
      </c>
      <c r="K28">
        <f>9291+5010</f>
        <v>14301</v>
      </c>
      <c r="L28">
        <f>9539+5546</f>
        <v>15085</v>
      </c>
      <c r="M28">
        <v>11073</v>
      </c>
      <c r="AR28" s="10" t="s">
        <v>59</v>
      </c>
      <c r="AS28" s="10">
        <f>AS27/B2*1000</f>
        <v>112.16926654941743</v>
      </c>
      <c r="AU28" t="s">
        <v>67</v>
      </c>
      <c r="AV28" s="2">
        <v>0.06</v>
      </c>
    </row>
    <row r="29" spans="5:48" x14ac:dyDescent="0.25">
      <c r="E29" t="s">
        <v>39</v>
      </c>
      <c r="H29">
        <v>20624</v>
      </c>
      <c r="J29">
        <v>20151</v>
      </c>
      <c r="K29">
        <v>21149</v>
      </c>
      <c r="L29">
        <v>22471</v>
      </c>
      <c r="M29">
        <v>22300</v>
      </c>
      <c r="AR29" s="11" t="s">
        <v>60</v>
      </c>
      <c r="AS29" s="11">
        <f>B1</f>
        <v>109.56</v>
      </c>
    </row>
    <row r="30" spans="5:48" x14ac:dyDescent="0.25">
      <c r="E30" t="s">
        <v>40</v>
      </c>
      <c r="H30">
        <f>4616+4142</f>
        <v>8758</v>
      </c>
      <c r="J30">
        <f>4711+4061</f>
        <v>8772</v>
      </c>
      <c r="K30">
        <f>5044+3779</f>
        <v>8823</v>
      </c>
      <c r="L30">
        <f>5116+3893</f>
        <v>9009</v>
      </c>
      <c r="M30">
        <f>5202+3924</f>
        <v>9126</v>
      </c>
    </row>
    <row r="31" spans="5:48" x14ac:dyDescent="0.25">
      <c r="E31" t="s">
        <v>41</v>
      </c>
      <c r="H31">
        <v>3764</v>
      </c>
      <c r="J31">
        <v>3937</v>
      </c>
      <c r="K31">
        <v>4081</v>
      </c>
      <c r="L31">
        <v>5556</v>
      </c>
      <c r="M31">
        <v>7974</v>
      </c>
      <c r="S31" s="4"/>
      <c r="T31" s="4"/>
      <c r="U31" s="4"/>
      <c r="V31" s="4"/>
      <c r="W31" s="4"/>
    </row>
    <row r="32" spans="5:48" s="4" customFormat="1" x14ac:dyDescent="0.25">
      <c r="E32" s="4" t="s">
        <v>42</v>
      </c>
      <c r="H32" s="4">
        <f>SUM(H24:H31)</f>
        <v>231839</v>
      </c>
      <c r="I32"/>
      <c r="J32" s="4">
        <f>SUM(J24:J31)</f>
        <v>261194</v>
      </c>
      <c r="K32" s="4">
        <f>SUM(K24:K31)</f>
        <v>273151</v>
      </c>
      <c r="L32" s="4">
        <f>SUM(L24:L31)</f>
        <v>290479</v>
      </c>
      <c r="M32" s="4">
        <f>SUM(M24:M31)</f>
        <v>293284</v>
      </c>
      <c r="S32"/>
      <c r="T32"/>
      <c r="U32"/>
      <c r="V32"/>
      <c r="W32"/>
    </row>
    <row r="34" spans="5:23" x14ac:dyDescent="0.25">
      <c r="E34" t="s">
        <v>43</v>
      </c>
      <c r="H34">
        <v>30196</v>
      </c>
      <c r="J34">
        <f>23159</f>
        <v>23159</v>
      </c>
      <c r="K34">
        <v>26474</v>
      </c>
      <c r="L34">
        <v>35490</v>
      </c>
      <c r="M34">
        <v>33312</v>
      </c>
    </row>
    <row r="35" spans="5:23" x14ac:dyDescent="0.25">
      <c r="E35" t="s">
        <v>44</v>
      </c>
      <c r="H35">
        <v>18453</v>
      </c>
      <c r="J35">
        <v>22827</v>
      </c>
      <c r="K35">
        <v>22724</v>
      </c>
      <c r="L35">
        <v>25181</v>
      </c>
      <c r="M35">
        <v>24032</v>
      </c>
    </row>
    <row r="36" spans="5:23" x14ac:dyDescent="0.25">
      <c r="E36" t="s">
        <v>45</v>
      </c>
      <c r="H36">
        <f>8491+3031</f>
        <v>11522</v>
      </c>
      <c r="J36">
        <f>8944+3571</f>
        <v>12515</v>
      </c>
      <c r="K36">
        <f>9088+3474</f>
        <v>12562</v>
      </c>
      <c r="L36">
        <f>8940+3624</f>
        <v>12564</v>
      </c>
      <c r="M36">
        <f>8989+3546</f>
        <v>12535</v>
      </c>
    </row>
    <row r="37" spans="5:23" x14ac:dyDescent="0.25">
      <c r="E37" t="s">
        <v>46</v>
      </c>
      <c r="H37">
        <f>6308+28987</f>
        <v>35295</v>
      </c>
      <c r="J37">
        <f>3799+40072</f>
        <v>43871</v>
      </c>
      <c r="K37">
        <f>2500+4499+47419</f>
        <v>54418</v>
      </c>
      <c r="L37">
        <f>8499+2500+53463</f>
        <v>64462</v>
      </c>
      <c r="M37">
        <f>7259+2500+53204</f>
        <v>62963</v>
      </c>
    </row>
    <row r="38" spans="5:23" x14ac:dyDescent="0.25">
      <c r="E38" t="s">
        <v>47</v>
      </c>
      <c r="H38">
        <f>24826</f>
        <v>24826</v>
      </c>
      <c r="J38">
        <v>29816</v>
      </c>
      <c r="K38">
        <f>31296</f>
        <v>31296</v>
      </c>
      <c r="L38">
        <v>33427</v>
      </c>
      <c r="M38">
        <f>32175</f>
        <v>32175</v>
      </c>
      <c r="S38" s="4"/>
      <c r="T38" s="4"/>
      <c r="U38" s="4"/>
      <c r="V38" s="4"/>
      <c r="W38" s="4"/>
    </row>
    <row r="39" spans="5:23" s="4" customFormat="1" x14ac:dyDescent="0.25">
      <c r="E39" s="4" t="s">
        <v>48</v>
      </c>
      <c r="H39" s="4">
        <f>SUM(H34:H38)</f>
        <v>120292</v>
      </c>
      <c r="I39"/>
      <c r="J39" s="4">
        <f>SUM(J34:J38)</f>
        <v>132188</v>
      </c>
      <c r="K39" s="4">
        <f>SUM(K34:K38)</f>
        <v>147474</v>
      </c>
      <c r="L39" s="4">
        <f>SUM(L34:L38)</f>
        <v>171124</v>
      </c>
      <c r="M39" s="4">
        <f>SUM(M34:M38)</f>
        <v>165017</v>
      </c>
      <c r="S39"/>
      <c r="T39"/>
      <c r="U39"/>
      <c r="V39"/>
      <c r="W39"/>
    </row>
    <row r="40" spans="5:23" x14ac:dyDescent="0.25">
      <c r="S40" s="4"/>
      <c r="T40" s="4"/>
      <c r="U40" s="4"/>
      <c r="V40" s="4"/>
      <c r="W40" s="4"/>
    </row>
    <row r="41" spans="5:23" s="4" customFormat="1" x14ac:dyDescent="0.25">
      <c r="E41" s="4" t="s">
        <v>49</v>
      </c>
      <c r="H41" s="4">
        <f>H32-H39</f>
        <v>111547</v>
      </c>
      <c r="I41"/>
      <c r="J41" s="4">
        <f>J32-J39</f>
        <v>129006</v>
      </c>
      <c r="K41" s="4">
        <f>K32-K39</f>
        <v>125677</v>
      </c>
      <c r="L41" s="4">
        <f>L32-L39</f>
        <v>119355</v>
      </c>
      <c r="M41" s="4">
        <f>M32-M39</f>
        <v>128267</v>
      </c>
    </row>
    <row r="42" spans="5:23" s="4" customFormat="1" x14ac:dyDescent="0.25">
      <c r="E42" s="4" t="s">
        <v>50</v>
      </c>
      <c r="H42" s="4">
        <f>H41+H39</f>
        <v>231839</v>
      </c>
      <c r="I42"/>
      <c r="J42" s="4">
        <f>J41+J39</f>
        <v>261194</v>
      </c>
      <c r="K42" s="4">
        <f>K39+K41</f>
        <v>273151</v>
      </c>
      <c r="L42" s="4">
        <f>L41+L39</f>
        <v>290479</v>
      </c>
      <c r="M42" s="4">
        <f>M41+M39</f>
        <v>293284</v>
      </c>
      <c r="S42"/>
      <c r="T42"/>
      <c r="U42"/>
      <c r="V42"/>
      <c r="W4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2016-03-31T09:38:02Z</dcterms:created>
  <dcterms:modified xsi:type="dcterms:W3CDTF">2016-05-29T19:51:16Z</dcterms:modified>
</cp:coreProperties>
</file>