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5" yWindow="5460" windowWidth="17835" windowHeight="1395" tabRatio="653" activeTab="4"/>
  </bookViews>
  <sheets>
    <sheet name="ISEQ_DATA" sheetId="1" r:id="rId1"/>
    <sheet name="BIS" sheetId="6" r:id="rId2"/>
    <sheet name="SETS" sheetId="3" r:id="rId3"/>
    <sheet name="MARK_TO_MKT" sheetId="2" r:id="rId4"/>
    <sheet name="EX_RATES" sheetId="4" r:id="rId5"/>
    <sheet name="Turquoise" sheetId="8" r:id="rId6"/>
    <sheet name="Sheet1" sheetId="9" r:id="rId7"/>
  </sheets>
  <externalReferences>
    <externalReference r:id="rId8"/>
    <externalReference r:id="rId9"/>
  </externalReferences>
  <definedNames>
    <definedName name="Bid_Offer">#REF!</definedName>
    <definedName name="Bid_Offer_Spread">[1]Bid_Offer!$D$1:$N$58</definedName>
    <definedName name="BiDOffer">[2]Bid_Offer!$D$1:$N$62</definedName>
    <definedName name="BIS" localSheetId="1">BIS!$A$1:$L$7</definedName>
    <definedName name="CheckM2Mkt">MARK_TO_MKT!$G$5:$G$8</definedName>
    <definedName name="EUR">EX_RATES!$B$1:$C$29</definedName>
    <definedName name="EXRATES">EX_RATES!$E$1:$F$27</definedName>
    <definedName name="Index_Data">ISEQ_DATA!$B$1:$BC$2</definedName>
    <definedName name="Index_Data_TEST">ISEQ_DATA!$B$1:$BC$2</definedName>
    <definedName name="Indicators">#REF!</definedName>
    <definedName name="INT_Indices">#REF!</definedName>
    <definedName name="ISIN">MARK_TO_MKT!$B$4:$G$8</definedName>
    <definedName name="Mark2Market">MARK_TO_MKT!$B$4:$G$8</definedName>
    <definedName name="Mk2Mkt">MARK_TO_MKT!$B$4:$G$6</definedName>
    <definedName name="NEW_EXRATES">EX_RATES!$H$1:$I$30</definedName>
    <definedName name="NewM2M">MARK_TO_MKT!$B$4:$G$8</definedName>
    <definedName name="reuters_brain_BIS_INSERTLINK_VALUES" localSheetId="1">BIS!#REF!</definedName>
    <definedName name="SETSDATA">SETS!$I$5:$L$55</definedName>
    <definedName name="Turquoise">Turquoise!$J$5:$M$32</definedName>
  </definedNames>
  <calcPr calcId="145621"/>
</workbook>
</file>

<file path=xl/calcChain.xml><?xml version="1.0" encoding="utf-8"?>
<calcChain xmlns="http://schemas.openxmlformats.org/spreadsheetml/2006/main">
  <c r="M26" i="4" l="1"/>
  <c r="L23" i="4"/>
  <c r="G48" i="3"/>
  <c r="F48" i="3"/>
  <c r="E48" i="3"/>
  <c r="N55" i="3"/>
  <c r="G55" i="3"/>
  <c r="F55" i="3"/>
  <c r="E55" i="3"/>
  <c r="N44" i="3"/>
  <c r="G44" i="3"/>
  <c r="F44" i="3"/>
  <c r="E44" i="3"/>
  <c r="N31" i="3"/>
  <c r="G31" i="3"/>
  <c r="F31" i="3"/>
  <c r="E31" i="3"/>
  <c r="N22" i="3"/>
  <c r="G22" i="3"/>
  <c r="F22" i="3"/>
  <c r="E22" i="3"/>
  <c r="E21" i="3"/>
  <c r="N2" i="3"/>
  <c r="N54" i="3"/>
  <c r="G54" i="3"/>
  <c r="F54" i="3"/>
  <c r="E54" i="3"/>
  <c r="N53" i="3"/>
  <c r="G53" i="3"/>
  <c r="F53" i="3"/>
  <c r="E53" i="3"/>
  <c r="G52" i="3"/>
  <c r="F52" i="3"/>
  <c r="E52" i="3"/>
  <c r="M23" i="4"/>
  <c r="I19" i="4"/>
  <c r="I20" i="4"/>
  <c r="I30" i="4"/>
  <c r="I27" i="4"/>
  <c r="I25" i="4"/>
  <c r="K55" i="3" l="1"/>
  <c r="L55" i="3"/>
  <c r="O55" i="3"/>
  <c r="J55" i="3" s="1"/>
  <c r="K54" i="3"/>
  <c r="L54" i="3"/>
  <c r="K53" i="3"/>
  <c r="L53" i="3"/>
  <c r="B13" i="1"/>
  <c r="E6" i="8"/>
  <c r="A3" i="9"/>
  <c r="N52" i="3"/>
  <c r="N51" i="3"/>
  <c r="G51" i="3"/>
  <c r="F51" i="3"/>
  <c r="E51" i="3"/>
  <c r="N50" i="3"/>
  <c r="N49" i="3"/>
  <c r="G50" i="3"/>
  <c r="G49" i="3"/>
  <c r="F50" i="3"/>
  <c r="F49" i="3"/>
  <c r="E50" i="3"/>
  <c r="N48" i="3"/>
  <c r="E49" i="3"/>
  <c r="G47" i="3"/>
  <c r="F47" i="3"/>
  <c r="E47" i="3"/>
  <c r="N47" i="3"/>
  <c r="G46" i="3"/>
  <c r="F46" i="3"/>
  <c r="E46" i="3"/>
  <c r="N46" i="3"/>
  <c r="N45" i="3"/>
  <c r="G45" i="3"/>
  <c r="F45" i="3"/>
  <c r="E45" i="3"/>
  <c r="I29" i="4"/>
  <c r="I28" i="4"/>
  <c r="I24" i="4"/>
  <c r="I23" i="4"/>
  <c r="I22" i="4"/>
  <c r="I21" i="4"/>
  <c r="I18" i="4"/>
  <c r="I17" i="4"/>
  <c r="I16" i="4"/>
  <c r="I15" i="4"/>
  <c r="I14" i="4"/>
  <c r="I13" i="4"/>
  <c r="I12" i="4"/>
  <c r="I32" i="4"/>
  <c r="I11" i="4"/>
  <c r="I10" i="4"/>
  <c r="I9" i="4"/>
  <c r="I8" i="4"/>
  <c r="I7" i="4"/>
  <c r="I6" i="4"/>
  <c r="I5" i="4"/>
  <c r="I4" i="4"/>
  <c r="I3" i="4"/>
  <c r="I2" i="4"/>
  <c r="C2" i="4"/>
  <c r="J2" i="4"/>
  <c r="K52" i="3" l="1"/>
  <c r="L52" i="3"/>
  <c r="K50" i="3"/>
  <c r="L50" i="3"/>
  <c r="O50" i="3"/>
  <c r="J50" i="3" s="1"/>
  <c r="K51" i="3"/>
  <c r="L51" i="3"/>
  <c r="K49" i="3"/>
  <c r="O49" i="3"/>
  <c r="J49" i="3" s="1"/>
  <c r="L49" i="3"/>
  <c r="K47" i="3"/>
  <c r="K48" i="3"/>
  <c r="L47" i="3"/>
  <c r="L48" i="3"/>
  <c r="K45" i="3"/>
  <c r="K46" i="3"/>
  <c r="L45" i="3"/>
  <c r="L46" i="3"/>
  <c r="O45" i="3"/>
  <c r="J45" i="3" s="1"/>
  <c r="J32" i="8"/>
  <c r="J31" i="8"/>
  <c r="J30" i="8"/>
  <c r="J29" i="8"/>
  <c r="J19" i="8"/>
  <c r="J20" i="8"/>
  <c r="J21" i="8"/>
  <c r="J22" i="8"/>
  <c r="J23" i="8"/>
  <c r="J24" i="8"/>
  <c r="J25" i="8"/>
  <c r="J26" i="8"/>
  <c r="J27" i="8"/>
  <c r="J28" i="8"/>
  <c r="J5" i="8"/>
  <c r="K5" i="8"/>
  <c r="L5" i="8"/>
  <c r="J6" i="8"/>
  <c r="J7" i="8"/>
  <c r="J8" i="8"/>
  <c r="J9" i="8"/>
  <c r="J10" i="8"/>
  <c r="J11" i="8"/>
  <c r="J12" i="8"/>
  <c r="J13" i="8"/>
  <c r="J14" i="8"/>
  <c r="J15" i="8"/>
  <c r="J16" i="8"/>
  <c r="J17" i="8"/>
  <c r="J18" i="8"/>
  <c r="F27" i="4"/>
  <c r="C30" i="4"/>
  <c r="I5" i="3"/>
  <c r="J5" i="3"/>
  <c r="K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B11" i="6"/>
  <c r="A12" i="6"/>
  <c r="C12" i="6"/>
  <c r="D12" i="6"/>
  <c r="E12" i="6"/>
  <c r="F12" i="6"/>
  <c r="A13" i="6"/>
  <c r="C13" i="6"/>
  <c r="D13" i="6"/>
  <c r="E13" i="6"/>
  <c r="F13" i="6"/>
  <c r="A14" i="6"/>
  <c r="C14" i="6"/>
  <c r="D14" i="6"/>
  <c r="E14" i="6"/>
  <c r="F14" i="6"/>
  <c r="A15" i="6"/>
  <c r="C15" i="6"/>
  <c r="D15" i="6"/>
  <c r="E15" i="6"/>
  <c r="F15" i="6"/>
  <c r="A16" i="6"/>
  <c r="C16" i="6"/>
  <c r="D16" i="6"/>
  <c r="E16" i="6"/>
  <c r="F16" i="6"/>
  <c r="A17" i="6"/>
  <c r="C17" i="6"/>
  <c r="D17" i="6"/>
  <c r="E17" i="6"/>
  <c r="F17" i="6"/>
  <c r="A2" i="1"/>
  <c r="B34" i="1"/>
  <c r="A5" i="1"/>
  <c r="A13" i="1"/>
  <c r="W13" i="1"/>
  <c r="X13" i="1"/>
  <c r="Y13" i="1"/>
  <c r="Z13" i="1"/>
  <c r="AA13" i="1"/>
  <c r="AB13" i="1"/>
  <c r="AC13" i="1"/>
  <c r="AD13" i="1"/>
  <c r="AE13" i="1"/>
  <c r="AF13" i="1"/>
  <c r="AG13" i="1"/>
  <c r="AH13" i="1"/>
  <c r="AI13" i="1"/>
  <c r="AJ13" i="1"/>
  <c r="AK13" i="1"/>
  <c r="A14" i="1"/>
  <c r="B14" i="1"/>
  <c r="W14" i="1"/>
  <c r="X14" i="1"/>
  <c r="Y14" i="1"/>
  <c r="Z14" i="1"/>
  <c r="AA14" i="1"/>
  <c r="AB14" i="1"/>
  <c r="AC14" i="1"/>
  <c r="AD14" i="1"/>
  <c r="AE14" i="1"/>
  <c r="AF14" i="1"/>
  <c r="AG14" i="1"/>
  <c r="AH14" i="1"/>
  <c r="AI14" i="1"/>
  <c r="AJ14" i="1"/>
  <c r="AK14" i="1"/>
  <c r="A15" i="1"/>
  <c r="B15" i="1"/>
  <c r="W15" i="1"/>
  <c r="X15" i="1"/>
  <c r="Y15" i="1"/>
  <c r="Z15" i="1"/>
  <c r="AA15" i="1"/>
  <c r="AB15" i="1"/>
  <c r="AC15" i="1"/>
  <c r="AD15" i="1"/>
  <c r="AE15" i="1"/>
  <c r="AF15" i="1"/>
  <c r="AG15" i="1"/>
  <c r="AH15" i="1"/>
  <c r="AI15" i="1"/>
  <c r="AJ15" i="1"/>
  <c r="AK15" i="1"/>
  <c r="A16" i="1"/>
  <c r="B16" i="1"/>
  <c r="W16" i="1"/>
  <c r="X16" i="1"/>
  <c r="Y16" i="1"/>
  <c r="Z16" i="1"/>
  <c r="AA16" i="1"/>
  <c r="AB16" i="1"/>
  <c r="AC16" i="1"/>
  <c r="AD16" i="1"/>
  <c r="AE16" i="1"/>
  <c r="AF16" i="1"/>
  <c r="AG16" i="1"/>
  <c r="AH16" i="1"/>
  <c r="AI16" i="1"/>
  <c r="AJ16" i="1"/>
  <c r="AK16" i="1"/>
  <c r="A17" i="1"/>
  <c r="B17" i="1"/>
  <c r="W17" i="1"/>
  <c r="X17" i="1"/>
  <c r="Y17" i="1"/>
  <c r="Z17" i="1"/>
  <c r="AA17" i="1"/>
  <c r="AB17" i="1"/>
  <c r="AC17" i="1"/>
  <c r="AD17" i="1"/>
  <c r="AE17" i="1"/>
  <c r="AF17" i="1"/>
  <c r="AG17" i="1"/>
  <c r="AH17" i="1"/>
  <c r="AI17" i="1"/>
  <c r="AJ17" i="1"/>
  <c r="AK17" i="1"/>
  <c r="A18" i="1"/>
  <c r="B18" i="1"/>
  <c r="W18" i="1"/>
  <c r="X18" i="1"/>
  <c r="Y18" i="1"/>
  <c r="Z18" i="1"/>
  <c r="AA18" i="1"/>
  <c r="AB18" i="1"/>
  <c r="AC18" i="1"/>
  <c r="AD18" i="1"/>
  <c r="AE18" i="1"/>
  <c r="AF18" i="1"/>
  <c r="AG18" i="1"/>
  <c r="AH18" i="1"/>
  <c r="AI18" i="1"/>
  <c r="AJ18" i="1"/>
  <c r="AK18" i="1"/>
  <c r="A19" i="1"/>
  <c r="B19" i="1"/>
  <c r="W19" i="1"/>
  <c r="X19" i="1"/>
  <c r="Y19" i="1"/>
  <c r="Z19" i="1"/>
  <c r="AA19" i="1"/>
  <c r="AB19" i="1"/>
  <c r="AC19" i="1"/>
  <c r="AD19" i="1"/>
  <c r="AE19" i="1"/>
  <c r="AF19" i="1"/>
  <c r="AG19" i="1"/>
  <c r="AH19" i="1"/>
  <c r="AI19" i="1"/>
  <c r="AJ19" i="1"/>
  <c r="AK19" i="1"/>
  <c r="A20" i="1"/>
  <c r="B20" i="1"/>
  <c r="W20" i="1"/>
  <c r="X20" i="1"/>
  <c r="Y20" i="1"/>
  <c r="Z20" i="1"/>
  <c r="AA20" i="1"/>
  <c r="AB20" i="1"/>
  <c r="AC20" i="1"/>
  <c r="AD20" i="1"/>
  <c r="AE20" i="1"/>
  <c r="AF20" i="1"/>
  <c r="AG20" i="1"/>
  <c r="AH20" i="1"/>
  <c r="AI20" i="1"/>
  <c r="AJ20" i="1"/>
  <c r="AK20" i="1"/>
  <c r="A21" i="1"/>
  <c r="B21" i="1"/>
  <c r="W21" i="1"/>
  <c r="X21" i="1"/>
  <c r="Y21" i="1"/>
  <c r="Z21" i="1"/>
  <c r="AA21" i="1"/>
  <c r="AB21" i="1"/>
  <c r="AC21" i="1"/>
  <c r="AD21" i="1"/>
  <c r="AE21" i="1"/>
  <c r="AF21" i="1"/>
  <c r="AG21" i="1"/>
  <c r="AH21" i="1"/>
  <c r="AI21" i="1"/>
  <c r="AJ21" i="1"/>
  <c r="AK21" i="1"/>
  <c r="A22" i="1"/>
  <c r="B22" i="1"/>
  <c r="W22" i="1"/>
  <c r="X22" i="1"/>
  <c r="Y22" i="1"/>
  <c r="Z22" i="1"/>
  <c r="AA22" i="1"/>
  <c r="AB22" i="1"/>
  <c r="AC22" i="1"/>
  <c r="AD22" i="1"/>
  <c r="AE22" i="1"/>
  <c r="AF22" i="1"/>
  <c r="AG22" i="1"/>
  <c r="AH22" i="1"/>
  <c r="AI22" i="1"/>
  <c r="AJ22" i="1"/>
  <c r="AK22" i="1"/>
  <c r="A23" i="1"/>
  <c r="B23" i="1"/>
  <c r="W23" i="1"/>
  <c r="X23" i="1"/>
  <c r="Y23" i="1"/>
  <c r="Z23" i="1"/>
  <c r="AA23" i="1"/>
  <c r="AB23" i="1"/>
  <c r="AC23" i="1"/>
  <c r="AD23" i="1"/>
  <c r="AE23" i="1"/>
  <c r="AF23" i="1"/>
  <c r="AG23" i="1"/>
  <c r="AH23" i="1"/>
  <c r="AI23" i="1"/>
  <c r="AJ23" i="1"/>
  <c r="AK23" i="1"/>
  <c r="A24" i="1"/>
  <c r="B24" i="1"/>
  <c r="W24" i="1"/>
  <c r="X24" i="1"/>
  <c r="Y24" i="1"/>
  <c r="Z24" i="1"/>
  <c r="AA24" i="1"/>
  <c r="AB24" i="1"/>
  <c r="AC24" i="1"/>
  <c r="AD24" i="1"/>
  <c r="AE24" i="1"/>
  <c r="AF24" i="1"/>
  <c r="AG24" i="1"/>
  <c r="AH24" i="1"/>
  <c r="AI24" i="1"/>
  <c r="AJ24" i="1"/>
  <c r="AK24" i="1"/>
  <c r="A28" i="1"/>
  <c r="A29" i="1"/>
  <c r="A30" i="1"/>
  <c r="A31" i="1"/>
  <c r="A32" i="1"/>
  <c r="G34" i="1"/>
  <c r="H34" i="1"/>
  <c r="I34" i="1"/>
  <c r="D35" i="1"/>
  <c r="E35" i="1"/>
  <c r="F35" i="1"/>
  <c r="G35" i="1"/>
  <c r="H35" i="1"/>
  <c r="I35" i="1"/>
  <c r="B36" i="1"/>
  <c r="G36" i="1"/>
  <c r="H36" i="1"/>
  <c r="I36" i="1"/>
  <c r="B37" i="1"/>
  <c r="G37" i="1"/>
  <c r="H37" i="1"/>
  <c r="I37" i="1"/>
  <c r="B38" i="1"/>
  <c r="G38" i="1"/>
  <c r="H38" i="1"/>
  <c r="I38" i="1"/>
  <c r="A41" i="1"/>
  <c r="A44" i="1"/>
  <c r="B35" i="1"/>
  <c r="K44" i="3" l="1"/>
  <c r="L44" i="3"/>
  <c r="L6" i="8" l="1"/>
  <c r="O54" i="3" l="1"/>
  <c r="J54" i="3"/>
  <c r="O53" i="3"/>
  <c r="J53" i="3" s="1"/>
  <c r="O52" i="3"/>
  <c r="J52" i="3" s="1"/>
  <c r="O51" i="3"/>
  <c r="J51" i="3" s="1"/>
  <c r="O48" i="3"/>
  <c r="J48" i="3" s="1"/>
  <c r="O47" i="3"/>
  <c r="J47" i="3" s="1"/>
  <c r="O46" i="3"/>
  <c r="J46" i="3" s="1"/>
  <c r="O44" i="3"/>
  <c r="J44" i="3" s="1"/>
  <c r="K22" i="3" l="1"/>
  <c r="L22" i="3"/>
  <c r="O22" i="3"/>
  <c r="J22" i="3" s="1"/>
  <c r="K21" i="3"/>
  <c r="K31" i="3" l="1"/>
  <c r="L31" i="3"/>
  <c r="O31" i="3"/>
  <c r="J31" i="3" s="1"/>
  <c r="P32" i="8"/>
  <c r="P30" i="8"/>
  <c r="P28" i="8"/>
  <c r="P26" i="8"/>
  <c r="P24" i="8"/>
  <c r="P22" i="8"/>
  <c r="P20" i="8"/>
  <c r="P18" i="8"/>
  <c r="P16" i="8"/>
  <c r="P14" i="8"/>
  <c r="P12" i="8"/>
  <c r="P10" i="8"/>
  <c r="P8" i="8"/>
  <c r="P6" i="8"/>
  <c r="G32" i="8"/>
  <c r="G30" i="8"/>
  <c r="G28" i="8"/>
  <c r="G26" i="8"/>
  <c r="G24" i="8"/>
  <c r="G22" i="8"/>
  <c r="G20" i="8"/>
  <c r="G18" i="8"/>
  <c r="G16" i="8"/>
  <c r="G14" i="8"/>
  <c r="G12" i="8"/>
  <c r="G10" i="8"/>
  <c r="G8" i="8"/>
  <c r="G6" i="8"/>
  <c r="F31" i="8"/>
  <c r="F29" i="8"/>
  <c r="F27" i="8"/>
  <c r="F25" i="8"/>
  <c r="F23" i="8"/>
  <c r="F21" i="8"/>
  <c r="F19" i="8"/>
  <c r="F17" i="8"/>
  <c r="F15" i="8"/>
  <c r="F13" i="8"/>
  <c r="F11" i="8"/>
  <c r="F9" i="8"/>
  <c r="F7" i="8"/>
  <c r="E32" i="8"/>
  <c r="E30" i="8"/>
  <c r="E28" i="8"/>
  <c r="E26" i="8"/>
  <c r="E24" i="8"/>
  <c r="E22" i="8"/>
  <c r="E20" i="8"/>
  <c r="E18" i="8"/>
  <c r="E16" i="8"/>
  <c r="E14" i="8"/>
  <c r="E12" i="8"/>
  <c r="E10" i="8"/>
  <c r="E8" i="8"/>
  <c r="J18" i="4"/>
  <c r="F29" i="4"/>
  <c r="F25" i="4"/>
  <c r="F23" i="4"/>
  <c r="F21" i="4"/>
  <c r="F19" i="4"/>
  <c r="F17" i="4"/>
  <c r="F15" i="4"/>
  <c r="F13" i="4"/>
  <c r="F11" i="4"/>
  <c r="F9" i="4"/>
  <c r="F7" i="4"/>
  <c r="F5" i="4"/>
  <c r="F3" i="4"/>
  <c r="E30" i="4"/>
  <c r="E26" i="4"/>
  <c r="E24" i="4"/>
  <c r="E22" i="4"/>
  <c r="E20" i="4"/>
  <c r="E18" i="4"/>
  <c r="E16" i="4"/>
  <c r="E14" i="4"/>
  <c r="E12" i="4"/>
  <c r="E10" i="4"/>
  <c r="E8" i="4"/>
  <c r="E6" i="4"/>
  <c r="E4" i="4"/>
  <c r="E2" i="4"/>
  <c r="C28" i="4"/>
  <c r="C26" i="4"/>
  <c r="C24" i="4"/>
  <c r="C22" i="4"/>
  <c r="C20" i="4"/>
  <c r="C18" i="4"/>
  <c r="C16" i="4"/>
  <c r="C14" i="4"/>
  <c r="C12" i="4"/>
  <c r="C10" i="4"/>
  <c r="C8" i="4"/>
  <c r="C6" i="4"/>
  <c r="C4" i="4"/>
  <c r="M7" i="2"/>
  <c r="M5" i="2"/>
  <c r="L7" i="2"/>
  <c r="L5" i="2"/>
  <c r="K7" i="2"/>
  <c r="K5" i="2"/>
  <c r="I7" i="2"/>
  <c r="I5" i="2"/>
  <c r="H7" i="2"/>
  <c r="H5" i="2"/>
  <c r="N43" i="3"/>
  <c r="N42" i="3"/>
  <c r="N39" i="3"/>
  <c r="N37" i="3"/>
  <c r="N35" i="3"/>
  <c r="N33" i="3"/>
  <c r="N29" i="3"/>
  <c r="N27" i="3"/>
  <c r="N25" i="3"/>
  <c r="N23" i="3"/>
  <c r="N21" i="3"/>
  <c r="N19" i="3"/>
  <c r="N17" i="3"/>
  <c r="N15" i="3"/>
  <c r="N13" i="3"/>
  <c r="N11" i="3"/>
  <c r="N9" i="3"/>
  <c r="N7" i="3"/>
  <c r="G43" i="3"/>
  <c r="G42" i="3"/>
  <c r="G39" i="3"/>
  <c r="G37" i="3"/>
  <c r="G35" i="3"/>
  <c r="G33" i="3"/>
  <c r="G29" i="3"/>
  <c r="G27" i="3"/>
  <c r="G25" i="3"/>
  <c r="G23" i="3"/>
  <c r="G21" i="3"/>
  <c r="G19" i="3"/>
  <c r="G17" i="3"/>
  <c r="G15" i="3"/>
  <c r="G13" i="3"/>
  <c r="G11" i="3"/>
  <c r="G9" i="3"/>
  <c r="G7" i="3"/>
  <c r="F41" i="3"/>
  <c r="F40" i="3"/>
  <c r="F38" i="3"/>
  <c r="F36" i="3"/>
  <c r="F34" i="3"/>
  <c r="F32" i="3"/>
  <c r="F30" i="3"/>
  <c r="F28" i="3"/>
  <c r="F26" i="3"/>
  <c r="F24" i="3"/>
  <c r="F20" i="3"/>
  <c r="F18" i="3"/>
  <c r="F16" i="3"/>
  <c r="F14" i="3"/>
  <c r="F12" i="3"/>
  <c r="F10" i="3"/>
  <c r="F8" i="3"/>
  <c r="F6" i="3"/>
  <c r="E102" i="3"/>
  <c r="E100" i="3"/>
  <c r="E98" i="3"/>
  <c r="E96" i="3"/>
  <c r="E94" i="3"/>
  <c r="E92" i="3"/>
  <c r="E69" i="3"/>
  <c r="E67" i="3"/>
  <c r="E65" i="3"/>
  <c r="E63" i="3"/>
  <c r="E61" i="3"/>
  <c r="E59" i="3"/>
  <c r="E57" i="3"/>
  <c r="E43" i="3"/>
  <c r="E42" i="3"/>
  <c r="E39" i="3"/>
  <c r="E37" i="3"/>
  <c r="E35" i="3"/>
  <c r="E33" i="3"/>
  <c r="E29" i="3"/>
  <c r="E27" i="3"/>
  <c r="E25" i="3"/>
  <c r="E23" i="3"/>
  <c r="E19" i="3"/>
  <c r="E17" i="3"/>
  <c r="E15" i="3"/>
  <c r="E13" i="3"/>
  <c r="E11" i="3"/>
  <c r="E9" i="3"/>
  <c r="E7" i="3"/>
  <c r="D103" i="3"/>
  <c r="D101" i="3"/>
  <c r="D99" i="3"/>
  <c r="D97" i="3"/>
  <c r="D95" i="3"/>
  <c r="D93" i="3"/>
  <c r="D91" i="3"/>
  <c r="D68" i="3"/>
  <c r="D66" i="3"/>
  <c r="D64" i="3"/>
  <c r="D62" i="3"/>
  <c r="D60" i="3"/>
  <c r="D58" i="3"/>
  <c r="BC5" i="1"/>
  <c r="BB5" i="1"/>
  <c r="BA5" i="1"/>
  <c r="AZ5" i="1"/>
  <c r="AY5" i="1"/>
  <c r="AW5" i="1"/>
  <c r="AV5" i="1"/>
  <c r="AU5" i="1"/>
  <c r="AT5" i="1"/>
  <c r="AN5" i="1"/>
  <c r="AM5" i="1"/>
  <c r="AL5" i="1"/>
  <c r="AK5" i="1"/>
  <c r="AJ5" i="1"/>
  <c r="AI2" i="1"/>
  <c r="AG2" i="1"/>
  <c r="AE2" i="1"/>
  <c r="AC2" i="1"/>
  <c r="AA2" i="1"/>
  <c r="U2" i="8"/>
  <c r="P31" i="8"/>
  <c r="P29" i="8"/>
  <c r="P27" i="8"/>
  <c r="P25" i="8"/>
  <c r="P23" i="8"/>
  <c r="P21" i="8"/>
  <c r="P19" i="8"/>
  <c r="P17" i="8"/>
  <c r="P15" i="8"/>
  <c r="P13" i="8"/>
  <c r="P11" i="8"/>
  <c r="P9" i="8"/>
  <c r="P7" i="8"/>
  <c r="P2" i="8"/>
  <c r="G31" i="8"/>
  <c r="G29" i="8"/>
  <c r="G27" i="8"/>
  <c r="G25" i="8"/>
  <c r="G23" i="8"/>
  <c r="G21" i="8"/>
  <c r="G19" i="8"/>
  <c r="G17" i="8"/>
  <c r="G15" i="8"/>
  <c r="G13" i="8"/>
  <c r="G11" i="8"/>
  <c r="G9" i="8"/>
  <c r="G7" i="8"/>
  <c r="F32" i="8"/>
  <c r="F30" i="8"/>
  <c r="F28" i="8"/>
  <c r="F26" i="8"/>
  <c r="F24" i="8"/>
  <c r="F22" i="8"/>
  <c r="F20" i="8"/>
  <c r="F18" i="8"/>
  <c r="F16" i="8"/>
  <c r="F14" i="8"/>
  <c r="F12" i="8"/>
  <c r="F10" i="8"/>
  <c r="F8" i="8"/>
  <c r="F6" i="8"/>
  <c r="E31" i="8"/>
  <c r="E29" i="8"/>
  <c r="E27" i="8"/>
  <c r="E25" i="8"/>
  <c r="E23" i="8"/>
  <c r="E21" i="8"/>
  <c r="E19" i="8"/>
  <c r="E17" i="8"/>
  <c r="E15" i="8"/>
  <c r="E13" i="8"/>
  <c r="E11" i="8"/>
  <c r="E9" i="8"/>
  <c r="E7" i="8"/>
  <c r="K18" i="4"/>
  <c r="F30" i="4"/>
  <c r="F26" i="4"/>
  <c r="F24" i="4"/>
  <c r="F22" i="4"/>
  <c r="F20" i="4"/>
  <c r="F18" i="4"/>
  <c r="F16" i="4"/>
  <c r="F14" i="4"/>
  <c r="F12" i="4"/>
  <c r="F10" i="4"/>
  <c r="F8" i="4"/>
  <c r="F6" i="4"/>
  <c r="F4" i="4"/>
  <c r="F2" i="4"/>
  <c r="E29" i="4"/>
  <c r="E25" i="4"/>
  <c r="E23" i="4"/>
  <c r="E21" i="4"/>
  <c r="E19" i="4"/>
  <c r="E17" i="4"/>
  <c r="E15" i="4"/>
  <c r="E13" i="4"/>
  <c r="E11" i="4"/>
  <c r="E9" i="4"/>
  <c r="E7" i="4"/>
  <c r="E5" i="4"/>
  <c r="E3" i="4"/>
  <c r="C29" i="4"/>
  <c r="C27" i="4"/>
  <c r="C25" i="4"/>
  <c r="C23" i="4"/>
  <c r="C21" i="4"/>
  <c r="C19" i="4"/>
  <c r="C17" i="4"/>
  <c r="C15" i="4"/>
  <c r="C13" i="4"/>
  <c r="C11" i="4"/>
  <c r="C9" i="4"/>
  <c r="C7" i="4"/>
  <c r="C5" i="4"/>
  <c r="C3" i="4"/>
  <c r="M8" i="2"/>
  <c r="M6" i="2"/>
  <c r="L8" i="2"/>
  <c r="L6" i="2"/>
  <c r="K8" i="2"/>
  <c r="K6" i="2"/>
  <c r="I8" i="2"/>
  <c r="I6" i="2"/>
  <c r="H8" i="2"/>
  <c r="H6" i="2"/>
  <c r="N41" i="3"/>
  <c r="N40" i="3"/>
  <c r="N38" i="3"/>
  <c r="N36" i="3"/>
  <c r="N34" i="3"/>
  <c r="N32" i="3"/>
  <c r="N30" i="3"/>
  <c r="N28" i="3"/>
  <c r="N26" i="3"/>
  <c r="N24" i="3"/>
  <c r="N20" i="3"/>
  <c r="N18" i="3"/>
  <c r="N16" i="3"/>
  <c r="N14" i="3"/>
  <c r="N12" i="3"/>
  <c r="N10" i="3"/>
  <c r="N8" i="3"/>
  <c r="N6" i="3"/>
  <c r="G41" i="3"/>
  <c r="G40" i="3"/>
  <c r="G38" i="3"/>
  <c r="G36" i="3"/>
  <c r="G34" i="3"/>
  <c r="G32" i="3"/>
  <c r="G30" i="3"/>
  <c r="G28" i="3"/>
  <c r="G26" i="3"/>
  <c r="G24" i="3"/>
  <c r="G20" i="3"/>
  <c r="G18" i="3"/>
  <c r="G16" i="3"/>
  <c r="G14" i="3"/>
  <c r="G12" i="3"/>
  <c r="G10" i="3"/>
  <c r="G8" i="3"/>
  <c r="G6" i="3"/>
  <c r="F43" i="3"/>
  <c r="F42" i="3"/>
  <c r="F39" i="3"/>
  <c r="F37" i="3"/>
  <c r="F35" i="3"/>
  <c r="F33" i="3"/>
  <c r="F29" i="3"/>
  <c r="F27" i="3"/>
  <c r="F25" i="3"/>
  <c r="F23" i="3"/>
  <c r="F21" i="3"/>
  <c r="F19" i="3"/>
  <c r="F17" i="3"/>
  <c r="F15" i="3"/>
  <c r="F13" i="3"/>
  <c r="F11" i="3"/>
  <c r="F9" i="3"/>
  <c r="F7" i="3"/>
  <c r="E103" i="3"/>
  <c r="E101" i="3"/>
  <c r="E99" i="3"/>
  <c r="E97" i="3"/>
  <c r="E95" i="3"/>
  <c r="E93" i="3"/>
  <c r="E91" i="3"/>
  <c r="E68" i="3"/>
  <c r="E66" i="3"/>
  <c r="E64" i="3"/>
  <c r="E62" i="3"/>
  <c r="E60" i="3"/>
  <c r="E58" i="3"/>
  <c r="E41" i="3"/>
  <c r="E40" i="3"/>
  <c r="E38" i="3"/>
  <c r="E36" i="3"/>
  <c r="E34" i="3"/>
  <c r="E32" i="3"/>
  <c r="E30" i="3"/>
  <c r="E28" i="3"/>
  <c r="E26" i="3"/>
  <c r="E24" i="3"/>
  <c r="E20" i="3"/>
  <c r="E18" i="3"/>
  <c r="E16" i="3"/>
  <c r="E14" i="3"/>
  <c r="E12" i="3"/>
  <c r="E10" i="3"/>
  <c r="E8" i="3"/>
  <c r="E6" i="3"/>
  <c r="D102" i="3"/>
  <c r="D100" i="3"/>
  <c r="D98" i="3"/>
  <c r="D96" i="3"/>
  <c r="D94" i="3"/>
  <c r="D92" i="3"/>
  <c r="D69" i="3"/>
  <c r="D67" i="3"/>
  <c r="D65" i="3"/>
  <c r="D63" i="3"/>
  <c r="D61" i="3"/>
  <c r="D59" i="3"/>
  <c r="D57" i="3"/>
  <c r="BC2" i="1"/>
  <c r="BB2" i="1"/>
  <c r="BA2" i="1"/>
  <c r="AZ2" i="1"/>
  <c r="AY2" i="1"/>
  <c r="AW2" i="1"/>
  <c r="AV2" i="1"/>
  <c r="AU2" i="1"/>
  <c r="AT2" i="1"/>
  <c r="AN2" i="1"/>
  <c r="AM2" i="1"/>
  <c r="AL2" i="1"/>
  <c r="AK2" i="1"/>
  <c r="AJ2" i="1"/>
  <c r="AH2" i="1"/>
  <c r="AF2" i="1"/>
  <c r="AD2" i="1"/>
  <c r="AB2" i="1"/>
  <c r="Z44" i="1"/>
  <c r="Y44" i="1"/>
  <c r="X44" i="1"/>
  <c r="W44" i="1"/>
  <c r="V44" i="1"/>
  <c r="U49" i="1"/>
  <c r="U41" i="1"/>
  <c r="T44" i="1"/>
  <c r="T2" i="1"/>
  <c r="S41" i="1"/>
  <c r="R44" i="1"/>
  <c r="R2" i="1"/>
  <c r="Q41" i="1"/>
  <c r="P49" i="1"/>
  <c r="P41" i="1"/>
  <c r="O44" i="1"/>
  <c r="O2" i="1"/>
  <c r="N41" i="1"/>
  <c r="M44" i="1"/>
  <c r="M2" i="1"/>
  <c r="L41" i="1"/>
  <c r="K49" i="1"/>
  <c r="K41" i="1"/>
  <c r="J44" i="1"/>
  <c r="J2" i="1"/>
  <c r="I41" i="1"/>
  <c r="H44" i="1"/>
  <c r="H2" i="1"/>
  <c r="G41" i="1"/>
  <c r="F49" i="1"/>
  <c r="F41" i="1"/>
  <c r="E44" i="1"/>
  <c r="E2" i="1"/>
  <c r="D41" i="1"/>
  <c r="C44" i="1"/>
  <c r="C2" i="1"/>
  <c r="B41" i="1"/>
  <c r="Z49" i="1"/>
  <c r="Z41" i="1"/>
  <c r="Y41" i="1"/>
  <c r="X41" i="1"/>
  <c r="W41" i="1"/>
  <c r="V41" i="1"/>
  <c r="U44" i="1"/>
  <c r="U2" i="1"/>
  <c r="T41" i="1"/>
  <c r="S44" i="1"/>
  <c r="S2" i="1"/>
  <c r="R41" i="1"/>
  <c r="Q44" i="1"/>
  <c r="Q2" i="1"/>
  <c r="P44" i="1"/>
  <c r="P2" i="1"/>
  <c r="O41" i="1"/>
  <c r="N44" i="1"/>
  <c r="N2" i="1"/>
  <c r="M41" i="1"/>
  <c r="L44" i="1"/>
  <c r="L2" i="1"/>
  <c r="K44" i="1"/>
  <c r="K2" i="1"/>
  <c r="J41" i="1"/>
  <c r="I44" i="1"/>
  <c r="I2" i="1"/>
  <c r="H41" i="1"/>
  <c r="G44" i="1"/>
  <c r="G2" i="1"/>
  <c r="F44" i="1"/>
  <c r="F2" i="1"/>
  <c r="E41" i="1"/>
  <c r="D44" i="1"/>
  <c r="D2" i="1"/>
  <c r="C41" i="1"/>
  <c r="B44" i="1"/>
  <c r="B2" i="1"/>
  <c r="C13" i="1" l="1"/>
  <c r="C15" i="1"/>
  <c r="C17" i="1"/>
  <c r="C19" i="1"/>
  <c r="C21" i="1"/>
  <c r="C14" i="1"/>
  <c r="C16" i="1"/>
  <c r="C18" i="1"/>
  <c r="C20" i="1"/>
  <c r="C22" i="1"/>
  <c r="C24" i="1"/>
  <c r="E38" i="1"/>
  <c r="C23" i="1"/>
  <c r="E13" i="1"/>
  <c r="E15" i="1"/>
  <c r="E17" i="1"/>
  <c r="E19" i="1"/>
  <c r="E21" i="1"/>
  <c r="E23" i="1"/>
  <c r="E14" i="1"/>
  <c r="E16" i="1"/>
  <c r="E18" i="1"/>
  <c r="E20" i="1"/>
  <c r="E22" i="1"/>
  <c r="E24" i="1"/>
  <c r="G13" i="1"/>
  <c r="G15" i="1"/>
  <c r="G17" i="1"/>
  <c r="G19" i="1"/>
  <c r="G21" i="1"/>
  <c r="G14" i="1"/>
  <c r="G16" i="1"/>
  <c r="G18" i="1"/>
  <c r="G20" i="1"/>
  <c r="G22" i="1"/>
  <c r="G24" i="1"/>
  <c r="G23" i="1"/>
  <c r="F38" i="1"/>
  <c r="H14" i="1"/>
  <c r="H16" i="1"/>
  <c r="H18" i="1"/>
  <c r="H20" i="1"/>
  <c r="H22" i="1"/>
  <c r="H24" i="1"/>
  <c r="H13" i="1"/>
  <c r="H15" i="1"/>
  <c r="H17" i="1"/>
  <c r="H19" i="1"/>
  <c r="H21" i="1"/>
  <c r="H23" i="1"/>
  <c r="E36" i="1"/>
  <c r="J14" i="1"/>
  <c r="J16" i="1"/>
  <c r="J18" i="1"/>
  <c r="J20" i="1"/>
  <c r="J22" i="1"/>
  <c r="J13" i="1"/>
  <c r="J15" i="1"/>
  <c r="J17" i="1"/>
  <c r="J19" i="1"/>
  <c r="J21" i="1"/>
  <c r="J23" i="1"/>
  <c r="J24" i="1"/>
  <c r="L14" i="1"/>
  <c r="L16" i="1"/>
  <c r="L18" i="1"/>
  <c r="L20" i="1"/>
  <c r="L22" i="1"/>
  <c r="L24" i="1"/>
  <c r="F36" i="1"/>
  <c r="L13" i="1"/>
  <c r="L15" i="1"/>
  <c r="L17" i="1"/>
  <c r="L19" i="1"/>
  <c r="L21" i="1"/>
  <c r="L23" i="1"/>
  <c r="M13" i="1"/>
  <c r="M15" i="1"/>
  <c r="M17" i="1"/>
  <c r="M19" i="1"/>
  <c r="M21" i="1"/>
  <c r="M23" i="1"/>
  <c r="M14" i="1"/>
  <c r="M16" i="1"/>
  <c r="M18" i="1"/>
  <c r="M20" i="1"/>
  <c r="M22" i="1"/>
  <c r="M24" i="1"/>
  <c r="E37" i="1"/>
  <c r="O13" i="1"/>
  <c r="O15" i="1"/>
  <c r="O17" i="1"/>
  <c r="O19" i="1"/>
  <c r="O21" i="1"/>
  <c r="O14" i="1"/>
  <c r="O16" i="1"/>
  <c r="O18" i="1"/>
  <c r="O20" i="1"/>
  <c r="O22" i="1"/>
  <c r="O24" i="1"/>
  <c r="O23" i="1"/>
  <c r="Q13" i="1"/>
  <c r="Q15" i="1"/>
  <c r="Q17" i="1"/>
  <c r="Q19" i="1"/>
  <c r="Q21" i="1"/>
  <c r="Q23" i="1"/>
  <c r="Q14" i="1"/>
  <c r="Q16" i="1"/>
  <c r="Q18" i="1"/>
  <c r="Q20" i="1"/>
  <c r="Q22" i="1"/>
  <c r="Q24" i="1"/>
  <c r="F37" i="1"/>
  <c r="R14" i="1"/>
  <c r="R16" i="1"/>
  <c r="R18" i="1"/>
  <c r="R20" i="1"/>
  <c r="R22" i="1"/>
  <c r="R13" i="1"/>
  <c r="R15" i="1"/>
  <c r="R17" i="1"/>
  <c r="R19" i="1"/>
  <c r="R21" i="1"/>
  <c r="R23" i="1"/>
  <c r="E34" i="1"/>
  <c r="R24" i="1"/>
  <c r="T14" i="1"/>
  <c r="T16" i="1"/>
  <c r="T18" i="1"/>
  <c r="T20" i="1"/>
  <c r="T22" i="1"/>
  <c r="T24" i="1"/>
  <c r="T13" i="1"/>
  <c r="T15" i="1"/>
  <c r="T17" i="1"/>
  <c r="T19" i="1"/>
  <c r="T21" i="1"/>
  <c r="T23" i="1"/>
  <c r="V14" i="1"/>
  <c r="V16" i="1"/>
  <c r="V18" i="1"/>
  <c r="V20" i="1"/>
  <c r="V22" i="1"/>
  <c r="V13" i="1"/>
  <c r="V15" i="1"/>
  <c r="V17" i="1"/>
  <c r="V19" i="1"/>
  <c r="V21" i="1"/>
  <c r="V23" i="1"/>
  <c r="V24" i="1"/>
  <c r="F34" i="1"/>
  <c r="D14" i="1"/>
  <c r="D16" i="1"/>
  <c r="D18" i="1"/>
  <c r="D20" i="1"/>
  <c r="D22" i="1"/>
  <c r="D24" i="1"/>
  <c r="D38" i="1"/>
  <c r="D13" i="1"/>
  <c r="D15" i="1"/>
  <c r="D17" i="1"/>
  <c r="D19" i="1"/>
  <c r="D21" i="1"/>
  <c r="D23" i="1"/>
  <c r="F14" i="1"/>
  <c r="F16" i="1"/>
  <c r="F18" i="1"/>
  <c r="F20" i="1"/>
  <c r="F22" i="1"/>
  <c r="F24" i="1"/>
  <c r="F13" i="1"/>
  <c r="F15" i="1"/>
  <c r="F17" i="1"/>
  <c r="F19" i="1"/>
  <c r="F21" i="1"/>
  <c r="F23" i="1"/>
  <c r="I13" i="1"/>
  <c r="I15" i="1"/>
  <c r="I17" i="1"/>
  <c r="I19" i="1"/>
  <c r="I21" i="1"/>
  <c r="I23" i="1"/>
  <c r="D36" i="1"/>
  <c r="I14" i="1"/>
  <c r="I16" i="1"/>
  <c r="I18" i="1"/>
  <c r="I20" i="1"/>
  <c r="I22" i="1"/>
  <c r="I24" i="1"/>
  <c r="K13" i="1"/>
  <c r="K15" i="1"/>
  <c r="K17" i="1"/>
  <c r="K19" i="1"/>
  <c r="K21" i="1"/>
  <c r="K14" i="1"/>
  <c r="K16" i="1"/>
  <c r="K18" i="1"/>
  <c r="K20" i="1"/>
  <c r="K22" i="1"/>
  <c r="K24" i="1"/>
  <c r="K23" i="1"/>
  <c r="N14" i="1"/>
  <c r="N16" i="1"/>
  <c r="N18" i="1"/>
  <c r="N20" i="1"/>
  <c r="N22" i="1"/>
  <c r="N13" i="1"/>
  <c r="N15" i="1"/>
  <c r="N17" i="1"/>
  <c r="N19" i="1"/>
  <c r="N21" i="1"/>
  <c r="N23" i="1"/>
  <c r="D37" i="1"/>
  <c r="N24" i="1"/>
  <c r="P14" i="1"/>
  <c r="P16" i="1"/>
  <c r="P18" i="1"/>
  <c r="P20" i="1"/>
  <c r="P22" i="1"/>
  <c r="P24" i="1"/>
  <c r="P13" i="1"/>
  <c r="P15" i="1"/>
  <c r="P17" i="1"/>
  <c r="P19" i="1"/>
  <c r="P21" i="1"/>
  <c r="P23" i="1"/>
  <c r="S13" i="1"/>
  <c r="S15" i="1"/>
  <c r="S17" i="1"/>
  <c r="S19" i="1"/>
  <c r="S21" i="1"/>
  <c r="S14" i="1"/>
  <c r="S16" i="1"/>
  <c r="S18" i="1"/>
  <c r="S20" i="1"/>
  <c r="S22" i="1"/>
  <c r="S24" i="1"/>
  <c r="S23" i="1"/>
  <c r="D34" i="1"/>
  <c r="U13" i="1"/>
  <c r="U15" i="1"/>
  <c r="U17" i="1"/>
  <c r="U19" i="1"/>
  <c r="U21" i="1"/>
  <c r="U23" i="1"/>
  <c r="U14" i="1"/>
  <c r="U16" i="1"/>
  <c r="U18" i="1"/>
  <c r="U20" i="1"/>
  <c r="U22" i="1"/>
  <c r="U24" i="1"/>
  <c r="K6" i="3"/>
  <c r="K8" i="3"/>
  <c r="K10" i="3"/>
  <c r="K12" i="3"/>
  <c r="K14" i="3"/>
  <c r="K16" i="3"/>
  <c r="K18" i="3"/>
  <c r="K20" i="3"/>
  <c r="K24" i="3"/>
  <c r="K26" i="3"/>
  <c r="K28" i="3"/>
  <c r="K30" i="3"/>
  <c r="K32" i="3"/>
  <c r="K34" i="3"/>
  <c r="K36" i="3"/>
  <c r="K38" i="3"/>
  <c r="K40" i="3"/>
  <c r="K41" i="3"/>
  <c r="L6" i="3"/>
  <c r="L8" i="3"/>
  <c r="L10" i="3"/>
  <c r="L12" i="3"/>
  <c r="L14" i="3"/>
  <c r="L16" i="3"/>
  <c r="L18" i="3"/>
  <c r="L20" i="3"/>
  <c r="L24" i="3"/>
  <c r="L26" i="3"/>
  <c r="L28" i="3"/>
  <c r="L30" i="3"/>
  <c r="L32" i="3"/>
  <c r="L34" i="3"/>
  <c r="L36" i="3"/>
  <c r="L38" i="3"/>
  <c r="L40" i="3"/>
  <c r="L41" i="3"/>
  <c r="O6" i="3"/>
  <c r="J6" i="3" s="1"/>
  <c r="O8" i="3"/>
  <c r="J8" i="3" s="1"/>
  <c r="O10" i="3"/>
  <c r="J10" i="3" s="1"/>
  <c r="O12" i="3"/>
  <c r="J12" i="3" s="1"/>
  <c r="O14" i="3"/>
  <c r="J14" i="3" s="1"/>
  <c r="O16" i="3"/>
  <c r="J16" i="3" s="1"/>
  <c r="O18" i="3"/>
  <c r="J18" i="3" s="1"/>
  <c r="O20" i="3"/>
  <c r="J20" i="3" s="1"/>
  <c r="O24" i="3"/>
  <c r="J24" i="3" s="1"/>
  <c r="O26" i="3"/>
  <c r="J26" i="3" s="1"/>
  <c r="O28" i="3"/>
  <c r="J28" i="3" s="1"/>
  <c r="O30" i="3"/>
  <c r="J30" i="3" s="1"/>
  <c r="O32" i="3"/>
  <c r="J32" i="3" s="1"/>
  <c r="O34" i="3"/>
  <c r="J34" i="3" s="1"/>
  <c r="O36" i="3"/>
  <c r="J36" i="3" s="1"/>
  <c r="O38" i="3"/>
  <c r="J38" i="3" s="1"/>
  <c r="O40" i="3"/>
  <c r="J40" i="3" s="1"/>
  <c r="O41" i="3"/>
  <c r="J41" i="3" s="1"/>
  <c r="E6" i="2"/>
  <c r="J6" i="2"/>
  <c r="E8" i="2"/>
  <c r="J8" i="2"/>
  <c r="L7" i="8"/>
  <c r="L9" i="8"/>
  <c r="L11" i="8"/>
  <c r="L13" i="8"/>
  <c r="L15" i="8"/>
  <c r="L17" i="8"/>
  <c r="L19" i="8"/>
  <c r="L21" i="8"/>
  <c r="L23" i="8"/>
  <c r="L25" i="8"/>
  <c r="L27" i="8"/>
  <c r="L29" i="8"/>
  <c r="L31" i="8"/>
  <c r="N7" i="8"/>
  <c r="N9" i="8"/>
  <c r="N11" i="8"/>
  <c r="N13" i="8"/>
  <c r="N15" i="8"/>
  <c r="N17" i="8"/>
  <c r="N19" i="8"/>
  <c r="N21" i="8"/>
  <c r="N23" i="8"/>
  <c r="N25" i="8"/>
  <c r="N27" i="8"/>
  <c r="N29" i="8"/>
  <c r="N31" i="8"/>
  <c r="Q7" i="8"/>
  <c r="K7" i="8" s="1"/>
  <c r="S7" i="8"/>
  <c r="Q9" i="8"/>
  <c r="K9" i="8" s="1"/>
  <c r="S9" i="8"/>
  <c r="Q11" i="8"/>
  <c r="K11" i="8" s="1"/>
  <c r="S11" i="8"/>
  <c r="Q13" i="8"/>
  <c r="K13" i="8" s="1"/>
  <c r="S13" i="8"/>
  <c r="Q15" i="8"/>
  <c r="K15" i="8" s="1"/>
  <c r="S15" i="8"/>
  <c r="Q17" i="8"/>
  <c r="K17" i="8" s="1"/>
  <c r="S17" i="8"/>
  <c r="Q19" i="8"/>
  <c r="K19" i="8" s="1"/>
  <c r="S19" i="8"/>
  <c r="Q21" i="8"/>
  <c r="K21" i="8" s="1"/>
  <c r="S21" i="8"/>
  <c r="Q23" i="8"/>
  <c r="K23" i="8" s="1"/>
  <c r="S23" i="8"/>
  <c r="Q25" i="8"/>
  <c r="K25" i="8" s="1"/>
  <c r="S25" i="8"/>
  <c r="Q27" i="8"/>
  <c r="K27" i="8" s="1"/>
  <c r="S27" i="8"/>
  <c r="Q29" i="8"/>
  <c r="K29" i="8" s="1"/>
  <c r="S29" i="8"/>
  <c r="Q31" i="8"/>
  <c r="K31" i="8" s="1"/>
  <c r="S31" i="8"/>
  <c r="K7" i="3"/>
  <c r="K9" i="3"/>
  <c r="K11" i="3"/>
  <c r="K13" i="3"/>
  <c r="K15" i="3"/>
  <c r="K17" i="3"/>
  <c r="K19" i="3"/>
  <c r="K23" i="3"/>
  <c r="K25" i="3"/>
  <c r="K27" i="3"/>
  <c r="K29" i="3"/>
  <c r="K33" i="3"/>
  <c r="K35" i="3"/>
  <c r="K37" i="3"/>
  <c r="K39" i="3"/>
  <c r="K42" i="3"/>
  <c r="K43" i="3"/>
  <c r="L7" i="3"/>
  <c r="L9" i="3"/>
  <c r="L11" i="3"/>
  <c r="L13" i="3"/>
  <c r="L15" i="3"/>
  <c r="L17" i="3"/>
  <c r="L19" i="3"/>
  <c r="L21" i="3"/>
  <c r="L23" i="3"/>
  <c r="L25" i="3"/>
  <c r="L27" i="3"/>
  <c r="L29" i="3"/>
  <c r="L33" i="3"/>
  <c r="L35" i="3"/>
  <c r="L37" i="3"/>
  <c r="L39" i="3"/>
  <c r="L42" i="3"/>
  <c r="L43" i="3"/>
  <c r="O7" i="3"/>
  <c r="J7" i="3" s="1"/>
  <c r="O9" i="3"/>
  <c r="J9" i="3" s="1"/>
  <c r="O11" i="3"/>
  <c r="J11" i="3" s="1"/>
  <c r="O13" i="3"/>
  <c r="J13" i="3" s="1"/>
  <c r="O15" i="3"/>
  <c r="J15" i="3" s="1"/>
  <c r="O17" i="3"/>
  <c r="J17" i="3" s="1"/>
  <c r="O19" i="3"/>
  <c r="J19" i="3" s="1"/>
  <c r="O21" i="3"/>
  <c r="J21" i="3" s="1"/>
  <c r="O23" i="3"/>
  <c r="J23" i="3" s="1"/>
  <c r="O25" i="3"/>
  <c r="J25" i="3" s="1"/>
  <c r="O27" i="3"/>
  <c r="J27" i="3" s="1"/>
  <c r="O29" i="3"/>
  <c r="J29" i="3" s="1"/>
  <c r="O33" i="3"/>
  <c r="J33" i="3" s="1"/>
  <c r="O35" i="3"/>
  <c r="J35" i="3" s="1"/>
  <c r="O37" i="3"/>
  <c r="J37" i="3" s="1"/>
  <c r="O39" i="3"/>
  <c r="J39" i="3" s="1"/>
  <c r="O42" i="3"/>
  <c r="J42" i="3" s="1"/>
  <c r="O43" i="3"/>
  <c r="J43" i="3" s="1"/>
  <c r="E5" i="2"/>
  <c r="J5" i="2"/>
  <c r="J7" i="2"/>
  <c r="E7" i="2"/>
  <c r="L8" i="8"/>
  <c r="L10" i="8"/>
  <c r="L12" i="8"/>
  <c r="L14" i="8"/>
  <c r="L16" i="8"/>
  <c r="L18" i="8"/>
  <c r="L20" i="8"/>
  <c r="L22" i="8"/>
  <c r="L24" i="8"/>
  <c r="L26" i="8"/>
  <c r="L28" i="8"/>
  <c r="L30" i="8"/>
  <c r="L32" i="8"/>
  <c r="N6" i="8"/>
  <c r="N8" i="8"/>
  <c r="N10" i="8"/>
  <c r="N12" i="8"/>
  <c r="N14" i="8"/>
  <c r="N16" i="8"/>
  <c r="N18" i="8"/>
  <c r="N20" i="8"/>
  <c r="N22" i="8"/>
  <c r="N24" i="8"/>
  <c r="N26" i="8"/>
  <c r="N28" i="8"/>
  <c r="N30" i="8"/>
  <c r="N32" i="8"/>
  <c r="S6" i="8"/>
  <c r="Q6" i="8"/>
  <c r="K6" i="8" s="1"/>
  <c r="Q8" i="8"/>
  <c r="K8" i="8" s="1"/>
  <c r="S8" i="8"/>
  <c r="S10" i="8"/>
  <c r="Q10" i="8"/>
  <c r="K10" i="8" s="1"/>
  <c r="Q12" i="8"/>
  <c r="K12" i="8" s="1"/>
  <c r="S12" i="8"/>
  <c r="Q14" i="8"/>
  <c r="K14" i="8" s="1"/>
  <c r="S14" i="8"/>
  <c r="Q16" i="8"/>
  <c r="K16" i="8" s="1"/>
  <c r="S16" i="8"/>
  <c r="Q18" i="8"/>
  <c r="K18" i="8" s="1"/>
  <c r="S18" i="8"/>
  <c r="Q20" i="8"/>
  <c r="K20" i="8" s="1"/>
  <c r="S20" i="8"/>
  <c r="Q22" i="8"/>
  <c r="K22" i="8" s="1"/>
  <c r="S22" i="8"/>
  <c r="S24" i="8"/>
  <c r="Q24" i="8"/>
  <c r="K24" i="8" s="1"/>
  <c r="S26" i="8"/>
  <c r="Q26" i="8"/>
  <c r="K26" i="8" s="1"/>
  <c r="S28" i="8"/>
  <c r="Q28" i="8"/>
  <c r="K28" i="8" s="1"/>
  <c r="Q30" i="8"/>
  <c r="K30" i="8" s="1"/>
  <c r="S30" i="8"/>
  <c r="Q32" i="8"/>
  <c r="K32" i="8" s="1"/>
  <c r="S32" i="8"/>
  <c r="F7" i="2" l="1"/>
  <c r="G7" i="2"/>
  <c r="F5" i="2"/>
  <c r="G5" i="2"/>
  <c r="G8" i="2"/>
  <c r="F8" i="2"/>
  <c r="F6" i="2"/>
  <c r="G6" i="2"/>
</calcChain>
</file>

<file path=xl/connections.xml><?xml version="1.0" encoding="utf-8"?>
<connections xmlns="http://schemas.openxmlformats.org/spreadsheetml/2006/main">
  <connection id="1" interval="1" name="Connection" type="1" refreshedVersion="4" savePassword="1" background="1" refreshOnLoad="1" saveData="1">
    <dbPr connection="DSN=bis_insert_link;Description=BEHAN;UID=isedbusr;PWD=13edbu3r;APP=Microsoft Office XP;WSID=INFOPROD;DATABASE=iseBrain" command="SELECT BIS_INSERTLINK_VALUES.RECORD_DT, BIS_INSERTLINK_VALUES.INDEX_NAME, BIS_INSERTLINK_VALUES.INDEX_VALUE, BIS_INSERTLINK_VALUES.RETURN_VALUE, BIS_INSERTLINK_VALUES.TOTAL_VALUATION, BIS_INSERTLINK_VALUES.TOTAL_VOLUME, BIS_INSERTLINK_VALUES.TOTAL_TURNOVER, BIS_INSERTLINK_VALUES.MACAULAY_DUR, BIS_INSERTLINK_VALUES.MODIFIED_DUR, BIS_INSERTLINK_VALUES.YLD_TO_MATURITY, BIS_INSERTLINK_VALUES.RETURN_VALUATION, BIS_INSERTLINK_VALUES.INDEX_DESCRIPTION_x000d__x000a_FROM iseBrain.dbo.BIS_INSERTLINK_VALUES BIS_INSERTLINK_VALUES_x000d__x000a_ORDER BY BIS_INSERTLINK_VALUES.INDEX_NAME"/>
  </connection>
</connections>
</file>

<file path=xl/sharedStrings.xml><?xml version="1.0" encoding="utf-8"?>
<sst xmlns="http://schemas.openxmlformats.org/spreadsheetml/2006/main" count="830" uniqueCount="549">
  <si>
    <t>Time</t>
  </si>
  <si>
    <t>OLast</t>
  </si>
  <si>
    <t>OOpen</t>
  </si>
  <si>
    <t>OHigh</t>
  </si>
  <si>
    <t>OLow</t>
  </si>
  <si>
    <t>OReturn</t>
  </si>
  <si>
    <t>FLast</t>
  </si>
  <si>
    <t>FOpen</t>
  </si>
  <si>
    <t>FHigh</t>
  </si>
  <si>
    <t>FLow</t>
  </si>
  <si>
    <t>FReturn</t>
  </si>
  <si>
    <t>GLast</t>
  </si>
  <si>
    <t>GOpen</t>
  </si>
  <si>
    <t>GHigh</t>
  </si>
  <si>
    <t>GLow</t>
  </si>
  <si>
    <t>GReturn</t>
  </si>
  <si>
    <t>SLast</t>
  </si>
  <si>
    <t>SOpen</t>
  </si>
  <si>
    <t>SHigh</t>
  </si>
  <si>
    <t>SLow</t>
  </si>
  <si>
    <t>SReturn</t>
  </si>
  <si>
    <t>ILast</t>
  </si>
  <si>
    <t>IOpen</t>
  </si>
  <si>
    <t>IHigh</t>
  </si>
  <si>
    <t>ILow</t>
  </si>
  <si>
    <t>IReturn</t>
  </si>
  <si>
    <t>DESC</t>
  </si>
  <si>
    <t>CCY</t>
  </si>
  <si>
    <t>RATE</t>
  </si>
  <si>
    <t>US Dollar</t>
  </si>
  <si>
    <t>Japanese Yen</t>
  </si>
  <si>
    <t>Danish Krone</t>
  </si>
  <si>
    <t>Sterling</t>
  </si>
  <si>
    <t>Swedish Krona</t>
  </si>
  <si>
    <t>Swiss Franc</t>
  </si>
  <si>
    <t>Icelandic Krona</t>
  </si>
  <si>
    <t>Norwegian Krone</t>
  </si>
  <si>
    <t>Bulgarian Lev</t>
  </si>
  <si>
    <t>Cyprus Pound</t>
  </si>
  <si>
    <t>Estonian Kroon</t>
  </si>
  <si>
    <t>Hungarian Forint</t>
  </si>
  <si>
    <t>Lithuanian Litas</t>
  </si>
  <si>
    <t>Latvian Lat</t>
  </si>
  <si>
    <t>Maltese Lira</t>
  </si>
  <si>
    <t>Polish Zloty</t>
  </si>
  <si>
    <t>Romanian Leu</t>
  </si>
  <si>
    <t>Slovian tolar</t>
  </si>
  <si>
    <t>Slovian Koruna</t>
  </si>
  <si>
    <t>Australian Dollar</t>
  </si>
  <si>
    <t>Canadian Dollar</t>
  </si>
  <si>
    <t>Hong Kong Dollar</t>
  </si>
  <si>
    <t>New Zeland Dollar</t>
  </si>
  <si>
    <t>Singapore Dollar</t>
  </si>
  <si>
    <t>South Korean Won</t>
  </si>
  <si>
    <t>South African Rand</t>
  </si>
  <si>
    <t>MARK TO MARKET EXTRACTION PAGE</t>
  </si>
  <si>
    <t>ISIN</t>
  </si>
  <si>
    <t>Company</t>
  </si>
  <si>
    <t>Value</t>
  </si>
  <si>
    <t>ISE Deals</t>
  </si>
  <si>
    <t>ISE Value</t>
  </si>
  <si>
    <t>USA EURO Value</t>
  </si>
  <si>
    <t>US$ Rate</t>
  </si>
  <si>
    <t>USA $ Value</t>
  </si>
  <si>
    <t>IE0003072950</t>
  </si>
  <si>
    <t>Elan Corporation Plc</t>
  </si>
  <si>
    <t>IE0005711209</t>
  </si>
  <si>
    <t>ICON Plc</t>
  </si>
  <si>
    <t>IE0002261851</t>
  </si>
  <si>
    <t>IONA Technology Plc</t>
  </si>
  <si>
    <t>IE0006765089</t>
  </si>
  <si>
    <t>Trinity Biotech Plc</t>
  </si>
  <si>
    <t>The above table is used to create the file which is sent to IP to inform them if the equities are required to be marked to market for index calculation purposes. It first checks whether the above equities have traded today on Xetra. If they have not it then calculates the equivalent trade value in the USA. At 17.45 he VB code then calls a batch file which sends the details to IP.</t>
  </si>
  <si>
    <t>SETS TURNOVER EXTRACTION PAGE</t>
  </si>
  <si>
    <t>SETS VOLUME</t>
  </si>
  <si>
    <t>SETS TURNOVER</t>
  </si>
  <si>
    <t>AIB</t>
  </si>
  <si>
    <t>IE0000197834</t>
  </si>
  <si>
    <t>BOI</t>
  </si>
  <si>
    <t>IE0030606259</t>
  </si>
  <si>
    <t>CRH</t>
  </si>
  <si>
    <t>IE0001827041</t>
  </si>
  <si>
    <t>Turkish Lira</t>
  </si>
  <si>
    <t>USD</t>
  </si>
  <si>
    <t>JPY</t>
  </si>
  <si>
    <t>DKK</t>
  </si>
  <si>
    <t>GBP</t>
  </si>
  <si>
    <t>SEK</t>
  </si>
  <si>
    <t>CHF</t>
  </si>
  <si>
    <t>ISK</t>
  </si>
  <si>
    <t>NOK</t>
  </si>
  <si>
    <t>BGN</t>
  </si>
  <si>
    <t>CYP</t>
  </si>
  <si>
    <t>EEK</t>
  </si>
  <si>
    <t>HUF</t>
  </si>
  <si>
    <t>LTL</t>
  </si>
  <si>
    <t>LVL</t>
  </si>
  <si>
    <t>MTL</t>
  </si>
  <si>
    <t>PLN</t>
  </si>
  <si>
    <t>ROL</t>
  </si>
  <si>
    <t>SIT</t>
  </si>
  <si>
    <t>SKK</t>
  </si>
  <si>
    <t>AUD</t>
  </si>
  <si>
    <t>CAD</t>
  </si>
  <si>
    <t>HKD</t>
  </si>
  <si>
    <t>NZD</t>
  </si>
  <si>
    <t>SGD</t>
  </si>
  <si>
    <t>KRW</t>
  </si>
  <si>
    <t>ZAR</t>
  </si>
  <si>
    <t>TRL</t>
  </si>
  <si>
    <t>ANGL</t>
  </si>
  <si>
    <t>DCC</t>
  </si>
  <si>
    <t>ELAN</t>
  </si>
  <si>
    <t>GRAFTON GROUP</t>
  </si>
  <si>
    <t>IAWS GROUP</t>
  </si>
  <si>
    <t>INDEPENDENT NEWS</t>
  </si>
  <si>
    <t>IL &amp; P</t>
  </si>
  <si>
    <t>JURY DOYLE</t>
  </si>
  <si>
    <t>KERRY</t>
  </si>
  <si>
    <t>RYANAIR</t>
  </si>
  <si>
    <t>IE0001987894</t>
  </si>
  <si>
    <t>IE0002424939</t>
  </si>
  <si>
    <t>IE0031844511</t>
  </si>
  <si>
    <t>IE0004554287</t>
  </si>
  <si>
    <t>IE0004614818</t>
  </si>
  <si>
    <t>IE0004678656</t>
  </si>
  <si>
    <t>IE0004792242</t>
  </si>
  <si>
    <t>IE0004906560</t>
  </si>
  <si>
    <t>IE0031117611</t>
  </si>
  <si>
    <t>SAME ORDER?</t>
  </si>
  <si>
    <t>INDEX_DT</t>
  </si>
  <si>
    <t>INDEX_TYPE</t>
  </si>
  <si>
    <t>VALUE_OPEN</t>
  </si>
  <si>
    <t>VALUE_CLOSE</t>
  </si>
  <si>
    <t>RETURN_INDEX</t>
  </si>
  <si>
    <t>MARKET_CAP</t>
  </si>
  <si>
    <t>DAILY_HIGH</t>
  </si>
  <si>
    <t>DAILY_LOW</t>
  </si>
  <si>
    <t>IEYP</t>
  </si>
  <si>
    <t>IEWP</t>
  </si>
  <si>
    <t>IEUP</t>
  </si>
  <si>
    <t>IEQP</t>
  </si>
  <si>
    <t>IEOP</t>
  </si>
  <si>
    <t>Correct Values</t>
  </si>
  <si>
    <t>SEQ_ID</t>
  </si>
  <si>
    <t>I_TIME</t>
  </si>
  <si>
    <t>OLAST</t>
  </si>
  <si>
    <t>OOPEN</t>
  </si>
  <si>
    <t>OHIGH</t>
  </si>
  <si>
    <t>OLOW</t>
  </si>
  <si>
    <t>ORETURN</t>
  </si>
  <si>
    <t>FLAST</t>
  </si>
  <si>
    <t>FOPEN</t>
  </si>
  <si>
    <t>FHIGH</t>
  </si>
  <si>
    <t>FLOW</t>
  </si>
  <si>
    <t>FRETURN</t>
  </si>
  <si>
    <t>GLAST</t>
  </si>
  <si>
    <t>GOPEN</t>
  </si>
  <si>
    <t>GHIGH</t>
  </si>
  <si>
    <t>GLOW</t>
  </si>
  <si>
    <t>GRETURN</t>
  </si>
  <si>
    <t>SLAST</t>
  </si>
  <si>
    <t>SOPEN</t>
  </si>
  <si>
    <t>SHIGH</t>
  </si>
  <si>
    <t>SLOW</t>
  </si>
  <si>
    <t>SRETURN</t>
  </si>
  <si>
    <t>ILAST</t>
  </si>
  <si>
    <t>IOPEN</t>
  </si>
  <si>
    <t>IHIGH</t>
  </si>
  <si>
    <t>ILOW</t>
  </si>
  <si>
    <t>IRETURN</t>
  </si>
  <si>
    <t>OVERALL_IGNORE</t>
  </si>
  <si>
    <t>FINANCIAL_IGNORE</t>
  </si>
  <si>
    <t>GENERAL_IGNORE</t>
  </si>
  <si>
    <t>ITEQ_IGNORE</t>
  </si>
  <si>
    <t>SMALL_IGNORE</t>
  </si>
  <si>
    <t>OVERALL_L_IGNORE</t>
  </si>
  <si>
    <t>FINANCIAL_L_IGNORE</t>
  </si>
  <si>
    <t>GENERAL_L_IGNORE</t>
  </si>
  <si>
    <t>ITEQ_L_IGNORE</t>
  </si>
  <si>
    <t>SMALL_L_IGNORE</t>
  </si>
  <si>
    <t>F</t>
  </si>
  <si>
    <t>0</t>
  </si>
  <si>
    <t>PICK A CORRECTION:</t>
  </si>
  <si>
    <t>DSS ISEQ_CORRECTION_1 - for updating the INDEX_HISTORY</t>
  </si>
  <si>
    <t>DSS ISEQ_CORRECTION_2 - for updating the _INDEX_VALUES_STAGE</t>
  </si>
  <si>
    <t>4832.96</t>
  </si>
  <si>
    <t>4851.38</t>
  </si>
  <si>
    <t>4812.12</t>
  </si>
  <si>
    <t>9043.53</t>
  </si>
  <si>
    <t>9054.65</t>
  </si>
  <si>
    <t>9105.97</t>
  </si>
  <si>
    <t>9011.31</t>
  </si>
  <si>
    <t>3224.43</t>
  </si>
  <si>
    <t>3233.39</t>
  </si>
  <si>
    <t>3240.25</t>
  </si>
  <si>
    <t>3218.18</t>
  </si>
  <si>
    <t>1633.15</t>
  </si>
  <si>
    <t>1634.69</t>
  </si>
  <si>
    <t>1638.2</t>
  </si>
  <si>
    <t>1627.9</t>
  </si>
  <si>
    <t>338.69</t>
  </si>
  <si>
    <t>340.42</t>
  </si>
  <si>
    <t>ANGLO IRISH BANK</t>
  </si>
  <si>
    <t>GRAFTON</t>
  </si>
  <si>
    <t>JURY DOYLES</t>
  </si>
  <si>
    <t>KERRY GROUP</t>
  </si>
  <si>
    <t xml:space="preserve"> </t>
  </si>
  <si>
    <t>IE00B00MZ448</t>
  </si>
  <si>
    <t>IE0000020408</t>
  </si>
  <si>
    <t>IE0003073255</t>
  </si>
  <si>
    <t>ELast</t>
  </si>
  <si>
    <t>EOpen</t>
  </si>
  <si>
    <t>EHigh</t>
  </si>
  <si>
    <t>ELow</t>
  </si>
  <si>
    <t>EReturn</t>
  </si>
  <si>
    <t>NLast</t>
  </si>
  <si>
    <t>NOpen</t>
  </si>
  <si>
    <t>NHigh</t>
  </si>
  <si>
    <t>NLow</t>
  </si>
  <si>
    <t>Olast</t>
  </si>
  <si>
    <t>CZK</t>
  </si>
  <si>
    <t>Czech Republic Koruny</t>
  </si>
  <si>
    <t>IE00B010DT83</t>
  </si>
  <si>
    <t>IE0007214426</t>
  </si>
  <si>
    <t>IE0000590798</t>
  </si>
  <si>
    <t>IE0003290289</t>
  </si>
  <si>
    <t>IE0003295239</t>
  </si>
  <si>
    <t>IE0000669501</t>
  </si>
  <si>
    <t>IE0002325243</t>
  </si>
  <si>
    <t>IE0004879486</t>
  </si>
  <si>
    <t>IE0004927939</t>
  </si>
  <si>
    <t>IE0006627891</t>
  </si>
  <si>
    <t>GB0001500809</t>
  </si>
  <si>
    <t>IE0033024807</t>
  </si>
  <si>
    <t>Check</t>
  </si>
  <si>
    <t>Mark_To_Market</t>
  </si>
  <si>
    <t>US$ Last Close</t>
  </si>
  <si>
    <t>Percent</t>
  </si>
  <si>
    <t>ALPHA</t>
  </si>
  <si>
    <t>DRX</t>
  </si>
  <si>
    <t>IJF</t>
  </si>
  <si>
    <t>IOP</t>
  </si>
  <si>
    <t>TWU</t>
  </si>
  <si>
    <t>C&amp;C</t>
  </si>
  <si>
    <t>DRAGON OIL</t>
  </si>
  <si>
    <t>FYFFES</t>
  </si>
  <si>
    <t>GLANBIA</t>
  </si>
  <si>
    <t>IFG</t>
  </si>
  <si>
    <t>IRISH CONTINENTIAL</t>
  </si>
  <si>
    <t>KENMARE RESOURCES</t>
  </si>
  <si>
    <t>KINGSPAN</t>
  </si>
  <si>
    <t>PADDY POWER</t>
  </si>
  <si>
    <t>UNITED DRUG</t>
  </si>
  <si>
    <t>IE0033336516</t>
  </si>
  <si>
    <t>RECORD_DT</t>
  </si>
  <si>
    <t>INDEX_NAME</t>
  </si>
  <si>
    <t>INDEX_VALUE</t>
  </si>
  <si>
    <t>RETURN_VALUE</t>
  </si>
  <si>
    <t>TOTAL_VALUATION</t>
  </si>
  <si>
    <t>TOTAL_VOLUME</t>
  </si>
  <si>
    <t>TOTAL_TURNOVER</t>
  </si>
  <si>
    <t>MACAULAY_DUR</t>
  </si>
  <si>
    <t>MODIFIED_DUR</t>
  </si>
  <si>
    <t>YLD_TO_MATURITY</t>
  </si>
  <si>
    <t>RETURN_VALUATION</t>
  </si>
  <si>
    <t>INDEX_DESCRIPTION</t>
  </si>
  <si>
    <t>BI1</t>
  </si>
  <si>
    <t>All Bond Index</t>
  </si>
  <si>
    <t>BI2</t>
  </si>
  <si>
    <t>Under 3 Bond Index</t>
  </si>
  <si>
    <t>BI3</t>
  </si>
  <si>
    <t>Under 5 Bond Index</t>
  </si>
  <si>
    <t>BI4</t>
  </si>
  <si>
    <t>Under 10 Bond Index</t>
  </si>
  <si>
    <t>BI5</t>
  </si>
  <si>
    <t>5 Plus Bond Index</t>
  </si>
  <si>
    <t>BI6</t>
  </si>
  <si>
    <t>10 Plus Bond Index</t>
  </si>
  <si>
    <t>Date</t>
  </si>
  <si>
    <t>Price Index</t>
  </si>
  <si>
    <t>R</t>
  </si>
  <si>
    <t>YTM</t>
  </si>
  <si>
    <t>Mkt Cap Em</t>
  </si>
  <si>
    <t>EUR</t>
  </si>
  <si>
    <t>Euro</t>
  </si>
  <si>
    <t>AER LINGUS</t>
  </si>
  <si>
    <t>IE00B1CMPN86</t>
  </si>
  <si>
    <t>No. Deals</t>
  </si>
  <si>
    <t>No. DEALS</t>
  </si>
  <si>
    <t>ABBEY</t>
  </si>
  <si>
    <t>AMINEX</t>
  </si>
  <si>
    <t>TULLOW OIL</t>
  </si>
  <si>
    <t>FBD</t>
  </si>
  <si>
    <t>OVOCA GOLD</t>
  </si>
  <si>
    <t>PROVIDENCE RES</t>
  </si>
  <si>
    <t>CPL RESOURCES</t>
  </si>
  <si>
    <t>ORMONDE MINING</t>
  </si>
  <si>
    <t>PETRONEFT RES</t>
  </si>
  <si>
    <t>IE00B0Q82B24</t>
  </si>
  <si>
    <t>IE00B0LNHG27</t>
  </si>
  <si>
    <t>IE00B1GKF381</t>
  </si>
  <si>
    <t>SMURFIT KAPPA</t>
  </si>
  <si>
    <t>IE00B1RR8406</t>
  </si>
  <si>
    <t>ZAMANO</t>
  </si>
  <si>
    <t>TOTAL PRODUCE</t>
  </si>
  <si>
    <t>IE00B1G17W46</t>
  </si>
  <si>
    <t>IE00B1HDWM43</t>
  </si>
  <si>
    <t>PRIME ACTIVE PLC</t>
  </si>
  <si>
    <t>VRETURN</t>
  </si>
  <si>
    <t>LRETURN</t>
  </si>
  <si>
    <t>CRETURN</t>
  </si>
  <si>
    <t>VLAST</t>
  </si>
  <si>
    <t>VOPEN</t>
  </si>
  <si>
    <t>VHIGH</t>
  </si>
  <si>
    <t xml:space="preserve">VLOW </t>
  </si>
  <si>
    <t>LLAST</t>
  </si>
  <si>
    <t>LOPEN</t>
  </si>
  <si>
    <t>LHIGH</t>
  </si>
  <si>
    <t xml:space="preserve">LLOW </t>
  </si>
  <si>
    <t>CLAST</t>
  </si>
  <si>
    <t>COPEN</t>
  </si>
  <si>
    <t>CHIGH</t>
  </si>
  <si>
    <t xml:space="preserve">CLOW </t>
  </si>
  <si>
    <t>Xlast</t>
  </si>
  <si>
    <t>XOpen</t>
  </si>
  <si>
    <t>XReturn</t>
  </si>
  <si>
    <t>XLow</t>
  </si>
  <si>
    <t>XHigh</t>
  </si>
  <si>
    <t>\</t>
  </si>
  <si>
    <t>£:€</t>
  </si>
  <si>
    <t>GB0031477770</t>
  </si>
  <si>
    <t>IE00B1WV4493</t>
  </si>
  <si>
    <t>Euro Turnover</t>
  </si>
  <si>
    <t>Currency</t>
  </si>
  <si>
    <t>FIRST DERIVATIVES</t>
  </si>
  <si>
    <t>PETROCELTIC</t>
  </si>
  <si>
    <t>ORIGIN</t>
  </si>
  <si>
    <t>ALLIED IRISH BANKS PLC</t>
  </si>
  <si>
    <t>DCC PLC</t>
  </si>
  <si>
    <t>INDEPENDENT NEWS &amp; MEDIA PLC</t>
  </si>
  <si>
    <t>BANK OF IRELAND</t>
  </si>
  <si>
    <t>C&amp;C GROUP PLC</t>
  </si>
  <si>
    <t>HRK</t>
  </si>
  <si>
    <t>RON</t>
  </si>
  <si>
    <t>CNY</t>
  </si>
  <si>
    <t>PHP</t>
  </si>
  <si>
    <t>THB</t>
  </si>
  <si>
    <t>MYR</t>
  </si>
  <si>
    <t>Chinese Yuan</t>
  </si>
  <si>
    <t>Croatian Kuna</t>
  </si>
  <si>
    <t>Malaysian Ringgit</t>
  </si>
  <si>
    <t>Philippine peso</t>
  </si>
  <si>
    <t>Romanian Lei</t>
  </si>
  <si>
    <t>Thai Bhat</t>
  </si>
  <si>
    <t>TURQUIOSE TURNOVER EXTRACTION PAGE</t>
  </si>
  <si>
    <t>TQ VOLUME</t>
  </si>
  <si>
    <t>RIC</t>
  </si>
  <si>
    <t>ALBKi.TQ</t>
  </si>
  <si>
    <t>BKIRi.TQ</t>
  </si>
  <si>
    <t>CRH PLC ORD</t>
  </si>
  <si>
    <t>CRHi.TQ</t>
  </si>
  <si>
    <t>DCCi.TQ</t>
  </si>
  <si>
    <t>ELAN CORPORATION</t>
  </si>
  <si>
    <t>ELNi.TQ</t>
  </si>
  <si>
    <t>GCCi.TQ</t>
  </si>
  <si>
    <t>GRAFTON GRP PLC UNITS</t>
  </si>
  <si>
    <t>GRF_ui.TQ</t>
  </si>
  <si>
    <t>INMEi.TQ</t>
  </si>
  <si>
    <t>IL&amp;P PLC ORD EO 0.32</t>
  </si>
  <si>
    <t>IPMi.TQ</t>
  </si>
  <si>
    <t>KINGSPAN GRP PLC</t>
  </si>
  <si>
    <t>KSPi.TQ</t>
  </si>
  <si>
    <t>KERRY GRP PLC</t>
  </si>
  <si>
    <t>KYGai.TQ</t>
  </si>
  <si>
    <t>RYANAIR HOLDINGS PLC</t>
  </si>
  <si>
    <t>RYAi.TQ</t>
  </si>
  <si>
    <t>ARYZTA AG NAM.     SF-,02</t>
  </si>
  <si>
    <t>CH0043238366</t>
  </si>
  <si>
    <t>ARYNi.TQ</t>
  </si>
  <si>
    <t>TQ TURNOVER ('000's)</t>
  </si>
  <si>
    <t>IEX last</t>
  </si>
  <si>
    <t>IEXOpen</t>
  </si>
  <si>
    <t>IEXHigh</t>
  </si>
  <si>
    <t>IEXLow</t>
  </si>
  <si>
    <t>IEXReturn</t>
  </si>
  <si>
    <t>InverseLAST</t>
  </si>
  <si>
    <t>InverseOPEN</t>
  </si>
  <si>
    <t>InverseHIGH</t>
  </si>
  <si>
    <t xml:space="preserve">InverseLOW </t>
  </si>
  <si>
    <t>InverseRETURN</t>
  </si>
  <si>
    <t>LeveragedOPEN</t>
  </si>
  <si>
    <t>LeveragedHIGH</t>
  </si>
  <si>
    <t>LeveragedRETURN</t>
  </si>
  <si>
    <t>LeveragedLAST</t>
  </si>
  <si>
    <t xml:space="preserve">LeveragedLOW </t>
  </si>
  <si>
    <t>CappedLAST</t>
  </si>
  <si>
    <t>CappedOPEN</t>
  </si>
  <si>
    <t>CappedHIGH</t>
  </si>
  <si>
    <t xml:space="preserve">CappedLOW </t>
  </si>
  <si>
    <t>CappedRETURN</t>
  </si>
  <si>
    <t>NEWCOURT GROUP PLC - IEX</t>
  </si>
  <si>
    <t>Yes</t>
  </si>
  <si>
    <t>OK</t>
  </si>
  <si>
    <t>A0HG4L</t>
  </si>
  <si>
    <t>IE00B01ZSK94</t>
  </si>
  <si>
    <t>CONROY DIAMONDS &amp; GOLD</t>
  </si>
  <si>
    <t>KARELIAN DIAMOND RESOURCES</t>
  </si>
  <si>
    <t>IE00B59NXW72</t>
  </si>
  <si>
    <t>IE00B4XVDC01</t>
  </si>
  <si>
    <t>IE00B1FR8863</t>
  </si>
  <si>
    <t>GREAT WESTERN MINING CORPORATION PLC</t>
  </si>
  <si>
    <t>AERLi.TQ</t>
  </si>
  <si>
    <t>FBD HOLDINGS PLC</t>
  </si>
  <si>
    <t>AER LINGUS GROUP PLC</t>
  </si>
  <si>
    <t>ICON PLC</t>
  </si>
  <si>
    <t>IRISH CONTINENTAL GROUP PLC</t>
  </si>
  <si>
    <t>KENMARE RESOURCES PLC</t>
  </si>
  <si>
    <t>SMURFIT KAPPA GROUP PLC</t>
  </si>
  <si>
    <t>UNITED DRUG PLC</t>
  </si>
  <si>
    <t>GLANBIA PLC</t>
  </si>
  <si>
    <t>DRAGON OIL PLC</t>
  </si>
  <si>
    <t>PADDY POWER PLC</t>
  </si>
  <si>
    <t>DGOl.TQ</t>
  </si>
  <si>
    <t>GL9i.TQ</t>
  </si>
  <si>
    <t>PAPi.TQ</t>
  </si>
  <si>
    <t>FBDi.TQ</t>
  </si>
  <si>
    <t>JEVl.TQ</t>
  </si>
  <si>
    <t>ICONi.TQ</t>
  </si>
  <si>
    <t>UDGi.TQ</t>
  </si>
  <si>
    <t>ICG_ui.TQ</t>
  </si>
  <si>
    <t>SKGi.TQ</t>
  </si>
  <si>
    <t>CRHl.TQ</t>
  </si>
  <si>
    <t>ARYNs.TQ</t>
  </si>
  <si>
    <t>DGOi.TQ</t>
  </si>
  <si>
    <t>JEVi.TQ</t>
  </si>
  <si>
    <t>CHF to EUR</t>
  </si>
  <si>
    <t>Euro Turnover (Thousands of Euro)</t>
  </si>
  <si>
    <t>CRH PLC ORD (London)</t>
  </si>
  <si>
    <t>DRAGON OIL PLC (Dublin)</t>
  </si>
  <si>
    <t>KENMARE RESOURCES PLC (Dublin)</t>
  </si>
  <si>
    <t>ARYZTA AG NAM.     SF-,02 (Switz)</t>
  </si>
  <si>
    <t>Exchange</t>
  </si>
  <si>
    <t>ISE</t>
  </si>
  <si>
    <t>LSE</t>
  </si>
  <si>
    <t>SIX</t>
  </si>
  <si>
    <t>RUB</t>
  </si>
  <si>
    <t>TRY</t>
  </si>
  <si>
    <t>IDR</t>
  </si>
  <si>
    <t>ILS</t>
  </si>
  <si>
    <t>New formuale because the older ones do not work with delayed data and because the older ones were cropping the values and thus producing incorrect values. For example 45.1234 becoming .1234</t>
  </si>
  <si>
    <t>GREEN REIT PLC</t>
  </si>
  <si>
    <t>IE00BBR67J55</t>
  </si>
  <si>
    <t>FALCON OIL &amp; GAS LTD</t>
  </si>
  <si>
    <t>CA3060711015</t>
  </si>
  <si>
    <t>MINCON GROUP PLC</t>
  </si>
  <si>
    <t>IE00BD64C665</t>
  </si>
  <si>
    <t>GAMEACCOUNT NETWORK PLC</t>
  </si>
  <si>
    <t>GB00BGCC6189</t>
  </si>
  <si>
    <t>HIBERNIA REIT PLC </t>
  </si>
  <si>
    <t>IE00BGHQ1986</t>
  </si>
  <si>
    <t>IE00BJ34P519</t>
  </si>
  <si>
    <t>IRISH RESIDENTIAL PROPERTIES REIT PLC</t>
  </si>
  <si>
    <t>IE00BJMZDW83</t>
  </si>
  <si>
    <t>DALATA HOTEL GROUP PLC</t>
  </si>
  <si>
    <t>APPLEGREEN PLC</t>
  </si>
  <si>
    <t>IE00BXC8D038</t>
  </si>
  <si>
    <t>IE00BWT6H894</t>
  </si>
  <si>
    <t>IE00B1Z9ZG98</t>
  </si>
  <si>
    <t>DATE_ID</t>
  </si>
  <si>
    <t>COMPANY</t>
  </si>
  <si>
    <t>TURQUOISE_VOLUME</t>
  </si>
  <si>
    <t>TURQUOISE_TURNOVER</t>
  </si>
  <si>
    <t>INSTRUMENT_ID</t>
  </si>
  <si>
    <t>Elan</t>
  </si>
  <si>
    <t>[NULL]</t>
  </si>
  <si>
    <t>ILPerm</t>
  </si>
  <si>
    <t>Ryanair</t>
  </si>
  <si>
    <t>ARYZTA AG</t>
  </si>
  <si>
    <t>Grafton Grp</t>
  </si>
  <si>
    <t>Indep News</t>
  </si>
  <si>
    <t>Kingspan</t>
  </si>
  <si>
    <t>Kerry Grp</t>
  </si>
  <si>
    <t>Dragon Oil</t>
  </si>
  <si>
    <t>Glanbia</t>
  </si>
  <si>
    <t>BRL</t>
  </si>
  <si>
    <t>this is it</t>
  </si>
  <si>
    <t>HOSTELWORLD GROUP PLC</t>
  </si>
  <si>
    <t>GB00BYYN4225</t>
  </si>
  <si>
    <t>IE00BYTBXV33</t>
  </si>
  <si>
    <t>IE00BZ4BTZ13</t>
  </si>
  <si>
    <t>IE00BYSZ9G33</t>
  </si>
  <si>
    <t>VENN LIFE SCIENCES HOLDINGS PLC</t>
  </si>
  <si>
    <t>GB00B9275X97</t>
  </si>
  <si>
    <t>WIRELESS GROUP PLC</t>
  </si>
  <si>
    <t>GB00BDGT1X16</t>
  </si>
  <si>
    <t>IE00B59HWB19</t>
  </si>
  <si>
    <t>IE00BB0QZ876</t>
  </si>
  <si>
    <t>IE00B66B5T26</t>
  </si>
  <si>
    <t>IE00BLP58571</t>
  </si>
  <si>
    <t>AMRYT PHARMA</t>
  </si>
  <si>
    <t>GB00BDD1LS57</t>
  </si>
  <si>
    <t>DRAPER ESPRIT PLC</t>
  </si>
  <si>
    <t>GB00BY7QYJ50 </t>
  </si>
  <si>
    <t>GB00BY7QYJ50</t>
  </si>
  <si>
    <t>IE00BDC5DG00</t>
  </si>
  <si>
    <t>122.038</t>
  </si>
  <si>
    <t>205.409</t>
  </si>
  <si>
    <t>118284850543.135</t>
  </si>
  <si>
    <t>6.248</t>
  </si>
  <si>
    <t>6.226</t>
  </si>
  <si>
    <t>.362</t>
  </si>
  <si>
    <t>120296226164.982</t>
  </si>
  <si>
    <t>91.131</t>
  </si>
  <si>
    <t>143.606</t>
  </si>
  <si>
    <t>25884449496.139</t>
  </si>
  <si>
    <t>2.045</t>
  </si>
  <si>
    <t>2.054</t>
  </si>
  <si>
    <t>-.444</t>
  </si>
  <si>
    <t>26543357417.417</t>
  </si>
  <si>
    <t>104.63</t>
  </si>
  <si>
    <t>169.101</t>
  </si>
  <si>
    <t>57288992592.602</t>
  </si>
  <si>
    <t>2.802</t>
  </si>
  <si>
    <t>2.813</t>
  </si>
  <si>
    <t>-.367</t>
  </si>
  <si>
    <t>58744095241.77</t>
  </si>
  <si>
    <t>116.382</t>
  </si>
  <si>
    <t>191.293</t>
  </si>
  <si>
    <t>101532277264.135</t>
  </si>
  <si>
    <t>4.601</t>
  </si>
  <si>
    <t>4.6</t>
  </si>
  <si>
    <t>.015</t>
  </si>
  <si>
    <t>103447112273.982</t>
  </si>
  <si>
    <t>137.689</t>
  </si>
  <si>
    <t>234.952</t>
  </si>
  <si>
    <t>60995857950.533</t>
  </si>
  <si>
    <t>9.536</t>
  </si>
  <si>
    <t>9.483</t>
  </si>
  <si>
    <t>.567</t>
  </si>
  <si>
    <t>61552130923.212</t>
  </si>
  <si>
    <t>153.557</t>
  </si>
  <si>
    <t>273.571</t>
  </si>
  <si>
    <t>16752573279</t>
  </si>
  <si>
    <t>16.362</t>
  </si>
  <si>
    <t>16.206</t>
  </si>
  <si>
    <t>.962</t>
  </si>
  <si>
    <t>16849113891</t>
  </si>
  <si>
    <t>&lt;--- Lituanian Currency deleted form the table because it wasn't working (08-08-2016).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</si>
</sst>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m/d/yy\ h:mm\ AM/PM"/>
    <numFmt numFmtId="165" formatCode="_-* #,##0.0000000_-;\-* #,##0.0000000_-;_-* &quot;-&quot;???????_-;_-@_-"/>
    <numFmt numFmtId="166" formatCode="dd/mm/yyyy\ hh:mm:ss"/>
    <numFmt numFmtId="167" formatCode="dd\ mmm\ yyyy"/>
    <numFmt numFmtId="168" formatCode="000.00"/>
    <numFmt numFmtId="169" formatCode="#,##0.00_ ;\-#,##0.00\ "/>
  </numFmts>
  <fonts count="46" x14ac:knownFonts="1">
    <font>
      <sz val="10"/>
      <name val="Times New Roman"/>
    </font>
    <font>
      <sz val="11"/>
      <color theme="1"/>
      <name val="Calibri"/>
      <family val="2"/>
      <scheme val="minor"/>
    </font>
    <font>
      <sz val="11"/>
      <color theme="1"/>
      <name val="Calibri"/>
      <family val="2"/>
      <scheme val="minor"/>
    </font>
    <font>
      <sz val="10"/>
      <name val="Times New Roman"/>
    </font>
    <font>
      <b/>
      <sz val="10"/>
      <name val="Arial"/>
      <family val="2"/>
    </font>
    <font>
      <sz val="8"/>
      <name val="Times New Roman"/>
    </font>
    <font>
      <b/>
      <sz val="12"/>
      <name val="Arial"/>
      <family val="2"/>
    </font>
    <font>
      <sz val="12"/>
      <name val="Arial"/>
      <family val="2"/>
    </font>
    <font>
      <b/>
      <sz val="10"/>
      <name val="Times New Roman"/>
      <family val="1"/>
    </font>
    <font>
      <sz val="8"/>
      <name val="Arial"/>
      <family val="2"/>
    </font>
    <font>
      <sz val="8"/>
      <color indexed="8"/>
      <name val="Arial"/>
    </font>
    <font>
      <sz val="10"/>
      <color indexed="8"/>
      <name val="Arial"/>
    </font>
    <font>
      <sz val="10"/>
      <color indexed="12"/>
      <name val="Times New Roman"/>
    </font>
    <font>
      <sz val="8"/>
      <color indexed="12"/>
      <name val="Arial"/>
    </font>
    <font>
      <sz val="8"/>
      <color indexed="10"/>
      <name val="Arial"/>
    </font>
    <font>
      <b/>
      <sz val="8"/>
      <color indexed="8"/>
      <name val="Arial"/>
      <family val="2"/>
    </font>
    <font>
      <b/>
      <sz val="10"/>
      <name val="Times New Roman"/>
    </font>
    <font>
      <b/>
      <sz val="8"/>
      <color indexed="8"/>
      <name val="Arial"/>
    </font>
    <font>
      <b/>
      <sz val="10"/>
      <color indexed="53"/>
      <name val="Arial"/>
      <family val="2"/>
    </font>
    <font>
      <sz val="10"/>
      <color indexed="53"/>
      <name val="Arial"/>
      <family val="2"/>
    </font>
    <font>
      <b/>
      <sz val="10"/>
      <color indexed="8"/>
      <name val="Arial"/>
      <family val="2"/>
    </font>
    <font>
      <sz val="10"/>
      <color indexed="8"/>
      <name val="Arial"/>
      <family val="2"/>
    </font>
    <font>
      <sz val="10"/>
      <name val="Arial"/>
    </font>
    <font>
      <b/>
      <sz val="10"/>
      <name val="Arial"/>
    </font>
    <font>
      <sz val="10"/>
      <color indexed="10"/>
      <name val="Times New Roman"/>
    </font>
    <font>
      <b/>
      <sz val="10"/>
      <color indexed="10"/>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color indexed="8"/>
      <name val="Tahoma"/>
      <family val="2"/>
    </font>
    <font>
      <sz val="10"/>
      <name val="Times New Roman"/>
      <family val="1"/>
    </font>
    <font>
      <sz val="12"/>
      <name val="Times New Roman"/>
      <family val="1"/>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indexed="47"/>
        <bgColor indexed="64"/>
      </patternFill>
    </fill>
    <fill>
      <patternFill patternType="solid">
        <fgColor indexed="42"/>
        <bgColor indexed="0"/>
      </patternFill>
    </fill>
    <fill>
      <patternFill patternType="solid">
        <fgColor indexed="42"/>
        <bgColor indexed="8"/>
      </patternFill>
    </fill>
    <fill>
      <patternFill patternType="solid">
        <fgColor indexed="22"/>
        <bgColor indexed="0"/>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theme="2" tint="-0.249977111117893"/>
        <bgColor indexed="64"/>
      </patternFill>
    </fill>
  </fills>
  <borders count="6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right style="dotted">
        <color indexed="64"/>
      </right>
      <top/>
      <bottom/>
      <diagonal/>
    </border>
    <border>
      <left style="dotted">
        <color indexed="64"/>
      </left>
      <right style="dotted">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dotted">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s>
  <cellStyleXfs count="96">
    <xf numFmtId="0" fontId="0" fillId="0" borderId="0" applyNumberFormat="0" applyFill="0" applyBorder="0" applyAlignment="0" applyProtection="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9" borderId="0" applyNumberFormat="0" applyBorder="0" applyAlignment="0" applyProtection="0"/>
    <xf numFmtId="0" fontId="28" fillId="3" borderId="0" applyNumberFormat="0" applyBorder="0" applyAlignment="0" applyProtection="0"/>
    <xf numFmtId="0" fontId="29" fillId="20" borderId="1" applyNumberFormat="0" applyAlignment="0" applyProtection="0"/>
    <xf numFmtId="0" fontId="30" fillId="21" borderId="2" applyNumberFormat="0" applyAlignment="0" applyProtection="0"/>
    <xf numFmtId="43" fontId="3" fillId="0" borderId="0" applyFont="0" applyFill="0" applyBorder="0" applyAlignment="0" applyProtection="0"/>
    <xf numFmtId="0" fontId="31" fillId="0" borderId="0" applyNumberFormat="0" applyFill="0" applyBorder="0" applyAlignment="0" applyProtection="0"/>
    <xf numFmtId="0" fontId="32" fillId="4" borderId="0" applyNumberFormat="0" applyBorder="0" applyAlignment="0" applyProtection="0"/>
    <xf numFmtId="0" fontId="33" fillId="0" borderId="3" applyNumberFormat="0" applyFill="0" applyAlignment="0" applyProtection="0"/>
    <xf numFmtId="0" fontId="34" fillId="0" borderId="4" applyNumberFormat="0" applyFill="0" applyAlignment="0" applyProtection="0"/>
    <xf numFmtId="0" fontId="35" fillId="0" borderId="5" applyNumberFormat="0" applyFill="0" applyAlignment="0" applyProtection="0"/>
    <xf numFmtId="0" fontId="35" fillId="0" borderId="0" applyNumberFormat="0" applyFill="0" applyBorder="0" applyAlignment="0" applyProtection="0"/>
    <xf numFmtId="0" fontId="36" fillId="7" borderId="1" applyNumberFormat="0" applyAlignment="0" applyProtection="0"/>
    <xf numFmtId="0" fontId="37" fillId="0" borderId="6" applyNumberFormat="0" applyFill="0" applyAlignment="0" applyProtection="0"/>
    <xf numFmtId="0" fontId="38" fillId="22" borderId="0" applyNumberFormat="0" applyBorder="0" applyAlignment="0" applyProtection="0"/>
    <xf numFmtId="0" fontId="11" fillId="0" borderId="0"/>
    <xf numFmtId="0" fontId="22" fillId="0" borderId="0"/>
    <xf numFmtId="0" fontId="22" fillId="0" borderId="0"/>
    <xf numFmtId="0" fontId="11" fillId="0" borderId="0"/>
    <xf numFmtId="0" fontId="3" fillId="0" borderId="0"/>
    <xf numFmtId="0" fontId="11" fillId="0" borderId="0"/>
    <xf numFmtId="0" fontId="26" fillId="0" borderId="0"/>
    <xf numFmtId="0" fontId="26" fillId="23" borderId="7" applyNumberFormat="0" applyFont="0" applyAlignment="0" applyProtection="0"/>
    <xf numFmtId="0" fontId="39" fillId="20" borderId="8" applyNumberFormat="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0" borderId="0" applyNumberFormat="0" applyFill="0" applyBorder="0" applyAlignment="0" applyProtection="0"/>
    <xf numFmtId="0" fontId="2" fillId="0" borderId="0"/>
    <xf numFmtId="0" fontId="1" fillId="0" borderId="0"/>
    <xf numFmtId="0" fontId="3" fillId="0" borderId="0" applyNumberFormat="0" applyFill="0" applyBorder="0" applyAlignment="0" applyProtection="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9" borderId="0" applyNumberFormat="0" applyBorder="0" applyAlignment="0" applyProtection="0"/>
    <xf numFmtId="0" fontId="28" fillId="3" borderId="0" applyNumberFormat="0" applyBorder="0" applyAlignment="0" applyProtection="0"/>
    <xf numFmtId="0" fontId="29" fillId="20" borderId="1" applyNumberFormat="0" applyAlignment="0" applyProtection="0"/>
    <xf numFmtId="0" fontId="30" fillId="21" borderId="2" applyNumberFormat="0" applyAlignment="0" applyProtection="0"/>
    <xf numFmtId="43" fontId="3" fillId="0" borderId="0" applyFont="0" applyFill="0" applyBorder="0" applyAlignment="0" applyProtection="0"/>
    <xf numFmtId="0" fontId="31" fillId="0" borderId="0" applyNumberFormat="0" applyFill="0" applyBorder="0" applyAlignment="0" applyProtection="0"/>
    <xf numFmtId="0" fontId="32" fillId="4" borderId="0" applyNumberFormat="0" applyBorder="0" applyAlignment="0" applyProtection="0"/>
    <xf numFmtId="0" fontId="33" fillId="0" borderId="3" applyNumberFormat="0" applyFill="0" applyAlignment="0" applyProtection="0"/>
    <xf numFmtId="0" fontId="34" fillId="0" borderId="4" applyNumberFormat="0" applyFill="0" applyAlignment="0" applyProtection="0"/>
    <xf numFmtId="0" fontId="35" fillId="0" borderId="5" applyNumberFormat="0" applyFill="0" applyAlignment="0" applyProtection="0"/>
    <xf numFmtId="0" fontId="35" fillId="0" borderId="0" applyNumberFormat="0" applyFill="0" applyBorder="0" applyAlignment="0" applyProtection="0"/>
    <xf numFmtId="0" fontId="36" fillId="7" borderId="1" applyNumberFormat="0" applyAlignment="0" applyProtection="0"/>
    <xf numFmtId="0" fontId="37" fillId="0" borderId="6" applyNumberFormat="0" applyFill="0" applyAlignment="0" applyProtection="0"/>
    <xf numFmtId="0" fontId="38" fillId="22" borderId="0" applyNumberFormat="0" applyBorder="0" applyAlignment="0" applyProtection="0"/>
    <xf numFmtId="0" fontId="26" fillId="23" borderId="7" applyNumberFormat="0" applyFont="0" applyAlignment="0" applyProtection="0"/>
    <xf numFmtId="0" fontId="39" fillId="20" borderId="8" applyNumberFormat="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0" borderId="0" applyNumberFormat="0" applyFill="0" applyBorder="0" applyAlignment="0" applyProtection="0"/>
    <xf numFmtId="0" fontId="1" fillId="0" borderId="0"/>
  </cellStyleXfs>
  <cellXfs count="216">
    <xf numFmtId="0" fontId="0" fillId="0" borderId="0" xfId="0"/>
    <xf numFmtId="0" fontId="4" fillId="0" borderId="10" xfId="0" applyFont="1" applyBorder="1"/>
    <xf numFmtId="0" fontId="4" fillId="0" borderId="11" xfId="0" applyFont="1" applyBorder="1"/>
    <xf numFmtId="0" fontId="4" fillId="0" borderId="12" xfId="0" applyFon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7" fillId="24" borderId="25" xfId="0" applyFont="1" applyFill="1" applyBorder="1" applyAlignment="1">
      <alignment horizontal="center"/>
    </xf>
    <xf numFmtId="0" fontId="7" fillId="24" borderId="0" xfId="0" applyFont="1" applyFill="1" applyBorder="1" applyAlignment="1">
      <alignment horizontal="center"/>
    </xf>
    <xf numFmtId="0" fontId="7" fillId="24" borderId="26" xfId="0" applyFont="1" applyFill="1" applyBorder="1" applyAlignment="1">
      <alignment horizontal="center"/>
    </xf>
    <xf numFmtId="0" fontId="0" fillId="24" borderId="25" xfId="0" applyFill="1" applyBorder="1"/>
    <xf numFmtId="0" fontId="0" fillId="24" borderId="26" xfId="0" applyFill="1" applyBorder="1"/>
    <xf numFmtId="0" fontId="0" fillId="0" borderId="27" xfId="0" applyBorder="1"/>
    <xf numFmtId="0" fontId="8" fillId="0" borderId="28" xfId="0" applyFont="1" applyBorder="1"/>
    <xf numFmtId="0" fontId="0" fillId="0" borderId="28" xfId="0" applyBorder="1"/>
    <xf numFmtId="43" fontId="0" fillId="0" borderId="28" xfId="28" applyFont="1" applyBorder="1"/>
    <xf numFmtId="0" fontId="0" fillId="0" borderId="0" xfId="0" applyBorder="1"/>
    <xf numFmtId="0" fontId="0" fillId="0" borderId="29" xfId="0" applyBorder="1"/>
    <xf numFmtId="0" fontId="0" fillId="24" borderId="0" xfId="0" applyFill="1" applyBorder="1"/>
    <xf numFmtId="0" fontId="0" fillId="24" borderId="30" xfId="0" applyFill="1" applyBorder="1"/>
    <xf numFmtId="0" fontId="0" fillId="24" borderId="29" xfId="0" applyFill="1" applyBorder="1"/>
    <xf numFmtId="0" fontId="0" fillId="24" borderId="31" xfId="0" applyFill="1" applyBorder="1"/>
    <xf numFmtId="0" fontId="4" fillId="0" borderId="32" xfId="0" applyFont="1" applyBorder="1"/>
    <xf numFmtId="0" fontId="0" fillId="0" borderId="33" xfId="0" applyBorder="1"/>
    <xf numFmtId="0" fontId="4" fillId="0" borderId="34" xfId="0" applyFont="1" applyBorder="1"/>
    <xf numFmtId="0" fontId="0" fillId="0" borderId="35" xfId="0" applyBorder="1"/>
    <xf numFmtId="0" fontId="0" fillId="0" borderId="36" xfId="0" applyBorder="1"/>
    <xf numFmtId="165" fontId="0" fillId="0" borderId="0" xfId="28" applyNumberFormat="1" applyFont="1" applyBorder="1"/>
    <xf numFmtId="43" fontId="0" fillId="0" borderId="0" xfId="28" applyFont="1" applyBorder="1"/>
    <xf numFmtId="0" fontId="0" fillId="25" borderId="11" xfId="0" applyFill="1" applyBorder="1"/>
    <xf numFmtId="0" fontId="0" fillId="25" borderId="12" xfId="0" applyFill="1" applyBorder="1"/>
    <xf numFmtId="0" fontId="10" fillId="26" borderId="13" xfId="41" applyFont="1" applyFill="1" applyBorder="1" applyAlignment="1"/>
    <xf numFmtId="15" fontId="10" fillId="27" borderId="37" xfId="41" applyNumberFormat="1" applyFont="1" applyFill="1" applyBorder="1" applyAlignment="1">
      <alignment wrapText="1"/>
    </xf>
    <xf numFmtId="15" fontId="10" fillId="0" borderId="37" xfId="41" applyNumberFormat="1" applyFont="1" applyFill="1" applyBorder="1" applyAlignment="1">
      <alignment horizontal="right" wrapText="1"/>
    </xf>
    <xf numFmtId="0" fontId="10" fillId="0" borderId="38" xfId="41" applyFont="1" applyFill="1" applyBorder="1" applyAlignment="1">
      <alignment horizontal="right" wrapText="1"/>
    </xf>
    <xf numFmtId="0" fontId="10" fillId="0" borderId="18" xfId="41" applyFont="1" applyFill="1" applyBorder="1" applyAlignment="1">
      <alignment horizontal="right" wrapText="1"/>
    </xf>
    <xf numFmtId="15" fontId="10" fillId="27" borderId="19" xfId="41" applyNumberFormat="1" applyFont="1" applyFill="1" applyBorder="1" applyAlignment="1">
      <alignment wrapText="1"/>
    </xf>
    <xf numFmtId="15" fontId="10" fillId="0" borderId="19" xfId="41" applyNumberFormat="1" applyFont="1" applyFill="1" applyBorder="1" applyAlignment="1">
      <alignment horizontal="right" wrapText="1"/>
    </xf>
    <xf numFmtId="0" fontId="10" fillId="0" borderId="20" xfId="41" applyFont="1" applyFill="1" applyBorder="1" applyAlignment="1">
      <alignment horizontal="right" wrapText="1"/>
    </xf>
    <xf numFmtId="0" fontId="10" fillId="0" borderId="21" xfId="41" applyFont="1" applyFill="1" applyBorder="1" applyAlignment="1">
      <alignment horizontal="right" wrapText="1"/>
    </xf>
    <xf numFmtId="15" fontId="10" fillId="27" borderId="22" xfId="41" applyNumberFormat="1" applyFont="1" applyFill="1" applyBorder="1" applyAlignment="1">
      <alignment wrapText="1"/>
    </xf>
    <xf numFmtId="15" fontId="10" fillId="0" borderId="22" xfId="41" applyNumberFormat="1" applyFont="1" applyFill="1" applyBorder="1" applyAlignment="1">
      <alignment horizontal="right" wrapText="1"/>
    </xf>
    <xf numFmtId="0" fontId="10" fillId="0" borderId="23" xfId="41" applyFont="1" applyFill="1" applyBorder="1" applyAlignment="1">
      <alignment horizontal="right" wrapText="1"/>
    </xf>
    <xf numFmtId="0" fontId="10" fillId="0" borderId="24" xfId="41" applyFont="1" applyFill="1" applyBorder="1" applyAlignment="1">
      <alignment horizontal="right" wrapText="1"/>
    </xf>
    <xf numFmtId="164" fontId="0" fillId="0" borderId="0" xfId="0" applyNumberFormat="1"/>
    <xf numFmtId="164" fontId="12" fillId="0" borderId="13" xfId="0" applyNumberFormat="1" applyFont="1" applyBorder="1"/>
    <xf numFmtId="15" fontId="13" fillId="0" borderId="37" xfId="41" applyNumberFormat="1" applyFont="1" applyFill="1" applyBorder="1" applyAlignment="1">
      <alignment horizontal="right" wrapText="1"/>
    </xf>
    <xf numFmtId="15" fontId="13" fillId="0" borderId="19" xfId="41" applyNumberFormat="1" applyFont="1" applyFill="1" applyBorder="1" applyAlignment="1">
      <alignment horizontal="right" wrapText="1"/>
    </xf>
    <xf numFmtId="15" fontId="13" fillId="0" borderId="22" xfId="41" applyNumberFormat="1" applyFont="1" applyFill="1" applyBorder="1" applyAlignment="1">
      <alignment horizontal="right" wrapText="1"/>
    </xf>
    <xf numFmtId="0" fontId="14" fillId="0" borderId="38" xfId="41" applyFont="1" applyFill="1" applyBorder="1" applyAlignment="1">
      <alignment horizontal="right" wrapText="1"/>
    </xf>
    <xf numFmtId="0" fontId="14" fillId="0" borderId="20" xfId="41" applyFont="1" applyFill="1" applyBorder="1" applyAlignment="1">
      <alignment horizontal="right" wrapText="1"/>
    </xf>
    <xf numFmtId="0" fontId="14" fillId="0" borderId="23" xfId="41" applyFont="1" applyFill="1" applyBorder="1" applyAlignment="1">
      <alignment horizontal="right" wrapText="1"/>
    </xf>
    <xf numFmtId="0" fontId="15" fillId="28" borderId="13" xfId="41" applyFont="1" applyFill="1" applyBorder="1" applyAlignment="1">
      <alignment horizontal="center"/>
    </xf>
    <xf numFmtId="0" fontId="15" fillId="28" borderId="14" xfId="41" applyFont="1" applyFill="1" applyBorder="1" applyAlignment="1">
      <alignment horizontal="center"/>
    </xf>
    <xf numFmtId="0" fontId="15" fillId="28" borderId="16" xfId="41" applyFont="1" applyFill="1" applyBorder="1" applyAlignment="1">
      <alignment horizontal="center"/>
    </xf>
    <xf numFmtId="0" fontId="16" fillId="29" borderId="10" xfId="0" applyFont="1" applyFill="1" applyBorder="1"/>
    <xf numFmtId="0" fontId="16" fillId="29" borderId="11" xfId="0" applyFont="1" applyFill="1" applyBorder="1"/>
    <xf numFmtId="0" fontId="16" fillId="29" borderId="12" xfId="0" applyFont="1" applyFill="1" applyBorder="1"/>
    <xf numFmtId="0" fontId="8" fillId="25" borderId="10" xfId="0" applyFont="1" applyFill="1" applyBorder="1"/>
    <xf numFmtId="0" fontId="17" fillId="0" borderId="38" xfId="41" applyFont="1" applyFill="1" applyBorder="1" applyAlignment="1">
      <alignment wrapText="1"/>
    </xf>
    <xf numFmtId="0" fontId="17" fillId="0" borderId="20" xfId="41" applyFont="1" applyFill="1" applyBorder="1" applyAlignment="1">
      <alignment wrapText="1"/>
    </xf>
    <xf numFmtId="0" fontId="17" fillId="0" borderId="23" xfId="41" applyFont="1" applyFill="1" applyBorder="1" applyAlignment="1">
      <alignment wrapText="1"/>
    </xf>
    <xf numFmtId="164" fontId="12" fillId="0" borderId="0" xfId="0" applyNumberFormat="1" applyFont="1" applyBorder="1"/>
    <xf numFmtId="0" fontId="11" fillId="28" borderId="39" xfId="38" applyFont="1" applyFill="1" applyBorder="1" applyAlignment="1">
      <alignment horizontal="center"/>
    </xf>
    <xf numFmtId="0" fontId="11" fillId="0" borderId="7" xfId="38" applyFont="1" applyFill="1" applyBorder="1" applyAlignment="1">
      <alignment horizontal="right" wrapText="1"/>
    </xf>
    <xf numFmtId="15" fontId="11" fillId="0" borderId="7" xfId="38" applyNumberFormat="1" applyFont="1" applyFill="1" applyBorder="1" applyAlignment="1">
      <alignment horizontal="right" wrapText="1"/>
    </xf>
    <xf numFmtId="0" fontId="11" fillId="0" borderId="7" xfId="38" applyFont="1" applyFill="1" applyBorder="1" applyAlignment="1">
      <alignment wrapText="1"/>
    </xf>
    <xf numFmtId="166" fontId="0" fillId="0" borderId="0" xfId="0" applyNumberFormat="1"/>
    <xf numFmtId="0" fontId="16" fillId="0" borderId="11" xfId="0" applyFont="1" applyBorder="1"/>
    <xf numFmtId="0" fontId="16" fillId="0" borderId="0" xfId="0" applyFont="1" applyBorder="1"/>
    <xf numFmtId="166" fontId="0" fillId="0" borderId="20" xfId="0" applyNumberFormat="1" applyBorder="1"/>
    <xf numFmtId="0" fontId="0" fillId="0" borderId="40" xfId="0" applyBorder="1"/>
    <xf numFmtId="166" fontId="0" fillId="0" borderId="41" xfId="0" applyNumberFormat="1" applyBorder="1"/>
    <xf numFmtId="0" fontId="0" fillId="0" borderId="41" xfId="0" applyBorder="1"/>
    <xf numFmtId="0" fontId="0" fillId="0" borderId="42" xfId="0" applyBorder="1"/>
    <xf numFmtId="166" fontId="0" fillId="0" borderId="23" xfId="0" applyNumberFormat="1" applyBorder="1"/>
    <xf numFmtId="0" fontId="16" fillId="25" borderId="10" xfId="0" applyFont="1" applyFill="1" applyBorder="1"/>
    <xf numFmtId="0" fontId="16" fillId="25" borderId="11" xfId="0" applyFont="1" applyFill="1" applyBorder="1"/>
    <xf numFmtId="0" fontId="16" fillId="25" borderId="12" xfId="0" applyFont="1" applyFill="1" applyBorder="1"/>
    <xf numFmtId="15" fontId="11" fillId="27" borderId="0" xfId="38" applyNumberFormat="1" applyFont="1" applyFill="1" applyBorder="1" applyAlignment="1">
      <alignment horizontal="right" wrapText="1"/>
    </xf>
    <xf numFmtId="0" fontId="11" fillId="27" borderId="0" xfId="38" applyFont="1" applyFill="1" applyBorder="1" applyAlignment="1">
      <alignment horizontal="right" wrapText="1"/>
    </xf>
    <xf numFmtId="0" fontId="11" fillId="27" borderId="0" xfId="38" applyFont="1" applyFill="1" applyBorder="1" applyAlignment="1">
      <alignment wrapText="1"/>
    </xf>
    <xf numFmtId="0" fontId="11" fillId="27" borderId="26" xfId="38" applyFont="1" applyFill="1" applyBorder="1" applyAlignment="1">
      <alignment wrapText="1"/>
    </xf>
    <xf numFmtId="0" fontId="4" fillId="0" borderId="44" xfId="0" applyFont="1" applyBorder="1"/>
    <xf numFmtId="0" fontId="4" fillId="0" borderId="45" xfId="0" applyFont="1" applyBorder="1"/>
    <xf numFmtId="0" fontId="0" fillId="0" borderId="0" xfId="0" applyFill="1" applyBorder="1"/>
    <xf numFmtId="0" fontId="19" fillId="0" borderId="0" xfId="0" applyFont="1" applyFill="1" applyBorder="1" applyAlignment="1">
      <alignment horizontal="left"/>
    </xf>
    <xf numFmtId="0" fontId="20" fillId="0" borderId="0" xfId="0" applyFont="1" applyFill="1" applyBorder="1" applyAlignment="1">
      <alignment horizontal="left"/>
    </xf>
    <xf numFmtId="0" fontId="18" fillId="0" borderId="0" xfId="0" applyFont="1" applyFill="1" applyBorder="1" applyAlignment="1">
      <alignment horizontal="left"/>
    </xf>
    <xf numFmtId="0" fontId="21" fillId="0" borderId="0" xfId="0" applyFont="1" applyFill="1" applyBorder="1"/>
    <xf numFmtId="0" fontId="0" fillId="0" borderId="0" xfId="0" applyAlignment="1">
      <alignment horizontal="right"/>
    </xf>
    <xf numFmtId="0" fontId="0" fillId="0" borderId="21" xfId="0" applyBorder="1" applyAlignment="1">
      <alignment horizontal="right"/>
    </xf>
    <xf numFmtId="0" fontId="4" fillId="0" borderId="46" xfId="0" applyFont="1" applyBorder="1" applyAlignment="1">
      <alignment horizontal="right"/>
    </xf>
    <xf numFmtId="2" fontId="0" fillId="0" borderId="14" xfId="0" applyNumberFormat="1" applyBorder="1"/>
    <xf numFmtId="2" fontId="0" fillId="0" borderId="13" xfId="0" applyNumberFormat="1" applyBorder="1"/>
    <xf numFmtId="2" fontId="0" fillId="0" borderId="15" xfId="0" applyNumberFormat="1" applyBorder="1"/>
    <xf numFmtId="2" fontId="0" fillId="0" borderId="16" xfId="0" applyNumberFormat="1" applyBorder="1"/>
    <xf numFmtId="2" fontId="0" fillId="0" borderId="17" xfId="0" applyNumberFormat="1" applyBorder="1"/>
    <xf numFmtId="2" fontId="0" fillId="0" borderId="0" xfId="0" applyNumberFormat="1"/>
    <xf numFmtId="0" fontId="8" fillId="31" borderId="47" xfId="0" applyFont="1" applyFill="1" applyBorder="1"/>
    <xf numFmtId="0" fontId="8" fillId="31" borderId="48" xfId="0" applyFont="1" applyFill="1" applyBorder="1"/>
    <xf numFmtId="0" fontId="8" fillId="31" borderId="49" xfId="0" applyFont="1" applyFill="1" applyBorder="1"/>
    <xf numFmtId="0" fontId="8" fillId="31" borderId="50" xfId="0" applyFont="1" applyFill="1" applyBorder="1"/>
    <xf numFmtId="0" fontId="8" fillId="31" borderId="51" xfId="0" applyFont="1" applyFill="1" applyBorder="1"/>
    <xf numFmtId="0" fontId="0" fillId="0" borderId="26" xfId="0" applyBorder="1"/>
    <xf numFmtId="0" fontId="0" fillId="0" borderId="52" xfId="0" applyBorder="1"/>
    <xf numFmtId="0" fontId="6" fillId="30" borderId="53" xfId="42" applyFont="1" applyFill="1" applyBorder="1" applyAlignment="1">
      <alignment horizontal="centerContinuous"/>
    </xf>
    <xf numFmtId="0" fontId="3" fillId="0" borderId="50" xfId="42" applyBorder="1" applyAlignment="1">
      <alignment horizontal="centerContinuous"/>
    </xf>
    <xf numFmtId="0" fontId="3" fillId="0" borderId="51" xfId="42" applyBorder="1" applyAlignment="1">
      <alignment horizontal="centerContinuous"/>
    </xf>
    <xf numFmtId="0" fontId="7" fillId="24" borderId="10" xfId="42" applyFont="1" applyFill="1" applyBorder="1" applyAlignment="1">
      <alignment horizontal="center"/>
    </xf>
    <xf numFmtId="0" fontId="7" fillId="24" borderId="11" xfId="42" applyFont="1" applyFill="1" applyBorder="1" applyAlignment="1">
      <alignment horizontal="center"/>
    </xf>
    <xf numFmtId="0" fontId="7" fillId="24" borderId="12" xfId="42" applyFont="1" applyFill="1" applyBorder="1" applyAlignment="1">
      <alignment horizontal="center"/>
    </xf>
    <xf numFmtId="0" fontId="3" fillId="24" borderId="25" xfId="42" applyFill="1" applyBorder="1"/>
    <xf numFmtId="0" fontId="3" fillId="24" borderId="0" xfId="42" applyFill="1" applyBorder="1"/>
    <xf numFmtId="0" fontId="3" fillId="24" borderId="26" xfId="42" applyFill="1" applyBorder="1"/>
    <xf numFmtId="0" fontId="4" fillId="31" borderId="54" xfId="42" applyFont="1" applyFill="1" applyBorder="1"/>
    <xf numFmtId="0" fontId="4" fillId="31" borderId="17" xfId="42" applyFont="1" applyFill="1" applyBorder="1"/>
    <xf numFmtId="0" fontId="4" fillId="31" borderId="16" xfId="42" applyFont="1" applyFill="1" applyBorder="1"/>
    <xf numFmtId="0" fontId="4" fillId="0" borderId="55" xfId="42" applyFont="1" applyBorder="1"/>
    <xf numFmtId="0" fontId="3" fillId="0" borderId="33" xfId="42" applyBorder="1"/>
    <xf numFmtId="0" fontId="4" fillId="0" borderId="34" xfId="42" applyFont="1" applyBorder="1"/>
    <xf numFmtId="0" fontId="3" fillId="0" borderId="35" xfId="42" applyBorder="1"/>
    <xf numFmtId="0" fontId="4" fillId="0" borderId="32" xfId="42" applyFont="1" applyBorder="1"/>
    <xf numFmtId="0" fontId="4" fillId="0" borderId="34" xfId="42" applyFont="1" applyFill="1" applyBorder="1"/>
    <xf numFmtId="0" fontId="16" fillId="0" borderId="34" xfId="42" applyFont="1" applyFill="1" applyBorder="1"/>
    <xf numFmtId="0" fontId="22" fillId="24" borderId="25" xfId="40" applyFill="1" applyBorder="1"/>
    <xf numFmtId="0" fontId="23" fillId="0" borderId="34" xfId="40" applyFont="1" applyBorder="1"/>
    <xf numFmtId="0" fontId="22" fillId="24" borderId="26" xfId="40" applyFill="1" applyBorder="1"/>
    <xf numFmtId="0" fontId="22" fillId="24" borderId="30" xfId="40" applyFill="1" applyBorder="1"/>
    <xf numFmtId="0" fontId="22" fillId="24" borderId="31" xfId="40" applyFill="1" applyBorder="1"/>
    <xf numFmtId="0" fontId="4" fillId="0" borderId="0" xfId="0" applyFont="1"/>
    <xf numFmtId="22" fontId="0" fillId="0" borderId="0" xfId="0" applyNumberFormat="1"/>
    <xf numFmtId="0" fontId="4" fillId="0" borderId="13" xfId="0" applyFont="1" applyBorder="1"/>
    <xf numFmtId="167" fontId="4" fillId="0" borderId="14" xfId="0" applyNumberFormat="1" applyFont="1" applyBorder="1"/>
    <xf numFmtId="0" fontId="4" fillId="0" borderId="14" xfId="0" applyFont="1" applyBorder="1"/>
    <xf numFmtId="0" fontId="4" fillId="0" borderId="16" xfId="0" applyFont="1" applyBorder="1"/>
    <xf numFmtId="167" fontId="0" fillId="0" borderId="37" xfId="0" applyNumberFormat="1" applyBorder="1"/>
    <xf numFmtId="0" fontId="0" fillId="0" borderId="38" xfId="0" applyBorder="1"/>
    <xf numFmtId="168" fontId="3" fillId="0" borderId="38" xfId="28" applyNumberFormat="1" applyBorder="1"/>
    <xf numFmtId="43" fontId="3" fillId="0" borderId="38" xfId="28" applyBorder="1"/>
    <xf numFmtId="43" fontId="3" fillId="0" borderId="18" xfId="28" applyBorder="1"/>
    <xf numFmtId="43" fontId="0" fillId="0" borderId="0" xfId="28" applyFont="1"/>
    <xf numFmtId="0" fontId="0" fillId="0" borderId="56" xfId="0" applyBorder="1"/>
    <xf numFmtId="0" fontId="0" fillId="0" borderId="57" xfId="0" applyBorder="1"/>
    <xf numFmtId="0" fontId="0" fillId="0" borderId="43" xfId="0" applyFill="1" applyBorder="1"/>
    <xf numFmtId="0" fontId="0" fillId="0" borderId="58" xfId="0" applyBorder="1" applyAlignment="1">
      <alignment horizontal="right"/>
    </xf>
    <xf numFmtId="0" fontId="0" fillId="0" borderId="20" xfId="0" applyFill="1" applyBorder="1"/>
    <xf numFmtId="0" fontId="23" fillId="0" borderId="0" xfId="40" applyFont="1" applyBorder="1"/>
    <xf numFmtId="0" fontId="3" fillId="0" borderId="0" xfId="42" applyFont="1" applyBorder="1"/>
    <xf numFmtId="0" fontId="23" fillId="0" borderId="0" xfId="40" applyFont="1" applyFill="1" applyBorder="1"/>
    <xf numFmtId="0" fontId="3" fillId="0" borderId="33" xfId="42" applyFont="1" applyBorder="1"/>
    <xf numFmtId="0" fontId="3" fillId="0" borderId="0" xfId="42" applyFont="1" applyFill="1" applyBorder="1"/>
    <xf numFmtId="0" fontId="24" fillId="0" borderId="0" xfId="0" applyFont="1"/>
    <xf numFmtId="169" fontId="0" fillId="0" borderId="0" xfId="28" applyNumberFormat="1" applyFont="1"/>
    <xf numFmtId="169" fontId="3" fillId="0" borderId="38" xfId="28" applyNumberFormat="1" applyBorder="1"/>
    <xf numFmtId="0" fontId="22" fillId="0" borderId="0" xfId="39"/>
    <xf numFmtId="0" fontId="22" fillId="0" borderId="0" xfId="39" applyFont="1"/>
    <xf numFmtId="0" fontId="4" fillId="0" borderId="0" xfId="39" applyFont="1"/>
    <xf numFmtId="0" fontId="11" fillId="0" borderId="7" xfId="43" applyFont="1" applyFill="1" applyBorder="1" applyAlignment="1"/>
    <xf numFmtId="0" fontId="0" fillId="0" borderId="0" xfId="0" applyAlignment="1"/>
    <xf numFmtId="0" fontId="0" fillId="0" borderId="0" xfId="0" applyAlignment="1">
      <alignment horizontal="left"/>
    </xf>
    <xf numFmtId="0" fontId="0" fillId="0" borderId="59" xfId="0" applyBorder="1" applyAlignment="1">
      <alignment horizontal="right"/>
    </xf>
    <xf numFmtId="0" fontId="0" fillId="0" borderId="20" xfId="0" applyBorder="1" applyAlignment="1">
      <alignment horizontal="right"/>
    </xf>
    <xf numFmtId="0" fontId="0" fillId="0" borderId="60" xfId="0" applyFill="1" applyBorder="1"/>
    <xf numFmtId="0" fontId="0" fillId="0" borderId="61" xfId="0" applyFill="1" applyBorder="1"/>
    <xf numFmtId="0" fontId="4" fillId="31" borderId="62" xfId="42" applyFont="1" applyFill="1" applyBorder="1"/>
    <xf numFmtId="0" fontId="4" fillId="31" borderId="63" xfId="42" applyFont="1" applyFill="1" applyBorder="1"/>
    <xf numFmtId="0" fontId="21" fillId="0" borderId="20" xfId="41" applyFont="1" applyFill="1" applyBorder="1"/>
    <xf numFmtId="2" fontId="0" fillId="0" borderId="0" xfId="0" applyNumberFormat="1" applyBorder="1"/>
    <xf numFmtId="2" fontId="0" fillId="0" borderId="50" xfId="0" applyNumberFormat="1" applyBorder="1"/>
    <xf numFmtId="2" fontId="25" fillId="0" borderId="0" xfId="0" applyNumberFormat="1" applyFont="1" applyBorder="1"/>
    <xf numFmtId="0" fontId="11" fillId="0" borderId="0" xfId="43" applyFont="1" applyFill="1" applyBorder="1" applyAlignment="1"/>
    <xf numFmtId="0" fontId="4" fillId="31" borderId="46" xfId="42" applyFont="1" applyFill="1" applyBorder="1"/>
    <xf numFmtId="0" fontId="3" fillId="0" borderId="20" xfId="42" applyBorder="1"/>
    <xf numFmtId="0" fontId="3" fillId="24" borderId="20" xfId="42" applyFill="1" applyBorder="1"/>
    <xf numFmtId="0" fontId="26" fillId="0" borderId="20" xfId="44" applyFont="1" applyBorder="1"/>
    <xf numFmtId="0" fontId="26" fillId="0" borderId="20" xfId="44" applyBorder="1"/>
    <xf numFmtId="0" fontId="43" fillId="0" borderId="20" xfId="0" applyFont="1" applyBorder="1"/>
    <xf numFmtId="0" fontId="22" fillId="24" borderId="20" xfId="40" applyFill="1" applyBorder="1"/>
    <xf numFmtId="0" fontId="0" fillId="0" borderId="35" xfId="0" applyBorder="1" applyAlignment="1">
      <alignment horizontal="right"/>
    </xf>
    <xf numFmtId="0" fontId="0" fillId="0" borderId="20" xfId="0" quotePrefix="1" applyBorder="1"/>
    <xf numFmtId="0" fontId="0" fillId="32" borderId="20" xfId="0" applyFill="1" applyBorder="1"/>
    <xf numFmtId="0" fontId="0" fillId="0" borderId="20" xfId="0" quotePrefix="1" applyNumberFormat="1" applyBorder="1"/>
    <xf numFmtId="0" fontId="11" fillId="0" borderId="7" xfId="41" applyFont="1" applyFill="1" applyBorder="1" applyAlignment="1"/>
    <xf numFmtId="0" fontId="0" fillId="0" borderId="0" xfId="0" applyAlignment="1">
      <alignment wrapText="1"/>
    </xf>
    <xf numFmtId="0" fontId="11" fillId="0" borderId="7" xfId="41" applyFont="1" applyFill="1" applyBorder="1" applyAlignment="1"/>
    <xf numFmtId="0" fontId="11" fillId="0" borderId="7" xfId="41" applyFont="1" applyFill="1" applyBorder="1" applyAlignment="1"/>
    <xf numFmtId="0" fontId="21" fillId="0" borderId="7" xfId="41" applyFont="1" applyFill="1" applyBorder="1" applyAlignment="1"/>
    <xf numFmtId="0" fontId="11" fillId="0" borderId="7" xfId="41" applyFont="1" applyFill="1" applyBorder="1" applyAlignment="1"/>
    <xf numFmtId="0" fontId="11" fillId="0" borderId="7" xfId="41" applyFont="1" applyFill="1" applyBorder="1" applyAlignment="1"/>
    <xf numFmtId="47" fontId="23" fillId="0" borderId="0" xfId="40" applyNumberFormat="1" applyFont="1" applyBorder="1"/>
    <xf numFmtId="47" fontId="23" fillId="0" borderId="0" xfId="40" applyNumberFormat="1" applyFont="1" applyFill="1" applyBorder="1"/>
    <xf numFmtId="0" fontId="44" fillId="0" borderId="0" xfId="0" applyFont="1"/>
    <xf numFmtId="0" fontId="0" fillId="0" borderId="0" xfId="0" applyFont="1"/>
    <xf numFmtId="0" fontId="45" fillId="0" borderId="0" xfId="0" applyFont="1"/>
    <xf numFmtId="0" fontId="4" fillId="0" borderId="0" xfId="40" applyFont="1" applyBorder="1"/>
    <xf numFmtId="0" fontId="44" fillId="0" borderId="0" xfId="42" applyFont="1" applyBorder="1"/>
    <xf numFmtId="0" fontId="0" fillId="0" borderId="33" xfId="42" applyFont="1" applyBorder="1"/>
    <xf numFmtId="0" fontId="0" fillId="0" borderId="0" xfId="42" applyFont="1" applyBorder="1"/>
    <xf numFmtId="0" fontId="0" fillId="0" borderId="35" xfId="42" applyFont="1" applyBorder="1"/>
    <xf numFmtId="0" fontId="6" fillId="30" borderId="53" xfId="0" applyFont="1" applyFill="1" applyBorder="1" applyAlignment="1">
      <alignment horizontal="center"/>
    </xf>
    <xf numFmtId="0" fontId="6" fillId="30" borderId="50" xfId="0" applyFont="1" applyFill="1" applyBorder="1" applyAlignment="1">
      <alignment horizontal="center"/>
    </xf>
    <xf numFmtId="0" fontId="6" fillId="30" borderId="51" xfId="0" applyFont="1" applyFill="1" applyBorder="1" applyAlignment="1">
      <alignment horizontal="center"/>
    </xf>
    <xf numFmtId="0" fontId="9" fillId="31" borderId="30" xfId="0" applyFont="1" applyFill="1" applyBorder="1" applyAlignment="1">
      <alignment wrapText="1"/>
    </xf>
    <xf numFmtId="0" fontId="9" fillId="31" borderId="29" xfId="0" applyFont="1" applyFill="1" applyBorder="1" applyAlignment="1">
      <alignment wrapText="1"/>
    </xf>
    <xf numFmtId="0" fontId="0" fillId="31" borderId="29" xfId="0" applyFill="1" applyBorder="1" applyAlignment="1"/>
    <xf numFmtId="0" fontId="0" fillId="31" borderId="31" xfId="0" applyFill="1" applyBorder="1" applyAlignment="1"/>
  </cellXfs>
  <cellStyles count="96">
    <cellStyle name="20% - Accent1" xfId="1" builtinId="30" customBuiltin="1"/>
    <cellStyle name="20% - Accent1 2" xfId="53"/>
    <cellStyle name="20% - Accent2" xfId="2" builtinId="34" customBuiltin="1"/>
    <cellStyle name="20% - Accent2 2" xfId="54"/>
    <cellStyle name="20% - Accent3" xfId="3" builtinId="38" customBuiltin="1"/>
    <cellStyle name="20% - Accent3 2" xfId="55"/>
    <cellStyle name="20% - Accent4" xfId="4" builtinId="42" customBuiltin="1"/>
    <cellStyle name="20% - Accent4 2" xfId="56"/>
    <cellStyle name="20% - Accent5" xfId="5" builtinId="46" customBuiltin="1"/>
    <cellStyle name="20% - Accent5 2" xfId="57"/>
    <cellStyle name="20% - Accent6" xfId="6" builtinId="50" customBuiltin="1"/>
    <cellStyle name="20% - Accent6 2" xfId="58"/>
    <cellStyle name="40% - Accent1" xfId="7" builtinId="31" customBuiltin="1"/>
    <cellStyle name="40% - Accent1 2" xfId="59"/>
    <cellStyle name="40% - Accent2" xfId="8" builtinId="35" customBuiltin="1"/>
    <cellStyle name="40% - Accent2 2" xfId="60"/>
    <cellStyle name="40% - Accent3" xfId="9" builtinId="39" customBuiltin="1"/>
    <cellStyle name="40% - Accent3 2" xfId="61"/>
    <cellStyle name="40% - Accent4" xfId="10" builtinId="43" customBuiltin="1"/>
    <cellStyle name="40% - Accent4 2" xfId="62"/>
    <cellStyle name="40% - Accent5" xfId="11" builtinId="47" customBuiltin="1"/>
    <cellStyle name="40% - Accent5 2" xfId="63"/>
    <cellStyle name="40% - Accent6" xfId="12" builtinId="51" customBuiltin="1"/>
    <cellStyle name="40% - Accent6 2" xfId="64"/>
    <cellStyle name="60% - Accent1" xfId="13" builtinId="32" customBuiltin="1"/>
    <cellStyle name="60% - Accent1 2" xfId="65"/>
    <cellStyle name="60% - Accent2" xfId="14" builtinId="36" customBuiltin="1"/>
    <cellStyle name="60% - Accent2 2" xfId="66"/>
    <cellStyle name="60% - Accent3" xfId="15" builtinId="40" customBuiltin="1"/>
    <cellStyle name="60% - Accent3 2" xfId="67"/>
    <cellStyle name="60% - Accent4" xfId="16" builtinId="44" customBuiltin="1"/>
    <cellStyle name="60% - Accent4 2" xfId="68"/>
    <cellStyle name="60% - Accent5" xfId="17" builtinId="48" customBuiltin="1"/>
    <cellStyle name="60% - Accent5 2" xfId="69"/>
    <cellStyle name="60% - Accent6" xfId="18" builtinId="52" customBuiltin="1"/>
    <cellStyle name="60% - Accent6 2" xfId="70"/>
    <cellStyle name="Accent1" xfId="19" builtinId="29" customBuiltin="1"/>
    <cellStyle name="Accent1 2" xfId="71"/>
    <cellStyle name="Accent2" xfId="20" builtinId="33" customBuiltin="1"/>
    <cellStyle name="Accent2 2" xfId="72"/>
    <cellStyle name="Accent3" xfId="21" builtinId="37" customBuiltin="1"/>
    <cellStyle name="Accent3 2" xfId="73"/>
    <cellStyle name="Accent4" xfId="22" builtinId="41" customBuiltin="1"/>
    <cellStyle name="Accent4 2" xfId="74"/>
    <cellStyle name="Accent5" xfId="23" builtinId="45" customBuiltin="1"/>
    <cellStyle name="Accent5 2" xfId="75"/>
    <cellStyle name="Accent6" xfId="24" builtinId="49" customBuiltin="1"/>
    <cellStyle name="Accent6 2" xfId="76"/>
    <cellStyle name="Bad" xfId="25" builtinId="27" customBuiltin="1"/>
    <cellStyle name="Bad 2" xfId="77"/>
    <cellStyle name="Calculation" xfId="26" builtinId="22" customBuiltin="1"/>
    <cellStyle name="Calculation 2" xfId="78"/>
    <cellStyle name="Check Cell" xfId="27" builtinId="23" customBuiltin="1"/>
    <cellStyle name="Check Cell 2" xfId="79"/>
    <cellStyle name="Comma" xfId="28" builtinId="3"/>
    <cellStyle name="Comma 2" xfId="80"/>
    <cellStyle name="Explanatory Text" xfId="29" builtinId="53" customBuiltin="1"/>
    <cellStyle name="Explanatory Text 2" xfId="81"/>
    <cellStyle name="Good" xfId="30" builtinId="26" customBuiltin="1"/>
    <cellStyle name="Good 2" xfId="82"/>
    <cellStyle name="Heading 1" xfId="31" builtinId="16" customBuiltin="1"/>
    <cellStyle name="Heading 1 2" xfId="83"/>
    <cellStyle name="Heading 2" xfId="32" builtinId="17" customBuiltin="1"/>
    <cellStyle name="Heading 2 2" xfId="84"/>
    <cellStyle name="Heading 3" xfId="33" builtinId="18" customBuiltin="1"/>
    <cellStyle name="Heading 3 2" xfId="85"/>
    <cellStyle name="Heading 4" xfId="34" builtinId="19" customBuiltin="1"/>
    <cellStyle name="Heading 4 2" xfId="86"/>
    <cellStyle name="Input" xfId="35" builtinId="20" customBuiltin="1"/>
    <cellStyle name="Input 2" xfId="87"/>
    <cellStyle name="Linked Cell" xfId="36" builtinId="24" customBuiltin="1"/>
    <cellStyle name="Linked Cell 2" xfId="88"/>
    <cellStyle name="Neutral" xfId="37" builtinId="28" customBuiltin="1"/>
    <cellStyle name="Neutral 2" xfId="89"/>
    <cellStyle name="Normal" xfId="0" builtinId="0"/>
    <cellStyle name="Normal 2" xfId="50"/>
    <cellStyle name="Normal 2 2" xfId="95"/>
    <cellStyle name="Normal 3" xfId="52"/>
    <cellStyle name="Normal 4" xfId="51"/>
    <cellStyle name="Normal_ISEQ_DATA" xfId="38"/>
    <cellStyle name="Normal_ISEQ_DATA_1" xfId="39"/>
    <cellStyle name="Normal_SETS" xfId="40"/>
    <cellStyle name="Normal_Sheet1" xfId="41"/>
    <cellStyle name="Normal_Sheet1_SETS" xfId="42"/>
    <cellStyle name="Normal_Sheet7" xfId="43"/>
    <cellStyle name="Normal_Turquoise" xfId="44"/>
    <cellStyle name="Note" xfId="45" builtinId="10" customBuiltin="1"/>
    <cellStyle name="Note 2" xfId="90"/>
    <cellStyle name="Output" xfId="46" builtinId="21" customBuiltin="1"/>
    <cellStyle name="Output 2" xfId="91"/>
    <cellStyle name="Title" xfId="47" builtinId="15" customBuiltin="1"/>
    <cellStyle name="Title 2" xfId="92"/>
    <cellStyle name="Total" xfId="48" builtinId="25" customBuiltin="1"/>
    <cellStyle name="Total 2" xfId="93"/>
    <cellStyle name="Warning Text" xfId="49" builtinId="11" customBuiltin="1"/>
    <cellStyle name="Warning Text 2" xfId="9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volatileDependencies.xml><?xml version="1.0" encoding="utf-8"?>
<volTypes xmlns="http://schemas.openxmlformats.org/spreadsheetml/2006/main">
  <volType type="realTimeData">
    <main first="pldatasource.rtgetrtdserver">
      <tp t="s">
        <v>#N/A *The record could not be found</v>
        <stp/>
        <stp>_x0008_KYGai.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16" s="8"/>
      </tp>
      <tp t="s">
        <v>#N/A *The record could not be found</v>
        <stp/>
        <stp>_x0008_KYGai.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16" s="8"/>
      </tp>
      <tp t="s">
        <v>#N/A *The record could not be found</v>
        <stp/>
        <stp>_x0008_KYGai.TQ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16" s="8"/>
      </tp>
      <tp t="s">
        <v xml:space="preserve">BGN   1.9558       NOK   9.4065       ILS   4.2435                              </v>
        <stp/>
        <stp>_x0005_ECB37_x0008_IRGROW 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C11" s="4"/>
        <tr r="C21" s="4"/>
        <tr r="E23" s="4"/>
        <tr r="F6" s="4"/>
        <tr r="F10" s="4"/>
        <tr r="F18" s="4"/>
        <tr r="C6" s="4"/>
        <tr r="C26" s="4"/>
        <tr r="E6" s="4"/>
        <tr r="E10" s="4"/>
        <tr r="E18" s="4"/>
        <tr r="F23" s="4"/>
      </tp>
      <tp t="s">
        <v xml:space="preserve">CZK   27.027       HRK   7.4799       INR     74.1                              </v>
        <stp/>
        <stp>_x0005_ECB37_x0008_IRGROW 7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C19" s="4"/>
        <tr r="C29" s="4"/>
        <tr r="E19" s="4"/>
        <tr r="E25" s="4"/>
        <tr r="F26" s="4"/>
        <tr r="K18" s="4"/>
        <tr r="C22" s="4"/>
        <tr r="C28" s="4"/>
        <tr r="E26" s="4"/>
        <tr r="F19" s="4"/>
        <tr r="F25" s="4"/>
        <tr r="J18" s="4"/>
      </tp>
      <tp t="s">
        <v xml:space="preserve">USD   1.1087       CHF   1.0883       HKD   8.5999       THB   38.793           </v>
        <stp/>
        <stp>_x0005_ECB37_x0008_IRGROW 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C25" s="4"/>
        <tr r="E15" s="4"/>
        <tr r="E17" s="4"/>
        <tr r="F2" s="4"/>
        <tr r="F22" s="4"/>
        <tr r="C16" s="4"/>
        <tr r="C18" s="4"/>
        <tr r="E2" s="4"/>
        <tr r="E22" s="4"/>
        <tr r="F15" s="4"/>
        <tr r="F17" s="4"/>
        <tr r="C2" s="4"/>
      </tp>
      <tp t="s">
        <v xml:space="preserve">JPY   113.59       ISK        *       IDR  14552.8       ZAR  15.1284           </v>
        <stp/>
        <stp>_x0005_ECB37_x0008_IRGROW 5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C3" s="4"/>
        <tr r="C17" s="4"/>
        <tr r="E3" s="4"/>
        <tr r="F16" s="4"/>
        <tr r="E16" s="4"/>
        <tr r="F3" s="4"/>
      </tp>
      <tp t="s">
        <v xml:space="preserve">DKK   7.4368       RUB   71.809       KRW  1229.38                              </v>
        <stp/>
        <stp>_x0005_ECB37_x0008_IRGROW 8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C23" s="4"/>
        <tr r="F4" s="4"/>
        <tr r="F20" s="4"/>
        <tr r="F30" s="4"/>
        <tr r="C4" s="4"/>
        <tr r="C20" s="4"/>
        <tr r="E4" s="4"/>
        <tr r="E20" s="4"/>
        <tr r="E30" s="4"/>
      </tp>
      <tp t="s">
        <v xml:space="preserve">GBP  0.84955       TRY   3.3082       MXN  20.6443                              </v>
        <stp/>
        <stp>_x0005_ECB37_x0008_IRGROW 9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C7" s="4"/>
        <tr r="E11" s="4"/>
        <tr r="E29" s="4"/>
        <tr r="C12" s="4"/>
        <tr r="F11" s="4"/>
        <tr r="F29" s="4"/>
      </tp>
      <tp t="s">
        <v>GBp</v>
        <stp/>
        <stp>_x0005_HSW.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53" s="3"/>
      </tp>
      <tp t="s">
        <v>#N/A *The record could not be found</v>
        <stp/>
        <stp>_x0006_/ELN.N_x000E_HISTORIC CLOS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M5" s="2"/>
      </tp>
      <tp>
        <v>6463</v>
        <stp/>
        <stp>_x0006_/GL9.L_x000F_VOL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17" s="3"/>
      </tp>
      <tp>
        <v>0</v>
        <stp/>
        <stp>_x0005_.IQNA_x0006_LAST 3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AG2" s="1"/>
      </tp>
      <tp>
        <v>0</v>
        <stp/>
        <stp>_x0006_/DQ5.L_x000F_VOL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27" s="3"/>
      </tp>
      <tp t="s">
        <v>#N/A *The record could not be found</v>
        <stp/>
        <stp>_x0008_KYGai.TQ_x000F_VOL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16" s="8"/>
      </tp>
      <tp t="s">
        <v>#N/A *The record could not be found</v>
        <stp/>
        <stp>_x0008_INMEi.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13" s="8"/>
      </tp>
      <tp>
        <v>10</v>
        <stp/>
        <stp>_x0006_/HSW.L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53" s="3"/>
      </tp>
      <tp>
        <v>3286</v>
        <stp/>
        <stp>_x0006_/TLW.L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30" s="3"/>
      </tp>
      <tp>
        <v>0</v>
        <stp/>
        <stp>_x0005_.ISCT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U2" s="1"/>
        <tr r="U44" s="1"/>
        <tr r="U41" s="1"/>
        <tr r="U49" s="1"/>
      </tp>
      <tp t="s">
        <v>#N/A *The record could not be found</v>
        <stp/>
        <stp>_x0008_INMEi.TQ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13" s="8"/>
      </tp>
      <tp>
        <v>2188.46</v>
        <stp/>
        <stp>_x0005_.ISCI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Q2" s="1"/>
        <tr r="Q44" s="1"/>
        <tr r="Q41" s="1"/>
      </tp>
      <tp>
        <v>33</v>
        <stp/>
        <stp>_x0006_/JEV.L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20" s="3"/>
      </tp>
      <tp>
        <v>1</v>
        <stp/>
        <stp>_x000B_/IRESEUR.Lp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50" s="3"/>
      </tp>
      <tp>
        <v>203100</v>
        <stp/>
        <stp>_x0008_/GRF_u.L_x000F_VOL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D96" s="3"/>
        <tr r="E10" s="3"/>
        <tr r="D62" s="3"/>
      </tp>
      <tp>
        <v>12</v>
        <stp/>
        <stp>_x0006_/KDR.L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42" s="3"/>
      </tp>
      <tp>
        <v>25</v>
        <stp/>
        <stp>_x0006_/PRR.L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35" s="3"/>
      </tp>
      <tp>
        <v>0</v>
        <stp/>
        <stp>_x0006_/PTR.L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34" s="3"/>
      </tp>
      <tp>
        <v>3568</v>
        <stp/>
        <stp>_x0008_/APGNA.L_x000F_VOL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52" s="3"/>
      </tp>
      <tp>
        <v>3409</v>
        <stp/>
        <stp>_x0008_/ICG_u.L_x000F_VOL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19" s="3"/>
      </tp>
      <tp t="s">
        <v>#N/A *The record could not be found</v>
        <stp/>
        <stp>_x0008_INMEi.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13" s="8"/>
      </tp>
      <tp t="s">
        <v>#N/A *The record could not be found</v>
        <stp/>
        <stp>_x0005_.ITEQ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V41" s="1"/>
        <tr r="V44" s="1"/>
      </tp>
      <tp>
        <v>5894.6900000000005</v>
        <stp/>
        <stp>_x0005_.ISEQ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B2" s="1"/>
        <tr r="B44" s="1"/>
        <tr r="B41" s="1"/>
      </tp>
      <tp t="s">
        <v>#N/A *The record could not be found</v>
        <stp/>
        <stp>_x0005_.ITER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Z41" s="1"/>
        <tr r="Z49" s="1"/>
        <tr r="Z44" s="1"/>
      </tp>
      <tp>
        <v>8437.89</v>
        <stp/>
        <stp>_x0005_.IGEN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L2" s="1"/>
        <tr r="L44" s="1"/>
        <tr r="L41" s="1"/>
      </tp>
      <tp t="s">
        <v>#N/A *The record could not be found</v>
        <stp/>
        <stp xml:space="preserve">	GRF_ui.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12" s="8"/>
      </tp>
      <tp t="s">
        <v>#N/A *The record could not be found</v>
        <stp/>
        <stp xml:space="preserve">	ICG_ui.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26" s="8"/>
      </tp>
      <tp>
        <v>152</v>
        <stp/>
        <stp>_x0006_/KSP.L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21" s="3"/>
      </tp>
      <tp>
        <v>3</v>
        <stp/>
        <stp>_x0006_/IFP.L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18" s="3"/>
      </tp>
      <tp t="s">
        <v>#N/A *The record could not be found</v>
        <stp/>
        <stp>_x0008_ALBKi.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6" s="8"/>
      </tp>
      <tp t="s">
        <v>#N/A *The record could not be found</v>
        <stp/>
        <stp>_x0008_AERLi.TQ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27" s="8"/>
      </tp>
      <tp t="s">
        <v>#N/A *The record could not be found</v>
        <stp/>
        <stp>_x0008_AERLi.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27" s="8"/>
      </tp>
      <tp>
        <v>1.1400000000000002E-3</v>
        <stp/>
        <stp>_x000B_/IRESEUR.Lp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50" s="3"/>
      </tp>
      <tp t="s">
        <v>#N/A *The record could not be found</v>
        <stp/>
        <stp>_x0008_ARYNs.TQ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30" s="8"/>
      </tp>
      <tp t="s">
        <v>#N/A *The record could not be found</v>
        <stp/>
        <stp>_x0008_ICONi.TQ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24" s="8"/>
      </tp>
      <tp t="s">
        <v>#N/A *The record could not be found</v>
        <stp/>
        <stp>_x0008_ARYNi.TQ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18" s="8"/>
      </tp>
      <tp t="s">
        <v>#N/A *The record could not be found</v>
        <stp/>
        <stp>_x0008_ARYNs.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30" s="8"/>
      </tp>
      <tp>
        <v>252.85</v>
        <stp/>
        <stp>_x0005_.IFIN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2" s="1"/>
        <tr r="G44" s="1"/>
        <tr r="G41" s="1"/>
      </tp>
      <tp t="s">
        <v>#N/A *The record could not be found</v>
        <stp/>
        <stp>_x0008_ARYNi.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18" s="8"/>
      </tp>
      <tp t="s">
        <v>#N/A *The record could not be found</v>
        <stp/>
        <stp>_x0008_ICONi.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24" s="8"/>
      </tp>
      <tp>
        <v>0</v>
        <stp/>
        <stp>_x0005_.IGNT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2" s="1"/>
        <tr r="P44" s="1"/>
        <tr r="P41" s="1"/>
        <tr r="P49" s="1"/>
      </tp>
      <tp>
        <v>0</v>
        <stp/>
        <stp>_x0005_.IFNT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K2" s="1"/>
        <tr r="K44" s="1"/>
        <tr r="K41" s="1"/>
        <tr r="K49" s="1"/>
      </tp>
      <tp>
        <v>0</v>
        <stp/>
        <stp>_x0005_.IQNA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AF2" s="1"/>
      </tp>
      <tp t="s">
        <v>#N/A *The record could not be found</v>
        <stp/>
        <stp>_x0008_ARYNi.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18" s="8"/>
      </tp>
      <tp t="s">
        <v>#N/A *The record could not be found</v>
        <stp/>
        <stp>_x0008_ICONi.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24" s="8"/>
      </tp>
      <tp>
        <v>1256.23</v>
        <stp/>
        <stp>_x0005_.IEOE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AY2" s="1"/>
        <tr r="AY5" s="1"/>
      </tp>
      <tp>
        <v>0</v>
        <stp/>
        <stp>_x0005_.IEOF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BC2" s="1"/>
        <tr r="BC5" s="1"/>
      </tp>
      <tp t="s">
        <v>#N/A *The record could not be found</v>
        <stp/>
        <stp>_x0008_ARYNs.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30" s="8"/>
      </tp>
      <tp>
        <v>1786.6200000000001</v>
        <stp/>
        <stp>_x0005_.IEOA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AJ2" s="1"/>
        <tr r="AJ5" s="1"/>
      </tp>
      <tp>
        <v>0</v>
        <stp/>
        <stp>_x0005_.IEOB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AN2" s="1"/>
        <tr r="AN5" s="1"/>
      </tp>
      <tp>
        <v>4835.04</v>
        <stp/>
        <stp>_x0005_.IEOC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AT2" s="1"/>
        <tr r="AT5" s="1"/>
      </tp>
      <tp t="s">
        <v>#N/A *The record could not be found</v>
        <stp/>
        <stp>_x0008_BKIRi.TQ_x000F_VOL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7" s="8"/>
      </tp>
      <tp t="s">
        <v>#N/A *The record could not be found</v>
        <stp/>
        <stp>_x0008_ALBKi.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6" s="8"/>
      </tp>
      <tp>
        <v>11</v>
        <stp/>
        <stp>_x0006_/FFY.L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16" s="3"/>
      </tp>
      <tp>
        <v>0</v>
        <stp/>
        <stp>_x0006_ABBY.L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25" s="3"/>
      </tp>
      <tp t="s">
        <v>#N/A *The record could not be found</v>
        <stp/>
        <stp>_x0008_AERLi.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27" s="8"/>
      </tp>
      <tp t="s">
        <v>#N/A *The record could not be found</v>
        <stp/>
        <stp>_x0008_ALBKi.TQ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6" s="8"/>
      </tp>
      <tp>
        <v>0</v>
        <stp/>
        <stp>_x0005_.IVRT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2" s="1"/>
        <tr r="F44" s="1"/>
        <tr r="F41" s="1"/>
        <tr r="F49" s="1"/>
      </tp>
      <tp>
        <v>41</v>
        <stp/>
        <stp>_x0006_/OVG.L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33" s="3"/>
      </tp>
      <tp>
        <v>15</v>
        <stp/>
        <stp>_x0006_/FOG.L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46" s="3"/>
      </tp>
      <tp>
        <v>2</v>
        <stp/>
        <stp>_x0006_/WLG.L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31" s="3"/>
      </tp>
      <tp>
        <v>285</v>
        <stp/>
        <stp>_x0006_/UDG.L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23" s="3"/>
      </tp>
      <tp>
        <v>556</v>
        <stp/>
        <stp>_x0006_/SKG.L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24" s="3"/>
      </tp>
      <tp t="s">
        <v>#N/A *The record could not be found</v>
        <stp/>
        <stp>_x0008_BKIRi.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7" s="8"/>
      </tp>
      <tp t="s">
        <v>#N/A *The record could not be found</v>
        <stp/>
        <stp>_x0008_ICONi.TQ_x000F_VOL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24" s="8"/>
      </tp>
      <tp t="s">
        <v>#N/A *The record could not be found</v>
        <stp/>
        <stp>_x0008_ARYNi.TQ_x000F_VOL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18" s="8"/>
      </tp>
      <tp t="s">
        <v>#N/A *The record could not be found</v>
        <stp/>
        <stp>_x0008_ARYNs.TQ_x000F_VOL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30" s="8"/>
      </tp>
      <tp t="s">
        <v>#N/A *The record could not be found</v>
        <stp/>
        <stp>_x0008_AERLi.TQ_x000F_VOL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27" s="8"/>
      </tp>
      <tp>
        <v>74</v>
        <stp/>
        <stp>_x0006_/GCC.L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14" s="3"/>
      </tp>
      <tp>
        <v>837</v>
        <stp/>
        <stp>_x0006_/DCC.L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9" s="3"/>
      </tp>
      <tp t="s">
        <v>#N/A *The record could not be found</v>
        <stp/>
        <stp>_x0008_ALBKi.TQ_x000F_VOL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6" s="8"/>
      </tp>
      <tp t="s">
        <v>#N/A *The record could not be found</v>
        <stp/>
        <stp xml:space="preserve">	ICG_ui.TQ_x000F_VOL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26" s="8"/>
      </tp>
      <tp t="s">
        <v>#N/A *The record could not be found</v>
        <stp/>
        <stp xml:space="preserve">	GRF_ui.TQ_x000F_VOL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12" s="8"/>
      </tp>
      <tp>
        <v>658</v>
        <stp/>
        <stp>_x0006_/PPB.L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22" s="3"/>
      </tp>
      <tp>
        <v>966.97</v>
        <stp/>
        <stp>_x0005_.IETP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AA2" s="1"/>
      </tp>
      <tp>
        <v>1266.69</v>
        <stp/>
        <stp>_x0005_.IETR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AE2" s="1"/>
      </tp>
      <tp t="s">
        <v>#N/A *The record could not be found</v>
        <stp/>
        <stp>_x0008_BKIRi.TQ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7" s="8"/>
      </tp>
      <tp>
        <v>996</v>
        <stp/>
        <stp>_x0006_/RYA.L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13" s="3"/>
      </tp>
      <tp t="s">
        <v>#N/A *The record could not be found</v>
        <stp/>
        <stp>_x0008_BKIRi.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7" s="8"/>
      </tp>
      <tp t="s">
        <v>GBp</v>
        <stp/>
        <stp>_x0008_/GRF_u.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10" s="3"/>
      </tp>
      <tp t="s">
        <v>#N/A *The record could not be found</v>
        <stp/>
        <stp>_x0006_/DGO.L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15" s="3"/>
      </tp>
      <tp>
        <v>4</v>
        <stp/>
        <stp>_x0006_/T7O.L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37" s="3"/>
      </tp>
      <tp t="s">
        <v>#N/A *The record could not be found</v>
        <stp/>
        <stp>_x0007_/IONA.O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L7" s="2"/>
      </tp>
      <tp t="s">
        <v>#N/A *The record could not be found</v>
        <stp/>
        <stp>_x0007_/IONA.O_x000E_HISTORIC CLOS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M7" s="2"/>
      </tp>
      <tp t="s">
        <v>EUR</v>
        <stp/>
        <stp>_x0008_/ICG_u.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19" s="3"/>
      </tp>
      <tp>
        <v>2</v>
        <stp/>
        <stp>_x0006_/OGN.L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40" s="3"/>
      </tp>
      <tp>
        <v>5</v>
        <stp/>
        <stp>_x0006_/GAN.L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48" s="3"/>
      </tp>
      <tp t="s">
        <v>#N/A *The record could not be found</v>
        <stp/>
        <stp>_x0008_INMEi.TQ_x000F_VOL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13" s="8"/>
      </tp>
      <tp>
        <v>9</v>
        <stp/>
        <stp>_x0006_/ORM.L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29" s="3"/>
      </tp>
      <tp>
        <v>75.600000000000009</v>
        <stp/>
        <stp>_x0007_/ICLR.O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L6" s="2"/>
      </tp>
      <tp>
        <v>1.0883</v>
        <stp/>
        <stp>_x000B_/EURCHFREF=	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6" s="4"/>
      </tp>
      <tp>
        <v>7.4368000000000007</v>
        <stp/>
        <stp>_x000B_/EURDKKREF=	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4" s="4"/>
      </tp>
      <tp>
        <v>76.44</v>
        <stp/>
        <stp>_x0007_/ICLR.O_x000E_HISTORIC CLOS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M6" s="2"/>
      </tp>
      <tp>
        <v>311.02</v>
        <stp/>
        <stp>_x000B_/EURHUFREF=	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5" s="4"/>
      </tp>
      <tp>
        <v>113.59</v>
        <stp/>
        <stp>_x000B_/EURJPYREF=	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3" s="4"/>
      </tp>
      <tp>
        <v>1.1087</v>
        <stp/>
        <stp>_x000B_/EURUSDREF=	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2" s="4"/>
      </tp>
      <tp t="s">
        <v>#N/A</v>
        <stp/>
        <stp>_x0008_/ECBREF=_x0008_IRGROW 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J2" s="4"/>
      </tp>
      <tp>
        <v>13.040000000000001</v>
        <stp/>
        <stp>_x0007_/TRIB.O_x000E_HISTORIC CLOS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M8" s="2"/>
      </tp>
      <tp>
        <v>1</v>
        <stp/>
        <stp>_x0008_/ICG_u.L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19" s="3"/>
      </tp>
      <tp>
        <v>1.12453</v>
        <stp/>
        <stp>_x0008_/GRF_u.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62" s="3"/>
        <tr r="E96" s="3"/>
        <tr r="F10" s="3"/>
      </tp>
      <tp>
        <v>5</v>
        <stp/>
        <stp>_x0008_/APGNA.L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52" s="3"/>
      </tp>
      <tp t="s">
        <v>#N/A *The record could not be found</v>
        <stp/>
        <stp>_x0006_/PCI.L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39" s="3"/>
      </tp>
      <tp>
        <v>398</v>
        <stp/>
        <stp>_x0008_/GRF_u.L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10" s="3"/>
      </tp>
      <tp>
        <v>1.5130000000000001E-2</v>
        <stp/>
        <stp>_x0008_/ICG_u.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19" s="3"/>
      </tp>
      <tp t="s">
        <v>#N/A *The record could not be found</v>
        <stp/>
        <stp xml:space="preserve">	GRF_ui.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12" s="8"/>
      </tp>
      <tp t="s">
        <v>#N/A *The record could not be found</v>
        <stp/>
        <stp xml:space="preserve">	ICG_ui.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26" s="8"/>
      </tp>
      <tp>
        <v>1.2900000000000002E-2</v>
        <stp/>
        <stp>_x0008_/APGNA.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52" s="3"/>
      </tp>
      <tp>
        <v>0</v>
        <stp/>
        <stp>_x0006_/FBH.L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32" s="3"/>
      </tp>
      <tp>
        <v>2518</v>
        <stp/>
        <stp>_x0006_/CRH.L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8" s="3"/>
      </tp>
      <tp>
        <v>12.8705</v>
        <stp/>
        <stp>_x0007_/TRIB.O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L8" s="2"/>
      </tp>
      <tp>
        <v>242.46</v>
        <stp/>
        <stp>_x0005_.IFIN_x000B_TODAY'S LOW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J41" s="1"/>
        <tr r="J2" s="1"/>
        <tr r="J44" s="1"/>
      </tp>
      <tp>
        <v>2213.88</v>
        <stp/>
        <stp>_x0005_.ISCI_x000C_TODAY'S HIGH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S2" s="1"/>
        <tr r="S44" s="1"/>
        <tr r="S41" s="1"/>
      </tp>
      <tp>
        <v>0</v>
        <stp/>
        <stp>_x0006_/DQ5.L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27" s="3"/>
      </tp>
      <tp>
        <v>1247.96</v>
        <stp/>
        <stp>_x0005_.IEOE_x000B_TODAY'S LOW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BB2" s="1"/>
        <tr r="BB5" s="1"/>
      </tp>
      <tp>
        <v>1783.43</v>
        <stp/>
        <stp>_x0005_.IEOA_x000B_TODAY'S LOW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AM2" s="1"/>
        <tr r="AM5" s="1"/>
      </tp>
      <tp>
        <v>4780.26</v>
        <stp/>
        <stp>_x0005_.IEOC_x000B_TODAY'S LOW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AW2" s="1"/>
        <tr r="AW5" s="1"/>
      </tp>
      <tp>
        <v>0</v>
        <stp/>
        <stp>_x0005_.IQNA_x000B_TODAY'S LOW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AI2" s="1"/>
      </tp>
      <tp t="s">
        <v>#N/A *The record could not be found</v>
        <stp/>
        <stp>_x0005_.ITEQ_x000C_TODAY'S HIGH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X41" s="1"/>
        <tr r="X44" s="1"/>
      </tp>
      <tp>
        <v>5906</v>
        <stp/>
        <stp>_x0005_.ISEQ_x000C_TODAY'S HIGH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D2" s="1"/>
        <tr r="D44" s="1"/>
        <tr r="D41" s="1"/>
      </tp>
      <tp>
        <v>8458.42</v>
        <stp/>
        <stp>_x0005_.IGEN_x000C_TODAY'S HIGH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2" s="1"/>
        <tr r="N44" s="1"/>
        <tr r="N41" s="1"/>
      </tp>
      <tp t="s">
        <v>GBp</v>
        <stp/>
        <stp>_x0007_CRHl.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29" s="8"/>
      </tp>
      <tp t="s">
        <v>#N/A *The record could not be found</v>
        <stp/>
        <stp>_x0007_DGOl.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19" s="8"/>
      </tp>
      <tp t="s">
        <v>#N/A *The record could not be found</v>
        <stp/>
        <stp>_x0007_JEVl.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23" s="8"/>
      </tp>
      <tp>
        <v>2188.46</v>
        <stp/>
        <stp>_x0005_.ISCI_x000B_TODAY'S LOW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T41" s="1"/>
        <tr r="T2" s="1"/>
        <tr r="T44" s="1"/>
      </tp>
      <tp>
        <v>254.09</v>
        <stp/>
        <stp>_x0005_.IFIN_x000C_TODAY'S HIGH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2" s="1"/>
        <tr r="I44" s="1"/>
        <tr r="I41" s="1"/>
      </tp>
      <tp>
        <v>8401.99</v>
        <stp/>
        <stp>_x0005_.IGEN_x000B_TODAY'S LOW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O41" s="1"/>
        <tr r="O2" s="1"/>
        <tr r="O44" s="1"/>
      </tp>
      <tp t="s">
        <v>#N/A *The record could not be found</v>
        <stp/>
        <stp>_x0005_.ITEQ_x000B_TODAY'S LOW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Y41" s="1"/>
        <tr r="Y44" s="1"/>
      </tp>
      <tp>
        <v>5856.22</v>
        <stp/>
        <stp>_x0005_.ISEQ_x000B_TODAY'S LOW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41" s="1"/>
        <tr r="E2" s="1"/>
        <tr r="E44" s="1"/>
      </tp>
      <tp>
        <v>0</v>
        <stp/>
        <stp>_x0005_.IQNA_x000C_TODAY'S HIGH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AH2" s="1"/>
      </tp>
      <tp t="s">
        <v>#N/A *The record could not be found</v>
        <stp/>
        <stp>_x0005_ELN.I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5" s="2"/>
      </tp>
      <tp t="s">
        <v>#N/A *The record could not be found</v>
        <stp/>
        <stp>_x0007_PAPi.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21" s="8"/>
      </tp>
      <tp t="s">
        <v>#N/A *The record could not be found</v>
        <stp/>
        <stp>_x0007_SKGi.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28" s="8"/>
      </tp>
      <tp t="s">
        <v>#N/A *The record could not be found</v>
        <stp/>
        <stp>_x0007_RYAi.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17" s="8"/>
      </tp>
      <tp t="s">
        <v>#N/A *The record could not be found</v>
        <stp/>
        <stp>_x0007_UDGi.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25" s="8"/>
      </tp>
      <tp t="s">
        <v>#N/A *The record could not be found</v>
        <stp/>
        <stp>_x0007_CRHi.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8" s="8"/>
      </tp>
      <tp t="s">
        <v>#N/A *The record could not be found</v>
        <stp/>
        <stp>_x0007_ELNi.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10" s="8"/>
      </tp>
      <tp t="s">
        <v>#N/A *The record could not be found</v>
        <stp/>
        <stp>_x0007_DGOi.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31" s="8"/>
      </tp>
      <tp t="s">
        <v>#N/A *The record could not be found</v>
        <stp/>
        <stp>_x0007_DCCi.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9" s="8"/>
      </tp>
      <tp t="s">
        <v>EUR</v>
        <stp/>
        <stp>_x0007_GCCi.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11" s="8"/>
      </tp>
      <tp t="s">
        <v>EUR</v>
        <stp/>
        <stp>_x0007_GL9i.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20" s="8"/>
      </tp>
      <tp t="s">
        <v>#N/A *The record could not be found</v>
        <stp/>
        <stp>_x0007_FBDi.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22" s="8"/>
      </tp>
      <tp t="s">
        <v>#N/A *The record could not be found</v>
        <stp/>
        <stp>_x0007_IPMi.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14" s="8"/>
      </tp>
      <tp t="s">
        <v>#N/A *The record could not be found</v>
        <stp/>
        <stp>_x0007_KSPi.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15" s="8"/>
      </tp>
      <tp t="s">
        <v>#N/A *The record could not be found</v>
        <stp/>
        <stp>_x0007_JEVi.TQ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32" s="8"/>
      </tp>
      <tp>
        <v>1258.93</v>
        <stp/>
        <stp>_x0005_.IEOE_x000C_TODAY'S HIGH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BA2" s="1"/>
        <tr r="BA5" s="1"/>
      </tp>
      <tp>
        <v>4856.92</v>
        <stp/>
        <stp>_x0005_.IEOC_x000C_TODAY'S HIGH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AV2" s="1"/>
        <tr r="AV5" s="1"/>
      </tp>
      <tp>
        <v>1808.46</v>
        <stp/>
        <stp>_x0005_.IEOA_x000C_TODAY'S HIGH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AL2" s="1"/>
        <tr r="AL5" s="1"/>
      </tp>
      <tp>
        <v>44</v>
        <stp/>
        <stp>_x0006_/GL9.L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17" s="3"/>
      </tp>
      <tp t="s">
        <v>#N/A *The record could not be found</v>
        <stp/>
        <stp>_x0007_DGOl.TQ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19" s="8"/>
      </tp>
      <tp>
        <v>752</v>
        <stp/>
        <stp>_x0007_CRHl.TQ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29" s="8"/>
      </tp>
      <tp t="s">
        <v>#N/A *The record could not be found</v>
        <stp/>
        <stp>_x0007_JEVl.TQ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23" s="8"/>
      </tp>
      <tp t="s">
        <v>#N/A *The record could not be found</v>
        <stp/>
        <stp>_x0007_UDGi.TQ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25" s="8"/>
      </tp>
      <tp t="s">
        <v>#N/A *The record could not be found</v>
        <stp/>
        <stp>_x0007_PAPi.TQ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21" s="8"/>
      </tp>
      <tp t="s">
        <v>#N/A *The record could not be found</v>
        <stp/>
        <stp>_x0007_SKGi.TQ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28" s="8"/>
      </tp>
      <tp t="s">
        <v>#N/A *The record could not be found</v>
        <stp/>
        <stp>_x0007_RYAi.TQ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17" s="8"/>
      </tp>
      <tp>
        <v>969.17000000000007</v>
        <stp/>
        <stp>_x0005_.IETP_x000C_TODAY'S HIGH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AC2" s="1"/>
      </tp>
      <tp t="s">
        <v>#N/A *The record could not be found</v>
        <stp/>
        <stp>_x0007_ELNi.TQ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10" s="8"/>
      </tp>
      <tp t="s">
        <v>#N/A *The record could not be found</v>
        <stp/>
        <stp>_x0007_DCCi.TQ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9" s="8"/>
      </tp>
      <tp t="s">
        <v>#N/A *The record could not be found</v>
        <stp/>
        <stp>_x0007_DGOi.TQ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31" s="8"/>
      </tp>
      <tp>
        <v>120</v>
        <stp/>
        <stp>_x0007_GCCi.TQ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11" s="8"/>
      </tp>
      <tp>
        <v>79</v>
        <stp/>
        <stp>_x0007_GL9i.TQ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20" s="8"/>
      </tp>
      <tp t="s">
        <v>#N/A *The record could not be found</v>
        <stp/>
        <stp>_x0007_FBDi.TQ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22" s="8"/>
      </tp>
      <tp t="s">
        <v>#N/A *The record could not be found</v>
        <stp/>
        <stp>_x0007_CRHi.TQ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8" s="8"/>
      </tp>
      <tp t="s">
        <v>#N/A *The record could not be found</v>
        <stp/>
        <stp>_x0007_IPMi.TQ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14" s="8"/>
      </tp>
      <tp t="s">
        <v>#N/A *The record could not be found</v>
        <stp/>
        <stp>_x0007_KSPi.TQ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15" s="8"/>
      </tp>
      <tp t="s">
        <v>#N/A *The record could not be found</v>
        <stp/>
        <stp>_x0007_JEVi.TQ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32" s="8"/>
      </tp>
      <tp>
        <v>1.1075000000000002</v>
        <stp/>
        <stp>_x0005_EUR=S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K6" s="2"/>
        <tr r="K8" s="2"/>
        <tr r="K5" s="2"/>
        <tr r="K7" s="2"/>
      </tp>
      <tp t="s">
        <v>#N/A *The record could not be found</v>
        <stp/>
        <stp>_x0007_IPMi.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14" s="8"/>
      </tp>
      <tp t="s">
        <v>#N/A *The record could not be found</v>
        <stp/>
        <stp>_x0007_JEVi.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32" s="8"/>
      </tp>
      <tp t="s">
        <v>#N/A *The record could not be found</v>
        <stp/>
        <stp>_x0007_KSPi.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15" s="8"/>
      </tp>
      <tp t="s">
        <v>#N/A *The record could not be found</v>
        <stp/>
        <stp>_x0007_DGOi.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31" s="8"/>
      </tp>
      <tp t="s">
        <v>#N/A *The record could not be found</v>
        <stp/>
        <stp>_x0007_DCCi.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9" s="8"/>
      </tp>
      <tp t="s">
        <v>#N/A *The record could not be found</v>
        <stp/>
        <stp>_x0007_ELNi.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10" s="8"/>
      </tp>
      <tp t="s">
        <v>#N/A *The record could not be found</v>
        <stp/>
        <stp>_x0007_FBDi.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22" s="8"/>
      </tp>
      <tp>
        <v>122.84</v>
        <stp/>
        <stp>_x0007_GL9i.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20" s="8"/>
      </tp>
      <tp>
        <v>78.260000000000005</v>
        <stp/>
        <stp>_x0007_GCCi.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11" s="8"/>
      </tp>
      <tp t="s">
        <v>#N/A *The record could not be found</v>
        <stp/>
        <stp>_x0007_CRHi.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8" s="8"/>
      </tp>
      <tp t="s">
        <v>#N/A *The record could not be found</v>
        <stp/>
        <stp>_x0007_UDGi.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25" s="8"/>
      </tp>
      <tp t="s">
        <v>#N/A *The record could not be found</v>
        <stp/>
        <stp>_x0007_PAPi.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21" s="8"/>
      </tp>
      <tp t="s">
        <v>#N/A *The record could not be found</v>
        <stp/>
        <stp>_x0007_RYAi.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17" s="8"/>
      </tp>
      <tp t="s">
        <v>#N/A *The record could not be found</v>
        <stp/>
        <stp>_x0007_SKGi.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28" s="8"/>
      </tp>
      <tp>
        <v>960.27</v>
        <stp/>
        <stp>_x0005_.IETP_x000B_TODAY'S LOW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AD2" s="1"/>
      </tp>
      <tp t="s">
        <v>#N/A *The record could not be found</v>
        <stp/>
        <stp>_x0007_JEVl.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23" s="8"/>
      </tp>
      <tp t="s">
        <v>#N/A *The record could not be found</v>
        <stp/>
        <stp>_x0007_DGOl.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19" s="8"/>
      </tp>
      <tp>
        <v>310570.52</v>
        <stp/>
        <stp>_x0007_CRHl.TQ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29" s="8"/>
      </tp>
      <tp t="s">
        <v>#N/A *The record could not be found</v>
        <stp/>
        <stp>_x0006_/ELN.L_x000F_VOL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D61" s="3"/>
        <tr r="D95" s="3"/>
      </tp>
      <tp>
        <v>51801</v>
        <stp/>
        <stp>_x0006_/GAN.L_x000F_VOL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48" s="3"/>
      </tp>
      <tp>
        <v>259</v>
        <stp/>
        <stp>_x0006_/OGN.L_x000F_VOL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40" s="3"/>
      </tp>
      <tp t="s">
        <v>#N/A *The record could not be found</v>
        <stp/>
        <stp>_x0007_/AERL.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6" s="3"/>
      </tp>
      <tp>
        <v>5.7500000000000008E-3</v>
        <stp/>
        <stp>_x0007_/HBRN.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49" s="3"/>
      </tp>
      <tp>
        <v>6023</v>
        <stp/>
        <stp>_x0006_/T7O.L_x000F_VOL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37" s="3"/>
      </tp>
      <tp t="s">
        <v>#N/A *The record could not be found</v>
        <stp/>
        <stp>_x0006_/DGO.L_x000F_VOL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15" s="3"/>
      </tp>
      <tp>
        <v>1.5600000000000001E-2</v>
        <stp/>
        <stp>_x0007_/FRST.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38" s="3"/>
      </tp>
      <tp t="s">
        <v>EUR</v>
        <stp/>
        <stp>_x0007_/KYGa.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12" s="3"/>
      </tp>
      <tp>
        <v>400518</v>
        <stp/>
        <stp>_x0006_/ORM.L_x000F_VOL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29" s="3"/>
      </tp>
      <tp t="s">
        <v>#N/A *The record could not be found</v>
        <stp/>
        <stp>_x0006_/IPM.L_x000F_VOL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D65" s="3"/>
        <tr r="D99" s="3"/>
      </tp>
      <tp t="s">
        <v>#N/A *The record could not be found</v>
        <stp/>
        <stp>_x0006_ICON.I_x000D_NUMBER TRAD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H6" s="2"/>
      </tp>
      <tp t="s">
        <v>#N/A *The record could not be found</v>
        <stp/>
        <stp>_x0007_/INWS.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64" s="3"/>
        <tr r="E98" s="3"/>
      </tp>
      <tp>
        <v>26</v>
        <stp/>
        <stp>_x0007_/AMYT.L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44" s="3"/>
      </tp>
      <tp>
        <v>0</v>
        <stp/>
        <stp>_x0006_/FBH.L_x000F_VOL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32" s="3"/>
      </tp>
      <tp>
        <v>792388</v>
        <stp/>
        <stp>_x0006_/CRH.L_x000F_VOL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D69" s="3"/>
        <tr r="E8" s="3"/>
        <tr r="D103" s="3"/>
      </tp>
      <tp t="s">
        <v>#N/A *The record could not be found</v>
        <stp/>
        <stp>_x0006_/JDH.L_x000F_VOL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D100" s="3"/>
        <tr r="D66" s="3"/>
      </tp>
      <tp t="s">
        <v>#N/A *The record could not be found</v>
        <stp/>
        <stp>_x0007_/PACC.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28" s="3"/>
      </tp>
      <tp t="s">
        <v>#N/A *The record could not be found</v>
        <stp/>
        <stp>_x0006_/PCI.L_x000F_VOL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39" s="3"/>
      </tp>
      <tp t="s">
        <v>GBp</v>
        <stp/>
        <stp>_x0007_/ABBY.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25" s="3"/>
      </tp>
      <tp t="s">
        <v>EUR</v>
        <stp/>
        <stp>_x0007_/INME.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11" s="3"/>
      </tp>
      <tp t="s">
        <v>GBp</v>
        <stp/>
        <stp>_x0007_/GWMO.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43" s="3"/>
      </tp>
      <tp>
        <v>83917</v>
        <stp/>
        <stp>_x0006_/UDG.L_x000F_VOL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23" s="3"/>
      </tp>
      <tp>
        <v>1289</v>
        <stp/>
        <stp>_x0006_/WLG.L_x000F_VOL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31" s="3"/>
      </tp>
      <tp>
        <v>162179</v>
        <stp/>
        <stp>_x0006_/SKG.L_x000F_VOL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24" s="3"/>
      </tp>
      <tp>
        <v>650251</v>
        <stp/>
        <stp>_x0006_/FOG.L_x000F_VOL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46" s="3"/>
      </tp>
      <tp>
        <v>576895</v>
        <stp/>
        <stp>_x0006_/OVG.L_x000F_VOL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33" s="3"/>
      </tp>
      <tp t="s">
        <v>GBp</v>
        <stp/>
        <stp>_x0007_APGNA.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52" s="3"/>
      </tp>
      <tp t="s">
        <v>GBp</v>
        <stp/>
        <stp>_x0007_/CGNR.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41" s="3"/>
      </tp>
      <tp t="s">
        <v>GBp</v>
        <stp/>
        <stp>_x0007_/AMNX.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26" s="3"/>
      </tp>
      <tp t="s">
        <v>EUR</v>
        <stp/>
        <stp>_x0007_/GRNG.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45" s="3"/>
      </tp>
      <tp>
        <v>6.4940000000000012E-2</v>
        <stp/>
        <stp>_x0007_/AMYT.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44" s="3"/>
      </tp>
      <tp t="s">
        <v>GBp</v>
        <stp/>
        <stp>_x0007_/ZMNO.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36" s="3"/>
      </tp>
      <tp>
        <v>4</v>
        <stp/>
        <stp>_x0007_/FRST.L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38" s="3"/>
      </tp>
      <tp>
        <v>15.128400000000001</v>
        <stp/>
        <stp>_x000B_/EURZARREF=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24" s="4"/>
      </tp>
      <tp>
        <v>3.3082000000000003</v>
        <stp/>
        <stp>_x000B_/EURTRYREF=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8" s="4"/>
      </tp>
      <tp>
        <v>38.792999999999999</v>
        <stp/>
        <stp>_x000B_/EURTHBREF=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22" s="4"/>
      </tp>
      <tp>
        <v>9.5250000000000004</v>
        <stp/>
        <stp>_x000B_/EURSEKREF=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15" s="4"/>
      </tp>
      <tp>
        <v>71.808999999999997</v>
        <stp/>
        <stp>_x000B_/EURRUBREF=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7" s="4"/>
      </tp>
      <tp>
        <v>4.4584000000000001</v>
        <stp/>
        <stp>_x000B_/EURRONREF=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14" s="4"/>
      </tp>
      <tp>
        <v>52.003999999999998</v>
        <stp/>
        <stp>_x000B_/EURPHPREF=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21" s="4"/>
      </tp>
      <tp>
        <v>4.2786</v>
        <stp/>
        <stp>_x000B_/EURPLNREF=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13" s="4"/>
      </tp>
      <tp>
        <v>9.4065000000000012</v>
        <stp/>
        <stp>_x000B_/EURNOKREF=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29" s="4"/>
      </tp>
      <tp>
        <v>4.4694000000000003</v>
        <stp/>
        <stp>_x000B_/EURMYRREF=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23" s="4"/>
      </tp>
      <tp t="s">
        <v>#N/A *The record could not be found</v>
        <stp/>
        <stp>_x000B_/EURLTLREF=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32" s="4"/>
      </tp>
      <tp>
        <v>0.70280399999999998</v>
        <stp/>
        <stp>_x000B_/EURLVLREF=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12" s="4"/>
      </tp>
      <tp>
        <v>1229.3800000000001</v>
        <stp/>
        <stp>_x000B_/EURKRWREF=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20" s="4"/>
      </tp>
      <tp>
        <v>4.2435</v>
        <stp/>
        <stp>_x000B_/EURILSREF=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19" s="4"/>
      </tp>
      <tp>
        <v>14552.800000000001</v>
        <stp/>
        <stp>_x000B_/EURIDRREF=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18" s="4"/>
      </tp>
      <tp>
        <v>7.4799000000000007</v>
        <stp/>
        <stp>_x000B_/EURHRKREF=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28" s="4"/>
      </tp>
      <tp>
        <v>8.5998999999999999</v>
        <stp/>
        <stp>_x000B_/EURHKDREF=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17" s="4"/>
      </tp>
      <tp>
        <v>0.84955000000000003</v>
        <stp/>
        <stp>_x000B_/EURGBPREF=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11" s="4"/>
      </tp>
      <tp t="s">
        <v>#N/A *The record could not be found</v>
        <stp/>
        <stp>_x000B_/EUREURREF=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M23" s="4"/>
      </tp>
      <tp>
        <v>27.027000000000001</v>
        <stp/>
        <stp>_x000B_/EURCZKREF=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25" s="4"/>
      </tp>
      <tp>
        <v>7.3848000000000003</v>
        <stp/>
        <stp>_x000B_/EURCNYREF=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30" s="4"/>
      </tp>
      <tp>
        <v>1.4573</v>
        <stp/>
        <stp>_x000B_/EURCADREF=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16" s="4"/>
      </tp>
      <tp>
        <v>3.5239000000000003</v>
        <stp/>
        <stp>_x000B_/EURBRLREF=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27" s="4"/>
      </tp>
      <tp>
        <v>1.9558</v>
        <stp/>
        <stp>_x000B_/EURBGNREF=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10" s="4"/>
      </tp>
      <tp>
        <v>1.4520000000000002</v>
        <stp/>
        <stp>_x000B_/EURAUDREF=
PRIM ACT 1_x0007_IDN_RDF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9" s="4"/>
      </tp>
      <tp>
        <v>34883</v>
        <stp/>
        <stp>_x0006_/PPB.L_x000F_VOL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22" s="3"/>
      </tp>
      <tp t="s">
        <v>#N/A *The record could not be found</v>
        <stp/>
        <stp>_x0006_IONA.I_x000D_NUMBER TRAD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H7" s="2"/>
      </tp>
      <tp t="s">
        <v>EUR</v>
        <stp/>
        <stp>_x0007_/BKIR.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7" s="3"/>
      </tp>
      <tp t="s">
        <v>#N/A *The record could not be found</v>
        <stp/>
        <stp>_x0007_/AERL.L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6" s="3"/>
      </tp>
      <tp>
        <v>5</v>
        <stp/>
        <stp>_x0007_/HBRN.L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49" s="3"/>
      </tp>
      <tp>
        <v>514551</v>
        <stp/>
        <stp>_x0006_/DCC.L_x000F_VOL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D94" s="3"/>
        <tr r="D60" s="3"/>
        <tr r="E9" s="3"/>
      </tp>
      <tp>
        <v>11420</v>
        <stp/>
        <stp>_x0006_/GCC.L_x000F_VOL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14" s="3"/>
      </tp>
      <tp>
        <v>478643</v>
        <stp/>
        <stp>_x0006_/RYA.L_x000F_VOL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D102" s="3"/>
        <tr r="D68" s="3"/>
        <tr r="E13" s="3"/>
      </tp>
      <tp t="s">
        <v>#N/A *The record could not be found</v>
        <stp/>
        <stp>_x0006_TRIB.I_x000D_NUMBER TRAD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H8" s="2"/>
      </tp>
      <tp>
        <v>0</v>
        <stp/>
        <stp>_x0007_/GROW.L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55" s="3"/>
      </tp>
      <tp>
        <v>0</v>
        <stp/>
        <stp>_x0007_/MCON.L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47" s="3"/>
      </tp>
      <tp t="s">
        <v>#N/A *The record could not be found</v>
        <stp/>
        <stp>_x0007_/ALBK.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91" s="3"/>
        <tr r="E57" s="3"/>
      </tp>
      <tp>
        <v>0</v>
        <stp/>
        <stp>_x0007_/ABBY.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25" s="3"/>
      </tp>
      <tp>
        <v>15</v>
        <stp/>
        <stp>_x0007_/CGNR.L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41" s="3"/>
      </tp>
      <tp>
        <v>26</v>
        <stp/>
        <stp>_x0007_/AMNX.L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26" s="3"/>
      </tp>
      <tp>
        <v>2</v>
        <stp/>
        <stp>_x0007_/GRNG.L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45" s="3"/>
      </tp>
      <tp>
        <v>0</v>
        <stp/>
        <stp>_x0007_/VENN.L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54" s="3"/>
      </tp>
      <tp>
        <v>3</v>
        <stp/>
        <stp>_x0007_/ZMNO.L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36" s="3"/>
      </tp>
      <tp t="s">
        <v>#N/A *The record could not be found</v>
        <stp/>
        <stp>_x0007_/PACC.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28" s="3"/>
      </tp>
      <tp>
        <v>1</v>
        <stp/>
        <stp>_x0007_/INME.L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11" s="3"/>
      </tp>
      <tp>
        <v>2</v>
        <stp/>
        <stp>_x0007_/GWMO.L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43" s="3"/>
      </tp>
      <tp>
        <v>2</v>
        <stp/>
        <stp>_x0007_/DALD.L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51" s="3"/>
      </tp>
      <tp>
        <v>0.8979100000000001</v>
        <stp/>
        <stp>_x0007_/KYGa.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101" s="3"/>
        <tr r="E67" s="3"/>
        <tr r="F12" s="3"/>
      </tp>
      <tp t="s">
        <v>#N/A *The record could not be found</v>
        <stp/>
        <stp>_x0007_/ANGL.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93" s="3"/>
        <tr r="E59" s="3"/>
      </tp>
      <tp>
        <v>263</v>
        <stp/>
        <stp>_x0007_/BKIR.L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7" s="3"/>
      </tp>
      <tp t="s">
        <v>GBp</v>
        <stp/>
        <stp>_x0007_/FRST.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38" s="3"/>
      </tp>
      <tp>
        <v>208191</v>
        <stp/>
        <stp>_x0006_/FFY.L_x000F_VOL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16" s="3"/>
      </tp>
      <tp t="s">
        <v>#N/A *The record could not be found</v>
        <stp/>
        <stp>_x0007_/AERL.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6" s="3"/>
      </tp>
      <tp>
        <v>239</v>
        <stp/>
        <stp>_x0007_/KYGa.L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12" s="3"/>
      </tp>
      <tp>
        <v>42129</v>
        <stp/>
        <stp>_x0006_/JEV.L_x000F_VOL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20" s="3"/>
      </tp>
      <tp>
        <v>3991863</v>
        <stp/>
        <stp>_x0006_/TLW.L_x000F_VOL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30" s="3"/>
      </tp>
      <tp>
        <v>4007</v>
        <stp/>
        <stp>_x0006_/HSW.L_x000F_VOL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53" s="3"/>
      </tp>
      <tp t="s">
        <v>#N/A *The record could not be found</v>
        <stp/>
        <stp>_x0006_/IAW.L_x000F_VOL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D63" s="3"/>
        <tr r="D97" s="3"/>
      </tp>
      <tp>
        <v>0.91680000000000006</v>
        <stp/>
        <stp>_x0008_CHFEUR=R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U2" s="8"/>
      </tp>
      <tp>
        <v>2.0870000000000002</v>
        <stp/>
        <stp>_x0007_/BKIR.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58" s="3"/>
        <tr r="F7" s="3"/>
        <tr r="E92" s="3"/>
      </tp>
      <tp t="s">
        <v>#N/A *The record could not be found</v>
        <stp/>
        <stp>_x0007_/PACC.L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28" s="3"/>
      </tp>
      <tp>
        <v>6025590</v>
        <stp/>
        <stp>_x0006_/PRR.L_x000F_VOL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35" s="3"/>
      </tp>
      <tp>
        <v>0</v>
        <stp/>
        <stp>_x0006_/PTR.L_x000F_VOL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34" s="3"/>
      </tp>
      <tp>
        <v>4426813</v>
        <stp/>
        <stp>_x0006_/KDR.L_x000F_VOL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42" s="3"/>
      </tp>
      <tp>
        <v>0</v>
        <stp/>
        <stp>_x0007_/VENN.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54" s="3"/>
      </tp>
      <tp t="s">
        <v>GBp</v>
        <stp/>
        <stp>_x0007_/AMYT.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44" s="3"/>
      </tp>
      <tp>
        <v>7.9500000000000005E-3</v>
        <stp/>
        <stp>_x0007_/GRNG.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45" s="3"/>
      </tp>
      <tp>
        <v>7.6930000000000012E-2</v>
        <stp/>
        <stp>_x0007_/AMNX.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26" s="3"/>
      </tp>
      <tp>
        <v>1.4960000000000001E-2</v>
        <stp/>
        <stp>_x0007_/CGNR.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41" s="3"/>
      </tp>
      <tp>
        <v>0</v>
        <stp/>
        <stp>_x0007_/MCON.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47" s="3"/>
      </tp>
      <tp>
        <v>0</v>
        <stp/>
        <stp>_x0007_/GROW.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55" s="3"/>
      </tp>
      <tp>
        <v>2070</v>
        <stp/>
        <stp>_x0006_/IFP.L_x000F_VOL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18" s="3"/>
      </tp>
      <tp>
        <v>14712</v>
        <stp/>
        <stp>_x0006_/KSP.L_x000F_VOL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21" s="3"/>
      </tp>
      <tp>
        <v>5.0600000000000003E-3</v>
        <stp/>
        <stp>_x0007_/DALD.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51" s="3"/>
      </tp>
      <tp>
        <v>1.2000000000000001E-3</v>
        <stp/>
        <stp>_x0007_/GWMO.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43" s="3"/>
      </tp>
      <tp>
        <v>1.2500000000000001E-2</v>
        <stp/>
        <stp>_x0007_/INME.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11" s="3"/>
      </tp>
      <tp t="s">
        <v>#N/A *The record could not be found</v>
        <stp/>
        <stp xml:space="preserve">	GRF_ui.TQ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12" s="8"/>
      </tp>
      <tp t="s">
        <v>#N/A *The record could not be found</v>
        <stp/>
        <stp xml:space="preserve">	ICG_ui.TQ	NUM_MOV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G26" s="8"/>
      </tp>
      <tp>
        <v>962.5</v>
        <stp/>
        <stp>_x0005_.IETP_x000D_OPENING PRIC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AB2" s="1"/>
      </tp>
      <tp>
        <v>243.70000000000002</v>
        <stp/>
        <stp>_x0005_.IFIN_x000D_OPENING PRIC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H41" s="1"/>
        <tr r="H2" s="1"/>
        <tr r="H44" s="1"/>
      </tp>
      <tp>
        <v>1798.42</v>
        <stp/>
        <stp>_x0005_.IEOA_x000D_OPENING PRIC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AK2" s="1"/>
        <tr r="AK5" s="1"/>
      </tp>
      <tp>
        <v>4780.26</v>
        <stp/>
        <stp>_x0005_.IEOC_x000D_OPENING PRIC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AU2" s="1"/>
        <tr r="AU5" s="1"/>
      </tp>
      <tp>
        <v>1248.18</v>
        <stp/>
        <stp>_x0005_.IEOE_x000D_OPENING PRIC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AZ2" s="1"/>
        <tr r="AZ5" s="1"/>
      </tp>
      <tp t="s">
        <v>#N/A *The record could not be found</v>
        <stp/>
        <stp>_x0006_ICON.I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6" s="2"/>
      </tp>
      <tp t="s">
        <v>#N/A *The record could not be found</v>
        <stp/>
        <stp>_x0006_/ELN.N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L5" s="2"/>
      </tp>
      <tp t="s">
        <v>#N/A *The record could not be found</v>
        <stp/>
        <stp>_x0006_IONA.I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7" s="2"/>
      </tp>
      <tp>
        <v>2201.54</v>
        <stp/>
        <stp>_x0005_.ISCI_x000D_OPENING PRIC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R41" s="1"/>
        <tr r="R2" s="1"/>
        <tr r="R44" s="1"/>
      </tp>
      <tp t="s">
        <v>#N/A *The record could not be found</v>
        <stp/>
        <stp>_x0006_TRIB.I_x0004_LAS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I8" s="2"/>
      </tp>
      <tp>
        <v>8403.2999999999993</v>
        <stp/>
        <stp>_x0005_.IGEN_x000D_OPENING PRIC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M41" s="1"/>
        <tr r="M2" s="1"/>
        <tr r="M44" s="1"/>
      </tp>
      <tp>
        <v>5857.9000000000005</v>
        <stp/>
        <stp>_x0005_.ISEQ_x000D_OPENING PRIC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C41" s="1"/>
        <tr r="C2" s="1"/>
        <tr r="C44" s="1"/>
      </tp>
      <tp t="s">
        <v>#N/A *The record could not be found</v>
        <stp/>
        <stp>_x0005_.ITEQ_x000D_OPENING PRIC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W41" s="1"/>
        <tr r="W44" s="1"/>
      </tp>
      <tp t="s">
        <v xml:space="preserve">PLN   4.2786       BRL   3.5239       NZD   1.5548                              </v>
        <stp/>
        <stp>_x0005_ECB37	IRGROW 11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C9" s="4"/>
        <tr r="C13" s="4"/>
        <tr r="F8" s="4"/>
        <tr r="F12" s="4"/>
        <tr r="E8" s="4"/>
        <tr r="E12" s="4"/>
      </tp>
      <tp t="s">
        <v xml:space="preserve">HUF   311.02       AUD    1.452       MYR   4.4694                              </v>
        <stp/>
        <stp>_x0005_ECB37	IRGROW 10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C5" s="4"/>
        <tr r="E5" s="4"/>
        <tr r="E7" s="4"/>
        <tr r="E21" s="4"/>
        <tr r="C8" s="4"/>
        <tr r="C24" s="4"/>
        <tr r="F5" s="4"/>
        <tr r="F7" s="4"/>
        <tr r="F21" s="4"/>
      </tp>
      <tp t="s">
        <v xml:space="preserve">SEK    9.525       CNY   7.3848       SGD   1.4944                              </v>
        <stp/>
        <stp>_x0005_ECB37	IRGROW 13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C15" s="4"/>
        <tr r="F14" s="4"/>
        <tr r="E14" s="4"/>
      </tp>
      <tp t="s">
        <v xml:space="preserve">RON   4.4584       CAD   1.4573       PHP   52.004                              </v>
        <stp/>
        <stp>_x0005_ECB37	IRGROW 12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C27" s="4"/>
        <tr r="E9" s="4"/>
        <tr r="E13" s="4"/>
        <tr r="F24" s="4"/>
        <tr r="C10" s="4"/>
        <tr r="C14" s="4"/>
        <tr r="E24" s="4"/>
        <tr r="F9" s="4"/>
        <tr r="F13" s="4"/>
      </tp>
      <tp t="s">
        <v>GBp</v>
        <stp/>
        <stp>_x0006_/DQ5.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27" s="3"/>
      </tp>
      <tp t="s">
        <v>EUR</v>
        <stp/>
        <stp>_x0006_/GL9.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17" s="3"/>
      </tp>
      <tp>
        <v>1000</v>
        <stp/>
        <stp>_x000B_/IRESEUR.Lp_x000F_VOL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50" s="3"/>
      </tp>
      <tp>
        <v>0.11076000000000001</v>
        <stp/>
        <stp>_x0006_/GL9.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17" s="3"/>
      </tp>
      <tp>
        <v>0</v>
        <stp/>
        <stp>_x0006_/DQ5.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27" s="3"/>
      </tp>
      <tp>
        <v>1.4600000000000001E-3</v>
        <stp/>
        <stp>_x0006_/OGN.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40" s="3"/>
      </tp>
      <tp>
        <v>1.9380000000000001E-2</v>
        <stp/>
        <stp>_x0006_/GAN.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48" s="3"/>
      </tp>
      <tp t="s">
        <v>#N/A *The record could not be found</v>
        <stp/>
        <stp>_x0006_/ELN.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95" s="3"/>
        <tr r="E61" s="3"/>
      </tp>
      <tp t="s">
        <v>#N/A *The record could not be found</v>
        <stp/>
        <stp>_x0006_/DGO.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15" s="3"/>
      </tp>
      <tp>
        <v>7.3500000000000006E-3</v>
        <stp/>
        <stp>_x0006_/T7O.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37" s="3"/>
      </tp>
      <tp t="s">
        <v>GBp</v>
        <stp/>
        <stp>_x0006_/KDR.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42" s="3"/>
      </tp>
      <tp t="s">
        <v>GBp</v>
        <stp/>
        <stp>_x0006_/PRR.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35" s="3"/>
      </tp>
      <tp t="s">
        <v>GBp</v>
        <stp/>
        <stp>_x0006_/PTR.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34" s="3"/>
      </tp>
      <tp>
        <v>2.6900000000000001E-3</v>
        <stp/>
        <stp>_x0006_ZMNO.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36" s="3"/>
      </tp>
      <tp>
        <v>8.1800000000000015E-3</v>
        <stp/>
        <stp>_x0006_/ORM.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29" s="3"/>
      </tp>
      <tp t="s">
        <v>#N/A *The record could not be found</v>
        <stp/>
        <stp>_x0006_/IPM.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99" s="3"/>
        <tr r="E65" s="3"/>
      </tp>
      <tp t="s">
        <v>GBp</v>
        <stp/>
        <stp>_x0006_/IFP.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18" s="3"/>
      </tp>
      <tp t="s">
        <v>EUR</v>
        <stp/>
        <stp>_x0006_/KSP.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21" s="3"/>
      </tp>
      <tp t="s">
        <v>#N/A *The record could not be found</v>
        <stp/>
        <stp>_x0007_JEVl.TQ_x000F_VOL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23" s="8"/>
      </tp>
      <tp t="s">
        <v>#N/A *The record could not be found</v>
        <stp/>
        <stp>_x0007_DGOl.TQ_x000F_VOL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19" s="8"/>
      </tp>
      <tp>
        <v>133863</v>
        <stp/>
        <stp>_x0007_CRHl.TQ_x000F_VOL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29" s="8"/>
      </tp>
      <tp t="s">
        <v>GBp</v>
        <stp/>
        <stp>_x0006_/TLW.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30" s="3"/>
      </tp>
      <tp t="s">
        <v>GBp</v>
        <stp/>
        <stp>_x0006_GROW.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55" s="3"/>
      </tp>
      <tp t="s">
        <v>GBp</v>
        <stp/>
        <stp>_x0006_/JEV.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20" s="3"/>
      </tp>
      <tp>
        <v>2033.73</v>
        <stp/>
        <stp>_x0005_.IEOB	HST_CLOSEÿ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A3" s="9"/>
      </tp>
      <tp t="s">
        <v>#N/A *The record could not be found</v>
        <stp/>
        <stp>_x0006_/JDH.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66" s="3"/>
        <tr r="E100" s="3"/>
      </tp>
      <tp>
        <v>0</v>
        <stp/>
        <stp>_x0006_/FBH.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32" s="3"/>
      </tp>
      <tp>
        <v>18.368730000000003</v>
        <stp/>
        <stp>_x0006_/CRH.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103" s="3"/>
        <tr r="E69" s="3"/>
        <tr r="F8" s="3"/>
      </tp>
      <tp t="s">
        <v>#N/A *The record could not be found</v>
        <stp/>
        <stp>_x0007_IPMi.TQ_x000F_VOL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14" s="8"/>
      </tp>
      <tp t="s">
        <v>#N/A *The record could not be found</v>
        <stp/>
        <stp>_x0007_JEVi.TQ_x000F_VOL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32" s="8"/>
      </tp>
      <tp t="s">
        <v>#N/A *The record could not be found</v>
        <stp/>
        <stp>_x0007_KSPi.TQ_x000F_VOL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15" s="8"/>
      </tp>
      <tp t="s">
        <v>#N/A *The record could not be found</v>
        <stp/>
        <stp>_x0007_DGOi.TQ_x000F_VOL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31" s="8"/>
      </tp>
      <tp t="s">
        <v>#N/A *The record could not be found</v>
        <stp/>
        <stp>_x0007_DCCi.TQ_x000F_VOL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9" s="8"/>
      </tp>
      <tp t="s">
        <v>#N/A *The record could not be found</v>
        <stp/>
        <stp>_x0007_ELNi.TQ_x000F_VOL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10" s="8"/>
      </tp>
      <tp t="s">
        <v>#N/A *The record could not be found</v>
        <stp/>
        <stp>_x0007_FBDi.TQ_x000F_VOL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22" s="8"/>
      </tp>
      <tp>
        <v>7176</v>
        <stp/>
        <stp>_x0007_GL9i.TQ_x000F_VOL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20" s="8"/>
      </tp>
      <tp>
        <v>21028</v>
        <stp/>
        <stp>_x0007_GCCi.TQ_x000F_VOL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11" s="8"/>
      </tp>
      <tp t="s">
        <v>#N/A *The record could not be found</v>
        <stp/>
        <stp>_x0007_CRHi.TQ_x000F_VOL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8" s="8"/>
      </tp>
      <tp t="s">
        <v>#N/A *The record could not be found</v>
        <stp/>
        <stp>_x0007_UDGi.TQ_x000F_VOL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25" s="8"/>
      </tp>
      <tp t="s">
        <v>#N/A *The record could not be found</v>
        <stp/>
        <stp>_x0007_PAPi.TQ_x000F_VOL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21" s="8"/>
      </tp>
      <tp t="s">
        <v>#N/A *The record could not be found</v>
        <stp/>
        <stp>_x0007_RYAi.TQ_x000F_VOL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17" s="8"/>
      </tp>
      <tp t="s">
        <v>#N/A *The record could not be found</v>
        <stp/>
        <stp>_x0007_SKGi.TQ_x000F_VOL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28" s="8"/>
      </tp>
      <tp t="s">
        <v>#N/A *The record could not be found</v>
        <stp/>
        <stp>_x0006_/PCI.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39" s="3"/>
      </tp>
      <tp>
        <v>8.0380000000000007E-2</v>
        <stp/>
        <stp>_x0006_/OVG.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33" s="3"/>
      </tp>
      <tp>
        <v>3.517E-2</v>
        <stp/>
        <stp>_x0006_/FOG.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46" s="3"/>
      </tp>
      <tp>
        <v>3.9700000000000004E-3</v>
        <stp/>
        <stp>_x0006_/WLG.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31" s="3"/>
      </tp>
      <tp>
        <v>0.49805000000000005</v>
        <stp/>
        <stp>_x0006_/UDG.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23" s="3"/>
      </tp>
      <tp>
        <v>2.83318</v>
        <stp/>
        <stp>_x0006_/SKG.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24" s="3"/>
      </tp>
      <tp t="s">
        <v>GBp</v>
        <stp/>
        <stp>_x0006_/FFY.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16" s="3"/>
      </tp>
      <tp>
        <v>3.2006900000000003</v>
        <stp/>
        <stp>_x0006_/PPB.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22" s="3"/>
      </tp>
      <tp>
        <v>4.2490000000000007E-2</v>
        <stp/>
        <stp>_x0006_/GCC.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14" s="3"/>
      </tp>
      <tp>
        <v>34.94444</v>
        <stp/>
        <stp>_x0006_/DCC.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60" s="3"/>
        <tr r="F9" s="3"/>
        <tr r="E94" s="3"/>
      </tp>
      <tp>
        <v>5.7673500000000004</v>
        <stp/>
        <stp>_x0006_/RYA.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68" s="3"/>
        <tr r="F13" s="3"/>
        <tr r="E102" s="3"/>
      </tp>
      <tp t="s">
        <v>GBp</v>
        <stp/>
        <stp>_x0006_/DCC.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9" s="3"/>
      </tp>
      <tp t="s">
        <v>EUR</v>
        <stp/>
        <stp>_x0006_/GCC.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14" s="3"/>
      </tp>
      <tp t="s">
        <v>GBp</v>
        <stp/>
        <stp>_x0006_/PPB.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22" s="3"/>
      </tp>
      <tp t="s">
        <v>EUR</v>
        <stp/>
        <stp>_x0006_/RYA.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13" s="3"/>
      </tp>
      <tp>
        <v>1.1768000000000001</v>
        <stp/>
        <stp>_x0007_GBPEUR=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P2" s="8"/>
        <tr r="N2" s="3"/>
      </tp>
      <tp t="s">
        <v>GBp</v>
        <stp/>
        <stp>_x0006_/OVG.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33" s="3"/>
      </tp>
      <tp t="s">
        <v>GBp</v>
        <stp/>
        <stp>_x0006_/FOG.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46" s="3"/>
      </tp>
      <tp t="s">
        <v>GBp</v>
        <stp/>
        <stp>_x0006_/SKG.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24" s="3"/>
      </tp>
      <tp t="s">
        <v>GBp</v>
        <stp/>
        <stp>_x0006_/UDG.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23" s="3"/>
      </tp>
      <tp t="s">
        <v>GBp</v>
        <stp/>
        <stp>_x0006_/WLG.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31" s="3"/>
      </tp>
      <tp>
        <v>0.25365000000000004</v>
        <stp/>
        <stp>_x0006_/FFY.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16" s="3"/>
      </tp>
      <tp t="s">
        <v>GBp</v>
        <stp/>
        <stp>_x0006_DALD.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51" s="3"/>
      </tp>
      <tp>
        <v>9.1530000000000014E-2</v>
        <stp/>
        <stp>_x0006_/JEV.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20" s="3"/>
      </tp>
      <tp>
        <v>6.3700000000000007E-3</v>
        <stp/>
        <stp>_x0006_/HSW.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53" s="3"/>
      </tp>
      <tp t="s">
        <v>#N/A *The record could not be found</v>
        <stp/>
        <stp>_x0006_/IAW.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97" s="3"/>
        <tr r="E63" s="3"/>
      </tp>
      <tp>
        <v>8.3101500000000001</v>
        <stp/>
        <stp>_x0006_/TLW.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30" s="3"/>
      </tp>
      <tp t="s">
        <v>#N/A *The record could not be found</v>
        <stp/>
        <stp>_x0006_/PCI.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39" s="3"/>
      </tp>
      <tp t="s">
        <v>GBp</v>
        <stp/>
        <stp>_x0006_/CRH.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8" s="3"/>
      </tp>
      <tp t="s">
        <v>EUR</v>
        <stp/>
        <stp>_x0006_/FBH.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32" s="3"/>
      </tp>
      <tp>
        <v>3.2570000000000002E-2</v>
        <stp/>
        <stp>_x0006_/KDR.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42" s="3"/>
      </tp>
      <tp>
        <v>0</v>
        <stp/>
        <stp>_x0006_/PTR.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34" s="3"/>
      </tp>
      <tp>
        <v>0.61224000000000001</v>
        <stp/>
        <stp>_x0006_/PRR.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35" s="3"/>
      </tp>
      <tp t="s">
        <v>#N/A *The record could not be found</v>
        <stp/>
        <stp>_x0006_/DGO.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15" s="3"/>
      </tp>
      <tp t="s">
        <v>GBp</v>
        <stp/>
        <stp>_x0006_/T7O.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37" s="3"/>
      </tp>
      <tp t="s">
        <v>EUR</v>
        <stp/>
        <stp>_x0006_/OGN.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40" s="3"/>
      </tp>
      <tp t="s">
        <v>GBp</v>
        <stp/>
        <stp>_x0006_VENN.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54" s="3"/>
      </tp>
      <tp t="s">
        <v>EUR</v>
        <stp/>
        <stp>_x0006_HBRN.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49" s="3"/>
      </tp>
      <tp t="s">
        <v>GBp</v>
        <stp/>
        <stp>_x0006_MCON.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47" s="3"/>
        <tr r="N48" s="3"/>
      </tp>
      <tp>
        <v>0.31501000000000001</v>
        <stp/>
        <stp>_x0006_/KSP.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21" s="3"/>
      </tp>
      <tp>
        <v>3.8300000000000005E-3</v>
        <stp/>
        <stp>_x0006_/IFP.L_x0008_TURNOVER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F18" s="3"/>
      </tp>
      <tp t="s">
        <v>GBp</v>
        <stp/>
        <stp>_x0006_/ORM.L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29" s="3"/>
      </tp>
      <tp>
        <v>0</v>
        <stp/>
        <stp>_x0007_/MCON.L_x000F_VOL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47" s="3"/>
      </tp>
      <tp>
        <v>0</v>
        <stp/>
        <stp>_x0007_/GROW.L_x000F_VOL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55" s="3"/>
      </tp>
      <tp>
        <v>24871</v>
        <stp/>
        <stp>_x0007_/ZMNO.L_x000F_VOL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36" s="3"/>
      </tp>
      <tp>
        <v>0</v>
        <stp/>
        <stp>_x0007_/VENN.L_x000F_VOL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54" s="3"/>
      </tp>
      <tp>
        <v>5321</v>
        <stp/>
        <stp>_x0007_/GRNG.L_x000F_VOL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45" s="3"/>
      </tp>
      <tp>
        <v>5837517</v>
        <stp/>
        <stp>_x0007_/AMNX.L_x000F_VOL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26" s="3"/>
      </tp>
      <tp>
        <v>48432</v>
        <stp/>
        <stp>_x0007_/CGNR.L_x000F_VOL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41" s="3"/>
      </tp>
      <tp>
        <v>222129</v>
        <stp/>
        <stp>_x0007_/GWMO.L_x000F_VOL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43" s="3"/>
      </tp>
      <tp>
        <v>100000</v>
        <stp/>
        <stp>_x0007_/INME.L_x000F_VOL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11" s="3"/>
      </tp>
      <tp t="s">
        <v>EUR</v>
        <stp/>
        <stp xml:space="preserve">
IRESEUR.Lp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N50" s="3"/>
      </tp>
      <tp>
        <v>1494</v>
        <stp/>
        <stp>_x0007_/DALD.L_x000F_VOL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51" s="3"/>
      </tp>
      <tp>
        <v>11105421</v>
        <stp/>
        <stp>_x0007_/BKIR.L_x000F_VOL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D92" s="3"/>
        <tr r="D58" s="3"/>
        <tr r="E7" s="3"/>
      </tp>
      <tp t="s">
        <v>#N/A *The record could not be found</v>
        <stp/>
        <stp>_x0007_/ANGL.L_x000F_VOL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D59" s="3"/>
        <tr r="D93" s="3"/>
      </tp>
      <tp>
        <v>11690</v>
        <stp/>
        <stp>_x0007_/KYGa.L_x000F_VOL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D67" s="3"/>
        <tr r="E12" s="3"/>
        <tr r="D101" s="3"/>
      </tp>
      <tp t="s">
        <v>#N/A *The record could not be found</v>
        <stp/>
        <stp>_x0007_/PACC.L_x000F_VOL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28" s="3"/>
      </tp>
      <tp t="s">
        <v>#N/A *The record could not be found</v>
        <stp/>
        <stp>_x0007_/ALBK.L_x000F_VOL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D57" s="3"/>
        <tr r="D91" s="3"/>
      </tp>
      <tp>
        <v>0</v>
        <stp/>
        <stp>_x0007_/ABBY.L_x000F_VOL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25" s="3"/>
      </tp>
      <tp>
        <v>396693</v>
        <stp/>
        <stp>_x0007_/AMYT.L_x000F_VOL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44" s="3"/>
      </tp>
      <tp t="s">
        <v>#N/A *The record could not be found</v>
        <stp/>
        <stp>_x0007_/INWS.L_x000F_VOL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D98" s="3"/>
        <tr r="D64" s="3"/>
      </tp>
      <tp>
        <v>825</v>
        <stp/>
        <stp>_x0007_/FRST.L_x000F_VOL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38" s="3"/>
      </tp>
      <tp t="s">
        <v>#N/A *The record could not be found</v>
        <stp/>
        <stp>_x0007_/AERL.L_x000F_VOL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6" s="3"/>
      </tp>
      <tp>
        <v>4142</v>
        <stp/>
        <stp>_x0007_/HBRN.L_x000F_VOL ACCUMULATE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E49" s="3"/>
      </tp>
      <tp t="s">
        <v>#N/A *The record could not be found</v>
        <stp/>
        <stp>_x0005_ELN.I_x000D_NUMBER TRADES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stp>
        <tr r="H5" s="2"/>
      </tp>
    </main>
  </volType>
</volTypes>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volatileDependencies" Target="volatileDependencies.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seasip001\reuters\Reuters\Spreadsheets\Bid_Offer\Test\Bid_Offer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seasip001\reuters\Reuters\Spreadsheets\Bid_Offer\Final_Backu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 val="Bid_Offer"/>
    </sheetNames>
    <sheetDataSet>
      <sheetData sheetId="0" refreshError="1"/>
      <sheetData sheetId="1" refreshError="1"/>
      <sheetData sheetId="2">
        <row r="1">
          <cell r="D1" t="str">
            <v>ISIN</v>
          </cell>
          <cell r="E1" t="str">
            <v>INSTRUMENT_ID</v>
          </cell>
          <cell r="F1" t="str">
            <v>SETS_Bid_Euro</v>
          </cell>
          <cell r="G1" t="str">
            <v>LSE SETS Bid (€)</v>
          </cell>
          <cell r="H1" t="str">
            <v>SETS_Offer_Euro</v>
          </cell>
          <cell r="I1" t="str">
            <v>LSE SETS Offer (€)</v>
          </cell>
          <cell r="J1" t="str">
            <v>ISE_BID</v>
          </cell>
          <cell r="K1" t="str">
            <v>ISE_Offer</v>
          </cell>
          <cell r="L1" t="str">
            <v>LSE SETS Bid (£ or €)</v>
          </cell>
          <cell r="M1" t="str">
            <v>LSE SETS Offer (£ or €)</v>
          </cell>
          <cell r="N1" t="str">
            <v>SETS_Currency</v>
          </cell>
        </row>
        <row r="2">
          <cell r="D2" t="str">
            <v>GB0001500809</v>
          </cell>
          <cell r="E2">
            <v>10674</v>
          </cell>
          <cell r="F2">
            <v>6.4891200000000007</v>
          </cell>
          <cell r="G2">
            <v>6.4891200000000007</v>
          </cell>
          <cell r="H2">
            <v>6.5102399999999996</v>
          </cell>
          <cell r="I2">
            <v>6.5102399999999996</v>
          </cell>
          <cell r="J2">
            <v>6.29</v>
          </cell>
          <cell r="K2">
            <v>6.6639999999999988</v>
          </cell>
          <cell r="L2">
            <v>614.5</v>
          </cell>
          <cell r="M2">
            <v>616.5</v>
          </cell>
          <cell r="N2" t="str">
            <v>GBp</v>
          </cell>
        </row>
        <row r="3">
          <cell r="D3" t="str">
            <v>GB0002374006</v>
          </cell>
          <cell r="E3">
            <v>525</v>
          </cell>
          <cell r="F3">
            <v>9.9950399999999995</v>
          </cell>
          <cell r="G3">
            <v>9.9950399999999995</v>
          </cell>
          <cell r="H3">
            <v>10.005600000000001</v>
          </cell>
          <cell r="I3">
            <v>10.005600000000001</v>
          </cell>
          <cell r="J3">
            <v>0</v>
          </cell>
          <cell r="K3">
            <v>0</v>
          </cell>
          <cell r="L3">
            <v>946.5</v>
          </cell>
          <cell r="M3">
            <v>947.5</v>
          </cell>
          <cell r="N3" t="str">
            <v>GBp</v>
          </cell>
        </row>
        <row r="4">
          <cell r="D4" t="str">
            <v>GB0006152002</v>
          </cell>
          <cell r="E4">
            <v>616</v>
          </cell>
          <cell r="F4">
            <v>4.4563199999999998</v>
          </cell>
          <cell r="G4">
            <v>4.4563199999999998</v>
          </cell>
          <cell r="H4">
            <v>4.6147200000000002</v>
          </cell>
          <cell r="I4">
            <v>4.6147200000000002</v>
          </cell>
          <cell r="J4">
            <v>0</v>
          </cell>
          <cell r="K4">
            <v>0</v>
          </cell>
          <cell r="L4">
            <v>422</v>
          </cell>
          <cell r="M4">
            <v>437</v>
          </cell>
          <cell r="N4" t="str">
            <v>GBp</v>
          </cell>
        </row>
        <row r="5">
          <cell r="D5" t="str">
            <v>GB0008847096</v>
          </cell>
          <cell r="E5">
            <v>605</v>
          </cell>
          <cell r="F5">
            <v>3.6210239999999998</v>
          </cell>
          <cell r="G5">
            <v>3.6210239999999998</v>
          </cell>
          <cell r="H5">
            <v>3.6231360000000006</v>
          </cell>
          <cell r="I5">
            <v>3.6231360000000006</v>
          </cell>
          <cell r="J5">
            <v>0</v>
          </cell>
          <cell r="K5">
            <v>0</v>
          </cell>
          <cell r="L5">
            <v>342.9</v>
          </cell>
          <cell r="M5">
            <v>343.1</v>
          </cell>
          <cell r="N5" t="str">
            <v>GBp</v>
          </cell>
        </row>
        <row r="6">
          <cell r="D6" t="str">
            <v>GB0031477770</v>
          </cell>
          <cell r="E6">
            <v>52249</v>
          </cell>
          <cell r="F6">
            <v>1.39392</v>
          </cell>
          <cell r="G6">
            <v>1.39392</v>
          </cell>
          <cell r="H6">
            <v>1.4783999999999999</v>
          </cell>
          <cell r="I6">
            <v>1.4783999999999999</v>
          </cell>
          <cell r="J6">
            <v>1.43</v>
          </cell>
          <cell r="K6">
            <v>1.55</v>
          </cell>
          <cell r="L6">
            <v>132</v>
          </cell>
          <cell r="M6">
            <v>140</v>
          </cell>
          <cell r="N6" t="str">
            <v>GBp</v>
          </cell>
        </row>
        <row r="7">
          <cell r="D7" t="str">
            <v>GB0034353531</v>
          </cell>
          <cell r="E7">
            <v>28784</v>
          </cell>
          <cell r="F7">
            <v>6.336E-2</v>
          </cell>
          <cell r="G7">
            <v>6.336E-2</v>
          </cell>
          <cell r="H7">
            <v>0.1056</v>
          </cell>
          <cell r="I7">
            <v>0.1056</v>
          </cell>
          <cell r="J7">
            <v>0</v>
          </cell>
          <cell r="K7">
            <v>0</v>
          </cell>
          <cell r="L7">
            <v>6</v>
          </cell>
          <cell r="M7">
            <v>10</v>
          </cell>
          <cell r="N7" t="str">
            <v>GBp</v>
          </cell>
        </row>
        <row r="8">
          <cell r="D8" t="str">
            <v>GB00B244WQ16</v>
          </cell>
          <cell r="E8">
            <v>57115</v>
          </cell>
          <cell r="F8">
            <v>1.056</v>
          </cell>
          <cell r="G8">
            <v>1.056</v>
          </cell>
          <cell r="H8">
            <v>1.05864</v>
          </cell>
          <cell r="I8">
            <v>1.05864</v>
          </cell>
          <cell r="J8">
            <v>1.05</v>
          </cell>
          <cell r="K8">
            <v>1.1500000000000001</v>
          </cell>
          <cell r="L8">
            <v>100</v>
          </cell>
          <cell r="M8">
            <v>100.25</v>
          </cell>
          <cell r="N8" t="str">
            <v>GBp</v>
          </cell>
        </row>
        <row r="9">
          <cell r="D9" t="str">
            <v>IE0000020408</v>
          </cell>
          <cell r="E9">
            <v>500</v>
          </cell>
          <cell r="F9">
            <v>2.8512</v>
          </cell>
          <cell r="G9">
            <v>2.8512</v>
          </cell>
          <cell r="H9">
            <v>3.13632</v>
          </cell>
          <cell r="I9">
            <v>3.13632</v>
          </cell>
          <cell r="J9">
            <v>3.2</v>
          </cell>
          <cell r="K9">
            <v>3.4499999999999997</v>
          </cell>
          <cell r="L9">
            <v>270</v>
          </cell>
          <cell r="M9">
            <v>297</v>
          </cell>
          <cell r="N9" t="str">
            <v>GBp</v>
          </cell>
        </row>
        <row r="10">
          <cell r="D10" t="str">
            <v>IE0000197834</v>
          </cell>
          <cell r="E10">
            <v>502</v>
          </cell>
          <cell r="F10">
            <v>1.6875</v>
          </cell>
          <cell r="G10">
            <v>1.7819999999999999E-2</v>
          </cell>
          <cell r="H10">
            <v>1.6975</v>
          </cell>
          <cell r="I10">
            <v>1.79256E-2</v>
          </cell>
          <cell r="J10">
            <v>1.6820000000000002</v>
          </cell>
          <cell r="K10">
            <v>1.7</v>
          </cell>
          <cell r="L10">
            <v>1.6875</v>
          </cell>
          <cell r="M10">
            <v>1.6975</v>
          </cell>
          <cell r="N10" t="str">
            <v>EUR</v>
          </cell>
        </row>
        <row r="11">
          <cell r="D11" t="str">
            <v>IE0000590798</v>
          </cell>
          <cell r="E11">
            <v>527</v>
          </cell>
          <cell r="F11">
            <v>1.4652000000000001</v>
          </cell>
          <cell r="G11">
            <v>1.4652000000000001</v>
          </cell>
          <cell r="H11">
            <v>1.5312000000000001</v>
          </cell>
          <cell r="I11">
            <v>1.5312000000000001</v>
          </cell>
          <cell r="J11">
            <v>1.462</v>
          </cell>
          <cell r="K11">
            <v>1.51</v>
          </cell>
          <cell r="L11">
            <v>138.75</v>
          </cell>
          <cell r="M11">
            <v>145</v>
          </cell>
          <cell r="N11" t="str">
            <v>GBp</v>
          </cell>
        </row>
        <row r="12">
          <cell r="D12" t="str">
            <v>IE0000669501</v>
          </cell>
          <cell r="E12">
            <v>543</v>
          </cell>
          <cell r="F12">
            <v>2.0275000000000003</v>
          </cell>
          <cell r="G12">
            <v>2.1410400000000003E-2</v>
          </cell>
          <cell r="H12">
            <v>2.1524999999999999</v>
          </cell>
          <cell r="I12">
            <v>2.2730399999999998E-2</v>
          </cell>
          <cell r="J12">
            <v>2.0099999999999998</v>
          </cell>
          <cell r="K12">
            <v>2.0749999999999997</v>
          </cell>
          <cell r="L12">
            <v>2.0275000000000003</v>
          </cell>
          <cell r="M12">
            <v>2.1524999999999999</v>
          </cell>
          <cell r="N12" t="str">
            <v>EUR</v>
          </cell>
        </row>
        <row r="13">
          <cell r="D13" t="str">
            <v>IE0001390784</v>
          </cell>
          <cell r="E13">
            <v>593</v>
          </cell>
          <cell r="F13">
            <v>2.5871999999999996E-2</v>
          </cell>
          <cell r="G13">
            <v>2.5871999999999996E-2</v>
          </cell>
          <cell r="H13">
            <v>2.904E-2</v>
          </cell>
          <cell r="I13">
            <v>2.904E-2</v>
          </cell>
          <cell r="J13">
            <v>2.5000000000000001E-2</v>
          </cell>
          <cell r="K13">
            <v>3.3000000000000002E-2</v>
          </cell>
          <cell r="L13">
            <v>2.4499999999999997</v>
          </cell>
          <cell r="M13">
            <v>2.75</v>
          </cell>
          <cell r="N13" t="str">
            <v>GBp</v>
          </cell>
        </row>
        <row r="14">
          <cell r="D14" t="str">
            <v>IE0001827041</v>
          </cell>
          <cell r="E14">
            <v>517</v>
          </cell>
          <cell r="F14">
            <v>19.09</v>
          </cell>
          <cell r="G14">
            <v>0.2015904</v>
          </cell>
          <cell r="H14">
            <v>19.100000000000001</v>
          </cell>
          <cell r="I14">
            <v>0.20169600000000001</v>
          </cell>
          <cell r="J14">
            <v>19.052</v>
          </cell>
          <cell r="K14">
            <v>19.100000000000001</v>
          </cell>
          <cell r="L14">
            <v>19.09</v>
          </cell>
          <cell r="M14">
            <v>19.100000000000001</v>
          </cell>
          <cell r="N14" t="str">
            <v>EUR</v>
          </cell>
        </row>
        <row r="15">
          <cell r="D15" t="str">
            <v>IE0002242869</v>
          </cell>
          <cell r="E15">
            <v>595</v>
          </cell>
          <cell r="F15">
            <v>7.392E-2</v>
          </cell>
          <cell r="G15">
            <v>7.392E-2</v>
          </cell>
          <cell r="H15">
            <v>7.9199999999999993E-2</v>
          </cell>
          <cell r="I15">
            <v>7.9199999999999993E-2</v>
          </cell>
          <cell r="J15">
            <v>0.08</v>
          </cell>
          <cell r="K15">
            <v>0.09</v>
          </cell>
          <cell r="L15">
            <v>7</v>
          </cell>
          <cell r="M15">
            <v>7.5</v>
          </cell>
          <cell r="N15" t="str">
            <v>GBp</v>
          </cell>
        </row>
        <row r="16">
          <cell r="D16" t="str">
            <v>IE0002325243</v>
          </cell>
          <cell r="E16">
            <v>559</v>
          </cell>
          <cell r="F16">
            <v>0.46464</v>
          </cell>
          <cell r="G16">
            <v>0.46464</v>
          </cell>
          <cell r="H16">
            <v>0.50160000000000005</v>
          </cell>
          <cell r="I16">
            <v>0.50160000000000005</v>
          </cell>
          <cell r="J16">
            <v>0.48300000000000004</v>
          </cell>
          <cell r="K16">
            <v>0.48000000000000004</v>
          </cell>
          <cell r="L16">
            <v>44</v>
          </cell>
          <cell r="M16">
            <v>47.5</v>
          </cell>
          <cell r="N16" t="str">
            <v>GBp</v>
          </cell>
        </row>
        <row r="17">
          <cell r="D17" t="str">
            <v>IE0002424939</v>
          </cell>
          <cell r="E17">
            <v>524</v>
          </cell>
          <cell r="F17">
            <v>10.46</v>
          </cell>
          <cell r="G17">
            <v>0.11045760000000002</v>
          </cell>
          <cell r="H17">
            <v>10.6</v>
          </cell>
          <cell r="I17">
            <v>0.11193599999999999</v>
          </cell>
          <cell r="J17">
            <v>10.450000000000001</v>
          </cell>
          <cell r="K17">
            <v>10.55</v>
          </cell>
          <cell r="L17">
            <v>10.46</v>
          </cell>
          <cell r="M17">
            <v>10.6</v>
          </cell>
          <cell r="N17" t="str">
            <v>EUR</v>
          </cell>
        </row>
        <row r="18">
          <cell r="D18" t="str">
            <v>IE0002588105</v>
          </cell>
          <cell r="E18">
            <v>10676</v>
          </cell>
          <cell r="F18">
            <v>12.49</v>
          </cell>
          <cell r="G18">
            <v>0.13189440000000002</v>
          </cell>
          <cell r="H18">
            <v>12.8</v>
          </cell>
          <cell r="I18">
            <v>0.13516800000000001</v>
          </cell>
          <cell r="J18">
            <v>12.55</v>
          </cell>
          <cell r="K18">
            <v>12.76</v>
          </cell>
          <cell r="L18">
            <v>12.49</v>
          </cell>
          <cell r="M18">
            <v>12.8</v>
          </cell>
          <cell r="N18" t="str">
            <v>EUR</v>
          </cell>
        </row>
        <row r="19">
          <cell r="D19" t="str">
            <v>IE0003072950</v>
          </cell>
          <cell r="E19">
            <v>530</v>
          </cell>
          <cell r="F19">
            <v>4.4375</v>
          </cell>
          <cell r="G19">
            <v>4.6859999999999999E-2</v>
          </cell>
          <cell r="H19">
            <v>4.6174999999999988</v>
          </cell>
          <cell r="I19">
            <v>4.8760799999999993E-2</v>
          </cell>
          <cell r="J19">
            <v>4.5019999999999998</v>
          </cell>
          <cell r="K19">
            <v>4.6239999999999988</v>
          </cell>
          <cell r="L19">
            <v>4.4375</v>
          </cell>
          <cell r="M19">
            <v>4.6174999999999988</v>
          </cell>
          <cell r="N19" t="str">
            <v>EUR</v>
          </cell>
        </row>
        <row r="20">
          <cell r="D20" t="str">
            <v>IE0003073255</v>
          </cell>
          <cell r="E20">
            <v>503</v>
          </cell>
          <cell r="F20">
            <v>6.8640000000000007E-2</v>
          </cell>
          <cell r="G20">
            <v>6.8640000000000007E-2</v>
          </cell>
          <cell r="H20">
            <v>7.2863999999999998E-2</v>
          </cell>
          <cell r="I20">
            <v>7.2863999999999998E-2</v>
          </cell>
          <cell r="J20">
            <v>7.0000000000000007E-2</v>
          </cell>
          <cell r="K20">
            <v>8.7999999999999995E-2</v>
          </cell>
          <cell r="L20">
            <v>6.5</v>
          </cell>
          <cell r="M20">
            <v>6.9</v>
          </cell>
          <cell r="N20" t="str">
            <v>GBp</v>
          </cell>
        </row>
        <row r="21">
          <cell r="D21" t="str">
            <v>IE0003186172</v>
          </cell>
          <cell r="E21">
            <v>40403</v>
          </cell>
          <cell r="F21">
            <v>3.2102400000000003E-2</v>
          </cell>
          <cell r="G21">
            <v>3.2102400000000003E-2</v>
          </cell>
          <cell r="H21">
            <v>3.5375999999999998E-2</v>
          </cell>
          <cell r="I21">
            <v>3.5375999999999998E-2</v>
          </cell>
          <cell r="J21">
            <v>0.03</v>
          </cell>
          <cell r="K21">
            <v>5.6000000000000001E-2</v>
          </cell>
          <cell r="L21">
            <v>3.04</v>
          </cell>
          <cell r="M21">
            <v>3.3499999999999996</v>
          </cell>
          <cell r="N21" t="str">
            <v>GBp</v>
          </cell>
        </row>
        <row r="22">
          <cell r="D22" t="str">
            <v>IE0003290289</v>
          </cell>
          <cell r="E22">
            <v>535</v>
          </cell>
          <cell r="F22">
            <v>0</v>
          </cell>
          <cell r="G22">
            <v>0</v>
          </cell>
          <cell r="H22">
            <v>0</v>
          </cell>
          <cell r="I22">
            <v>0</v>
          </cell>
          <cell r="J22">
            <v>7.46</v>
          </cell>
          <cell r="K22">
            <v>7.6499999999999995</v>
          </cell>
          <cell r="L22">
            <v>0</v>
          </cell>
          <cell r="M22">
            <v>0</v>
          </cell>
          <cell r="N22" t="str">
            <v>EUR</v>
          </cell>
        </row>
        <row r="23">
          <cell r="D23" t="str">
            <v>IE0003295239</v>
          </cell>
          <cell r="E23">
            <v>540</v>
          </cell>
          <cell r="F23">
            <v>0.25608000000000003</v>
          </cell>
          <cell r="G23">
            <v>0.25608000000000003</v>
          </cell>
          <cell r="H23">
            <v>0.26663999999999999</v>
          </cell>
          <cell r="I23">
            <v>0.26663999999999999</v>
          </cell>
          <cell r="J23">
            <v>0.27</v>
          </cell>
          <cell r="K23">
            <v>0.27500000000000002</v>
          </cell>
          <cell r="L23">
            <v>24.25</v>
          </cell>
          <cell r="M23">
            <v>25.25</v>
          </cell>
          <cell r="N23" t="str">
            <v>GBp</v>
          </cell>
        </row>
        <row r="24">
          <cell r="D24" t="str">
            <v>IE0003725383</v>
          </cell>
          <cell r="E24">
            <v>544</v>
          </cell>
          <cell r="F24">
            <v>2.904E-2</v>
          </cell>
          <cell r="G24">
            <v>2.904E-2</v>
          </cell>
          <cell r="H24">
            <v>3.4320000000000003E-2</v>
          </cell>
          <cell r="I24">
            <v>3.4320000000000003E-2</v>
          </cell>
          <cell r="J24">
            <v>2.6000000000000002E-2</v>
          </cell>
          <cell r="K24">
            <v>4.3999999999999997E-2</v>
          </cell>
          <cell r="L24">
            <v>2.75</v>
          </cell>
          <cell r="M24">
            <v>3.25</v>
          </cell>
          <cell r="N24" t="str">
            <v>GBp</v>
          </cell>
        </row>
        <row r="25">
          <cell r="D25" t="str">
            <v>IE0003864109</v>
          </cell>
          <cell r="E25">
            <v>549</v>
          </cell>
          <cell r="F25">
            <v>0.93</v>
          </cell>
          <cell r="G25">
            <v>9.8208000000000011E-3</v>
          </cell>
          <cell r="H25">
            <v>0.95500000000000007</v>
          </cell>
          <cell r="I25">
            <v>1.00848E-2</v>
          </cell>
          <cell r="J25">
            <v>0.94000000000000006</v>
          </cell>
          <cell r="K25">
            <v>0.95600000000000007</v>
          </cell>
          <cell r="L25">
            <v>0.93</v>
          </cell>
          <cell r="M25">
            <v>0.95500000000000007</v>
          </cell>
          <cell r="N25" t="str">
            <v>EUR</v>
          </cell>
        </row>
        <row r="26">
          <cell r="D26" t="str">
            <v>IE0004614818</v>
          </cell>
          <cell r="E26">
            <v>561</v>
          </cell>
          <cell r="F26">
            <v>0.43500000000000005</v>
          </cell>
          <cell r="G26">
            <v>4.5936000000000006E-3</v>
          </cell>
          <cell r="H26">
            <v>0.44750000000000001</v>
          </cell>
          <cell r="I26">
            <v>4.7255999999999999E-3</v>
          </cell>
          <cell r="J26">
            <v>0.443</v>
          </cell>
          <cell r="K26">
            <v>0.44800000000000001</v>
          </cell>
          <cell r="L26">
            <v>0.43500000000000005</v>
          </cell>
          <cell r="M26">
            <v>0.44750000000000001</v>
          </cell>
          <cell r="N26" t="str">
            <v>EUR</v>
          </cell>
        </row>
        <row r="27">
          <cell r="D27" t="str">
            <v>IE0004678656</v>
          </cell>
          <cell r="E27">
            <v>564</v>
          </cell>
          <cell r="F27">
            <v>1.5</v>
          </cell>
          <cell r="G27">
            <v>1.584E-2</v>
          </cell>
          <cell r="H27">
            <v>1.54</v>
          </cell>
          <cell r="I27">
            <v>1.62624E-2</v>
          </cell>
          <cell r="J27">
            <v>1.5</v>
          </cell>
          <cell r="K27">
            <v>1.542</v>
          </cell>
          <cell r="L27">
            <v>1.5</v>
          </cell>
          <cell r="M27">
            <v>1.54</v>
          </cell>
          <cell r="N27" t="str">
            <v>EUR</v>
          </cell>
        </row>
        <row r="28">
          <cell r="D28" t="str">
            <v>IE0004879486</v>
          </cell>
          <cell r="E28">
            <v>571</v>
          </cell>
          <cell r="F28">
            <v>7.6243199999999997E-2</v>
          </cell>
          <cell r="G28">
            <v>7.6243199999999997E-2</v>
          </cell>
          <cell r="H28">
            <v>8.405760000000001E-2</v>
          </cell>
          <cell r="I28">
            <v>8.405760000000001E-2</v>
          </cell>
          <cell r="J28">
            <v>7.0000000000000007E-2</v>
          </cell>
          <cell r="K28">
            <v>0.08</v>
          </cell>
          <cell r="L28">
            <v>7.22</v>
          </cell>
          <cell r="M28">
            <v>7.96</v>
          </cell>
          <cell r="N28" t="str">
            <v>GBp</v>
          </cell>
        </row>
        <row r="29">
          <cell r="D29" t="str">
            <v>IE0004906560</v>
          </cell>
          <cell r="E29">
            <v>572</v>
          </cell>
          <cell r="F29">
            <v>14.09</v>
          </cell>
          <cell r="G29">
            <v>0.14879039999999999</v>
          </cell>
          <cell r="H29">
            <v>14.15</v>
          </cell>
          <cell r="I29">
            <v>0.149424</v>
          </cell>
          <cell r="J29">
            <v>14.052000000000001</v>
          </cell>
          <cell r="K29">
            <v>14.138999999999999</v>
          </cell>
          <cell r="L29">
            <v>14.09</v>
          </cell>
          <cell r="M29">
            <v>14.15</v>
          </cell>
          <cell r="N29" t="str">
            <v>EUR</v>
          </cell>
        </row>
        <row r="30">
          <cell r="D30" t="str">
            <v>IE0004927939</v>
          </cell>
          <cell r="E30">
            <v>573</v>
          </cell>
          <cell r="F30">
            <v>2.86</v>
          </cell>
          <cell r="G30">
            <v>3.0201600000000002E-2</v>
          </cell>
          <cell r="H30">
            <v>2.9549999999999996</v>
          </cell>
          <cell r="I30">
            <v>3.1204799999999998E-2</v>
          </cell>
          <cell r="J30">
            <v>2.8719999999999994</v>
          </cell>
          <cell r="K30">
            <v>2.92</v>
          </cell>
          <cell r="L30">
            <v>2.86</v>
          </cell>
          <cell r="M30">
            <v>2.9549999999999996</v>
          </cell>
          <cell r="N30" t="str">
            <v>EUR</v>
          </cell>
        </row>
        <row r="31">
          <cell r="D31" t="str">
            <v>IE0006627891</v>
          </cell>
          <cell r="E31">
            <v>588</v>
          </cell>
          <cell r="F31">
            <v>3.8016000000000001E-2</v>
          </cell>
          <cell r="G31">
            <v>3.8016000000000001E-2</v>
          </cell>
          <cell r="H31">
            <v>4.4880000000000003E-2</v>
          </cell>
          <cell r="I31">
            <v>4.4880000000000003E-2</v>
          </cell>
          <cell r="J31">
            <v>4.4999999999999998E-2</v>
          </cell>
          <cell r="K31">
            <v>4.9000000000000002E-2</v>
          </cell>
          <cell r="L31">
            <v>3.6</v>
          </cell>
          <cell r="M31">
            <v>4.25</v>
          </cell>
          <cell r="N31" t="str">
            <v>GBp</v>
          </cell>
        </row>
        <row r="32">
          <cell r="D32" t="str">
            <v>IE0006649010</v>
          </cell>
          <cell r="E32">
            <v>589</v>
          </cell>
          <cell r="F32">
            <v>1.848E-2</v>
          </cell>
          <cell r="G32">
            <v>1.848E-2</v>
          </cell>
          <cell r="H32">
            <v>2.3760000000000003E-2</v>
          </cell>
          <cell r="I32">
            <v>2.3760000000000003E-2</v>
          </cell>
          <cell r="J32">
            <v>0.02</v>
          </cell>
          <cell r="K32">
            <v>0.03</v>
          </cell>
          <cell r="L32">
            <v>1.75</v>
          </cell>
          <cell r="M32">
            <v>2.25</v>
          </cell>
          <cell r="N32" t="str">
            <v>GBp</v>
          </cell>
        </row>
        <row r="33">
          <cell r="D33" t="str">
            <v>IE0007172707</v>
          </cell>
          <cell r="E33">
            <v>594</v>
          </cell>
          <cell r="F33">
            <v>0.15839999999999999</v>
          </cell>
          <cell r="G33">
            <v>0.15839999999999999</v>
          </cell>
          <cell r="H33">
            <v>0.2112</v>
          </cell>
          <cell r="I33">
            <v>0.2112</v>
          </cell>
          <cell r="J33">
            <v>0.19</v>
          </cell>
          <cell r="K33">
            <v>0.192</v>
          </cell>
          <cell r="L33">
            <v>15</v>
          </cell>
          <cell r="M33">
            <v>20</v>
          </cell>
          <cell r="N33" t="str">
            <v>GBp</v>
          </cell>
        </row>
        <row r="34">
          <cell r="D34" t="str">
            <v>IE0007214426</v>
          </cell>
          <cell r="E34">
            <v>521</v>
          </cell>
          <cell r="F34">
            <v>0.97680000000000011</v>
          </cell>
          <cell r="G34">
            <v>0.97680000000000011</v>
          </cell>
          <cell r="H34">
            <v>1.056</v>
          </cell>
          <cell r="I34">
            <v>1.056</v>
          </cell>
          <cell r="J34">
            <v>1</v>
          </cell>
          <cell r="K34">
            <v>1.05</v>
          </cell>
          <cell r="L34">
            <v>92.5</v>
          </cell>
          <cell r="M34">
            <v>100</v>
          </cell>
          <cell r="N34" t="str">
            <v>GBp</v>
          </cell>
        </row>
        <row r="35">
          <cell r="D35" t="str">
            <v>IE0030606259</v>
          </cell>
          <cell r="E35">
            <v>11904</v>
          </cell>
          <cell r="F35">
            <v>0.75749999999999995</v>
          </cell>
          <cell r="G35">
            <v>7.9991999999999997E-3</v>
          </cell>
          <cell r="H35">
            <v>0.76500000000000001</v>
          </cell>
          <cell r="I35">
            <v>8.0783999999999995E-3</v>
          </cell>
          <cell r="J35">
            <v>0.752</v>
          </cell>
          <cell r="K35">
            <v>0.76600000000000001</v>
          </cell>
          <cell r="L35">
            <v>0.75749999999999995</v>
          </cell>
          <cell r="M35">
            <v>0.76500000000000001</v>
          </cell>
          <cell r="N35" t="str">
            <v>EUR</v>
          </cell>
        </row>
        <row r="36">
          <cell r="D36" t="str">
            <v>IE0033024807</v>
          </cell>
          <cell r="E36">
            <v>18024</v>
          </cell>
          <cell r="F36">
            <v>2.0908800000000003</v>
          </cell>
          <cell r="G36">
            <v>2.0908800000000003</v>
          </cell>
          <cell r="H36">
            <v>2.1542400000000002</v>
          </cell>
          <cell r="I36">
            <v>2.1542400000000002</v>
          </cell>
          <cell r="J36">
            <v>2.14</v>
          </cell>
          <cell r="K36">
            <v>2.2000000000000002</v>
          </cell>
          <cell r="L36">
            <v>198</v>
          </cell>
          <cell r="M36">
            <v>204</v>
          </cell>
          <cell r="N36" t="str">
            <v>GBp</v>
          </cell>
        </row>
        <row r="37">
          <cell r="D37" t="str">
            <v>IE0033336516</v>
          </cell>
          <cell r="E37">
            <v>18299</v>
          </cell>
          <cell r="F37">
            <v>14.860000000000001</v>
          </cell>
          <cell r="G37">
            <v>0.15692160000000002</v>
          </cell>
          <cell r="H37">
            <v>16.32</v>
          </cell>
          <cell r="I37">
            <v>0.17233920000000003</v>
          </cell>
          <cell r="J37">
            <v>16</v>
          </cell>
          <cell r="K37">
            <v>24</v>
          </cell>
          <cell r="L37">
            <v>14.860000000000001</v>
          </cell>
          <cell r="M37">
            <v>16.32</v>
          </cell>
          <cell r="N37" t="str">
            <v>EUR</v>
          </cell>
        </row>
        <row r="38">
          <cell r="D38" t="str">
            <v>IE00B00MZ448</v>
          </cell>
          <cell r="E38">
            <v>22332</v>
          </cell>
          <cell r="F38">
            <v>2.14</v>
          </cell>
          <cell r="G38">
            <v>2.2598400000000001E-2</v>
          </cell>
          <cell r="H38">
            <v>2.1775000000000002</v>
          </cell>
          <cell r="I38">
            <v>2.2994400000000002E-2</v>
          </cell>
          <cell r="J38">
            <v>2.1119999999999997</v>
          </cell>
          <cell r="K38">
            <v>2.15</v>
          </cell>
          <cell r="L38">
            <v>2.14</v>
          </cell>
          <cell r="M38">
            <v>2.1775000000000002</v>
          </cell>
          <cell r="N38" t="str">
            <v>EUR</v>
          </cell>
        </row>
        <row r="39">
          <cell r="D39" t="str">
            <v>IE00B010DT83</v>
          </cell>
          <cell r="E39">
            <v>22076</v>
          </cell>
          <cell r="F39">
            <v>1.33</v>
          </cell>
          <cell r="G39">
            <v>1.4044800000000001E-2</v>
          </cell>
          <cell r="H39">
            <v>1.365</v>
          </cell>
          <cell r="I39">
            <v>1.4414400000000001E-2</v>
          </cell>
          <cell r="J39">
            <v>1.343</v>
          </cell>
          <cell r="K39">
            <v>1.345</v>
          </cell>
          <cell r="L39">
            <v>1.33</v>
          </cell>
          <cell r="M39">
            <v>1.365</v>
          </cell>
          <cell r="N39" t="str">
            <v>EUR</v>
          </cell>
        </row>
        <row r="40">
          <cell r="D40" t="str">
            <v>IE00B06H8J93</v>
          </cell>
          <cell r="E40">
            <v>28082</v>
          </cell>
          <cell r="F40">
            <v>0.21750000000000003</v>
          </cell>
          <cell r="G40">
            <v>2.2968000000000003E-3</v>
          </cell>
          <cell r="H40">
            <v>0.23</v>
          </cell>
          <cell r="I40">
            <v>2.4288000000000001E-3</v>
          </cell>
          <cell r="J40">
            <v>0.21000000000000002</v>
          </cell>
          <cell r="K40">
            <v>0.22</v>
          </cell>
          <cell r="L40">
            <v>0.21750000000000003</v>
          </cell>
          <cell r="M40">
            <v>0.23</v>
          </cell>
          <cell r="N40" t="str">
            <v>EUR</v>
          </cell>
        </row>
        <row r="41">
          <cell r="D41" t="str">
            <v>IE00B0JT3T79</v>
          </cell>
          <cell r="E41">
            <v>31126</v>
          </cell>
          <cell r="F41">
            <v>0.36959999999999998</v>
          </cell>
          <cell r="G41">
            <v>0.36959999999999998</v>
          </cell>
          <cell r="H41">
            <v>0.43296000000000001</v>
          </cell>
          <cell r="I41">
            <v>0.43296000000000001</v>
          </cell>
          <cell r="J41">
            <v>0.38600000000000001</v>
          </cell>
          <cell r="K41">
            <v>0.41000000000000003</v>
          </cell>
          <cell r="L41">
            <v>35</v>
          </cell>
          <cell r="M41">
            <v>41</v>
          </cell>
          <cell r="N41" t="str">
            <v>GBp</v>
          </cell>
        </row>
        <row r="42">
          <cell r="D42" t="str">
            <v>IE00B0LNHG27</v>
          </cell>
          <cell r="E42">
            <v>32187</v>
          </cell>
          <cell r="F42">
            <v>5.28E-2</v>
          </cell>
          <cell r="G42">
            <v>5.28E-2</v>
          </cell>
          <cell r="H42">
            <v>8.448E-2</v>
          </cell>
          <cell r="I42">
            <v>8.448E-2</v>
          </cell>
          <cell r="J42">
            <v>0.03</v>
          </cell>
          <cell r="K42">
            <v>0.05</v>
          </cell>
          <cell r="L42">
            <v>5</v>
          </cell>
          <cell r="M42">
            <v>8</v>
          </cell>
          <cell r="N42" t="str">
            <v>GBp</v>
          </cell>
        </row>
        <row r="43">
          <cell r="D43" t="str">
            <v>IE00B0Q82B24</v>
          </cell>
          <cell r="E43">
            <v>42193</v>
          </cell>
          <cell r="F43">
            <v>8.448E-2</v>
          </cell>
          <cell r="G43">
            <v>8.448E-2</v>
          </cell>
          <cell r="H43">
            <v>0.1056</v>
          </cell>
          <cell r="I43">
            <v>0.1056</v>
          </cell>
          <cell r="J43">
            <v>9.0999999999999998E-2</v>
          </cell>
          <cell r="K43">
            <v>0.1</v>
          </cell>
          <cell r="L43">
            <v>8</v>
          </cell>
          <cell r="M43">
            <v>10</v>
          </cell>
          <cell r="N43" t="str">
            <v>GBp</v>
          </cell>
        </row>
        <row r="44">
          <cell r="D44" t="str">
            <v>IE00B0YT0Q82</v>
          </cell>
          <cell r="E44">
            <v>35572</v>
          </cell>
          <cell r="F44">
            <v>0.2112</v>
          </cell>
          <cell r="G44">
            <v>0.2112</v>
          </cell>
          <cell r="H44">
            <v>0.31679999999999997</v>
          </cell>
          <cell r="I44">
            <v>0.31679999999999997</v>
          </cell>
          <cell r="J44">
            <v>0.23200000000000001</v>
          </cell>
          <cell r="K44">
            <v>0.23500000000000001</v>
          </cell>
          <cell r="L44">
            <v>20</v>
          </cell>
          <cell r="M44">
            <v>30</v>
          </cell>
          <cell r="N44" t="str">
            <v>GBp</v>
          </cell>
        </row>
        <row r="45">
          <cell r="D45" t="str">
            <v>IE00B134XK63</v>
          </cell>
          <cell r="E45">
            <v>37320</v>
          </cell>
          <cell r="F45">
            <v>4.7520000000000007E-2</v>
          </cell>
          <cell r="G45">
            <v>4.7520000000000007E-2</v>
          </cell>
          <cell r="H45">
            <v>6.336E-2</v>
          </cell>
          <cell r="I45">
            <v>6.336E-2</v>
          </cell>
          <cell r="J45">
            <v>0.05</v>
          </cell>
          <cell r="K45">
            <v>0.06</v>
          </cell>
          <cell r="L45">
            <v>4.5</v>
          </cell>
          <cell r="M45">
            <v>6</v>
          </cell>
          <cell r="N45" t="str">
            <v>GBp</v>
          </cell>
        </row>
        <row r="46">
          <cell r="D46" t="str">
            <v>IE00B16PV578</v>
          </cell>
          <cell r="E46">
            <v>39043</v>
          </cell>
          <cell r="F46">
            <v>0.68112000000000006</v>
          </cell>
          <cell r="G46">
            <v>0.68112000000000006</v>
          </cell>
          <cell r="H46">
            <v>0.76032000000000011</v>
          </cell>
          <cell r="I46">
            <v>0.76032000000000011</v>
          </cell>
          <cell r="J46">
            <v>0.626</v>
          </cell>
          <cell r="K46">
            <v>0.67999999999999994</v>
          </cell>
          <cell r="L46">
            <v>64.5</v>
          </cell>
          <cell r="M46">
            <v>72</v>
          </cell>
          <cell r="N46" t="str">
            <v>GBp</v>
          </cell>
        </row>
        <row r="47">
          <cell r="D47" t="str">
            <v>IE00B1CMPN86</v>
          </cell>
          <cell r="E47">
            <v>41372</v>
          </cell>
          <cell r="F47">
            <v>1.42</v>
          </cell>
          <cell r="G47">
            <v>1.49952E-2</v>
          </cell>
          <cell r="H47">
            <v>1.4649999999999999</v>
          </cell>
          <cell r="I47">
            <v>1.54704E-2</v>
          </cell>
          <cell r="J47">
            <v>1.42</v>
          </cell>
          <cell r="K47">
            <v>1.45</v>
          </cell>
          <cell r="L47">
            <v>1.42</v>
          </cell>
          <cell r="M47">
            <v>1.4649999999999999</v>
          </cell>
          <cell r="N47" t="str">
            <v>EUR</v>
          </cell>
        </row>
        <row r="48">
          <cell r="D48" t="str">
            <v>IE00B1FWGK93</v>
          </cell>
          <cell r="E48">
            <v>43592</v>
          </cell>
          <cell r="F48">
            <v>7.392E-2</v>
          </cell>
          <cell r="G48">
            <v>7.392E-2</v>
          </cell>
          <cell r="H48">
            <v>0.12672</v>
          </cell>
          <cell r="I48">
            <v>0.12672</v>
          </cell>
          <cell r="J48">
            <v>0.1</v>
          </cell>
          <cell r="K48">
            <v>0.11</v>
          </cell>
          <cell r="L48">
            <v>7</v>
          </cell>
          <cell r="M48">
            <v>12</v>
          </cell>
          <cell r="N48" t="str">
            <v>GBp</v>
          </cell>
        </row>
        <row r="49">
          <cell r="D49" t="str">
            <v>IE00B1G17W46</v>
          </cell>
          <cell r="E49">
            <v>47592</v>
          </cell>
          <cell r="F49">
            <v>0.12144000000000001</v>
          </cell>
          <cell r="G49">
            <v>0.12144000000000001</v>
          </cell>
          <cell r="H49">
            <v>0.12672</v>
          </cell>
          <cell r="I49">
            <v>0.12672</v>
          </cell>
          <cell r="J49">
            <v>0.125</v>
          </cell>
          <cell r="K49">
            <v>0.17</v>
          </cell>
          <cell r="L49">
            <v>11.5</v>
          </cell>
          <cell r="M49">
            <v>12</v>
          </cell>
          <cell r="N49" t="str">
            <v>GBp</v>
          </cell>
        </row>
        <row r="50">
          <cell r="D50" t="str">
            <v>IE00B1GKF381</v>
          </cell>
          <cell r="E50">
            <v>47628</v>
          </cell>
          <cell r="F50">
            <v>3.0724999999999998</v>
          </cell>
          <cell r="G50">
            <v>3.2445599999999998E-2</v>
          </cell>
          <cell r="H50">
            <v>3.08</v>
          </cell>
          <cell r="I50">
            <v>3.25248E-2</v>
          </cell>
          <cell r="J50">
            <v>3.0640000000000001</v>
          </cell>
          <cell r="K50">
            <v>3.0859999999999999</v>
          </cell>
          <cell r="L50">
            <v>3.0724999999999998</v>
          </cell>
          <cell r="M50">
            <v>3.08</v>
          </cell>
          <cell r="N50" t="str">
            <v>EUR</v>
          </cell>
        </row>
        <row r="51">
          <cell r="D51" t="str">
            <v>IE00B1HDWM43</v>
          </cell>
          <cell r="E51">
            <v>45350</v>
          </cell>
          <cell r="F51">
            <v>0.23496000000000003</v>
          </cell>
          <cell r="G51">
            <v>0.23496000000000003</v>
          </cell>
          <cell r="H51">
            <v>0.26400000000000001</v>
          </cell>
          <cell r="I51">
            <v>0.26400000000000001</v>
          </cell>
          <cell r="J51">
            <v>0.24200000000000002</v>
          </cell>
          <cell r="K51">
            <v>0.26800000000000002</v>
          </cell>
          <cell r="L51">
            <v>22.25</v>
          </cell>
          <cell r="M51">
            <v>25</v>
          </cell>
          <cell r="N51" t="str">
            <v>GBp</v>
          </cell>
        </row>
        <row r="52">
          <cell r="D52" t="str">
            <v>IE00B1RR8406</v>
          </cell>
          <cell r="E52">
            <v>48474</v>
          </cell>
          <cell r="F52">
            <v>1.57</v>
          </cell>
          <cell r="G52">
            <v>1.6579200000000002E-2</v>
          </cell>
          <cell r="H52">
            <v>1.6</v>
          </cell>
          <cell r="I52">
            <v>1.6896000000000001E-2</v>
          </cell>
          <cell r="J52">
            <v>1.56</v>
          </cell>
          <cell r="K52">
            <v>1.6</v>
          </cell>
          <cell r="L52">
            <v>1.57</v>
          </cell>
          <cell r="M52">
            <v>1.6</v>
          </cell>
          <cell r="N52" t="str">
            <v>EUR</v>
          </cell>
        </row>
        <row r="53">
          <cell r="D53" t="str">
            <v>IE00B1W38B04</v>
          </cell>
          <cell r="E53">
            <v>52154</v>
          </cell>
          <cell r="F53">
            <v>0.16368000000000002</v>
          </cell>
          <cell r="G53">
            <v>0.16368000000000002</v>
          </cell>
          <cell r="H53">
            <v>0.17952000000000001</v>
          </cell>
          <cell r="I53">
            <v>0.17952000000000001</v>
          </cell>
          <cell r="J53">
            <v>0.15700000000000003</v>
          </cell>
          <cell r="K53">
            <v>0.16500000000000001</v>
          </cell>
          <cell r="L53">
            <v>15.5</v>
          </cell>
          <cell r="M53">
            <v>17</v>
          </cell>
          <cell r="N53" t="str">
            <v>GBp</v>
          </cell>
        </row>
        <row r="54">
          <cell r="D54" t="str">
            <v>IE00B1W7FK04</v>
          </cell>
          <cell r="E54">
            <v>51167</v>
          </cell>
          <cell r="F54">
            <v>9.5040000000000013E-2</v>
          </cell>
          <cell r="G54">
            <v>9.5040000000000013E-2</v>
          </cell>
          <cell r="H54">
            <v>0.15839999999999999</v>
          </cell>
          <cell r="I54">
            <v>0.15839999999999999</v>
          </cell>
          <cell r="J54">
            <v>0.11</v>
          </cell>
          <cell r="K54">
            <v>0.13</v>
          </cell>
          <cell r="L54">
            <v>9</v>
          </cell>
          <cell r="M54">
            <v>15</v>
          </cell>
          <cell r="N54" t="str">
            <v>GBp</v>
          </cell>
        </row>
        <row r="55">
          <cell r="D55" t="str">
            <v>IE00B1WV4493</v>
          </cell>
          <cell r="E55">
            <v>51836</v>
          </cell>
          <cell r="F55">
            <v>1.55</v>
          </cell>
          <cell r="G55">
            <v>1.6368000000000001E-2</v>
          </cell>
          <cell r="H55">
            <v>1.85</v>
          </cell>
          <cell r="I55">
            <v>1.9536000000000001E-2</v>
          </cell>
          <cell r="J55">
            <v>1.54</v>
          </cell>
          <cell r="K55">
            <v>1.6300000000000001</v>
          </cell>
          <cell r="L55">
            <v>1.55</v>
          </cell>
          <cell r="M55">
            <v>1.85</v>
          </cell>
          <cell r="N55" t="str">
            <v>EUR</v>
          </cell>
        </row>
        <row r="56">
          <cell r="D56" t="str">
            <v>IE00B1Z90V93</v>
          </cell>
          <cell r="E56">
            <v>54118</v>
          </cell>
          <cell r="F56">
            <v>0.40128000000000003</v>
          </cell>
          <cell r="G56">
            <v>0.40128000000000003</v>
          </cell>
          <cell r="H56">
            <v>0.47520000000000001</v>
          </cell>
          <cell r="I56">
            <v>0.47520000000000001</v>
          </cell>
          <cell r="J56">
            <v>0.44</v>
          </cell>
          <cell r="K56">
            <v>0.45</v>
          </cell>
          <cell r="L56">
            <v>38</v>
          </cell>
          <cell r="M56">
            <v>45</v>
          </cell>
          <cell r="N56" t="str">
            <v>GBp</v>
          </cell>
        </row>
        <row r="57">
          <cell r="D57" t="str">
            <v>IE00B1Z9ZG98</v>
          </cell>
          <cell r="E57">
            <v>56127</v>
          </cell>
          <cell r="F57">
            <v>0.15839999999999999</v>
          </cell>
          <cell r="G57">
            <v>0.15839999999999999</v>
          </cell>
          <cell r="H57">
            <v>0.23232</v>
          </cell>
          <cell r="I57">
            <v>0.23232</v>
          </cell>
          <cell r="J57">
            <v>0.191</v>
          </cell>
          <cell r="K57">
            <v>0.21000000000000002</v>
          </cell>
          <cell r="L57">
            <v>15</v>
          </cell>
          <cell r="M57">
            <v>22</v>
          </cell>
          <cell r="N57" t="str">
            <v>GBp</v>
          </cell>
        </row>
        <row r="58">
          <cell r="D58" t="str">
            <v>IE00B2357Y89</v>
          </cell>
          <cell r="E58">
            <v>62947</v>
          </cell>
          <cell r="F58">
            <v>0.54912000000000005</v>
          </cell>
          <cell r="G58">
            <v>0.54912000000000005</v>
          </cell>
          <cell r="H58">
            <v>0.57023999999999997</v>
          </cell>
          <cell r="I58">
            <v>0.57023999999999997</v>
          </cell>
          <cell r="J58">
            <v>0.55000000000000004</v>
          </cell>
          <cell r="K58">
            <v>0.59</v>
          </cell>
          <cell r="L58">
            <v>52</v>
          </cell>
          <cell r="M58">
            <v>54</v>
          </cell>
          <cell r="N58" t="str">
            <v>GBp</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d_Offer"/>
      <sheetName val="Sheet1"/>
      <sheetName val="Sheet2"/>
      <sheetName val="Sheet3"/>
    </sheetNames>
    <sheetDataSet>
      <sheetData sheetId="0">
        <row r="1">
          <cell r="D1" t="str">
            <v>ISIN</v>
          </cell>
          <cell r="E1" t="str">
            <v>INSTRUMENT_ID</v>
          </cell>
          <cell r="F1" t="str">
            <v>SETS_Bid_Euro</v>
          </cell>
          <cell r="G1" t="str">
            <v>LSE SETS Bid (€)</v>
          </cell>
          <cell r="H1" t="str">
            <v>SETS_Offer_Euro</v>
          </cell>
          <cell r="I1" t="str">
            <v>LSE SETS Offer (€)</v>
          </cell>
          <cell r="J1" t="str">
            <v>ISE_BID</v>
          </cell>
          <cell r="K1" t="str">
            <v>ISE_Offer</v>
          </cell>
          <cell r="L1" t="str">
            <v>LSE SETS Bid (£ or €)</v>
          </cell>
          <cell r="M1" t="str">
            <v>LSE SETS Offer (£ or €)</v>
          </cell>
          <cell r="N1" t="str">
            <v>SETS_Currency</v>
          </cell>
        </row>
        <row r="2">
          <cell r="D2" t="str">
            <v>GB0001500809</v>
          </cell>
          <cell r="E2">
            <v>10674</v>
          </cell>
          <cell r="F2">
            <v>9.6684985000000001</v>
          </cell>
          <cell r="G2">
            <v>9.6684985000000001</v>
          </cell>
          <cell r="H2">
            <v>9.6747889999999988</v>
          </cell>
          <cell r="I2">
            <v>9.6747889999999988</v>
          </cell>
          <cell r="J2">
            <v>9.44</v>
          </cell>
          <cell r="K2">
            <v>9.99</v>
          </cell>
          <cell r="L2">
            <v>768.5</v>
          </cell>
          <cell r="M2">
            <v>769</v>
          </cell>
          <cell r="N2" t="str">
            <v>GBp</v>
          </cell>
        </row>
        <row r="3">
          <cell r="D3" t="str">
            <v>GB0002374006</v>
          </cell>
          <cell r="E3">
            <v>525</v>
          </cell>
          <cell r="F3">
            <v>12.1972795</v>
          </cell>
          <cell r="G3">
            <v>12.1972795</v>
          </cell>
          <cell r="H3">
            <v>12.203569999999999</v>
          </cell>
          <cell r="I3">
            <v>12.203569999999999</v>
          </cell>
          <cell r="J3">
            <v>0</v>
          </cell>
          <cell r="K3">
            <v>0</v>
          </cell>
          <cell r="L3">
            <v>969.5</v>
          </cell>
          <cell r="M3">
            <v>970</v>
          </cell>
          <cell r="N3" t="str">
            <v>GBp</v>
          </cell>
        </row>
        <row r="4">
          <cell r="D4" t="str">
            <v>GB0006152002</v>
          </cell>
          <cell r="E4">
            <v>616</v>
          </cell>
          <cell r="F4">
            <v>7.9637729999999998</v>
          </cell>
          <cell r="G4">
            <v>7.9637729999999998</v>
          </cell>
          <cell r="H4">
            <v>8.114745000000001</v>
          </cell>
          <cell r="I4">
            <v>8.114745000000001</v>
          </cell>
          <cell r="J4">
            <v>0</v>
          </cell>
          <cell r="K4">
            <v>0</v>
          </cell>
          <cell r="L4">
            <v>633</v>
          </cell>
          <cell r="M4">
            <v>645</v>
          </cell>
          <cell r="N4" t="str">
            <v>GBp</v>
          </cell>
        </row>
        <row r="5">
          <cell r="D5" t="str">
            <v>GB0008847096</v>
          </cell>
          <cell r="E5">
            <v>605</v>
          </cell>
          <cell r="F5">
            <v>4.7153588000000006</v>
          </cell>
          <cell r="G5">
            <v>4.7153588000000006</v>
          </cell>
          <cell r="H5">
            <v>4.7229073999999995</v>
          </cell>
          <cell r="I5">
            <v>4.7229073999999995</v>
          </cell>
          <cell r="J5">
            <v>0</v>
          </cell>
          <cell r="K5">
            <v>0</v>
          </cell>
          <cell r="L5">
            <v>374.8</v>
          </cell>
          <cell r="M5">
            <v>375.4</v>
          </cell>
          <cell r="N5" t="str">
            <v>GBp</v>
          </cell>
        </row>
        <row r="6">
          <cell r="D6" t="str">
            <v>GB0031477770</v>
          </cell>
          <cell r="E6">
            <v>52249</v>
          </cell>
          <cell r="F6">
            <v>2.2016749999999998</v>
          </cell>
          <cell r="G6">
            <v>2.2016749999999998</v>
          </cell>
          <cell r="H6">
            <v>2.3274850000000002</v>
          </cell>
          <cell r="I6">
            <v>2.3274850000000002</v>
          </cell>
          <cell r="J6">
            <v>2.1270000000000002</v>
          </cell>
          <cell r="K6">
            <v>2.3169999999999997</v>
          </cell>
          <cell r="L6">
            <v>175</v>
          </cell>
          <cell r="M6">
            <v>185</v>
          </cell>
          <cell r="N6" t="str">
            <v>GBp</v>
          </cell>
        </row>
        <row r="7">
          <cell r="D7" t="str">
            <v>GB0034353531</v>
          </cell>
          <cell r="E7">
            <v>28784</v>
          </cell>
          <cell r="F7">
            <v>0.18871500000000002</v>
          </cell>
          <cell r="G7">
            <v>0.18871500000000002</v>
          </cell>
          <cell r="H7">
            <v>0.25162000000000001</v>
          </cell>
          <cell r="I7">
            <v>0.25162000000000001</v>
          </cell>
          <cell r="J7">
            <v>0</v>
          </cell>
          <cell r="K7">
            <v>0</v>
          </cell>
          <cell r="L7">
            <v>15</v>
          </cell>
          <cell r="M7">
            <v>20</v>
          </cell>
          <cell r="N7" t="str">
            <v>GBp</v>
          </cell>
        </row>
        <row r="8">
          <cell r="D8" t="str">
            <v>GB00B043J741</v>
          </cell>
          <cell r="E8">
            <v>53864</v>
          </cell>
          <cell r="F8">
            <v>0.86179850000000002</v>
          </cell>
          <cell r="G8">
            <v>0.86179850000000002</v>
          </cell>
          <cell r="H8">
            <v>0.90583200000000008</v>
          </cell>
          <cell r="I8">
            <v>0.90583200000000008</v>
          </cell>
          <cell r="J8">
            <v>0</v>
          </cell>
          <cell r="K8">
            <v>0</v>
          </cell>
          <cell r="L8">
            <v>68.5</v>
          </cell>
          <cell r="M8">
            <v>72</v>
          </cell>
          <cell r="N8" t="str">
            <v>GBp</v>
          </cell>
        </row>
        <row r="9">
          <cell r="D9" t="str">
            <v>GB00B244WQ16</v>
          </cell>
          <cell r="E9">
            <v>57115</v>
          </cell>
          <cell r="F9">
            <v>1.73932325</v>
          </cell>
          <cell r="G9">
            <v>1.73932325</v>
          </cell>
          <cell r="H9">
            <v>1.7550495000000002</v>
          </cell>
          <cell r="I9">
            <v>1.7550495000000002</v>
          </cell>
          <cell r="J9">
            <v>1.75</v>
          </cell>
          <cell r="K9">
            <v>1.95</v>
          </cell>
          <cell r="L9">
            <v>138.25</v>
          </cell>
          <cell r="M9">
            <v>139.5</v>
          </cell>
          <cell r="N9" t="str">
            <v>GBp</v>
          </cell>
        </row>
        <row r="10">
          <cell r="D10" t="str">
            <v>GB00B2QTYX55</v>
          </cell>
          <cell r="E10">
            <v>63054</v>
          </cell>
          <cell r="F10">
            <v>1.38391</v>
          </cell>
          <cell r="G10">
            <v>1.38391</v>
          </cell>
          <cell r="H10">
            <v>1.560044</v>
          </cell>
          <cell r="I10">
            <v>1.560044</v>
          </cell>
          <cell r="J10">
            <v>1.3900000000000001</v>
          </cell>
          <cell r="K10">
            <v>1.52</v>
          </cell>
          <cell r="L10">
            <v>110</v>
          </cell>
          <cell r="M10">
            <v>124</v>
          </cell>
          <cell r="N10" t="str">
            <v>GBp</v>
          </cell>
        </row>
        <row r="11">
          <cell r="D11" t="str">
            <v>IE0000020408</v>
          </cell>
          <cell r="E11">
            <v>500</v>
          </cell>
          <cell r="F11">
            <v>3.4755012499999998</v>
          </cell>
          <cell r="G11">
            <v>3.4755012499999998</v>
          </cell>
          <cell r="H11">
            <v>3.963015</v>
          </cell>
          <cell r="I11">
            <v>3.963015</v>
          </cell>
          <cell r="J11">
            <v>3.6</v>
          </cell>
          <cell r="K11">
            <v>3.9</v>
          </cell>
          <cell r="L11">
            <v>276.25</v>
          </cell>
          <cell r="M11">
            <v>315</v>
          </cell>
          <cell r="N11" t="str">
            <v>GBp</v>
          </cell>
        </row>
        <row r="12">
          <cell r="D12" t="str">
            <v>IE0000197834</v>
          </cell>
          <cell r="E12">
            <v>502</v>
          </cell>
          <cell r="F12">
            <v>7.9450000000000003</v>
          </cell>
          <cell r="G12">
            <v>9.9956045000000007E-2</v>
          </cell>
          <cell r="H12">
            <v>7.9700000000000006</v>
          </cell>
          <cell r="I12">
            <v>0.10027057</v>
          </cell>
          <cell r="J12">
            <v>7.95</v>
          </cell>
          <cell r="K12">
            <v>7.96</v>
          </cell>
          <cell r="L12">
            <v>7.9450000000000003</v>
          </cell>
          <cell r="M12">
            <v>7.9700000000000006</v>
          </cell>
          <cell r="N12" t="str">
            <v>EUR</v>
          </cell>
        </row>
        <row r="13">
          <cell r="D13" t="str">
            <v>IE0000590798</v>
          </cell>
          <cell r="E13">
            <v>527</v>
          </cell>
          <cell r="F13">
            <v>4.0982607499999997</v>
          </cell>
          <cell r="G13">
            <v>4.0982607499999997</v>
          </cell>
          <cell r="H13">
            <v>4.1265679999999998</v>
          </cell>
          <cell r="I13">
            <v>4.1265679999999998</v>
          </cell>
          <cell r="J13">
            <v>4.05</v>
          </cell>
          <cell r="K13">
            <v>4.1179999999999994</v>
          </cell>
          <cell r="L13">
            <v>325.75</v>
          </cell>
          <cell r="M13">
            <v>328</v>
          </cell>
          <cell r="N13" t="str">
            <v>GBp</v>
          </cell>
        </row>
        <row r="14">
          <cell r="D14" t="str">
            <v>IE0000669501</v>
          </cell>
          <cell r="E14">
            <v>543</v>
          </cell>
          <cell r="F14">
            <v>4.45</v>
          </cell>
          <cell r="G14">
            <v>5.5985450000000006E-2</v>
          </cell>
          <cell r="H14">
            <v>4.5999999999999996</v>
          </cell>
          <cell r="I14">
            <v>5.7872599999999996E-2</v>
          </cell>
          <cell r="J14">
            <v>4.45</v>
          </cell>
          <cell r="K14">
            <v>4.5999999999999996</v>
          </cell>
          <cell r="L14">
            <v>4.45</v>
          </cell>
          <cell r="M14">
            <v>4.5999999999999996</v>
          </cell>
          <cell r="N14" t="str">
            <v>EUR</v>
          </cell>
        </row>
        <row r="15">
          <cell r="D15" t="str">
            <v>IE0001390784</v>
          </cell>
          <cell r="E15">
            <v>593</v>
          </cell>
          <cell r="F15">
            <v>9.1212250000000009E-2</v>
          </cell>
          <cell r="G15">
            <v>9.1212250000000009E-2</v>
          </cell>
          <cell r="H15">
            <v>9.4357500000000011E-2</v>
          </cell>
          <cell r="I15">
            <v>9.4357500000000011E-2</v>
          </cell>
          <cell r="J15">
            <v>0.09</v>
          </cell>
          <cell r="K15">
            <v>9.5000000000000001E-2</v>
          </cell>
          <cell r="L15">
            <v>7.25</v>
          </cell>
          <cell r="M15">
            <v>7.5</v>
          </cell>
          <cell r="N15" t="str">
            <v>GBp</v>
          </cell>
        </row>
        <row r="16">
          <cell r="D16" t="str">
            <v>IE0001827041</v>
          </cell>
          <cell r="E16">
            <v>517</v>
          </cell>
          <cell r="F16">
            <v>16.079999999999998</v>
          </cell>
          <cell r="G16">
            <v>0.20230248000000001</v>
          </cell>
          <cell r="H16">
            <v>16.100000000000001</v>
          </cell>
          <cell r="I16">
            <v>0.20255410000000001</v>
          </cell>
          <cell r="J16">
            <v>16.07</v>
          </cell>
          <cell r="K16">
            <v>16.130000000000003</v>
          </cell>
          <cell r="L16">
            <v>16.079999999999998</v>
          </cell>
          <cell r="M16">
            <v>16.100000000000001</v>
          </cell>
          <cell r="N16" t="str">
            <v>EUR</v>
          </cell>
        </row>
        <row r="17">
          <cell r="D17" t="str">
            <v>IE0002242869</v>
          </cell>
          <cell r="E17">
            <v>595</v>
          </cell>
          <cell r="F17">
            <v>9.4357500000000011E-2</v>
          </cell>
          <cell r="G17">
            <v>9.4357500000000011E-2</v>
          </cell>
          <cell r="H17">
            <v>0.10693849999999999</v>
          </cell>
          <cell r="I17">
            <v>0.10693849999999999</v>
          </cell>
          <cell r="J17">
            <v>0.09</v>
          </cell>
          <cell r="K17">
            <v>0.13</v>
          </cell>
          <cell r="L17">
            <v>7.5</v>
          </cell>
          <cell r="M17">
            <v>8.5</v>
          </cell>
          <cell r="N17" t="str">
            <v>GBp</v>
          </cell>
        </row>
        <row r="18">
          <cell r="D18" t="str">
            <v>IE0002325243</v>
          </cell>
          <cell r="E18">
            <v>559</v>
          </cell>
          <cell r="F18">
            <v>1.44996025</v>
          </cell>
          <cell r="G18">
            <v>1.44996025</v>
          </cell>
          <cell r="H18">
            <v>1.5348820000000001</v>
          </cell>
          <cell r="I18">
            <v>1.5348820000000001</v>
          </cell>
          <cell r="J18">
            <v>1.48</v>
          </cell>
          <cell r="K18">
            <v>1.52</v>
          </cell>
          <cell r="L18">
            <v>115.25</v>
          </cell>
          <cell r="M18">
            <v>122</v>
          </cell>
          <cell r="N18" t="str">
            <v>GBp</v>
          </cell>
        </row>
        <row r="19">
          <cell r="D19" t="str">
            <v>IE0002424939</v>
          </cell>
          <cell r="E19">
            <v>524</v>
          </cell>
          <cell r="F19">
            <v>15.860000000000001</v>
          </cell>
          <cell r="G19">
            <v>0.19953466000000003</v>
          </cell>
          <cell r="H19">
            <v>15.89</v>
          </cell>
          <cell r="I19">
            <v>0.19991209000000001</v>
          </cell>
          <cell r="J19">
            <v>15.860000000000001</v>
          </cell>
          <cell r="K19">
            <v>15.99</v>
          </cell>
          <cell r="L19">
            <v>15.860000000000001</v>
          </cell>
          <cell r="M19">
            <v>15.89</v>
          </cell>
          <cell r="N19" t="str">
            <v>EUR</v>
          </cell>
        </row>
        <row r="20">
          <cell r="D20" t="str">
            <v>IE0002588105</v>
          </cell>
          <cell r="E20">
            <v>10676</v>
          </cell>
          <cell r="F20">
            <v>15.79</v>
          </cell>
          <cell r="G20">
            <v>0.19865399</v>
          </cell>
          <cell r="H20">
            <v>16</v>
          </cell>
          <cell r="I20">
            <v>0.201296</v>
          </cell>
          <cell r="J20">
            <v>15.850000000000001</v>
          </cell>
          <cell r="K20">
            <v>15.997999999999999</v>
          </cell>
          <cell r="L20">
            <v>15.79</v>
          </cell>
          <cell r="M20">
            <v>16</v>
          </cell>
          <cell r="N20" t="str">
            <v>EUR</v>
          </cell>
        </row>
        <row r="21">
          <cell r="D21" t="str">
            <v>IE0003072950</v>
          </cell>
          <cell r="E21">
            <v>530</v>
          </cell>
          <cell r="F21">
            <v>10.09</v>
          </cell>
          <cell r="G21">
            <v>0.12694229000000001</v>
          </cell>
          <cell r="H21">
            <v>10.129999999999999</v>
          </cell>
          <cell r="I21">
            <v>0.12744552999999997</v>
          </cell>
          <cell r="J21">
            <v>10.074</v>
          </cell>
          <cell r="K21">
            <v>10.148999999999999</v>
          </cell>
          <cell r="L21">
            <v>10.09</v>
          </cell>
          <cell r="M21">
            <v>10.129999999999999</v>
          </cell>
          <cell r="N21" t="str">
            <v>EUR</v>
          </cell>
        </row>
        <row r="22">
          <cell r="D22" t="str">
            <v>IE0003073255</v>
          </cell>
          <cell r="E22">
            <v>503</v>
          </cell>
          <cell r="F22">
            <v>0.24847474999999999</v>
          </cell>
          <cell r="G22">
            <v>0.24847474999999999</v>
          </cell>
          <cell r="H22">
            <v>0.25162000000000001</v>
          </cell>
          <cell r="I22">
            <v>0.25162000000000001</v>
          </cell>
          <cell r="J22">
            <v>0.22500000000000001</v>
          </cell>
          <cell r="K22">
            <v>0.27</v>
          </cell>
          <cell r="L22">
            <v>19.75</v>
          </cell>
          <cell r="M22">
            <v>20</v>
          </cell>
          <cell r="N22" t="str">
            <v>GBp</v>
          </cell>
        </row>
        <row r="23">
          <cell r="D23" t="str">
            <v>IE0003186172</v>
          </cell>
          <cell r="E23">
            <v>40403</v>
          </cell>
          <cell r="F23">
            <v>7.9260300000000006E-2</v>
          </cell>
          <cell r="G23">
            <v>7.9260300000000006E-2</v>
          </cell>
          <cell r="H23">
            <v>8.1776500000000002E-2</v>
          </cell>
          <cell r="I23">
            <v>8.1776500000000002E-2</v>
          </cell>
          <cell r="J23">
            <v>0.08</v>
          </cell>
          <cell r="K23">
            <v>0.10300000000000001</v>
          </cell>
          <cell r="L23">
            <v>6.3</v>
          </cell>
          <cell r="M23">
            <v>6.5</v>
          </cell>
          <cell r="N23" t="str">
            <v>GBp</v>
          </cell>
        </row>
        <row r="24">
          <cell r="D24" t="str">
            <v>IE0003290289</v>
          </cell>
          <cell r="E24">
            <v>535</v>
          </cell>
          <cell r="F24">
            <v>0</v>
          </cell>
          <cell r="G24">
            <v>0</v>
          </cell>
          <cell r="H24">
            <v>0</v>
          </cell>
          <cell r="I24">
            <v>0</v>
          </cell>
          <cell r="J24">
            <v>14.1</v>
          </cell>
          <cell r="K24">
            <v>14.8</v>
          </cell>
          <cell r="L24">
            <v>0</v>
          </cell>
          <cell r="M24">
            <v>0</v>
          </cell>
          <cell r="N24" t="str">
            <v>EUR</v>
          </cell>
        </row>
        <row r="25">
          <cell r="D25" t="str">
            <v>IE0003295239</v>
          </cell>
          <cell r="E25">
            <v>540</v>
          </cell>
          <cell r="F25">
            <v>0.5095305</v>
          </cell>
          <cell r="G25">
            <v>0.5095305</v>
          </cell>
          <cell r="H25">
            <v>0.52211149999999995</v>
          </cell>
          <cell r="I25">
            <v>0.52211149999999995</v>
          </cell>
          <cell r="J25">
            <v>0.51</v>
          </cell>
          <cell r="K25">
            <v>0.51500000000000001</v>
          </cell>
          <cell r="L25">
            <v>40.5</v>
          </cell>
          <cell r="M25">
            <v>41.5</v>
          </cell>
          <cell r="N25" t="str">
            <v>GBp</v>
          </cell>
        </row>
        <row r="26">
          <cell r="D26" t="str">
            <v>IE0003725383</v>
          </cell>
          <cell r="E26">
            <v>544</v>
          </cell>
          <cell r="F26">
            <v>7.863125E-2</v>
          </cell>
          <cell r="G26">
            <v>7.863125E-2</v>
          </cell>
          <cell r="H26">
            <v>8.4292700000000012E-2</v>
          </cell>
          <cell r="I26">
            <v>8.4292700000000012E-2</v>
          </cell>
          <cell r="J26">
            <v>7.9000000000000001E-2</v>
          </cell>
          <cell r="K26">
            <v>8.4000000000000005E-2</v>
          </cell>
          <cell r="L26">
            <v>6.25</v>
          </cell>
          <cell r="M26">
            <v>6.7</v>
          </cell>
          <cell r="N26" t="str">
            <v>GBp</v>
          </cell>
        </row>
        <row r="27">
          <cell r="D27" t="str">
            <v>IE0003864109</v>
          </cell>
          <cell r="E27">
            <v>549</v>
          </cell>
          <cell r="F27">
            <v>1.9849999999999999</v>
          </cell>
          <cell r="G27">
            <v>2.4973284999999998E-2</v>
          </cell>
          <cell r="H27">
            <v>2.06</v>
          </cell>
          <cell r="I27">
            <v>2.591686E-2</v>
          </cell>
          <cell r="J27">
            <v>1.99</v>
          </cell>
          <cell r="K27">
            <v>2.06</v>
          </cell>
          <cell r="L27">
            <v>1.9849999999999999</v>
          </cell>
          <cell r="M27">
            <v>2.06</v>
          </cell>
          <cell r="N27" t="str">
            <v>EUR</v>
          </cell>
        </row>
        <row r="28">
          <cell r="D28" t="str">
            <v>IE0004614818</v>
          </cell>
          <cell r="E28">
            <v>561</v>
          </cell>
          <cell r="F28">
            <v>1.4274999999999998</v>
          </cell>
          <cell r="G28">
            <v>1.7959377499999998E-2</v>
          </cell>
          <cell r="H28">
            <v>1.4524999999999999</v>
          </cell>
          <cell r="I28">
            <v>1.8273902499999998E-2</v>
          </cell>
          <cell r="J28">
            <v>1.43</v>
          </cell>
          <cell r="K28">
            <v>1.4449999999999998</v>
          </cell>
          <cell r="L28">
            <v>1.4274999999999998</v>
          </cell>
          <cell r="M28">
            <v>1.4524999999999999</v>
          </cell>
          <cell r="N28" t="str">
            <v>EUR</v>
          </cell>
        </row>
        <row r="29">
          <cell r="D29" t="str">
            <v>IE0004678656</v>
          </cell>
          <cell r="E29">
            <v>564</v>
          </cell>
          <cell r="F29">
            <v>5.01</v>
          </cell>
          <cell r="G29">
            <v>6.3030809999999993E-2</v>
          </cell>
          <cell r="H29">
            <v>5.05</v>
          </cell>
          <cell r="I29">
            <v>6.3534049999999995E-2</v>
          </cell>
          <cell r="J29">
            <v>5.048</v>
          </cell>
          <cell r="K29">
            <v>5.05</v>
          </cell>
          <cell r="L29">
            <v>5.01</v>
          </cell>
          <cell r="M29">
            <v>5.05</v>
          </cell>
          <cell r="N29" t="str">
            <v>EUR</v>
          </cell>
        </row>
        <row r="30">
          <cell r="D30" t="str">
            <v>IE0004879486</v>
          </cell>
          <cell r="E30">
            <v>571</v>
          </cell>
          <cell r="F30">
            <v>0.43718974999999999</v>
          </cell>
          <cell r="G30">
            <v>0.43718974999999999</v>
          </cell>
          <cell r="H30">
            <v>0.44977075</v>
          </cell>
          <cell r="I30">
            <v>0.44977075</v>
          </cell>
          <cell r="J30">
            <v>0.43000000000000005</v>
          </cell>
          <cell r="K30">
            <v>0.45</v>
          </cell>
          <cell r="L30">
            <v>34.75</v>
          </cell>
          <cell r="M30">
            <v>35.75</v>
          </cell>
          <cell r="N30" t="str">
            <v>GBp</v>
          </cell>
        </row>
        <row r="31">
          <cell r="D31" t="str">
            <v>IE0004906560</v>
          </cell>
          <cell r="E31">
            <v>572</v>
          </cell>
          <cell r="F31">
            <v>19.14</v>
          </cell>
          <cell r="G31">
            <v>0.24080034</v>
          </cell>
          <cell r="H31">
            <v>19.399999999999999</v>
          </cell>
          <cell r="I31">
            <v>0.24407139999999999</v>
          </cell>
          <cell r="J31">
            <v>19.2</v>
          </cell>
          <cell r="K31">
            <v>19.247999999999998</v>
          </cell>
          <cell r="L31">
            <v>19.14</v>
          </cell>
          <cell r="M31">
            <v>19.399999999999999</v>
          </cell>
          <cell r="N31" t="str">
            <v>EUR</v>
          </cell>
        </row>
        <row r="32">
          <cell r="D32" t="str">
            <v>IE0004927939</v>
          </cell>
          <cell r="E32">
            <v>573</v>
          </cell>
          <cell r="F32">
            <v>7.03</v>
          </cell>
          <cell r="G32">
            <v>8.8444430000000004E-2</v>
          </cell>
          <cell r="H32">
            <v>7.07</v>
          </cell>
          <cell r="I32">
            <v>8.8947669999999993E-2</v>
          </cell>
          <cell r="J32">
            <v>7.0259999999999998</v>
          </cell>
          <cell r="K32">
            <v>7.0780000000000003</v>
          </cell>
          <cell r="L32">
            <v>7.03</v>
          </cell>
          <cell r="M32">
            <v>7.07</v>
          </cell>
          <cell r="N32" t="str">
            <v>EUR</v>
          </cell>
        </row>
        <row r="33">
          <cell r="D33" t="str">
            <v>IE0006627891</v>
          </cell>
          <cell r="E33">
            <v>588</v>
          </cell>
          <cell r="F33">
            <v>0.100648</v>
          </cell>
          <cell r="G33">
            <v>0.100648</v>
          </cell>
          <cell r="H33">
            <v>0.10693849999999999</v>
          </cell>
          <cell r="I33">
            <v>0.10693849999999999</v>
          </cell>
          <cell r="J33">
            <v>9.6000000000000002E-2</v>
          </cell>
          <cell r="K33">
            <v>0.11</v>
          </cell>
          <cell r="L33">
            <v>8</v>
          </cell>
          <cell r="M33">
            <v>8.5</v>
          </cell>
          <cell r="N33" t="str">
            <v>GBp</v>
          </cell>
        </row>
        <row r="34">
          <cell r="D34" t="str">
            <v>IE0006649010</v>
          </cell>
          <cell r="E34">
            <v>589</v>
          </cell>
          <cell r="F34">
            <v>7.5485999999999998E-2</v>
          </cell>
          <cell r="G34">
            <v>7.5485999999999998E-2</v>
          </cell>
          <cell r="H34">
            <v>8.1776500000000002E-2</v>
          </cell>
          <cell r="I34">
            <v>8.1776500000000002E-2</v>
          </cell>
          <cell r="J34">
            <v>6.8000000000000005E-2</v>
          </cell>
          <cell r="K34">
            <v>0.10500000000000001</v>
          </cell>
          <cell r="L34">
            <v>6</v>
          </cell>
          <cell r="M34">
            <v>6.5</v>
          </cell>
          <cell r="N34" t="str">
            <v>GBp</v>
          </cell>
        </row>
        <row r="35">
          <cell r="D35" t="str">
            <v>IE0007172707</v>
          </cell>
          <cell r="E35">
            <v>594</v>
          </cell>
          <cell r="F35">
            <v>0.27678200000000003</v>
          </cell>
          <cell r="G35">
            <v>0.27678200000000003</v>
          </cell>
          <cell r="H35">
            <v>0.50324000000000002</v>
          </cell>
          <cell r="I35">
            <v>0.50324000000000002</v>
          </cell>
          <cell r="J35">
            <v>0.32999999999999996</v>
          </cell>
          <cell r="K35">
            <v>0.36199999999999999</v>
          </cell>
          <cell r="L35">
            <v>22</v>
          </cell>
          <cell r="M35">
            <v>40</v>
          </cell>
          <cell r="N35" t="str">
            <v>GBp</v>
          </cell>
        </row>
        <row r="36">
          <cell r="D36" t="str">
            <v>IE0007214426</v>
          </cell>
          <cell r="E36">
            <v>521</v>
          </cell>
          <cell r="F36">
            <v>1.7613399999999999</v>
          </cell>
          <cell r="G36">
            <v>1.7613399999999999</v>
          </cell>
          <cell r="H36">
            <v>2.0003790000000001</v>
          </cell>
          <cell r="I36">
            <v>2.0003790000000001</v>
          </cell>
          <cell r="J36">
            <v>1.87</v>
          </cell>
          <cell r="K36">
            <v>1.9</v>
          </cell>
          <cell r="L36">
            <v>140</v>
          </cell>
          <cell r="M36">
            <v>159</v>
          </cell>
          <cell r="N36" t="str">
            <v>GBp</v>
          </cell>
        </row>
        <row r="37">
          <cell r="D37" t="str">
            <v>IE0009420385</v>
          </cell>
          <cell r="E37">
            <v>614</v>
          </cell>
          <cell r="F37">
            <v>6.1999999999999998E-3</v>
          </cell>
          <cell r="G37">
            <v>7.8002200000000003E-5</v>
          </cell>
          <cell r="H37">
            <v>6.7000000000000002E-3</v>
          </cell>
          <cell r="I37">
            <v>8.4292700000000007E-5</v>
          </cell>
          <cell r="J37">
            <v>6.0000000000000001E-3</v>
          </cell>
          <cell r="K37">
            <v>7.0000000000000001E-3</v>
          </cell>
          <cell r="L37">
            <v>6.1999999999999998E-3</v>
          </cell>
          <cell r="M37">
            <v>6.7000000000000002E-3</v>
          </cell>
          <cell r="N37" t="str">
            <v>EUR</v>
          </cell>
        </row>
        <row r="38">
          <cell r="D38" t="str">
            <v>IE0030606259</v>
          </cell>
          <cell r="E38">
            <v>11904</v>
          </cell>
          <cell r="F38">
            <v>5.1549999999999994</v>
          </cell>
          <cell r="G38">
            <v>6.4855054999999995E-2</v>
          </cell>
          <cell r="H38">
            <v>5.18</v>
          </cell>
          <cell r="I38">
            <v>6.5169580000000005E-2</v>
          </cell>
          <cell r="J38">
            <v>5.1499999999999995</v>
          </cell>
          <cell r="K38">
            <v>5.17</v>
          </cell>
          <cell r="L38">
            <v>5.1549999999999994</v>
          </cell>
          <cell r="M38">
            <v>5.18</v>
          </cell>
          <cell r="N38" t="str">
            <v>EUR</v>
          </cell>
        </row>
        <row r="39">
          <cell r="D39" t="str">
            <v>IE0033024807</v>
          </cell>
          <cell r="E39">
            <v>18024</v>
          </cell>
          <cell r="F39">
            <v>3.8277692500000002</v>
          </cell>
          <cell r="G39">
            <v>3.8277692500000002</v>
          </cell>
          <cell r="H39">
            <v>3.8592217499999997</v>
          </cell>
          <cell r="I39">
            <v>3.8592217499999997</v>
          </cell>
          <cell r="J39">
            <v>3.8099999999999996</v>
          </cell>
          <cell r="K39">
            <v>3.82</v>
          </cell>
          <cell r="L39">
            <v>304.25</v>
          </cell>
          <cell r="M39">
            <v>306.75</v>
          </cell>
          <cell r="N39" t="str">
            <v>GBp</v>
          </cell>
        </row>
        <row r="40">
          <cell r="D40" t="str">
            <v>IE0033336516</v>
          </cell>
          <cell r="E40">
            <v>18299</v>
          </cell>
          <cell r="F40">
            <v>18.21</v>
          </cell>
          <cell r="G40">
            <v>0.22910001000000002</v>
          </cell>
          <cell r="H40">
            <v>18.739999999999998</v>
          </cell>
          <cell r="I40">
            <v>0.23576794000000001</v>
          </cell>
          <cell r="J40">
            <v>18.100000000000001</v>
          </cell>
          <cell r="K40">
            <v>18.75</v>
          </cell>
          <cell r="L40">
            <v>18.21</v>
          </cell>
          <cell r="M40">
            <v>18.739999999999998</v>
          </cell>
          <cell r="N40" t="str">
            <v>EUR</v>
          </cell>
        </row>
        <row r="41">
          <cell r="D41" t="str">
            <v>IE00B00MZ448</v>
          </cell>
          <cell r="E41">
            <v>22332</v>
          </cell>
          <cell r="F41">
            <v>3.8349999999999995</v>
          </cell>
          <cell r="G41">
            <v>4.8248134999999998E-2</v>
          </cell>
          <cell r="H41">
            <v>3.9</v>
          </cell>
          <cell r="I41">
            <v>4.9065899999999996E-2</v>
          </cell>
          <cell r="J41">
            <v>3.8499999999999996</v>
          </cell>
          <cell r="K41">
            <v>3.8879999999999999</v>
          </cell>
          <cell r="L41">
            <v>3.8349999999999995</v>
          </cell>
          <cell r="M41">
            <v>3.9</v>
          </cell>
          <cell r="N41" t="str">
            <v>EUR</v>
          </cell>
        </row>
        <row r="42">
          <cell r="D42" t="str">
            <v>IE00B010DT83</v>
          </cell>
          <cell r="E42">
            <v>22076</v>
          </cell>
          <cell r="F42">
            <v>2.4824999999999999</v>
          </cell>
          <cell r="G42">
            <v>3.1232332499999998E-2</v>
          </cell>
          <cell r="H42">
            <v>2.5</v>
          </cell>
          <cell r="I42">
            <v>3.1452500000000001E-2</v>
          </cell>
          <cell r="J42">
            <v>2.48</v>
          </cell>
          <cell r="K42">
            <v>2.5</v>
          </cell>
          <cell r="L42">
            <v>2.4824999999999999</v>
          </cell>
          <cell r="M42">
            <v>2.5</v>
          </cell>
          <cell r="N42" t="str">
            <v>EUR</v>
          </cell>
        </row>
        <row r="43">
          <cell r="D43" t="str">
            <v>IE00B01GTM11</v>
          </cell>
          <cell r="E43">
            <v>22904</v>
          </cell>
          <cell r="F43">
            <v>0</v>
          </cell>
          <cell r="G43">
            <v>0</v>
          </cell>
          <cell r="H43">
            <v>0</v>
          </cell>
          <cell r="I43">
            <v>0</v>
          </cell>
          <cell r="J43">
            <v>0</v>
          </cell>
          <cell r="K43">
            <v>0</v>
          </cell>
          <cell r="L43">
            <v>0</v>
          </cell>
          <cell r="M43">
            <v>0</v>
          </cell>
          <cell r="N43" t="str">
            <v>GBp</v>
          </cell>
        </row>
        <row r="44">
          <cell r="D44" t="str">
            <v>IE00B06H8J93</v>
          </cell>
          <cell r="E44">
            <v>28082</v>
          </cell>
          <cell r="F44">
            <v>5.26</v>
          </cell>
          <cell r="G44">
            <v>6.6176059999999995E-2</v>
          </cell>
          <cell r="H44">
            <v>5.2649999999999997</v>
          </cell>
          <cell r="I44">
            <v>6.6238964999999997E-2</v>
          </cell>
          <cell r="J44">
            <v>5.2530000000000001</v>
          </cell>
          <cell r="K44">
            <v>5.2690000000000001</v>
          </cell>
          <cell r="L44">
            <v>5.26</v>
          </cell>
          <cell r="M44">
            <v>5.2649999999999997</v>
          </cell>
          <cell r="N44" t="str">
            <v>EUR</v>
          </cell>
        </row>
        <row r="45">
          <cell r="D45" t="str">
            <v>IE00B0JT3T79</v>
          </cell>
          <cell r="E45">
            <v>31126</v>
          </cell>
          <cell r="F45">
            <v>0.88066999999999995</v>
          </cell>
          <cell r="G45">
            <v>0.88066999999999995</v>
          </cell>
          <cell r="H45">
            <v>1.00648</v>
          </cell>
          <cell r="I45">
            <v>1.00648</v>
          </cell>
          <cell r="J45">
            <v>0.79499999999999993</v>
          </cell>
          <cell r="K45">
            <v>0.85000000000000009</v>
          </cell>
          <cell r="L45">
            <v>70</v>
          </cell>
          <cell r="M45">
            <v>80</v>
          </cell>
          <cell r="N45" t="str">
            <v>GBp</v>
          </cell>
        </row>
        <row r="46">
          <cell r="D46" t="str">
            <v>IE00B0LNHG27</v>
          </cell>
          <cell r="E46">
            <v>32187</v>
          </cell>
          <cell r="F46">
            <v>0.41517300000000001</v>
          </cell>
          <cell r="G46">
            <v>0.41517300000000001</v>
          </cell>
          <cell r="H46">
            <v>0.51582099999999997</v>
          </cell>
          <cell r="I46">
            <v>0.51582099999999997</v>
          </cell>
          <cell r="J46">
            <v>0.43000000000000005</v>
          </cell>
          <cell r="K46">
            <v>0.46</v>
          </cell>
          <cell r="L46">
            <v>33</v>
          </cell>
          <cell r="M46">
            <v>41</v>
          </cell>
          <cell r="N46" t="str">
            <v>GBp</v>
          </cell>
        </row>
        <row r="47">
          <cell r="D47" t="str">
            <v>IE00B0Q82B24</v>
          </cell>
          <cell r="E47">
            <v>42193</v>
          </cell>
          <cell r="F47">
            <v>0.33339649999999998</v>
          </cell>
          <cell r="G47">
            <v>0.33339649999999998</v>
          </cell>
          <cell r="H47">
            <v>0.34597749999999999</v>
          </cell>
          <cell r="I47">
            <v>0.34597749999999999</v>
          </cell>
          <cell r="J47">
            <v>0.32999999999999996</v>
          </cell>
          <cell r="K47">
            <v>0.35</v>
          </cell>
          <cell r="L47">
            <v>26.5</v>
          </cell>
          <cell r="M47">
            <v>27.5</v>
          </cell>
          <cell r="N47" t="str">
            <v>GBp</v>
          </cell>
        </row>
        <row r="48">
          <cell r="D48" t="str">
            <v>IE00B0YT0Q82</v>
          </cell>
          <cell r="E48">
            <v>35572</v>
          </cell>
          <cell r="F48">
            <v>0.95615600000000001</v>
          </cell>
          <cell r="G48">
            <v>0.95615600000000001</v>
          </cell>
          <cell r="H48">
            <v>1.069385</v>
          </cell>
          <cell r="I48">
            <v>1.069385</v>
          </cell>
          <cell r="J48">
            <v>0.79699999999999993</v>
          </cell>
          <cell r="K48">
            <v>0.85000000000000009</v>
          </cell>
          <cell r="L48">
            <v>76</v>
          </cell>
          <cell r="M48">
            <v>85</v>
          </cell>
          <cell r="N48" t="str">
            <v>GBp</v>
          </cell>
        </row>
        <row r="49">
          <cell r="D49" t="str">
            <v>IE00B134XK63</v>
          </cell>
          <cell r="E49">
            <v>37320</v>
          </cell>
          <cell r="F49">
            <v>0.14782675000000001</v>
          </cell>
          <cell r="G49">
            <v>0.14782675000000001</v>
          </cell>
          <cell r="H49">
            <v>0.18556975000000001</v>
          </cell>
          <cell r="I49">
            <v>0.18556975000000001</v>
          </cell>
          <cell r="J49">
            <v>0.13</v>
          </cell>
          <cell r="K49">
            <v>0.15000000000000002</v>
          </cell>
          <cell r="L49">
            <v>11.75</v>
          </cell>
          <cell r="M49">
            <v>14.75</v>
          </cell>
          <cell r="N49" t="str">
            <v>GBp</v>
          </cell>
        </row>
        <row r="50">
          <cell r="D50" t="str">
            <v>IE00B16PV578</v>
          </cell>
          <cell r="E50">
            <v>39043</v>
          </cell>
          <cell r="F50">
            <v>1.2832619999999999</v>
          </cell>
          <cell r="G50">
            <v>1.2832619999999999</v>
          </cell>
          <cell r="H50">
            <v>1.446815</v>
          </cell>
          <cell r="I50">
            <v>1.446815</v>
          </cell>
          <cell r="J50">
            <v>1.3</v>
          </cell>
          <cell r="K50">
            <v>1.4</v>
          </cell>
          <cell r="L50">
            <v>102</v>
          </cell>
          <cell r="M50">
            <v>115</v>
          </cell>
          <cell r="N50" t="str">
            <v>GBp</v>
          </cell>
        </row>
        <row r="51">
          <cell r="D51" t="str">
            <v>IE00B1CMPN86</v>
          </cell>
          <cell r="E51">
            <v>41372</v>
          </cell>
          <cell r="F51">
            <v>1.5024999999999999</v>
          </cell>
          <cell r="G51">
            <v>1.89029525E-2</v>
          </cell>
          <cell r="H51">
            <v>1.5149999999999999</v>
          </cell>
          <cell r="I51">
            <v>1.9060214999999998E-2</v>
          </cell>
          <cell r="J51">
            <v>1.5009999999999999</v>
          </cell>
          <cell r="K51">
            <v>1.52</v>
          </cell>
          <cell r="L51">
            <v>1.5024999999999999</v>
          </cell>
          <cell r="M51">
            <v>1.5149999999999999</v>
          </cell>
          <cell r="N51" t="str">
            <v>EUR</v>
          </cell>
        </row>
        <row r="52">
          <cell r="D52" t="str">
            <v>IE00B1FWGK93</v>
          </cell>
          <cell r="E52">
            <v>43592</v>
          </cell>
          <cell r="F52">
            <v>0.22645800000000002</v>
          </cell>
          <cell r="G52">
            <v>0.22645800000000002</v>
          </cell>
          <cell r="H52">
            <v>0.30194399999999999</v>
          </cell>
          <cell r="I52">
            <v>0.30194399999999999</v>
          </cell>
          <cell r="J52">
            <v>0.26</v>
          </cell>
          <cell r="K52">
            <v>0.28000000000000003</v>
          </cell>
          <cell r="L52">
            <v>18</v>
          </cell>
          <cell r="M52">
            <v>24</v>
          </cell>
          <cell r="N52" t="str">
            <v>GBp</v>
          </cell>
        </row>
        <row r="53">
          <cell r="D53" t="str">
            <v>IE00B1G17W46</v>
          </cell>
          <cell r="E53">
            <v>47592</v>
          </cell>
          <cell r="F53">
            <v>0.24218424999999999</v>
          </cell>
          <cell r="G53">
            <v>0.24218424999999999</v>
          </cell>
          <cell r="H53">
            <v>0.26420100000000002</v>
          </cell>
          <cell r="I53">
            <v>0.26420100000000002</v>
          </cell>
          <cell r="J53">
            <v>0.22</v>
          </cell>
          <cell r="K53">
            <v>0.24400000000000002</v>
          </cell>
          <cell r="L53">
            <v>19.25</v>
          </cell>
          <cell r="M53">
            <v>21</v>
          </cell>
          <cell r="N53" t="str">
            <v>GBp</v>
          </cell>
        </row>
        <row r="54">
          <cell r="D54" t="str">
            <v>IE00B1GKF381</v>
          </cell>
          <cell r="E54">
            <v>47628</v>
          </cell>
          <cell r="F54">
            <v>2.56</v>
          </cell>
          <cell r="G54">
            <v>3.2207359999999997E-2</v>
          </cell>
          <cell r="H54">
            <v>2.57</v>
          </cell>
          <cell r="I54">
            <v>3.2333170000000001E-2</v>
          </cell>
          <cell r="J54">
            <v>2.5569999999999999</v>
          </cell>
          <cell r="K54">
            <v>2.57</v>
          </cell>
          <cell r="L54">
            <v>2.56</v>
          </cell>
          <cell r="M54">
            <v>2.57</v>
          </cell>
          <cell r="N54" t="str">
            <v>EUR</v>
          </cell>
        </row>
        <row r="55">
          <cell r="D55" t="str">
            <v>IE00B1HDWM43</v>
          </cell>
          <cell r="E55">
            <v>45350</v>
          </cell>
          <cell r="F55">
            <v>0.52211149999999995</v>
          </cell>
          <cell r="G55">
            <v>0.52211149999999995</v>
          </cell>
          <cell r="H55">
            <v>0.54098299999999999</v>
          </cell>
          <cell r="I55">
            <v>0.54098299999999999</v>
          </cell>
          <cell r="J55">
            <v>0.53</v>
          </cell>
          <cell r="K55">
            <v>0.57000000000000006</v>
          </cell>
          <cell r="L55">
            <v>41.5</v>
          </cell>
          <cell r="M55">
            <v>43</v>
          </cell>
          <cell r="N55" t="str">
            <v>GBp</v>
          </cell>
        </row>
        <row r="56">
          <cell r="D56" t="str">
            <v>IE00B1RR8406</v>
          </cell>
          <cell r="E56">
            <v>48474</v>
          </cell>
          <cell r="F56">
            <v>3.7050000000000001</v>
          </cell>
          <cell r="G56">
            <v>4.6612605000000001E-2</v>
          </cell>
          <cell r="H56">
            <v>3.77</v>
          </cell>
          <cell r="I56">
            <v>4.7430369999999999E-2</v>
          </cell>
          <cell r="J56">
            <v>3.73</v>
          </cell>
          <cell r="K56">
            <v>3.7789999999999999</v>
          </cell>
          <cell r="L56">
            <v>3.7050000000000001</v>
          </cell>
          <cell r="M56">
            <v>3.77</v>
          </cell>
          <cell r="N56" t="str">
            <v>EUR</v>
          </cell>
        </row>
        <row r="57">
          <cell r="D57" t="str">
            <v>IE00B1W38B04</v>
          </cell>
          <cell r="E57">
            <v>52154</v>
          </cell>
          <cell r="F57">
            <v>0.36484900000000003</v>
          </cell>
          <cell r="G57">
            <v>0.36484900000000003</v>
          </cell>
          <cell r="H57">
            <v>0.38372050000000002</v>
          </cell>
          <cell r="I57">
            <v>0.38372050000000002</v>
          </cell>
          <cell r="J57">
            <v>0.38</v>
          </cell>
          <cell r="K57">
            <v>0.4</v>
          </cell>
          <cell r="L57">
            <v>29</v>
          </cell>
          <cell r="M57">
            <v>30.5</v>
          </cell>
          <cell r="N57" t="str">
            <v>GBp</v>
          </cell>
        </row>
        <row r="58">
          <cell r="D58" t="str">
            <v>IE00B1W7FK04</v>
          </cell>
          <cell r="E58">
            <v>51167</v>
          </cell>
          <cell r="F58">
            <v>0.239039</v>
          </cell>
          <cell r="G58">
            <v>0.239039</v>
          </cell>
          <cell r="H58">
            <v>0.30194399999999999</v>
          </cell>
          <cell r="I58">
            <v>0.30194399999999999</v>
          </cell>
          <cell r="J58">
            <v>0.3</v>
          </cell>
          <cell r="K58">
            <v>0.32999999999999996</v>
          </cell>
          <cell r="L58">
            <v>19</v>
          </cell>
          <cell r="M58">
            <v>24</v>
          </cell>
          <cell r="N58" t="str">
            <v>GBp</v>
          </cell>
        </row>
        <row r="59">
          <cell r="D59" t="str">
            <v>IE00B1WV4493</v>
          </cell>
          <cell r="E59">
            <v>51836</v>
          </cell>
          <cell r="F59">
            <v>3.75</v>
          </cell>
          <cell r="G59">
            <v>4.7178750000000005E-2</v>
          </cell>
          <cell r="H59">
            <v>3.9</v>
          </cell>
          <cell r="I59">
            <v>4.9065899999999996E-2</v>
          </cell>
          <cell r="J59">
            <v>3.53</v>
          </cell>
          <cell r="K59">
            <v>3.6</v>
          </cell>
          <cell r="L59">
            <v>3.75</v>
          </cell>
          <cell r="M59">
            <v>3.9</v>
          </cell>
          <cell r="N59" t="str">
            <v>EUR</v>
          </cell>
        </row>
        <row r="60">
          <cell r="D60" t="str">
            <v>IE00B1Z90V93</v>
          </cell>
          <cell r="E60">
            <v>54118</v>
          </cell>
          <cell r="F60">
            <v>0.88066999999999995</v>
          </cell>
          <cell r="G60">
            <v>0.88066999999999995</v>
          </cell>
          <cell r="H60">
            <v>0.99389899999999998</v>
          </cell>
          <cell r="I60">
            <v>0.99389899999999998</v>
          </cell>
          <cell r="J60">
            <v>0.85000000000000009</v>
          </cell>
          <cell r="K60">
            <v>0.93</v>
          </cell>
          <cell r="L60">
            <v>70</v>
          </cell>
          <cell r="M60">
            <v>79</v>
          </cell>
          <cell r="N60" t="str">
            <v>GBp</v>
          </cell>
        </row>
        <row r="61">
          <cell r="D61" t="str">
            <v>IE00B1Z9ZG98</v>
          </cell>
          <cell r="E61">
            <v>56127</v>
          </cell>
          <cell r="F61">
            <v>0.65421200000000002</v>
          </cell>
          <cell r="G61">
            <v>0.65421200000000002</v>
          </cell>
          <cell r="H61">
            <v>0.74227900000000002</v>
          </cell>
          <cell r="I61">
            <v>0.74227900000000002</v>
          </cell>
          <cell r="J61">
            <v>0.67999999999999994</v>
          </cell>
          <cell r="K61">
            <v>0.72</v>
          </cell>
          <cell r="L61">
            <v>52</v>
          </cell>
          <cell r="M61">
            <v>59</v>
          </cell>
          <cell r="N61" t="str">
            <v>GBp</v>
          </cell>
        </row>
        <row r="62">
          <cell r="D62" t="str">
            <v>IE00B2357Y89</v>
          </cell>
          <cell r="E62">
            <v>62947</v>
          </cell>
          <cell r="F62">
            <v>1.0442229999999999</v>
          </cell>
          <cell r="G62">
            <v>1.0442229999999999</v>
          </cell>
          <cell r="H62">
            <v>1.0945469999999999</v>
          </cell>
          <cell r="I62">
            <v>1.0945469999999999</v>
          </cell>
          <cell r="J62">
            <v>1.05</v>
          </cell>
          <cell r="K62">
            <v>1.1200000000000001</v>
          </cell>
          <cell r="L62">
            <v>83</v>
          </cell>
          <cell r="M62">
            <v>87</v>
          </cell>
          <cell r="N62" t="str">
            <v>GBp</v>
          </cell>
        </row>
      </sheetData>
      <sheetData sheetId="1" refreshError="1"/>
      <sheetData sheetId="2" refreshError="1"/>
      <sheetData sheetId="3" refreshError="1"/>
    </sheetDataSet>
  </externalBook>
</externalLink>
</file>

<file path=xl/queryTables/queryTable1.xml><?xml version="1.0" encoding="utf-8"?>
<queryTable xmlns="http://schemas.openxmlformats.org/spreadsheetml/2006/main" name="BIS" refreshOnLoad="1" growShrinkType="overwriteClear" connectionId="1" autoFormatId="16" applyNumberFormats="0" applyBorderFormats="0" applyFontFormats="1" applyPatternFormats="1" applyAlignmentFormats="0" applyWidthHeightFormats="0">
  <queryTableRefresh nextId="13">
    <queryTableFields count="12">
      <queryTableField id="1" name="RECORD_DT"/>
      <queryTableField id="2" name="INDEX_NAME"/>
      <queryTableField id="3" name="INDEX_VALUE"/>
      <queryTableField id="4" name="RETURN_VALUE"/>
      <queryTableField id="5" name="TOTAL_VALUATION"/>
      <queryTableField id="6" name="TOTAL_VOLUME"/>
      <queryTableField id="7" name="TOTAL_TURNOVER"/>
      <queryTableField id="8" name="MACAULAY_DUR"/>
      <queryTableField id="9" name="MODIFIED_DUR"/>
      <queryTableField id="10" name="YLD_TO_MATURITY"/>
      <queryTableField id="11" name="RETURN_VALUATION"/>
      <queryTableField id="12" name="INDEX_DESCRIPTION"/>
    </queryTableFields>
  </queryTableRefresh>
</query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C49"/>
  <sheetViews>
    <sheetView workbookViewId="0">
      <selection activeCell="F7" sqref="F7"/>
    </sheetView>
  </sheetViews>
  <sheetFormatPr defaultRowHeight="12.75" x14ac:dyDescent="0.2"/>
  <cols>
    <col min="1" max="1" width="17.33203125" customWidth="1"/>
    <col min="2" max="2" width="48.83203125" customWidth="1"/>
    <col min="3" max="3" width="23.33203125" customWidth="1"/>
    <col min="6" max="6" width="12.33203125" customWidth="1"/>
    <col min="7" max="7" width="12.1640625" bestFit="1" customWidth="1"/>
    <col min="46" max="46" width="33" customWidth="1"/>
    <col min="47" max="47" width="15.5" customWidth="1"/>
    <col min="50" max="50" width="18" customWidth="1"/>
    <col min="51" max="51" width="22.5" customWidth="1"/>
  </cols>
  <sheetData>
    <row r="1" spans="1:55" ht="13.5" thickBot="1" x14ac:dyDescent="0.25">
      <c r="A1" s="1" t="s">
        <v>329</v>
      </c>
      <c r="B1" s="1" t="s">
        <v>220</v>
      </c>
      <c r="C1" s="2" t="s">
        <v>2</v>
      </c>
      <c r="D1" s="2" t="s">
        <v>3</v>
      </c>
      <c r="E1" s="2" t="s">
        <v>4</v>
      </c>
      <c r="F1" s="3" t="s">
        <v>5</v>
      </c>
      <c r="G1" s="1" t="s">
        <v>6</v>
      </c>
      <c r="H1" s="2" t="s">
        <v>7</v>
      </c>
      <c r="I1" s="2" t="s">
        <v>8</v>
      </c>
      <c r="J1" s="2" t="s">
        <v>9</v>
      </c>
      <c r="K1" s="3" t="s">
        <v>10</v>
      </c>
      <c r="L1" s="1" t="s">
        <v>11</v>
      </c>
      <c r="M1" s="2" t="s">
        <v>12</v>
      </c>
      <c r="N1" s="2" t="s">
        <v>13</v>
      </c>
      <c r="O1" s="2" t="s">
        <v>14</v>
      </c>
      <c r="P1" s="3" t="s">
        <v>15</v>
      </c>
      <c r="Q1" s="1" t="s">
        <v>16</v>
      </c>
      <c r="R1" s="2" t="s">
        <v>17</v>
      </c>
      <c r="S1" s="2" t="s">
        <v>18</v>
      </c>
      <c r="T1" s="2" t="s">
        <v>19</v>
      </c>
      <c r="U1" s="3" t="s">
        <v>20</v>
      </c>
      <c r="V1" s="1" t="s">
        <v>21</v>
      </c>
      <c r="W1" s="2" t="s">
        <v>22</v>
      </c>
      <c r="X1" s="2" t="s">
        <v>23</v>
      </c>
      <c r="Y1" s="2" t="s">
        <v>24</v>
      </c>
      <c r="Z1" s="3" t="s">
        <v>25</v>
      </c>
      <c r="AA1" s="1" t="s">
        <v>211</v>
      </c>
      <c r="AB1" s="2" t="s">
        <v>212</v>
      </c>
      <c r="AC1" s="2" t="s">
        <v>213</v>
      </c>
      <c r="AD1" s="2" t="s">
        <v>214</v>
      </c>
      <c r="AE1" s="3" t="s">
        <v>215</v>
      </c>
      <c r="AF1" s="1" t="s">
        <v>216</v>
      </c>
      <c r="AG1" s="2" t="s">
        <v>217</v>
      </c>
      <c r="AH1" s="2" t="s">
        <v>218</v>
      </c>
      <c r="AI1" s="3" t="s">
        <v>219</v>
      </c>
      <c r="AJ1" s="166" t="s">
        <v>381</v>
      </c>
      <c r="AK1" s="166" t="s">
        <v>382</v>
      </c>
      <c r="AL1" s="166" t="s">
        <v>383</v>
      </c>
      <c r="AM1" s="166" t="s">
        <v>384</v>
      </c>
      <c r="AN1" s="166" t="s">
        <v>385</v>
      </c>
      <c r="AO1" s="166" t="s">
        <v>312</v>
      </c>
      <c r="AP1" s="166" t="s">
        <v>313</v>
      </c>
      <c r="AQ1" s="166" t="s">
        <v>314</v>
      </c>
      <c r="AR1" s="166" t="s">
        <v>315</v>
      </c>
      <c r="AS1" s="166" t="s">
        <v>309</v>
      </c>
      <c r="AT1" s="166" t="s">
        <v>316</v>
      </c>
      <c r="AU1" s="166" t="s">
        <v>317</v>
      </c>
      <c r="AV1" s="166" t="s">
        <v>318</v>
      </c>
      <c r="AW1" s="166" t="s">
        <v>319</v>
      </c>
      <c r="AX1" s="166" t="s">
        <v>310</v>
      </c>
      <c r="AY1" s="166" t="s">
        <v>320</v>
      </c>
      <c r="AZ1" s="166" t="s">
        <v>321</v>
      </c>
      <c r="BA1" s="166" t="s">
        <v>322</v>
      </c>
      <c r="BB1" s="166" t="s">
        <v>323</v>
      </c>
      <c r="BC1" s="166" t="s">
        <v>311</v>
      </c>
    </row>
    <row r="2" spans="1:55" ht="13.5" thickBot="1" x14ac:dyDescent="0.25">
      <c r="A2" s="54">
        <f ca="1">NOW()</f>
        <v>42590.651511805554</v>
      </c>
      <c r="B2" s="103">
        <f>_xll.RtGet("IDN",".ISEQ","LAST")</f>
        <v>5894.6900000000005</v>
      </c>
      <c r="C2" s="102">
        <f>_xll.RtGet("IDN",".ISEQ","OPENING PRICE")</f>
        <v>5857.9000000000005</v>
      </c>
      <c r="D2" s="102">
        <f>_xll.RtGet("IDN",".ISEQ","TODAY'S HIGH")</f>
        <v>5906</v>
      </c>
      <c r="E2" s="102">
        <f>_xll.RtGet("IDN",".ISEQ","TODAY'S LOW")</f>
        <v>5856.22</v>
      </c>
      <c r="F2" s="104">
        <f>_xll.RtGet("IDN",".IVRT","LAST")</f>
        <v>0</v>
      </c>
      <c r="G2" s="103">
        <f>_xll.RtGet("IDN",".IFIN","LAST")</f>
        <v>252.85</v>
      </c>
      <c r="H2" s="102">
        <f>_xll.RtGet("IDN",".IFIN","OPENING PRICE")</f>
        <v>243.70000000000002</v>
      </c>
      <c r="I2" s="102">
        <f>_xll.RtGet("IDN",".IFIN","TODAY'S HIGH")</f>
        <v>254.09</v>
      </c>
      <c r="J2" s="102">
        <f>_xll.RtGet("IDN",".IFIN","TODAY'S LOW")</f>
        <v>242.46</v>
      </c>
      <c r="K2" s="104">
        <f>_xll.RtGet("IDN",".IFNT","LAST")</f>
        <v>0</v>
      </c>
      <c r="L2" s="103">
        <f>_xll.RtGet("IDN",".IGEN","LAST")</f>
        <v>8437.89</v>
      </c>
      <c r="M2" s="102">
        <f>_xll.RtGet("IDN",".IGEN","OPENING PRICE")</f>
        <v>8403.2999999999993</v>
      </c>
      <c r="N2" s="102">
        <f>_xll.RtGet("IDN",".IGEN","TODAY'S HIGH")</f>
        <v>8458.42</v>
      </c>
      <c r="O2" s="102">
        <f>_xll.RtGet("IDN",".IGEN","TODAY'S LOW")</f>
        <v>8401.99</v>
      </c>
      <c r="P2" s="104">
        <f>_xll.RtGet("IDN",".IGNT","LAST")</f>
        <v>0</v>
      </c>
      <c r="Q2" s="106">
        <f>_xll.RtGet("IDN",".ISCI","LAST")</f>
        <v>2188.46</v>
      </c>
      <c r="R2" s="102">
        <f>_xll.RtGet("IDN",".ISCI","OPENING PRICE")</f>
        <v>2201.54</v>
      </c>
      <c r="S2" s="102">
        <f>_xll.RtGet("IDN",".ISCI","TODAY'S HIGH")</f>
        <v>2213.88</v>
      </c>
      <c r="T2" s="102">
        <f>_xll.RtGet("IDN",".ISCI","TODAY'S LOW")</f>
        <v>2188.46</v>
      </c>
      <c r="U2" s="104">
        <f>_xll.RtGet("IDN",".ISCT","LAST")</f>
        <v>0</v>
      </c>
      <c r="V2" s="106">
        <v>0</v>
      </c>
      <c r="W2" s="102">
        <v>0</v>
      </c>
      <c r="X2" s="102">
        <v>0</v>
      </c>
      <c r="Y2" s="102">
        <v>0</v>
      </c>
      <c r="Z2" s="104">
        <v>0</v>
      </c>
      <c r="AA2" s="106">
        <f>_xll.RtGet("IDN",".IETP","LAST")</f>
        <v>966.97</v>
      </c>
      <c r="AB2" s="102">
        <f>_xll.RtGet("IDN",".IETP","OPENING PRICE")</f>
        <v>962.5</v>
      </c>
      <c r="AC2" s="102">
        <f>_xll.RtGet("IDN",".IETP","TODAY'S HIGH")</f>
        <v>969.17000000000007</v>
      </c>
      <c r="AD2" s="102">
        <f>_xll.RtGet("IDN",".IETP","TODAY'S LOW")</f>
        <v>960.27</v>
      </c>
      <c r="AE2" s="105">
        <f>_xll.RtGet("IDN",".IETR","LAST")</f>
        <v>1266.69</v>
      </c>
      <c r="AF2" s="106">
        <f>_xll.RtGet("IDN",".IQNA","LAST")</f>
        <v>0</v>
      </c>
      <c r="AG2" s="102">
        <f>_xll.RtGet("IDN",".IQNA","LAST 3")</f>
        <v>0</v>
      </c>
      <c r="AH2" s="102">
        <f>_xll.RtGet("IDN",".IQNA","TODAY'S HIGH")</f>
        <v>0</v>
      </c>
      <c r="AI2" s="105">
        <f>_xll.RtGet("IDN",".IQNA","TODAY'S LOW")</f>
        <v>0</v>
      </c>
      <c r="AJ2" s="106">
        <f>_xll.RtGet("IDN",".IEOA","LAST")</f>
        <v>1786.6200000000001</v>
      </c>
      <c r="AK2" s="107">
        <f>_xll.RtGet("IDN",".IEOA","OPENING PRICE")</f>
        <v>1798.42</v>
      </c>
      <c r="AL2" s="102">
        <f>_xll.RtGet("IDN",".IEOA","TODAY'S HIGH")</f>
        <v>1808.46</v>
      </c>
      <c r="AM2" s="102">
        <f>_xll.RtGet("IDN",".IEOA","TODAY'S LOW")</f>
        <v>1783.43</v>
      </c>
      <c r="AN2" s="107">
        <f>_xll.RtGet("IDN",".IEOB","LAST")</f>
        <v>0</v>
      </c>
      <c r="AO2" s="107">
        <v>1</v>
      </c>
      <c r="AP2" s="107">
        <v>1</v>
      </c>
      <c r="AQ2" s="107">
        <v>1</v>
      </c>
      <c r="AR2" s="107">
        <v>1</v>
      </c>
      <c r="AS2" s="107">
        <v>1</v>
      </c>
      <c r="AT2" s="107">
        <f>_xll.RtGet("IDN",".IEOC","LAST")</f>
        <v>4835.04</v>
      </c>
      <c r="AU2" s="102">
        <f>_xll.RtGet("IDN",".IEOC","OPENING PRICE")</f>
        <v>4780.26</v>
      </c>
      <c r="AV2" s="102">
        <f>_xll.RtGet("IDN",".IEOC","TODAY'S HIGH")</f>
        <v>4856.92</v>
      </c>
      <c r="AW2" s="102">
        <f>_xll.RtGet("IDN",".IEOC","TODAY'S LOW")</f>
        <v>4780.26</v>
      </c>
      <c r="AX2" s="107"/>
      <c r="AY2" s="106">
        <f>_xll.RtGet("IDN",".IEOE","LAST")</f>
        <v>1256.23</v>
      </c>
      <c r="AZ2" s="102">
        <f>_xll.RtGet("IDN",".IEOE","OPENING PRICE")</f>
        <v>1248.18</v>
      </c>
      <c r="BA2" s="102">
        <f>_xll.RtGet("IDN",".IEOE","TODAY'S HIGH")</f>
        <v>1258.93</v>
      </c>
      <c r="BB2" s="102">
        <f>_xll.RtGet("IDN",".IEOE","TODAY'S LOW")</f>
        <v>1247.96</v>
      </c>
      <c r="BC2" s="105">
        <f>_xll.RtGet("IDN",".IEOF","LAST")</f>
        <v>0</v>
      </c>
    </row>
    <row r="3" spans="1:55" ht="13.5" thickBot="1" x14ac:dyDescent="0.25">
      <c r="A3" s="71"/>
      <c r="B3" s="177"/>
      <c r="C3" s="177"/>
      <c r="D3" s="177"/>
      <c r="E3" s="177"/>
      <c r="F3" s="177"/>
      <c r="G3" s="177"/>
      <c r="H3" s="177"/>
      <c r="I3" s="177"/>
      <c r="J3" s="177"/>
      <c r="K3" s="177"/>
      <c r="L3" s="177"/>
      <c r="M3" s="177"/>
      <c r="N3" s="177"/>
      <c r="O3" s="177"/>
      <c r="P3" s="177"/>
      <c r="Q3" s="177"/>
      <c r="R3" s="177"/>
      <c r="S3" s="177"/>
      <c r="T3" s="177"/>
      <c r="U3" s="177"/>
      <c r="V3" s="177"/>
      <c r="W3" s="177"/>
      <c r="X3" s="177"/>
      <c r="Y3" s="177"/>
      <c r="Z3" s="177"/>
      <c r="AA3" s="177"/>
      <c r="AB3" s="177"/>
      <c r="AC3" s="177"/>
      <c r="AD3" s="177"/>
      <c r="AE3" s="177"/>
      <c r="AF3" s="177"/>
      <c r="AG3" s="177"/>
      <c r="AH3" s="177"/>
      <c r="AI3" s="177"/>
      <c r="AJ3" s="107"/>
      <c r="AK3" s="107"/>
      <c r="AL3" s="107"/>
      <c r="AM3" s="107"/>
      <c r="AN3" s="107"/>
      <c r="AO3" s="107"/>
      <c r="AP3" s="107"/>
      <c r="AQ3" s="107"/>
      <c r="AR3" s="107"/>
      <c r="AS3" s="107"/>
      <c r="AT3" s="107"/>
      <c r="AU3" s="107"/>
      <c r="AV3" s="107"/>
      <c r="AW3" s="107"/>
      <c r="AX3" s="107"/>
      <c r="AY3" s="107"/>
      <c r="AZ3" s="107"/>
      <c r="BA3" s="107"/>
      <c r="BB3" s="107"/>
      <c r="BC3" s="107"/>
    </row>
    <row r="4" spans="1:55" ht="13.5" thickBot="1" x14ac:dyDescent="0.25">
      <c r="A4" s="71"/>
      <c r="B4" s="1" t="s">
        <v>220</v>
      </c>
      <c r="C4" s="2" t="s">
        <v>2</v>
      </c>
      <c r="D4" s="2" t="s">
        <v>3</v>
      </c>
      <c r="E4" s="2" t="s">
        <v>4</v>
      </c>
      <c r="F4" s="3" t="s">
        <v>5</v>
      </c>
      <c r="G4" s="1" t="s">
        <v>6</v>
      </c>
      <c r="H4" s="2" t="s">
        <v>7</v>
      </c>
      <c r="I4" s="2" t="s">
        <v>8</v>
      </c>
      <c r="J4" s="2" t="s">
        <v>9</v>
      </c>
      <c r="K4" s="3" t="s">
        <v>10</v>
      </c>
      <c r="L4" s="1" t="s">
        <v>11</v>
      </c>
      <c r="M4" s="2" t="s">
        <v>12</v>
      </c>
      <c r="N4" s="2" t="s">
        <v>13</v>
      </c>
      <c r="O4" s="2" t="s">
        <v>14</v>
      </c>
      <c r="P4" s="3" t="s">
        <v>15</v>
      </c>
      <c r="Q4" s="1" t="s">
        <v>16</v>
      </c>
      <c r="R4" s="2" t="s">
        <v>17</v>
      </c>
      <c r="S4" s="2" t="s">
        <v>18</v>
      </c>
      <c r="T4" s="2" t="s">
        <v>19</v>
      </c>
      <c r="U4" s="3" t="s">
        <v>20</v>
      </c>
      <c r="V4" s="1" t="s">
        <v>21</v>
      </c>
      <c r="W4" s="2" t="s">
        <v>22</v>
      </c>
      <c r="X4" s="2" t="s">
        <v>23</v>
      </c>
      <c r="Y4" s="2" t="s">
        <v>24</v>
      </c>
      <c r="Z4" s="3" t="s">
        <v>25</v>
      </c>
      <c r="AA4" s="1" t="s">
        <v>211</v>
      </c>
      <c r="AB4" s="2" t="s">
        <v>212</v>
      </c>
      <c r="AC4" s="2" t="s">
        <v>213</v>
      </c>
      <c r="AD4" s="2" t="s">
        <v>214</v>
      </c>
      <c r="AE4" s="3" t="s">
        <v>215</v>
      </c>
      <c r="AF4" s="1" t="s">
        <v>216</v>
      </c>
      <c r="AG4" s="2" t="s">
        <v>217</v>
      </c>
      <c r="AH4" s="2" t="s">
        <v>218</v>
      </c>
      <c r="AI4" s="3" t="s">
        <v>219</v>
      </c>
      <c r="AJ4" s="166" t="s">
        <v>324</v>
      </c>
      <c r="AK4" s="166" t="s">
        <v>325</v>
      </c>
      <c r="AL4" s="166" t="s">
        <v>328</v>
      </c>
      <c r="AM4" s="166" t="s">
        <v>327</v>
      </c>
      <c r="AN4" s="166" t="s">
        <v>326</v>
      </c>
      <c r="AO4" s="166" t="s">
        <v>386</v>
      </c>
      <c r="AP4" s="166" t="s">
        <v>387</v>
      </c>
      <c r="AQ4" s="166" t="s">
        <v>388</v>
      </c>
      <c r="AR4" s="166" t="s">
        <v>389</v>
      </c>
      <c r="AS4" s="166" t="s">
        <v>390</v>
      </c>
      <c r="AT4" s="166" t="s">
        <v>394</v>
      </c>
      <c r="AU4" s="166" t="s">
        <v>391</v>
      </c>
      <c r="AV4" s="166" t="s">
        <v>392</v>
      </c>
      <c r="AW4" s="166" t="s">
        <v>395</v>
      </c>
      <c r="AX4" s="166" t="s">
        <v>393</v>
      </c>
      <c r="AY4" s="166" t="s">
        <v>396</v>
      </c>
      <c r="AZ4" s="166" t="s">
        <v>397</v>
      </c>
      <c r="BA4" s="166" t="s">
        <v>398</v>
      </c>
      <c r="BB4" s="166" t="s">
        <v>399</v>
      </c>
      <c r="BC4" s="166" t="s">
        <v>400</v>
      </c>
    </row>
    <row r="5" spans="1:55" ht="13.5" thickBot="1" x14ac:dyDescent="0.25">
      <c r="A5" s="54">
        <f ca="1">NOW()</f>
        <v>42590.651511805554</v>
      </c>
      <c r="B5" s="178">
        <v>2622.05</v>
      </c>
      <c r="C5" s="178">
        <v>2500.35</v>
      </c>
      <c r="D5" s="178">
        <v>2622.05</v>
      </c>
      <c r="E5" s="178">
        <v>2500.35</v>
      </c>
      <c r="F5" s="178">
        <v>4710.68</v>
      </c>
      <c r="G5" s="178">
        <v>692.8</v>
      </c>
      <c r="H5" s="178">
        <v>614</v>
      </c>
      <c r="I5" s="178">
        <v>692.8</v>
      </c>
      <c r="J5" s="178">
        <v>614</v>
      </c>
      <c r="K5" s="178">
        <v>1651.37</v>
      </c>
      <c r="L5" s="178">
        <v>3291.78</v>
      </c>
      <c r="M5" s="178">
        <v>3155.28</v>
      </c>
      <c r="N5" s="178">
        <v>3303.07</v>
      </c>
      <c r="O5" s="178">
        <v>3155.28</v>
      </c>
      <c r="P5" s="178">
        <v>4924.45</v>
      </c>
      <c r="Q5" s="178">
        <v>1170.06</v>
      </c>
      <c r="R5" s="178">
        <v>1151.47</v>
      </c>
      <c r="S5" s="178">
        <v>1170.06</v>
      </c>
      <c r="T5" s="178">
        <v>1150.21</v>
      </c>
      <c r="U5" s="178">
        <v>1450.71</v>
      </c>
      <c r="V5" s="178">
        <v>309.06</v>
      </c>
      <c r="W5" s="178">
        <v>307.88</v>
      </c>
      <c r="X5" s="178">
        <v>309.25</v>
      </c>
      <c r="Y5" s="178">
        <v>307.88</v>
      </c>
      <c r="Z5" s="178">
        <v>309.06</v>
      </c>
      <c r="AA5" s="178">
        <v>389.35</v>
      </c>
      <c r="AB5" s="178">
        <v>373.43</v>
      </c>
      <c r="AC5" s="178">
        <v>389.62</v>
      </c>
      <c r="AD5" s="178">
        <v>373.43</v>
      </c>
      <c r="AE5" s="178">
        <v>437.59</v>
      </c>
      <c r="AF5" s="178">
        <v>4.79</v>
      </c>
      <c r="AG5" s="178">
        <v>4.79</v>
      </c>
      <c r="AH5" s="178">
        <v>4.79</v>
      </c>
      <c r="AI5" s="178">
        <v>4.59</v>
      </c>
      <c r="AJ5" s="106">
        <f>_xll.RtGet("IDN",".IEOA","LAST")</f>
        <v>1786.6200000000001</v>
      </c>
      <c r="AK5" s="102">
        <f>_xll.RtGet("IDN",".IEOA","OPENING PRICE")</f>
        <v>1798.42</v>
      </c>
      <c r="AL5" s="102">
        <f>_xll.RtGet("IDN",".IEOA","TODAY'S HIGH")</f>
        <v>1808.46</v>
      </c>
      <c r="AM5" s="102">
        <f>_xll.RtGet("IDN",".IEOA","TODAY'S LOW")</f>
        <v>1783.43</v>
      </c>
      <c r="AN5" s="105">
        <f>_xll.RtGet("IDN",".IEOB","LAST")</f>
        <v>0</v>
      </c>
      <c r="AO5" s="178">
        <v>1</v>
      </c>
      <c r="AP5" s="178">
        <v>1</v>
      </c>
      <c r="AQ5" s="178">
        <v>1</v>
      </c>
      <c r="AR5" s="178">
        <v>1</v>
      </c>
      <c r="AS5" s="178">
        <v>1</v>
      </c>
      <c r="AT5" s="106">
        <f>_xll.RtGet("IDN",".IEOC","LAST")</f>
        <v>4835.04</v>
      </c>
      <c r="AU5" s="102">
        <f>_xll.RtGet("IDN",".IEOC","OPENING PRICE")</f>
        <v>4780.26</v>
      </c>
      <c r="AV5" s="102">
        <f>_xll.RtGet("IDN",".IEOC","TODAY'S HIGH")</f>
        <v>4856.92</v>
      </c>
      <c r="AW5" s="102">
        <f>_xll.RtGet("IDN",".IEOC","TODAY'S LOW")</f>
        <v>4780.26</v>
      </c>
      <c r="AX5" s="106"/>
      <c r="AY5" s="106">
        <f>_xll.RtGet("IDN",".IEOE","LAST")</f>
        <v>1256.23</v>
      </c>
      <c r="AZ5" s="102">
        <f>_xll.RtGet("IDN",".IEOE","OPENING PRICE")</f>
        <v>1248.18</v>
      </c>
      <c r="BA5" s="102">
        <f>_xll.RtGet("IDN",".IEOE","TODAY'S HIGH")</f>
        <v>1258.93</v>
      </c>
      <c r="BB5" s="102">
        <f>_xll.RtGet("IDN",".IEOE","TODAY'S LOW")</f>
        <v>1247.96</v>
      </c>
      <c r="BC5" s="105">
        <f>_xll.RtGet("IDN",".IEOF","LAST")</f>
        <v>0</v>
      </c>
    </row>
    <row r="6" spans="1:55" x14ac:dyDescent="0.2">
      <c r="A6" s="71"/>
      <c r="B6" s="177"/>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c r="AH6" s="177"/>
      <c r="AI6" s="177"/>
      <c r="AJ6" s="107"/>
      <c r="AK6" s="107"/>
      <c r="AL6" s="107"/>
      <c r="AM6" s="107"/>
      <c r="AN6" s="107"/>
      <c r="AO6" s="107"/>
      <c r="AP6" s="107"/>
      <c r="AQ6" s="107"/>
      <c r="AR6" s="107"/>
      <c r="AS6" s="107"/>
      <c r="AT6" s="107"/>
      <c r="AU6" s="107"/>
      <c r="AV6" s="107"/>
      <c r="AW6" s="107"/>
      <c r="AX6" s="107"/>
      <c r="AY6" s="107"/>
      <c r="AZ6" s="107"/>
      <c r="BA6" s="107"/>
      <c r="BB6" s="107"/>
      <c r="BC6" s="107"/>
    </row>
    <row r="7" spans="1:55" x14ac:dyDescent="0.2">
      <c r="A7" s="71"/>
      <c r="B7" s="179"/>
      <c r="C7" s="177"/>
      <c r="D7" s="177"/>
      <c r="E7" s="177"/>
      <c r="F7" s="177"/>
      <c r="G7" s="177"/>
      <c r="H7" s="177"/>
      <c r="I7" s="177"/>
      <c r="J7" s="177"/>
      <c r="K7" s="177"/>
      <c r="L7" s="177"/>
      <c r="M7" s="177"/>
      <c r="N7" s="177"/>
      <c r="O7" s="177"/>
      <c r="P7" s="177"/>
      <c r="Q7" s="177"/>
      <c r="R7" s="177"/>
      <c r="S7" s="177"/>
      <c r="T7" s="177"/>
      <c r="U7" s="177"/>
      <c r="V7" s="177"/>
      <c r="W7" s="177"/>
      <c r="X7" s="177"/>
      <c r="Y7" s="177"/>
      <c r="Z7" s="177"/>
      <c r="AA7" s="177"/>
      <c r="AB7" s="177"/>
      <c r="AC7" s="177"/>
      <c r="AD7" s="177"/>
      <c r="AE7" s="177"/>
      <c r="AF7" s="177"/>
      <c r="AG7" s="177"/>
      <c r="AH7" s="177"/>
      <c r="AI7" s="177"/>
      <c r="AJ7" s="107"/>
      <c r="AK7" s="107"/>
      <c r="AL7" s="107"/>
      <c r="AM7" s="107"/>
      <c r="AN7" s="107"/>
      <c r="AO7" s="107"/>
      <c r="AP7" s="107"/>
      <c r="AQ7" s="107"/>
      <c r="AR7" s="107"/>
      <c r="AS7" s="107"/>
      <c r="AT7" s="107"/>
      <c r="AU7" s="107"/>
      <c r="AV7" s="107"/>
      <c r="AW7" s="107"/>
      <c r="AX7" s="107"/>
      <c r="AY7" s="107"/>
      <c r="AZ7" s="107"/>
      <c r="BA7" s="107"/>
      <c r="BB7" s="107"/>
      <c r="BC7" s="107"/>
    </row>
    <row r="8" spans="1:55" ht="13.5" thickBot="1" x14ac:dyDescent="0.25">
      <c r="A8" s="71"/>
      <c r="B8" s="25"/>
      <c r="C8" s="25"/>
      <c r="D8" s="25"/>
      <c r="E8" s="25"/>
      <c r="F8" s="25"/>
      <c r="G8" s="25"/>
      <c r="H8" s="25"/>
      <c r="I8" s="25"/>
      <c r="J8" s="25"/>
      <c r="K8" s="25"/>
      <c r="L8" s="25"/>
      <c r="M8" s="25"/>
      <c r="N8" s="25"/>
      <c r="O8" s="25"/>
      <c r="P8" s="25"/>
      <c r="Q8" s="25"/>
      <c r="R8" s="25"/>
      <c r="S8" s="25"/>
      <c r="T8" s="25"/>
      <c r="U8" s="25"/>
      <c r="V8" s="25"/>
      <c r="W8" s="25"/>
      <c r="X8" s="25"/>
      <c r="Y8" s="25"/>
      <c r="Z8" s="25"/>
    </row>
    <row r="9" spans="1:55" s="77" customFormat="1" x14ac:dyDescent="0.2">
      <c r="A9" s="85" t="s">
        <v>185</v>
      </c>
      <c r="B9" s="86"/>
      <c r="C9" s="86"/>
      <c r="D9" s="86"/>
      <c r="E9" s="86"/>
      <c r="F9" s="86"/>
      <c r="G9" s="86"/>
      <c r="H9" s="86"/>
      <c r="I9" s="86"/>
      <c r="J9" s="86"/>
      <c r="K9" s="86"/>
      <c r="L9" s="86"/>
      <c r="M9" s="86"/>
      <c r="N9" s="86"/>
      <c r="O9" s="86"/>
      <c r="P9" s="86"/>
      <c r="Q9" s="86"/>
      <c r="R9" s="86"/>
      <c r="S9" s="86"/>
      <c r="T9" s="86"/>
      <c r="U9" s="86"/>
      <c r="V9" s="86"/>
      <c r="W9" s="86"/>
      <c r="X9" s="86"/>
      <c r="Y9" s="86"/>
      <c r="Z9" s="86"/>
      <c r="AA9" s="86"/>
      <c r="AB9" s="86"/>
      <c r="AC9" s="86"/>
      <c r="AD9" s="86"/>
      <c r="AE9" s="86"/>
      <c r="AF9" s="86"/>
      <c r="AG9" s="86"/>
      <c r="AH9" s="86"/>
      <c r="AI9" s="86"/>
      <c r="AJ9" s="86"/>
      <c r="AK9" s="87"/>
    </row>
    <row r="10" spans="1:55" s="78" customFormat="1" x14ac:dyDescent="0.2">
      <c r="A10" s="72" t="s">
        <v>144</v>
      </c>
      <c r="B10" s="72" t="s">
        <v>145</v>
      </c>
      <c r="C10" s="72" t="s">
        <v>146</v>
      </c>
      <c r="D10" s="72" t="s">
        <v>147</v>
      </c>
      <c r="E10" s="72" t="s">
        <v>148</v>
      </c>
      <c r="F10" s="72" t="s">
        <v>149</v>
      </c>
      <c r="G10" s="72" t="s">
        <v>150</v>
      </c>
      <c r="H10" s="72" t="s">
        <v>151</v>
      </c>
      <c r="I10" s="72" t="s">
        <v>152</v>
      </c>
      <c r="J10" s="72" t="s">
        <v>153</v>
      </c>
      <c r="K10" s="72" t="s">
        <v>154</v>
      </c>
      <c r="L10" s="72" t="s">
        <v>155</v>
      </c>
      <c r="M10" s="72" t="s">
        <v>156</v>
      </c>
      <c r="N10" s="72" t="s">
        <v>157</v>
      </c>
      <c r="O10" s="72" t="s">
        <v>158</v>
      </c>
      <c r="P10" s="72" t="s">
        <v>159</v>
      </c>
      <c r="Q10" s="72" t="s">
        <v>160</v>
      </c>
      <c r="R10" s="72" t="s">
        <v>161</v>
      </c>
      <c r="S10" s="72" t="s">
        <v>162</v>
      </c>
      <c r="T10" s="72" t="s">
        <v>163</v>
      </c>
      <c r="U10" s="72" t="s">
        <v>164</v>
      </c>
      <c r="V10" s="72" t="s">
        <v>165</v>
      </c>
      <c r="W10" s="72" t="s">
        <v>166</v>
      </c>
      <c r="X10" s="72" t="s">
        <v>167</v>
      </c>
      <c r="Y10" s="72" t="s">
        <v>168</v>
      </c>
      <c r="Z10" s="72" t="s">
        <v>169</v>
      </c>
      <c r="AA10" s="72" t="s">
        <v>170</v>
      </c>
      <c r="AB10" s="72" t="s">
        <v>171</v>
      </c>
      <c r="AC10" s="72" t="s">
        <v>172</v>
      </c>
      <c r="AD10" s="72" t="s">
        <v>173</v>
      </c>
      <c r="AE10" s="72" t="s">
        <v>174</v>
      </c>
      <c r="AF10" s="72" t="s">
        <v>175</v>
      </c>
      <c r="AG10" s="72" t="s">
        <v>176</v>
      </c>
      <c r="AH10" s="72" t="s">
        <v>177</v>
      </c>
      <c r="AI10" s="72" t="s">
        <v>178</v>
      </c>
      <c r="AJ10" s="72" t="s">
        <v>179</v>
      </c>
      <c r="AK10" s="72" t="s">
        <v>180</v>
      </c>
    </row>
    <row r="11" spans="1:55" s="26" customFormat="1" ht="18.75" customHeight="1" thickBot="1" x14ac:dyDescent="0.25">
      <c r="A11" s="73">
        <v>212320</v>
      </c>
      <c r="B11" s="74">
        <v>37974.632222222222</v>
      </c>
      <c r="C11" s="73">
        <v>4823.12</v>
      </c>
      <c r="D11" s="73" t="s">
        <v>186</v>
      </c>
      <c r="E11" s="73" t="s">
        <v>187</v>
      </c>
      <c r="F11" s="73" t="s">
        <v>188</v>
      </c>
      <c r="G11" s="73" t="s">
        <v>182</v>
      </c>
      <c r="H11" s="73" t="s">
        <v>189</v>
      </c>
      <c r="I11" s="73" t="s">
        <v>190</v>
      </c>
      <c r="J11" s="73" t="s">
        <v>191</v>
      </c>
      <c r="K11" s="73" t="s">
        <v>192</v>
      </c>
      <c r="L11" s="73" t="s">
        <v>182</v>
      </c>
      <c r="M11" s="73" t="s">
        <v>193</v>
      </c>
      <c r="N11" s="73" t="s">
        <v>194</v>
      </c>
      <c r="O11" s="73" t="s">
        <v>195</v>
      </c>
      <c r="P11" s="73" t="s">
        <v>196</v>
      </c>
      <c r="Q11" s="73" t="s">
        <v>182</v>
      </c>
      <c r="R11" s="73" t="s">
        <v>197</v>
      </c>
      <c r="S11" s="73" t="s">
        <v>198</v>
      </c>
      <c r="T11" s="73" t="s">
        <v>199</v>
      </c>
      <c r="U11" s="73" t="s">
        <v>200</v>
      </c>
      <c r="V11" s="73" t="s">
        <v>182</v>
      </c>
      <c r="W11" s="73" t="s">
        <v>201</v>
      </c>
      <c r="X11" s="73" t="s">
        <v>202</v>
      </c>
      <c r="Y11" s="73" t="s">
        <v>202</v>
      </c>
      <c r="Z11" s="73" t="s">
        <v>201</v>
      </c>
      <c r="AA11" s="73" t="s">
        <v>182</v>
      </c>
      <c r="AB11" s="75" t="s">
        <v>181</v>
      </c>
      <c r="AC11" s="75" t="s">
        <v>181</v>
      </c>
      <c r="AD11" s="75" t="s">
        <v>181</v>
      </c>
      <c r="AE11" s="75" t="s">
        <v>181</v>
      </c>
      <c r="AF11" s="75" t="s">
        <v>181</v>
      </c>
      <c r="AG11" s="75" t="s">
        <v>181</v>
      </c>
      <c r="AH11" s="75" t="s">
        <v>181</v>
      </c>
      <c r="AI11" s="75" t="s">
        <v>181</v>
      </c>
      <c r="AJ11" s="75" t="s">
        <v>181</v>
      </c>
      <c r="AK11" s="75" t="s">
        <v>181</v>
      </c>
    </row>
    <row r="12" spans="1:55" s="25" customFormat="1" ht="13.5" thickBot="1" x14ac:dyDescent="0.25">
      <c r="A12" s="64" t="s">
        <v>183</v>
      </c>
      <c r="B12" s="88"/>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90"/>
      <c r="AC12" s="90"/>
      <c r="AD12" s="90"/>
      <c r="AE12" s="90"/>
      <c r="AF12" s="90"/>
      <c r="AG12" s="90"/>
      <c r="AH12" s="90"/>
      <c r="AI12" s="90"/>
      <c r="AJ12" s="90"/>
      <c r="AK12" s="91"/>
    </row>
    <row r="13" spans="1:55" x14ac:dyDescent="0.2">
      <c r="A13" s="80">
        <f t="shared" ref="A13:A24" si="0">$A$11</f>
        <v>212320</v>
      </c>
      <c r="B13" s="81">
        <f>ROUNDDOWN($B$11,0) +(1050/1440)</f>
        <v>37974.729166666664</v>
      </c>
      <c r="C13" s="82">
        <f t="shared" ref="C13:AA13" si="1">B$2</f>
        <v>5894.6900000000005</v>
      </c>
      <c r="D13" s="82">
        <f t="shared" si="1"/>
        <v>5857.9000000000005</v>
      </c>
      <c r="E13" s="82">
        <f t="shared" si="1"/>
        <v>5906</v>
      </c>
      <c r="F13" s="82">
        <f t="shared" si="1"/>
        <v>5856.22</v>
      </c>
      <c r="G13" s="82">
        <f t="shared" ref="G13:G24" si="2">F$2</f>
        <v>0</v>
      </c>
      <c r="H13" s="82">
        <f t="shared" si="1"/>
        <v>252.85</v>
      </c>
      <c r="I13" s="82">
        <f t="shared" si="1"/>
        <v>243.70000000000002</v>
      </c>
      <c r="J13" s="82">
        <f t="shared" si="1"/>
        <v>254.09</v>
      </c>
      <c r="K13" s="82">
        <f t="shared" si="1"/>
        <v>242.46</v>
      </c>
      <c r="L13" s="82">
        <f t="shared" si="1"/>
        <v>0</v>
      </c>
      <c r="M13" s="82">
        <f t="shared" si="1"/>
        <v>8437.89</v>
      </c>
      <c r="N13" s="82">
        <f t="shared" si="1"/>
        <v>8403.2999999999993</v>
      </c>
      <c r="O13" s="82">
        <f t="shared" si="1"/>
        <v>8458.42</v>
      </c>
      <c r="P13" s="82">
        <f t="shared" si="1"/>
        <v>8401.99</v>
      </c>
      <c r="Q13" s="82">
        <f t="shared" si="1"/>
        <v>0</v>
      </c>
      <c r="R13" s="82">
        <f t="shared" si="1"/>
        <v>2188.46</v>
      </c>
      <c r="S13" s="82">
        <f t="shared" si="1"/>
        <v>2201.54</v>
      </c>
      <c r="T13" s="82">
        <f t="shared" si="1"/>
        <v>2213.88</v>
      </c>
      <c r="U13" s="82">
        <f t="shared" si="1"/>
        <v>2188.46</v>
      </c>
      <c r="V13" s="82">
        <f t="shared" si="1"/>
        <v>0</v>
      </c>
      <c r="W13" s="82">
        <f t="shared" si="1"/>
        <v>0</v>
      </c>
      <c r="X13" s="82">
        <f t="shared" si="1"/>
        <v>0</v>
      </c>
      <c r="Y13" s="82">
        <f t="shared" si="1"/>
        <v>0</v>
      </c>
      <c r="Z13" s="82">
        <f t="shared" si="1"/>
        <v>0</v>
      </c>
      <c r="AA13" s="82">
        <f t="shared" si="1"/>
        <v>0</v>
      </c>
      <c r="AB13" s="82" t="str">
        <f t="shared" ref="AB13:AK24" si="3">AB$11</f>
        <v>F</v>
      </c>
      <c r="AC13" s="82" t="str">
        <f t="shared" si="3"/>
        <v>F</v>
      </c>
      <c r="AD13" s="82" t="str">
        <f t="shared" si="3"/>
        <v>F</v>
      </c>
      <c r="AE13" s="82" t="str">
        <f t="shared" si="3"/>
        <v>F</v>
      </c>
      <c r="AF13" s="82" t="str">
        <f t="shared" si="3"/>
        <v>F</v>
      </c>
      <c r="AG13" s="82" t="str">
        <f t="shared" si="3"/>
        <v>F</v>
      </c>
      <c r="AH13" s="82" t="str">
        <f t="shared" si="3"/>
        <v>F</v>
      </c>
      <c r="AI13" s="82" t="str">
        <f t="shared" si="3"/>
        <v>F</v>
      </c>
      <c r="AJ13" s="82" t="str">
        <f t="shared" si="3"/>
        <v>F</v>
      </c>
      <c r="AK13" s="83" t="str">
        <f t="shared" si="3"/>
        <v>F</v>
      </c>
    </row>
    <row r="14" spans="1:55" x14ac:dyDescent="0.2">
      <c r="A14" s="10">
        <f t="shared" si="0"/>
        <v>212320</v>
      </c>
      <c r="B14" s="79">
        <f>ROUNDDOWN($B$11,0) +(1050/1440)</f>
        <v>37974.729166666664</v>
      </c>
      <c r="C14" s="11">
        <f t="shared" ref="C14:AA14" si="4">B$2</f>
        <v>5894.6900000000005</v>
      </c>
      <c r="D14" s="11">
        <f t="shared" si="4"/>
        <v>5857.9000000000005</v>
      </c>
      <c r="E14" s="11">
        <f t="shared" si="4"/>
        <v>5906</v>
      </c>
      <c r="F14" s="11">
        <f t="shared" si="4"/>
        <v>5856.22</v>
      </c>
      <c r="G14" s="11">
        <f t="shared" si="2"/>
        <v>0</v>
      </c>
      <c r="H14" s="11">
        <f t="shared" si="4"/>
        <v>252.85</v>
      </c>
      <c r="I14" s="11">
        <f t="shared" si="4"/>
        <v>243.70000000000002</v>
      </c>
      <c r="J14" s="11">
        <f t="shared" si="4"/>
        <v>254.09</v>
      </c>
      <c r="K14" s="11">
        <f t="shared" si="4"/>
        <v>242.46</v>
      </c>
      <c r="L14" s="11">
        <f t="shared" si="4"/>
        <v>0</v>
      </c>
      <c r="M14" s="11">
        <f t="shared" si="4"/>
        <v>8437.89</v>
      </c>
      <c r="N14" s="11">
        <f t="shared" si="4"/>
        <v>8403.2999999999993</v>
      </c>
      <c r="O14" s="11">
        <f t="shared" si="4"/>
        <v>8458.42</v>
      </c>
      <c r="P14" s="11">
        <f t="shared" si="4"/>
        <v>8401.99</v>
      </c>
      <c r="Q14" s="11">
        <f t="shared" si="4"/>
        <v>0</v>
      </c>
      <c r="R14" s="11">
        <f t="shared" si="4"/>
        <v>2188.46</v>
      </c>
      <c r="S14" s="11">
        <f t="shared" si="4"/>
        <v>2201.54</v>
      </c>
      <c r="T14" s="11">
        <f t="shared" si="4"/>
        <v>2213.88</v>
      </c>
      <c r="U14" s="11">
        <f t="shared" si="4"/>
        <v>2188.46</v>
      </c>
      <c r="V14" s="11">
        <f t="shared" si="4"/>
        <v>0</v>
      </c>
      <c r="W14" s="11">
        <f t="shared" si="4"/>
        <v>0</v>
      </c>
      <c r="X14" s="11">
        <f t="shared" si="4"/>
        <v>0</v>
      </c>
      <c r="Y14" s="11">
        <f t="shared" si="4"/>
        <v>0</v>
      </c>
      <c r="Z14" s="11">
        <f t="shared" si="4"/>
        <v>0</v>
      </c>
      <c r="AA14" s="11">
        <f t="shared" si="4"/>
        <v>0</v>
      </c>
      <c r="AB14" s="11" t="str">
        <f t="shared" si="3"/>
        <v>F</v>
      </c>
      <c r="AC14" s="11" t="str">
        <f t="shared" si="3"/>
        <v>F</v>
      </c>
      <c r="AD14" s="11" t="str">
        <f t="shared" si="3"/>
        <v>F</v>
      </c>
      <c r="AE14" s="11" t="str">
        <f t="shared" si="3"/>
        <v>F</v>
      </c>
      <c r="AF14" s="11" t="str">
        <f t="shared" si="3"/>
        <v>F</v>
      </c>
      <c r="AG14" s="11" t="str">
        <f t="shared" si="3"/>
        <v>F</v>
      </c>
      <c r="AH14" s="11" t="str">
        <f t="shared" si="3"/>
        <v>F</v>
      </c>
      <c r="AI14" s="11" t="str">
        <f t="shared" si="3"/>
        <v>F</v>
      </c>
      <c r="AJ14" s="11" t="str">
        <f t="shared" si="3"/>
        <v>F</v>
      </c>
      <c r="AK14" s="12" t="str">
        <f t="shared" si="3"/>
        <v>F</v>
      </c>
    </row>
    <row r="15" spans="1:55" x14ac:dyDescent="0.2">
      <c r="A15" s="10">
        <f t="shared" si="0"/>
        <v>212320</v>
      </c>
      <c r="B15" s="79">
        <f>ROUNDDOWN($B$11,0) +(1050/1440)</f>
        <v>37974.729166666664</v>
      </c>
      <c r="C15" s="11">
        <f t="shared" ref="C15:AA15" si="5">B$2</f>
        <v>5894.6900000000005</v>
      </c>
      <c r="D15" s="11">
        <f t="shared" si="5"/>
        <v>5857.9000000000005</v>
      </c>
      <c r="E15" s="11">
        <f t="shared" si="5"/>
        <v>5906</v>
      </c>
      <c r="F15" s="11">
        <f t="shared" si="5"/>
        <v>5856.22</v>
      </c>
      <c r="G15" s="11">
        <f t="shared" si="2"/>
        <v>0</v>
      </c>
      <c r="H15" s="11">
        <f t="shared" si="5"/>
        <v>252.85</v>
      </c>
      <c r="I15" s="11">
        <f t="shared" si="5"/>
        <v>243.70000000000002</v>
      </c>
      <c r="J15" s="11">
        <f t="shared" si="5"/>
        <v>254.09</v>
      </c>
      <c r="K15" s="11">
        <f t="shared" si="5"/>
        <v>242.46</v>
      </c>
      <c r="L15" s="11">
        <f t="shared" si="5"/>
        <v>0</v>
      </c>
      <c r="M15" s="11">
        <f t="shared" si="5"/>
        <v>8437.89</v>
      </c>
      <c r="N15" s="11">
        <f t="shared" si="5"/>
        <v>8403.2999999999993</v>
      </c>
      <c r="O15" s="11">
        <f t="shared" si="5"/>
        <v>8458.42</v>
      </c>
      <c r="P15" s="11">
        <f t="shared" si="5"/>
        <v>8401.99</v>
      </c>
      <c r="Q15" s="11">
        <f t="shared" si="5"/>
        <v>0</v>
      </c>
      <c r="R15" s="11">
        <f t="shared" si="5"/>
        <v>2188.46</v>
      </c>
      <c r="S15" s="11">
        <f t="shared" si="5"/>
        <v>2201.54</v>
      </c>
      <c r="T15" s="11">
        <f t="shared" si="5"/>
        <v>2213.88</v>
      </c>
      <c r="U15" s="11">
        <f t="shared" si="5"/>
        <v>2188.46</v>
      </c>
      <c r="V15" s="11">
        <f t="shared" si="5"/>
        <v>0</v>
      </c>
      <c r="W15" s="11">
        <f t="shared" si="5"/>
        <v>0</v>
      </c>
      <c r="X15" s="11">
        <f t="shared" si="5"/>
        <v>0</v>
      </c>
      <c r="Y15" s="11">
        <f t="shared" si="5"/>
        <v>0</v>
      </c>
      <c r="Z15" s="11">
        <f t="shared" si="5"/>
        <v>0</v>
      </c>
      <c r="AA15" s="11">
        <f t="shared" si="5"/>
        <v>0</v>
      </c>
      <c r="AB15" s="11" t="str">
        <f t="shared" si="3"/>
        <v>F</v>
      </c>
      <c r="AC15" s="11" t="str">
        <f t="shared" si="3"/>
        <v>F</v>
      </c>
      <c r="AD15" s="11" t="str">
        <f t="shared" si="3"/>
        <v>F</v>
      </c>
      <c r="AE15" s="11" t="str">
        <f t="shared" si="3"/>
        <v>F</v>
      </c>
      <c r="AF15" s="11" t="str">
        <f t="shared" si="3"/>
        <v>F</v>
      </c>
      <c r="AG15" s="11" t="str">
        <f t="shared" si="3"/>
        <v>F</v>
      </c>
      <c r="AH15" s="11" t="str">
        <f t="shared" si="3"/>
        <v>F</v>
      </c>
      <c r="AI15" s="11" t="str">
        <f t="shared" si="3"/>
        <v>F</v>
      </c>
      <c r="AJ15" s="11" t="str">
        <f t="shared" si="3"/>
        <v>F</v>
      </c>
      <c r="AK15" s="12" t="str">
        <f t="shared" si="3"/>
        <v>F</v>
      </c>
    </row>
    <row r="16" spans="1:55" x14ac:dyDescent="0.2">
      <c r="A16" s="10">
        <f t="shared" si="0"/>
        <v>212320</v>
      </c>
      <c r="B16" s="79">
        <f>ROUNDDOWN($B$11,0) +(990/1440)</f>
        <v>37974.6875</v>
      </c>
      <c r="C16" s="11">
        <f t="shared" ref="C16:AA16" si="6">B$2</f>
        <v>5894.6900000000005</v>
      </c>
      <c r="D16" s="11">
        <f t="shared" si="6"/>
        <v>5857.9000000000005</v>
      </c>
      <c r="E16" s="11">
        <f t="shared" si="6"/>
        <v>5906</v>
      </c>
      <c r="F16" s="11">
        <f t="shared" si="6"/>
        <v>5856.22</v>
      </c>
      <c r="G16" s="11">
        <f t="shared" si="2"/>
        <v>0</v>
      </c>
      <c r="H16" s="11">
        <f t="shared" si="6"/>
        <v>252.85</v>
      </c>
      <c r="I16" s="11">
        <f t="shared" si="6"/>
        <v>243.70000000000002</v>
      </c>
      <c r="J16" s="11">
        <f t="shared" si="6"/>
        <v>254.09</v>
      </c>
      <c r="K16" s="11">
        <f t="shared" si="6"/>
        <v>242.46</v>
      </c>
      <c r="L16" s="11">
        <f t="shared" si="6"/>
        <v>0</v>
      </c>
      <c r="M16" s="11">
        <f t="shared" si="6"/>
        <v>8437.89</v>
      </c>
      <c r="N16" s="11">
        <f t="shared" si="6"/>
        <v>8403.2999999999993</v>
      </c>
      <c r="O16" s="11">
        <f t="shared" si="6"/>
        <v>8458.42</v>
      </c>
      <c r="P16" s="11">
        <f t="shared" si="6"/>
        <v>8401.99</v>
      </c>
      <c r="Q16" s="11">
        <f t="shared" si="6"/>
        <v>0</v>
      </c>
      <c r="R16" s="11">
        <f t="shared" si="6"/>
        <v>2188.46</v>
      </c>
      <c r="S16" s="11">
        <f t="shared" si="6"/>
        <v>2201.54</v>
      </c>
      <c r="T16" s="11">
        <f t="shared" si="6"/>
        <v>2213.88</v>
      </c>
      <c r="U16" s="11">
        <f t="shared" si="6"/>
        <v>2188.46</v>
      </c>
      <c r="V16" s="11">
        <f t="shared" si="6"/>
        <v>0</v>
      </c>
      <c r="W16" s="11">
        <f t="shared" si="6"/>
        <v>0</v>
      </c>
      <c r="X16" s="11">
        <f t="shared" si="6"/>
        <v>0</v>
      </c>
      <c r="Y16" s="11">
        <f t="shared" si="6"/>
        <v>0</v>
      </c>
      <c r="Z16" s="11">
        <f t="shared" si="6"/>
        <v>0</v>
      </c>
      <c r="AA16" s="11">
        <f t="shared" si="6"/>
        <v>0</v>
      </c>
      <c r="AB16" s="11" t="str">
        <f t="shared" si="3"/>
        <v>F</v>
      </c>
      <c r="AC16" s="11" t="str">
        <f t="shared" si="3"/>
        <v>F</v>
      </c>
      <c r="AD16" s="11" t="str">
        <f t="shared" si="3"/>
        <v>F</v>
      </c>
      <c r="AE16" s="11" t="str">
        <f t="shared" si="3"/>
        <v>F</v>
      </c>
      <c r="AF16" s="11" t="str">
        <f t="shared" si="3"/>
        <v>F</v>
      </c>
      <c r="AG16" s="11" t="str">
        <f t="shared" si="3"/>
        <v>F</v>
      </c>
      <c r="AH16" s="11" t="str">
        <f t="shared" si="3"/>
        <v>F</v>
      </c>
      <c r="AI16" s="11" t="str">
        <f t="shared" si="3"/>
        <v>F</v>
      </c>
      <c r="AJ16" s="11" t="str">
        <f t="shared" si="3"/>
        <v>F</v>
      </c>
      <c r="AK16" s="12" t="str">
        <f t="shared" si="3"/>
        <v>F</v>
      </c>
    </row>
    <row r="17" spans="1:37" x14ac:dyDescent="0.2">
      <c r="A17" s="10">
        <f t="shared" si="0"/>
        <v>212320</v>
      </c>
      <c r="B17" s="79">
        <f>ROUNDDOWN($B$11,0) +(930/1440)</f>
        <v>37974.645833333336</v>
      </c>
      <c r="C17" s="11">
        <f t="shared" ref="C17:AA17" si="7">B$2</f>
        <v>5894.6900000000005</v>
      </c>
      <c r="D17" s="11">
        <f t="shared" si="7"/>
        <v>5857.9000000000005</v>
      </c>
      <c r="E17" s="11">
        <f t="shared" si="7"/>
        <v>5906</v>
      </c>
      <c r="F17" s="11">
        <f t="shared" si="7"/>
        <v>5856.22</v>
      </c>
      <c r="G17" s="11">
        <f t="shared" si="2"/>
        <v>0</v>
      </c>
      <c r="H17" s="11">
        <f t="shared" si="7"/>
        <v>252.85</v>
      </c>
      <c r="I17" s="11">
        <f t="shared" si="7"/>
        <v>243.70000000000002</v>
      </c>
      <c r="J17" s="11">
        <f t="shared" si="7"/>
        <v>254.09</v>
      </c>
      <c r="K17" s="11">
        <f t="shared" si="7"/>
        <v>242.46</v>
      </c>
      <c r="L17" s="11">
        <f t="shared" si="7"/>
        <v>0</v>
      </c>
      <c r="M17" s="11">
        <f t="shared" si="7"/>
        <v>8437.89</v>
      </c>
      <c r="N17" s="11">
        <f t="shared" si="7"/>
        <v>8403.2999999999993</v>
      </c>
      <c r="O17" s="11">
        <f t="shared" si="7"/>
        <v>8458.42</v>
      </c>
      <c r="P17" s="11">
        <f t="shared" si="7"/>
        <v>8401.99</v>
      </c>
      <c r="Q17" s="11">
        <f t="shared" si="7"/>
        <v>0</v>
      </c>
      <c r="R17" s="11">
        <f t="shared" si="7"/>
        <v>2188.46</v>
      </c>
      <c r="S17" s="11">
        <f t="shared" si="7"/>
        <v>2201.54</v>
      </c>
      <c r="T17" s="11">
        <f t="shared" si="7"/>
        <v>2213.88</v>
      </c>
      <c r="U17" s="11">
        <f t="shared" si="7"/>
        <v>2188.46</v>
      </c>
      <c r="V17" s="11">
        <f t="shared" si="7"/>
        <v>0</v>
      </c>
      <c r="W17" s="11">
        <f t="shared" si="7"/>
        <v>0</v>
      </c>
      <c r="X17" s="11">
        <f t="shared" si="7"/>
        <v>0</v>
      </c>
      <c r="Y17" s="11">
        <f t="shared" si="7"/>
        <v>0</v>
      </c>
      <c r="Z17" s="11">
        <f t="shared" si="7"/>
        <v>0</v>
      </c>
      <c r="AA17" s="11">
        <f t="shared" si="7"/>
        <v>0</v>
      </c>
      <c r="AB17" s="11" t="str">
        <f t="shared" si="3"/>
        <v>F</v>
      </c>
      <c r="AC17" s="11" t="str">
        <f t="shared" si="3"/>
        <v>F</v>
      </c>
      <c r="AD17" s="11" t="str">
        <f t="shared" si="3"/>
        <v>F</v>
      </c>
      <c r="AE17" s="11" t="str">
        <f t="shared" si="3"/>
        <v>F</v>
      </c>
      <c r="AF17" s="11" t="str">
        <f t="shared" si="3"/>
        <v>F</v>
      </c>
      <c r="AG17" s="11" t="str">
        <f t="shared" si="3"/>
        <v>F</v>
      </c>
      <c r="AH17" s="11" t="str">
        <f t="shared" si="3"/>
        <v>F</v>
      </c>
      <c r="AI17" s="11" t="str">
        <f t="shared" si="3"/>
        <v>F</v>
      </c>
      <c r="AJ17" s="11" t="str">
        <f t="shared" si="3"/>
        <v>F</v>
      </c>
      <c r="AK17" s="12" t="str">
        <f t="shared" si="3"/>
        <v>F</v>
      </c>
    </row>
    <row r="18" spans="1:37" x14ac:dyDescent="0.2">
      <c r="A18" s="10">
        <f t="shared" si="0"/>
        <v>212320</v>
      </c>
      <c r="B18" s="79">
        <f>ROUNDDOWN($B$11,0) +(870/1440)</f>
        <v>37974.604166666664</v>
      </c>
      <c r="C18" s="11">
        <f t="shared" ref="C18:AA18" si="8">B$2</f>
        <v>5894.6900000000005</v>
      </c>
      <c r="D18" s="11">
        <f t="shared" si="8"/>
        <v>5857.9000000000005</v>
      </c>
      <c r="E18" s="11">
        <f t="shared" si="8"/>
        <v>5906</v>
      </c>
      <c r="F18" s="11">
        <f t="shared" si="8"/>
        <v>5856.22</v>
      </c>
      <c r="G18" s="11">
        <f t="shared" si="2"/>
        <v>0</v>
      </c>
      <c r="H18" s="11">
        <f t="shared" si="8"/>
        <v>252.85</v>
      </c>
      <c r="I18" s="11">
        <f t="shared" si="8"/>
        <v>243.70000000000002</v>
      </c>
      <c r="J18" s="11">
        <f t="shared" si="8"/>
        <v>254.09</v>
      </c>
      <c r="K18" s="11">
        <f t="shared" si="8"/>
        <v>242.46</v>
      </c>
      <c r="L18" s="11">
        <f t="shared" si="8"/>
        <v>0</v>
      </c>
      <c r="M18" s="11">
        <f t="shared" si="8"/>
        <v>8437.89</v>
      </c>
      <c r="N18" s="11">
        <f t="shared" si="8"/>
        <v>8403.2999999999993</v>
      </c>
      <c r="O18" s="11">
        <f t="shared" si="8"/>
        <v>8458.42</v>
      </c>
      <c r="P18" s="11">
        <f t="shared" si="8"/>
        <v>8401.99</v>
      </c>
      <c r="Q18" s="11">
        <f t="shared" si="8"/>
        <v>0</v>
      </c>
      <c r="R18" s="11">
        <f t="shared" si="8"/>
        <v>2188.46</v>
      </c>
      <c r="S18" s="11">
        <f t="shared" si="8"/>
        <v>2201.54</v>
      </c>
      <c r="T18" s="11">
        <f t="shared" si="8"/>
        <v>2213.88</v>
      </c>
      <c r="U18" s="11">
        <f t="shared" si="8"/>
        <v>2188.46</v>
      </c>
      <c r="V18" s="11">
        <f t="shared" si="8"/>
        <v>0</v>
      </c>
      <c r="W18" s="11">
        <f t="shared" si="8"/>
        <v>0</v>
      </c>
      <c r="X18" s="11">
        <f t="shared" si="8"/>
        <v>0</v>
      </c>
      <c r="Y18" s="11">
        <f t="shared" si="8"/>
        <v>0</v>
      </c>
      <c r="Z18" s="11">
        <f t="shared" si="8"/>
        <v>0</v>
      </c>
      <c r="AA18" s="11">
        <f t="shared" si="8"/>
        <v>0</v>
      </c>
      <c r="AB18" s="11" t="str">
        <f t="shared" si="3"/>
        <v>F</v>
      </c>
      <c r="AC18" s="11" t="str">
        <f t="shared" si="3"/>
        <v>F</v>
      </c>
      <c r="AD18" s="11" t="str">
        <f t="shared" si="3"/>
        <v>F</v>
      </c>
      <c r="AE18" s="11" t="str">
        <f t="shared" si="3"/>
        <v>F</v>
      </c>
      <c r="AF18" s="11" t="str">
        <f t="shared" si="3"/>
        <v>F</v>
      </c>
      <c r="AG18" s="11" t="str">
        <f t="shared" si="3"/>
        <v>F</v>
      </c>
      <c r="AH18" s="11" t="str">
        <f t="shared" si="3"/>
        <v>F</v>
      </c>
      <c r="AI18" s="11" t="str">
        <f t="shared" si="3"/>
        <v>F</v>
      </c>
      <c r="AJ18" s="11" t="str">
        <f t="shared" si="3"/>
        <v>F</v>
      </c>
      <c r="AK18" s="12" t="str">
        <f t="shared" si="3"/>
        <v>F</v>
      </c>
    </row>
    <row r="19" spans="1:37" x14ac:dyDescent="0.2">
      <c r="A19" s="10">
        <f t="shared" si="0"/>
        <v>212320</v>
      </c>
      <c r="B19" s="79">
        <f>ROUNDDOWN($B$11,0) +(810/1440)</f>
        <v>37974.5625</v>
      </c>
      <c r="C19" s="11">
        <f t="shared" ref="C19:AA19" si="9">B$2</f>
        <v>5894.6900000000005</v>
      </c>
      <c r="D19" s="11">
        <f t="shared" si="9"/>
        <v>5857.9000000000005</v>
      </c>
      <c r="E19" s="11">
        <f t="shared" si="9"/>
        <v>5906</v>
      </c>
      <c r="F19" s="11">
        <f t="shared" si="9"/>
        <v>5856.22</v>
      </c>
      <c r="G19" s="11">
        <f t="shared" si="2"/>
        <v>0</v>
      </c>
      <c r="H19" s="11">
        <f t="shared" si="9"/>
        <v>252.85</v>
      </c>
      <c r="I19" s="11">
        <f t="shared" si="9"/>
        <v>243.70000000000002</v>
      </c>
      <c r="J19" s="11">
        <f t="shared" si="9"/>
        <v>254.09</v>
      </c>
      <c r="K19" s="11">
        <f t="shared" si="9"/>
        <v>242.46</v>
      </c>
      <c r="L19" s="11">
        <f t="shared" si="9"/>
        <v>0</v>
      </c>
      <c r="M19" s="11">
        <f t="shared" si="9"/>
        <v>8437.89</v>
      </c>
      <c r="N19" s="11">
        <f t="shared" si="9"/>
        <v>8403.2999999999993</v>
      </c>
      <c r="O19" s="11">
        <f t="shared" si="9"/>
        <v>8458.42</v>
      </c>
      <c r="P19" s="11">
        <f t="shared" si="9"/>
        <v>8401.99</v>
      </c>
      <c r="Q19" s="11">
        <f t="shared" si="9"/>
        <v>0</v>
      </c>
      <c r="R19" s="11">
        <f t="shared" si="9"/>
        <v>2188.46</v>
      </c>
      <c r="S19" s="11">
        <f t="shared" si="9"/>
        <v>2201.54</v>
      </c>
      <c r="T19" s="11">
        <f t="shared" si="9"/>
        <v>2213.88</v>
      </c>
      <c r="U19" s="11">
        <f t="shared" si="9"/>
        <v>2188.46</v>
      </c>
      <c r="V19" s="11">
        <f t="shared" si="9"/>
        <v>0</v>
      </c>
      <c r="W19" s="11">
        <f t="shared" si="9"/>
        <v>0</v>
      </c>
      <c r="X19" s="11">
        <f t="shared" si="9"/>
        <v>0</v>
      </c>
      <c r="Y19" s="11">
        <f t="shared" si="9"/>
        <v>0</v>
      </c>
      <c r="Z19" s="11">
        <f t="shared" si="9"/>
        <v>0</v>
      </c>
      <c r="AA19" s="11">
        <f t="shared" si="9"/>
        <v>0</v>
      </c>
      <c r="AB19" s="11" t="str">
        <f t="shared" si="3"/>
        <v>F</v>
      </c>
      <c r="AC19" s="11" t="str">
        <f t="shared" si="3"/>
        <v>F</v>
      </c>
      <c r="AD19" s="11" t="str">
        <f t="shared" si="3"/>
        <v>F</v>
      </c>
      <c r="AE19" s="11" t="str">
        <f t="shared" si="3"/>
        <v>F</v>
      </c>
      <c r="AF19" s="11" t="str">
        <f t="shared" si="3"/>
        <v>F</v>
      </c>
      <c r="AG19" s="11" t="str">
        <f t="shared" si="3"/>
        <v>F</v>
      </c>
      <c r="AH19" s="11" t="str">
        <f t="shared" si="3"/>
        <v>F</v>
      </c>
      <c r="AI19" s="11" t="str">
        <f t="shared" si="3"/>
        <v>F</v>
      </c>
      <c r="AJ19" s="11" t="str">
        <f t="shared" si="3"/>
        <v>F</v>
      </c>
      <c r="AK19" s="12" t="str">
        <f t="shared" si="3"/>
        <v>F</v>
      </c>
    </row>
    <row r="20" spans="1:37" x14ac:dyDescent="0.2">
      <c r="A20" s="10">
        <f t="shared" si="0"/>
        <v>212320</v>
      </c>
      <c r="B20" s="79">
        <f>ROUNDDOWN($B$11,0) +(750/1440)</f>
        <v>37974.520833333336</v>
      </c>
      <c r="C20" s="11">
        <f t="shared" ref="C20:AA20" si="10">B$2</f>
        <v>5894.6900000000005</v>
      </c>
      <c r="D20" s="11">
        <f t="shared" si="10"/>
        <v>5857.9000000000005</v>
      </c>
      <c r="E20" s="11">
        <f t="shared" si="10"/>
        <v>5906</v>
      </c>
      <c r="F20" s="11">
        <f t="shared" si="10"/>
        <v>5856.22</v>
      </c>
      <c r="G20" s="11">
        <f t="shared" si="2"/>
        <v>0</v>
      </c>
      <c r="H20" s="11">
        <f t="shared" si="10"/>
        <v>252.85</v>
      </c>
      <c r="I20" s="11">
        <f t="shared" si="10"/>
        <v>243.70000000000002</v>
      </c>
      <c r="J20" s="11">
        <f t="shared" si="10"/>
        <v>254.09</v>
      </c>
      <c r="K20" s="11">
        <f t="shared" si="10"/>
        <v>242.46</v>
      </c>
      <c r="L20" s="11">
        <f t="shared" si="10"/>
        <v>0</v>
      </c>
      <c r="M20" s="11">
        <f t="shared" si="10"/>
        <v>8437.89</v>
      </c>
      <c r="N20" s="11">
        <f t="shared" si="10"/>
        <v>8403.2999999999993</v>
      </c>
      <c r="O20" s="11">
        <f t="shared" si="10"/>
        <v>8458.42</v>
      </c>
      <c r="P20" s="11">
        <f t="shared" si="10"/>
        <v>8401.99</v>
      </c>
      <c r="Q20" s="11">
        <f t="shared" si="10"/>
        <v>0</v>
      </c>
      <c r="R20" s="11">
        <f t="shared" si="10"/>
        <v>2188.46</v>
      </c>
      <c r="S20" s="11">
        <f t="shared" si="10"/>
        <v>2201.54</v>
      </c>
      <c r="T20" s="11">
        <f t="shared" si="10"/>
        <v>2213.88</v>
      </c>
      <c r="U20" s="11">
        <f t="shared" si="10"/>
        <v>2188.46</v>
      </c>
      <c r="V20" s="11">
        <f t="shared" si="10"/>
        <v>0</v>
      </c>
      <c r="W20" s="11">
        <f t="shared" si="10"/>
        <v>0</v>
      </c>
      <c r="X20" s="11">
        <f t="shared" si="10"/>
        <v>0</v>
      </c>
      <c r="Y20" s="11">
        <f t="shared" si="10"/>
        <v>0</v>
      </c>
      <c r="Z20" s="11">
        <f t="shared" si="10"/>
        <v>0</v>
      </c>
      <c r="AA20" s="11">
        <f t="shared" si="10"/>
        <v>0</v>
      </c>
      <c r="AB20" s="11" t="str">
        <f t="shared" si="3"/>
        <v>F</v>
      </c>
      <c r="AC20" s="11" t="str">
        <f t="shared" si="3"/>
        <v>F</v>
      </c>
      <c r="AD20" s="11" t="str">
        <f t="shared" si="3"/>
        <v>F</v>
      </c>
      <c r="AE20" s="11" t="str">
        <f t="shared" si="3"/>
        <v>F</v>
      </c>
      <c r="AF20" s="11" t="str">
        <f t="shared" si="3"/>
        <v>F</v>
      </c>
      <c r="AG20" s="11" t="str">
        <f t="shared" si="3"/>
        <v>F</v>
      </c>
      <c r="AH20" s="11" t="str">
        <f t="shared" si="3"/>
        <v>F</v>
      </c>
      <c r="AI20" s="11" t="str">
        <f t="shared" si="3"/>
        <v>F</v>
      </c>
      <c r="AJ20" s="11" t="str">
        <f t="shared" si="3"/>
        <v>F</v>
      </c>
      <c r="AK20" s="12" t="str">
        <f t="shared" si="3"/>
        <v>F</v>
      </c>
    </row>
    <row r="21" spans="1:37" x14ac:dyDescent="0.2">
      <c r="A21" s="10">
        <f t="shared" si="0"/>
        <v>212320</v>
      </c>
      <c r="B21" s="79">
        <f>ROUNDDOWN($B$11,0) +(690/1440)</f>
        <v>37974.479166666664</v>
      </c>
      <c r="C21" s="11">
        <f t="shared" ref="C21:AA21" si="11">B$2</f>
        <v>5894.6900000000005</v>
      </c>
      <c r="D21" s="11">
        <f t="shared" si="11"/>
        <v>5857.9000000000005</v>
      </c>
      <c r="E21" s="11">
        <f t="shared" si="11"/>
        <v>5906</v>
      </c>
      <c r="F21" s="11">
        <f t="shared" si="11"/>
        <v>5856.22</v>
      </c>
      <c r="G21" s="11">
        <f t="shared" si="2"/>
        <v>0</v>
      </c>
      <c r="H21" s="11">
        <f t="shared" si="11"/>
        <v>252.85</v>
      </c>
      <c r="I21" s="11">
        <f t="shared" si="11"/>
        <v>243.70000000000002</v>
      </c>
      <c r="J21" s="11">
        <f t="shared" si="11"/>
        <v>254.09</v>
      </c>
      <c r="K21" s="11">
        <f t="shared" si="11"/>
        <v>242.46</v>
      </c>
      <c r="L21" s="11">
        <f t="shared" si="11"/>
        <v>0</v>
      </c>
      <c r="M21" s="11">
        <f t="shared" si="11"/>
        <v>8437.89</v>
      </c>
      <c r="N21" s="11">
        <f t="shared" si="11"/>
        <v>8403.2999999999993</v>
      </c>
      <c r="O21" s="11">
        <f t="shared" si="11"/>
        <v>8458.42</v>
      </c>
      <c r="P21" s="11">
        <f t="shared" si="11"/>
        <v>8401.99</v>
      </c>
      <c r="Q21" s="11">
        <f t="shared" si="11"/>
        <v>0</v>
      </c>
      <c r="R21" s="11">
        <f t="shared" si="11"/>
        <v>2188.46</v>
      </c>
      <c r="S21" s="11">
        <f t="shared" si="11"/>
        <v>2201.54</v>
      </c>
      <c r="T21" s="11">
        <f t="shared" si="11"/>
        <v>2213.88</v>
      </c>
      <c r="U21" s="11">
        <f t="shared" si="11"/>
        <v>2188.46</v>
      </c>
      <c r="V21" s="11">
        <f t="shared" si="11"/>
        <v>0</v>
      </c>
      <c r="W21" s="11">
        <f t="shared" si="11"/>
        <v>0</v>
      </c>
      <c r="X21" s="11">
        <f t="shared" si="11"/>
        <v>0</v>
      </c>
      <c r="Y21" s="11">
        <f t="shared" si="11"/>
        <v>0</v>
      </c>
      <c r="Z21" s="11">
        <f t="shared" si="11"/>
        <v>0</v>
      </c>
      <c r="AA21" s="11">
        <f t="shared" si="11"/>
        <v>0</v>
      </c>
      <c r="AB21" s="11" t="str">
        <f t="shared" si="3"/>
        <v>F</v>
      </c>
      <c r="AC21" s="11" t="str">
        <f t="shared" si="3"/>
        <v>F</v>
      </c>
      <c r="AD21" s="11" t="str">
        <f t="shared" si="3"/>
        <v>F</v>
      </c>
      <c r="AE21" s="11" t="str">
        <f t="shared" si="3"/>
        <v>F</v>
      </c>
      <c r="AF21" s="11" t="str">
        <f t="shared" si="3"/>
        <v>F</v>
      </c>
      <c r="AG21" s="11" t="str">
        <f t="shared" si="3"/>
        <v>F</v>
      </c>
      <c r="AH21" s="11" t="str">
        <f t="shared" si="3"/>
        <v>F</v>
      </c>
      <c r="AI21" s="11" t="str">
        <f t="shared" si="3"/>
        <v>F</v>
      </c>
      <c r="AJ21" s="11" t="str">
        <f t="shared" si="3"/>
        <v>F</v>
      </c>
      <c r="AK21" s="12" t="str">
        <f t="shared" si="3"/>
        <v>F</v>
      </c>
    </row>
    <row r="22" spans="1:37" x14ac:dyDescent="0.2">
      <c r="A22" s="10">
        <f t="shared" si="0"/>
        <v>212320</v>
      </c>
      <c r="B22" s="79">
        <f>ROUNDDOWN($B$11,0) +(630/1440)</f>
        <v>37974.4375</v>
      </c>
      <c r="C22" s="11">
        <f t="shared" ref="C22:AA22" si="12">B$2</f>
        <v>5894.6900000000005</v>
      </c>
      <c r="D22" s="11">
        <f t="shared" si="12"/>
        <v>5857.9000000000005</v>
      </c>
      <c r="E22" s="11">
        <f t="shared" si="12"/>
        <v>5906</v>
      </c>
      <c r="F22" s="11">
        <f t="shared" si="12"/>
        <v>5856.22</v>
      </c>
      <c r="G22" s="11">
        <f t="shared" si="2"/>
        <v>0</v>
      </c>
      <c r="H22" s="11">
        <f t="shared" si="12"/>
        <v>252.85</v>
      </c>
      <c r="I22" s="11">
        <f t="shared" si="12"/>
        <v>243.70000000000002</v>
      </c>
      <c r="J22" s="11">
        <f t="shared" si="12"/>
        <v>254.09</v>
      </c>
      <c r="K22" s="11">
        <f t="shared" si="12"/>
        <v>242.46</v>
      </c>
      <c r="L22" s="11">
        <f t="shared" si="12"/>
        <v>0</v>
      </c>
      <c r="M22" s="11">
        <f t="shared" si="12"/>
        <v>8437.89</v>
      </c>
      <c r="N22" s="11">
        <f t="shared" si="12"/>
        <v>8403.2999999999993</v>
      </c>
      <c r="O22" s="11">
        <f t="shared" si="12"/>
        <v>8458.42</v>
      </c>
      <c r="P22" s="11">
        <f t="shared" si="12"/>
        <v>8401.99</v>
      </c>
      <c r="Q22" s="11">
        <f t="shared" si="12"/>
        <v>0</v>
      </c>
      <c r="R22" s="11">
        <f t="shared" si="12"/>
        <v>2188.46</v>
      </c>
      <c r="S22" s="11">
        <f t="shared" si="12"/>
        <v>2201.54</v>
      </c>
      <c r="T22" s="11">
        <f t="shared" si="12"/>
        <v>2213.88</v>
      </c>
      <c r="U22" s="11">
        <f t="shared" si="12"/>
        <v>2188.46</v>
      </c>
      <c r="V22" s="11">
        <f t="shared" si="12"/>
        <v>0</v>
      </c>
      <c r="W22" s="11">
        <f t="shared" si="12"/>
        <v>0</v>
      </c>
      <c r="X22" s="11">
        <f t="shared" si="12"/>
        <v>0</v>
      </c>
      <c r="Y22" s="11">
        <f t="shared" si="12"/>
        <v>0</v>
      </c>
      <c r="Z22" s="11">
        <f t="shared" si="12"/>
        <v>0</v>
      </c>
      <c r="AA22" s="11">
        <f t="shared" si="12"/>
        <v>0</v>
      </c>
      <c r="AB22" s="11" t="str">
        <f t="shared" si="3"/>
        <v>F</v>
      </c>
      <c r="AC22" s="11" t="str">
        <f t="shared" si="3"/>
        <v>F</v>
      </c>
      <c r="AD22" s="11" t="str">
        <f t="shared" si="3"/>
        <v>F</v>
      </c>
      <c r="AE22" s="11" t="str">
        <f t="shared" si="3"/>
        <v>F</v>
      </c>
      <c r="AF22" s="11" t="str">
        <f t="shared" si="3"/>
        <v>F</v>
      </c>
      <c r="AG22" s="11" t="str">
        <f t="shared" si="3"/>
        <v>F</v>
      </c>
      <c r="AH22" s="11" t="str">
        <f t="shared" si="3"/>
        <v>F</v>
      </c>
      <c r="AI22" s="11" t="str">
        <f t="shared" si="3"/>
        <v>F</v>
      </c>
      <c r="AJ22" s="11" t="str">
        <f t="shared" si="3"/>
        <v>F</v>
      </c>
      <c r="AK22" s="12" t="str">
        <f t="shared" si="3"/>
        <v>F</v>
      </c>
    </row>
    <row r="23" spans="1:37" x14ac:dyDescent="0.2">
      <c r="A23" s="10">
        <f t="shared" si="0"/>
        <v>212320</v>
      </c>
      <c r="B23" s="79">
        <f>ROUNDDOWN($B$11,0) +(570/1440)</f>
        <v>37974.395833333336</v>
      </c>
      <c r="C23" s="11">
        <f t="shared" ref="C23:AA23" si="13">B$2</f>
        <v>5894.6900000000005</v>
      </c>
      <c r="D23" s="11">
        <f t="shared" si="13"/>
        <v>5857.9000000000005</v>
      </c>
      <c r="E23" s="11">
        <f t="shared" si="13"/>
        <v>5906</v>
      </c>
      <c r="F23" s="11">
        <f t="shared" si="13"/>
        <v>5856.22</v>
      </c>
      <c r="G23" s="11">
        <f t="shared" si="2"/>
        <v>0</v>
      </c>
      <c r="H23" s="11">
        <f t="shared" si="13"/>
        <v>252.85</v>
      </c>
      <c r="I23" s="11">
        <f t="shared" si="13"/>
        <v>243.70000000000002</v>
      </c>
      <c r="J23" s="11">
        <f t="shared" si="13"/>
        <v>254.09</v>
      </c>
      <c r="K23" s="11">
        <f t="shared" si="13"/>
        <v>242.46</v>
      </c>
      <c r="L23" s="11">
        <f t="shared" si="13"/>
        <v>0</v>
      </c>
      <c r="M23" s="11">
        <f t="shared" si="13"/>
        <v>8437.89</v>
      </c>
      <c r="N23" s="11">
        <f t="shared" si="13"/>
        <v>8403.2999999999993</v>
      </c>
      <c r="O23" s="11">
        <f t="shared" si="13"/>
        <v>8458.42</v>
      </c>
      <c r="P23" s="11">
        <f t="shared" si="13"/>
        <v>8401.99</v>
      </c>
      <c r="Q23" s="11">
        <f t="shared" si="13"/>
        <v>0</v>
      </c>
      <c r="R23" s="11">
        <f t="shared" si="13"/>
        <v>2188.46</v>
      </c>
      <c r="S23" s="11">
        <f t="shared" si="13"/>
        <v>2201.54</v>
      </c>
      <c r="T23" s="11">
        <f t="shared" si="13"/>
        <v>2213.88</v>
      </c>
      <c r="U23" s="11">
        <f t="shared" si="13"/>
        <v>2188.46</v>
      </c>
      <c r="V23" s="11">
        <f t="shared" si="13"/>
        <v>0</v>
      </c>
      <c r="W23" s="11">
        <f t="shared" si="13"/>
        <v>0</v>
      </c>
      <c r="X23" s="11">
        <f t="shared" si="13"/>
        <v>0</v>
      </c>
      <c r="Y23" s="11">
        <f t="shared" si="13"/>
        <v>0</v>
      </c>
      <c r="Z23" s="11">
        <f t="shared" si="13"/>
        <v>0</v>
      </c>
      <c r="AA23" s="11">
        <f t="shared" si="13"/>
        <v>0</v>
      </c>
      <c r="AB23" s="11" t="str">
        <f t="shared" si="3"/>
        <v>F</v>
      </c>
      <c r="AC23" s="11" t="str">
        <f t="shared" si="3"/>
        <v>F</v>
      </c>
      <c r="AD23" s="11" t="str">
        <f t="shared" si="3"/>
        <v>F</v>
      </c>
      <c r="AE23" s="11" t="str">
        <f t="shared" si="3"/>
        <v>F</v>
      </c>
      <c r="AF23" s="11" t="str">
        <f t="shared" si="3"/>
        <v>F</v>
      </c>
      <c r="AG23" s="11" t="str">
        <f t="shared" si="3"/>
        <v>F</v>
      </c>
      <c r="AH23" s="11" t="str">
        <f t="shared" si="3"/>
        <v>F</v>
      </c>
      <c r="AI23" s="11" t="str">
        <f t="shared" si="3"/>
        <v>F</v>
      </c>
      <c r="AJ23" s="11" t="str">
        <f t="shared" si="3"/>
        <v>F</v>
      </c>
      <c r="AK23" s="12" t="str">
        <f t="shared" si="3"/>
        <v>F</v>
      </c>
    </row>
    <row r="24" spans="1:37" ht="13.5" thickBot="1" x14ac:dyDescent="0.25">
      <c r="A24" s="13">
        <f t="shared" si="0"/>
        <v>212320</v>
      </c>
      <c r="B24" s="84">
        <f>ROUNDDOWN($B$11,0) +(510/1440)</f>
        <v>37974.354166666664</v>
      </c>
      <c r="C24" s="14">
        <f t="shared" ref="C24:AA24" si="14">B$2</f>
        <v>5894.6900000000005</v>
      </c>
      <c r="D24" s="14">
        <f t="shared" si="14"/>
        <v>5857.9000000000005</v>
      </c>
      <c r="E24" s="14">
        <f t="shared" si="14"/>
        <v>5906</v>
      </c>
      <c r="F24" s="14">
        <f t="shared" si="14"/>
        <v>5856.22</v>
      </c>
      <c r="G24" s="14">
        <f t="shared" si="2"/>
        <v>0</v>
      </c>
      <c r="H24" s="14">
        <f t="shared" si="14"/>
        <v>252.85</v>
      </c>
      <c r="I24" s="14">
        <f t="shared" si="14"/>
        <v>243.70000000000002</v>
      </c>
      <c r="J24" s="14">
        <f t="shared" si="14"/>
        <v>254.09</v>
      </c>
      <c r="K24" s="14">
        <f t="shared" si="14"/>
        <v>242.46</v>
      </c>
      <c r="L24" s="14">
        <f t="shared" si="14"/>
        <v>0</v>
      </c>
      <c r="M24" s="14">
        <f t="shared" si="14"/>
        <v>8437.89</v>
      </c>
      <c r="N24" s="14">
        <f t="shared" si="14"/>
        <v>8403.2999999999993</v>
      </c>
      <c r="O24" s="14">
        <f t="shared" si="14"/>
        <v>8458.42</v>
      </c>
      <c r="P24" s="14">
        <f t="shared" si="14"/>
        <v>8401.99</v>
      </c>
      <c r="Q24" s="14">
        <f t="shared" si="14"/>
        <v>0</v>
      </c>
      <c r="R24" s="14">
        <f t="shared" si="14"/>
        <v>2188.46</v>
      </c>
      <c r="S24" s="14">
        <f t="shared" si="14"/>
        <v>2201.54</v>
      </c>
      <c r="T24" s="14">
        <f t="shared" si="14"/>
        <v>2213.88</v>
      </c>
      <c r="U24" s="14">
        <f t="shared" si="14"/>
        <v>2188.46</v>
      </c>
      <c r="V24" s="14">
        <f t="shared" si="14"/>
        <v>0</v>
      </c>
      <c r="W24" s="14">
        <f t="shared" si="14"/>
        <v>0</v>
      </c>
      <c r="X24" s="14">
        <f t="shared" si="14"/>
        <v>0</v>
      </c>
      <c r="Y24" s="14">
        <f t="shared" si="14"/>
        <v>0</v>
      </c>
      <c r="Z24" s="14">
        <f t="shared" si="14"/>
        <v>0</v>
      </c>
      <c r="AA24" s="14">
        <f t="shared" si="14"/>
        <v>0</v>
      </c>
      <c r="AB24" s="14" t="str">
        <f t="shared" si="3"/>
        <v>F</v>
      </c>
      <c r="AC24" s="14" t="str">
        <f t="shared" si="3"/>
        <v>F</v>
      </c>
      <c r="AD24" s="14" t="str">
        <f t="shared" si="3"/>
        <v>F</v>
      </c>
      <c r="AE24" s="14" t="str">
        <f t="shared" si="3"/>
        <v>F</v>
      </c>
      <c r="AF24" s="14" t="str">
        <f t="shared" si="3"/>
        <v>F</v>
      </c>
      <c r="AG24" s="14" t="str">
        <f t="shared" si="3"/>
        <v>F</v>
      </c>
      <c r="AH24" s="14" t="str">
        <f t="shared" si="3"/>
        <v>F</v>
      </c>
      <c r="AI24" s="14" t="str">
        <f t="shared" si="3"/>
        <v>F</v>
      </c>
      <c r="AJ24" s="14" t="str">
        <f t="shared" si="3"/>
        <v>F</v>
      </c>
      <c r="AK24" s="15" t="str">
        <f t="shared" si="3"/>
        <v>F</v>
      </c>
    </row>
    <row r="25" spans="1:37" ht="13.5" thickBot="1" x14ac:dyDescent="0.25">
      <c r="C25" s="76"/>
      <c r="J25" s="151"/>
    </row>
    <row r="26" spans="1:37" ht="13.5" thickBot="1" x14ac:dyDescent="0.25">
      <c r="B26" s="67" t="s">
        <v>184</v>
      </c>
      <c r="C26" s="38"/>
      <c r="D26" s="38"/>
      <c r="E26" s="38"/>
      <c r="F26" s="38"/>
      <c r="G26" s="38"/>
      <c r="H26" s="38"/>
      <c r="I26" s="39"/>
    </row>
    <row r="27" spans="1:37" ht="13.5" thickBot="1" x14ac:dyDescent="0.25">
      <c r="A27" s="40" t="s">
        <v>129</v>
      </c>
      <c r="B27" s="61" t="s">
        <v>130</v>
      </c>
      <c r="C27" s="62" t="s">
        <v>131</v>
      </c>
      <c r="D27" s="62" t="s">
        <v>132</v>
      </c>
      <c r="E27" s="62" t="s">
        <v>133</v>
      </c>
      <c r="F27" s="62" t="s">
        <v>134</v>
      </c>
      <c r="G27" s="62" t="s">
        <v>135</v>
      </c>
      <c r="H27" s="62" t="s">
        <v>136</v>
      </c>
      <c r="I27" s="63" t="s">
        <v>137</v>
      </c>
      <c r="AC27" t="s">
        <v>207</v>
      </c>
    </row>
    <row r="28" spans="1:37" ht="13.5" thickBot="1" x14ac:dyDescent="0.25">
      <c r="A28" s="41" t="b">
        <f>C34=C28</f>
        <v>1</v>
      </c>
      <c r="B28" s="42">
        <v>37973</v>
      </c>
      <c r="C28" s="68" t="s">
        <v>138</v>
      </c>
      <c r="D28" s="43">
        <v>1630.94</v>
      </c>
      <c r="E28" s="43">
        <v>1631.7</v>
      </c>
      <c r="F28" s="43">
        <v>0</v>
      </c>
      <c r="G28" s="58">
        <v>6924588789.7690001</v>
      </c>
      <c r="H28" s="43">
        <v>1634.45</v>
      </c>
      <c r="I28" s="44">
        <v>1627.66</v>
      </c>
      <c r="K28" s="6"/>
    </row>
    <row r="29" spans="1:37" x14ac:dyDescent="0.2">
      <c r="A29" s="45" t="b">
        <f>C35=C29</f>
        <v>1</v>
      </c>
      <c r="B29" s="46">
        <v>37973</v>
      </c>
      <c r="C29" s="69" t="s">
        <v>139</v>
      </c>
      <c r="D29" s="47">
        <v>342.55</v>
      </c>
      <c r="E29" s="47">
        <v>343.68</v>
      </c>
      <c r="F29" s="47">
        <v>0</v>
      </c>
      <c r="G29" s="59">
        <v>796044067.55999994</v>
      </c>
      <c r="H29" s="47">
        <v>343.68</v>
      </c>
      <c r="I29" s="48">
        <v>342.55</v>
      </c>
      <c r="K29" t="s">
        <v>207</v>
      </c>
      <c r="L29" t="s">
        <v>207</v>
      </c>
      <c r="AG29" s="164"/>
    </row>
    <row r="30" spans="1:37" x14ac:dyDescent="0.2">
      <c r="A30" s="45" t="b">
        <f>C36=C30</f>
        <v>1</v>
      </c>
      <c r="B30" s="46">
        <v>37973</v>
      </c>
      <c r="C30" s="69" t="s">
        <v>140</v>
      </c>
      <c r="D30" s="47">
        <v>8972.19</v>
      </c>
      <c r="E30" s="47">
        <v>8950.0499999999993</v>
      </c>
      <c r="F30" s="47">
        <v>0</v>
      </c>
      <c r="G30" s="59">
        <v>29419561299.98</v>
      </c>
      <c r="H30" s="47">
        <v>8972.19</v>
      </c>
      <c r="I30" s="48">
        <v>8950.0499999999993</v>
      </c>
      <c r="N30" t="s">
        <v>207</v>
      </c>
      <c r="AG30" s="164"/>
    </row>
    <row r="31" spans="1:37" x14ac:dyDescent="0.2">
      <c r="A31" s="45" t="b">
        <f>C37=C31</f>
        <v>1</v>
      </c>
      <c r="B31" s="46">
        <v>37973</v>
      </c>
      <c r="C31" s="69" t="s">
        <v>141</v>
      </c>
      <c r="D31" s="47">
        <v>3203.05</v>
      </c>
      <c r="E31" s="47">
        <v>3203.56</v>
      </c>
      <c r="F31" s="47">
        <v>0</v>
      </c>
      <c r="G31" s="59">
        <v>32184395063.039001</v>
      </c>
      <c r="H31" s="47">
        <v>3212.35</v>
      </c>
      <c r="I31" s="48">
        <v>3198.48</v>
      </c>
      <c r="Y31" t="s">
        <v>207</v>
      </c>
      <c r="AG31" s="164"/>
    </row>
    <row r="32" spans="1:37" ht="13.5" thickBot="1" x14ac:dyDescent="0.25">
      <c r="A32" s="49" t="b">
        <f>C38=C32</f>
        <v>1</v>
      </c>
      <c r="B32" s="50">
        <v>37973</v>
      </c>
      <c r="C32" s="70" t="s">
        <v>142</v>
      </c>
      <c r="D32" s="51">
        <v>4788.24</v>
      </c>
      <c r="E32" s="51">
        <v>4782.99</v>
      </c>
      <c r="F32" s="51">
        <v>0</v>
      </c>
      <c r="G32" s="60">
        <v>61603956363.018997</v>
      </c>
      <c r="H32" s="51">
        <v>4794.4399999999996</v>
      </c>
      <c r="I32" s="52">
        <v>4781.0600000000004</v>
      </c>
      <c r="K32" t="s">
        <v>207</v>
      </c>
      <c r="L32" t="s">
        <v>207</v>
      </c>
      <c r="AG32" s="164"/>
    </row>
    <row r="33" spans="1:33" x14ac:dyDescent="0.2">
      <c r="B33" s="64" t="s">
        <v>143</v>
      </c>
      <c r="C33" s="65"/>
      <c r="D33" s="65"/>
      <c r="E33" s="65"/>
      <c r="F33" s="65"/>
      <c r="G33" s="65"/>
      <c r="H33" s="65"/>
      <c r="I33" s="66"/>
      <c r="AG33" s="165"/>
    </row>
    <row r="34" spans="1:33" x14ac:dyDescent="0.2">
      <c r="A34" s="53"/>
      <c r="B34" s="55">
        <f ca="1">ROUNDDOWN($A$2,0)</f>
        <v>42590</v>
      </c>
      <c r="C34" s="68" t="s">
        <v>138</v>
      </c>
      <c r="D34" s="43">
        <f>R2</f>
        <v>2201.54</v>
      </c>
      <c r="E34" s="43">
        <f>Q2</f>
        <v>2188.46</v>
      </c>
      <c r="F34" s="43">
        <f>U2</f>
        <v>0</v>
      </c>
      <c r="G34" s="58">
        <f t="shared" ref="G34:I38" si="15">G28</f>
        <v>6924588789.7690001</v>
      </c>
      <c r="H34" s="43">
        <f t="shared" si="15"/>
        <v>1634.45</v>
      </c>
      <c r="I34" s="44">
        <f t="shared" si="15"/>
        <v>1627.66</v>
      </c>
      <c r="AG34" s="164"/>
    </row>
    <row r="35" spans="1:33" x14ac:dyDescent="0.2">
      <c r="B35" s="56">
        <f ca="1">ROUNDDOWN($A$2,0)</f>
        <v>42590</v>
      </c>
      <c r="C35" s="69" t="s">
        <v>139</v>
      </c>
      <c r="D35" s="47">
        <f>W2</f>
        <v>0</v>
      </c>
      <c r="E35" s="47">
        <f>V2</f>
        <v>0</v>
      </c>
      <c r="F35" s="47">
        <f>Z2</f>
        <v>0</v>
      </c>
      <c r="G35" s="59">
        <f t="shared" si="15"/>
        <v>796044067.55999994</v>
      </c>
      <c r="H35" s="47">
        <f t="shared" si="15"/>
        <v>343.68</v>
      </c>
      <c r="I35" s="48">
        <f t="shared" si="15"/>
        <v>342.55</v>
      </c>
      <c r="AG35" s="164"/>
    </row>
    <row r="36" spans="1:33" x14ac:dyDescent="0.2">
      <c r="B36" s="56">
        <f ca="1">ROUNDDOWN($A$2,0)</f>
        <v>42590</v>
      </c>
      <c r="C36" s="69" t="s">
        <v>140</v>
      </c>
      <c r="D36" s="47">
        <f>H2</f>
        <v>243.70000000000002</v>
      </c>
      <c r="E36" s="47">
        <f>G2</f>
        <v>252.85</v>
      </c>
      <c r="F36" s="47">
        <f>K2</f>
        <v>0</v>
      </c>
      <c r="G36" s="59">
        <f t="shared" si="15"/>
        <v>29419561299.98</v>
      </c>
      <c r="H36" s="47">
        <f t="shared" si="15"/>
        <v>8972.19</v>
      </c>
      <c r="I36" s="48">
        <f t="shared" si="15"/>
        <v>8950.0499999999993</v>
      </c>
      <c r="AG36" s="164"/>
    </row>
    <row r="37" spans="1:33" x14ac:dyDescent="0.2">
      <c r="B37" s="56">
        <f ca="1">ROUNDDOWN($A$2,0)</f>
        <v>42590</v>
      </c>
      <c r="C37" s="69" t="s">
        <v>141</v>
      </c>
      <c r="D37" s="47">
        <f>M2</f>
        <v>8403.2999999999993</v>
      </c>
      <c r="E37" s="47">
        <f>L2</f>
        <v>8437.89</v>
      </c>
      <c r="F37" s="47">
        <f>P2</f>
        <v>0</v>
      </c>
      <c r="G37" s="59">
        <f t="shared" si="15"/>
        <v>32184395063.039001</v>
      </c>
      <c r="H37" s="47">
        <f t="shared" si="15"/>
        <v>3212.35</v>
      </c>
      <c r="I37" s="48">
        <f t="shared" si="15"/>
        <v>3198.48</v>
      </c>
      <c r="AG37" s="164"/>
    </row>
    <row r="38" spans="1:33" ht="13.5" thickBot="1" x14ac:dyDescent="0.25">
      <c r="B38" s="57">
        <f ca="1">ROUNDDOWN($A$2,0)</f>
        <v>42590</v>
      </c>
      <c r="C38" s="70" t="s">
        <v>142</v>
      </c>
      <c r="D38" s="51">
        <f>C2</f>
        <v>5857.9000000000005</v>
      </c>
      <c r="E38" s="51">
        <f>B2</f>
        <v>5894.6900000000005</v>
      </c>
      <c r="F38" s="51">
        <f>F2</f>
        <v>0</v>
      </c>
      <c r="G38" s="60">
        <f t="shared" si="15"/>
        <v>61603956363.018997</v>
      </c>
      <c r="H38" s="51">
        <f t="shared" si="15"/>
        <v>4794.4399999999996</v>
      </c>
      <c r="I38" s="52">
        <f t="shared" si="15"/>
        <v>4781.0600000000004</v>
      </c>
      <c r="AG38" s="165"/>
    </row>
    <row r="39" spans="1:33" x14ac:dyDescent="0.2">
      <c r="AG39" s="164"/>
    </row>
    <row r="40" spans="1:33" ht="13.5" thickBot="1" x14ac:dyDescent="0.25">
      <c r="AG40" s="164"/>
    </row>
    <row r="41" spans="1:33" ht="13.5" thickBot="1" x14ac:dyDescent="0.25">
      <c r="A41" s="54">
        <f ca="1">NOW()</f>
        <v>42590.651511805554</v>
      </c>
      <c r="B41" s="4">
        <f>_xll.RtGet("IDN",".ISEQ","LAST")</f>
        <v>5894.6900000000005</v>
      </c>
      <c r="C41" s="5">
        <f>_xll.RtGet("IDN",".ISEQ","OPENING PRICE")</f>
        <v>5857.9000000000005</v>
      </c>
      <c r="D41" s="5">
        <f>_xll.RtGet("IDN",".ISEQ","TODAY'S HIGH")</f>
        <v>5906</v>
      </c>
      <c r="E41" s="5">
        <f>_xll.RtGet("IDN",".ISEQ","TODAY'S LOW")</f>
        <v>5856.22</v>
      </c>
      <c r="F41" s="6">
        <f>_xll.RtGet("IDN",".IVRT","LAST")</f>
        <v>0</v>
      </c>
      <c r="G41" s="4">
        <f>_xll.RtGet("IDN",".IFIN","LAST")</f>
        <v>252.85</v>
      </c>
      <c r="H41" s="5">
        <f>_xll.RtGet("IDN",".IFIN","OPENING PRICE")</f>
        <v>243.70000000000002</v>
      </c>
      <c r="I41" s="5">
        <f>_xll.RtGet("IDN",".IFIN","TODAY'S HIGH")</f>
        <v>254.09</v>
      </c>
      <c r="J41" s="5">
        <f>_xll.RtGet("IDN",".IFIN","TODAY'S LOW")</f>
        <v>242.46</v>
      </c>
      <c r="K41" s="6">
        <f>_xll.RtGet("IDN",".IFNT","LAST")</f>
        <v>0</v>
      </c>
      <c r="L41" s="4">
        <f>_xll.RtGet("IDN",".IGEN","LAST")</f>
        <v>8437.89</v>
      </c>
      <c r="M41" s="5">
        <f>_xll.RtGet("IDN",".IGEN","OPENING PRICE")</f>
        <v>8403.2999999999993</v>
      </c>
      <c r="N41" s="5">
        <f>_xll.RtGet("IDN",".IGEN","TODAY'S HIGH")</f>
        <v>8458.42</v>
      </c>
      <c r="O41" s="5">
        <f>_xll.RtGet("IDN",".IGEN","TODAY'S LOW")</f>
        <v>8401.99</v>
      </c>
      <c r="P41" s="7">
        <f>_xll.RtGet("IDN",".IGNT","LAST")</f>
        <v>0</v>
      </c>
      <c r="Q41" s="8">
        <f>_xll.RtGet("IDN",".ISCI","LAST")</f>
        <v>2188.46</v>
      </c>
      <c r="R41" s="5">
        <f>_xll.RtGet("IDN",".ISCI","OPENING PRICE")</f>
        <v>2201.54</v>
      </c>
      <c r="S41" s="5">
        <f>_xll.RtGet("IDN",".ISCI","TODAY'S HIGH")</f>
        <v>2213.88</v>
      </c>
      <c r="T41" s="5">
        <f>_xll.RtGet("IDN",".ISCI","TODAY'S LOW")</f>
        <v>2188.46</v>
      </c>
      <c r="U41" s="7">
        <f>_xll.RtGet("IDN",".ISCT","LAST")</f>
        <v>0</v>
      </c>
      <c r="V41" s="8" t="str">
        <f>_xll.RtGet("IDN",".ITEQ","LAST")</f>
        <v>#N/A *The record could not be found</v>
      </c>
      <c r="W41" s="5" t="str">
        <f>_xll.RtGet("IDN",".ITEQ","OPENING PRICE")</f>
        <v>#N/A *The record could not be found</v>
      </c>
      <c r="X41" s="5" t="str">
        <f>_xll.RtGet("IDN",".ITEQ","TODAY'S HIGH")</f>
        <v>#N/A *The record could not be found</v>
      </c>
      <c r="Y41" s="5" t="str">
        <f>_xll.RtGet("IDN",".ITEQ","TODAY'S LOW")</f>
        <v>#N/A *The record could not be found</v>
      </c>
      <c r="Z41" s="7" t="str">
        <f>_xll.RtGet("IDN",".ITER","LAST")</f>
        <v>#N/A *The record could not be found</v>
      </c>
      <c r="AG41" s="164"/>
    </row>
    <row r="42" spans="1:33" ht="13.5" thickBot="1" x14ac:dyDescent="0.25">
      <c r="AG42" s="164"/>
    </row>
    <row r="43" spans="1:33" ht="13.5" thickBot="1" x14ac:dyDescent="0.25">
      <c r="A43" s="1" t="s">
        <v>0</v>
      </c>
      <c r="B43" s="1" t="s">
        <v>1</v>
      </c>
      <c r="C43" s="2" t="s">
        <v>2</v>
      </c>
      <c r="D43" s="2" t="s">
        <v>3</v>
      </c>
      <c r="E43" s="2" t="s">
        <v>4</v>
      </c>
      <c r="F43" s="3" t="s">
        <v>5</v>
      </c>
      <c r="G43" s="1" t="s">
        <v>6</v>
      </c>
      <c r="H43" s="2" t="s">
        <v>7</v>
      </c>
      <c r="I43" s="2" t="s">
        <v>8</v>
      </c>
      <c r="J43" s="2" t="s">
        <v>9</v>
      </c>
      <c r="K43" s="3" t="s">
        <v>10</v>
      </c>
      <c r="L43" s="1" t="s">
        <v>11</v>
      </c>
      <c r="M43" s="2" t="s">
        <v>12</v>
      </c>
      <c r="N43" s="2" t="s">
        <v>13</v>
      </c>
      <c r="O43" s="2" t="s">
        <v>14</v>
      </c>
      <c r="P43" s="3" t="s">
        <v>15</v>
      </c>
      <c r="Q43" s="1" t="s">
        <v>16</v>
      </c>
      <c r="R43" s="2" t="s">
        <v>17</v>
      </c>
      <c r="S43" s="2" t="s">
        <v>18</v>
      </c>
      <c r="T43" s="2" t="s">
        <v>19</v>
      </c>
      <c r="U43" s="3" t="s">
        <v>20</v>
      </c>
      <c r="V43" s="1" t="s">
        <v>21</v>
      </c>
      <c r="W43" s="2" t="s">
        <v>22</v>
      </c>
      <c r="X43" s="2" t="s">
        <v>23</v>
      </c>
      <c r="Y43" s="2" t="s">
        <v>24</v>
      </c>
      <c r="Z43" s="3" t="s">
        <v>25</v>
      </c>
      <c r="AG43" s="165"/>
    </row>
    <row r="44" spans="1:33" ht="13.5" thickBot="1" x14ac:dyDescent="0.25">
      <c r="A44" s="54">
        <f ca="1">NOW()</f>
        <v>42590.651511805554</v>
      </c>
      <c r="B44" s="4">
        <f>_xll.RtGet("IDN",".ISEQ","LAST")</f>
        <v>5894.6900000000005</v>
      </c>
      <c r="C44" s="5">
        <f>_xll.RtGet("IDN",".ISEQ","OPENING PRICE")</f>
        <v>5857.9000000000005</v>
      </c>
      <c r="D44" s="5">
        <f>_xll.RtGet("IDN",".ISEQ","TODAY'S HIGH")</f>
        <v>5906</v>
      </c>
      <c r="E44" s="5">
        <f>_xll.RtGet("IDN",".ISEQ","TODAY'S LOW")</f>
        <v>5856.22</v>
      </c>
      <c r="F44" s="6">
        <f>_xll.RtGet("IDN",".IVRT","LAST")</f>
        <v>0</v>
      </c>
      <c r="G44" s="4">
        <f>_xll.RtGet("IDN",".IFIN","LAST")</f>
        <v>252.85</v>
      </c>
      <c r="H44" s="5">
        <f>_xll.RtGet("IDN",".IFIN","OPENING PRICE")</f>
        <v>243.70000000000002</v>
      </c>
      <c r="I44" s="5">
        <f>_xll.RtGet("IDN",".IFIN","TODAY'S HIGH")</f>
        <v>254.09</v>
      </c>
      <c r="J44" s="5">
        <f>_xll.RtGet("IDN",".IFIN","TODAY'S LOW")</f>
        <v>242.46</v>
      </c>
      <c r="K44" s="6">
        <f>_xll.RtGet("IDN",".IFNT","LAST")</f>
        <v>0</v>
      </c>
      <c r="L44" s="4">
        <f>_xll.RtGet("IDN",".IGEN","LAST")</f>
        <v>8437.89</v>
      </c>
      <c r="M44" s="5">
        <f>_xll.RtGet("IDN",".IGEN","OPENING PRICE")</f>
        <v>8403.2999999999993</v>
      </c>
      <c r="N44" s="5">
        <f>_xll.RtGet("IDN",".IGEN","TODAY'S HIGH")</f>
        <v>8458.42</v>
      </c>
      <c r="O44" s="5">
        <f>_xll.RtGet("IDN",".IGEN","TODAY'S LOW")</f>
        <v>8401.99</v>
      </c>
      <c r="P44" s="7">
        <f>_xll.RtGet("IDN",".IGNT","LAST")</f>
        <v>0</v>
      </c>
      <c r="Q44" s="8">
        <f>_xll.RtGet("IDN",".ISCI","LAST")</f>
        <v>2188.46</v>
      </c>
      <c r="R44" s="5">
        <f>_xll.RtGet("IDN",".ISCI","OPENING PRICE")</f>
        <v>2201.54</v>
      </c>
      <c r="S44" s="5">
        <f>_xll.RtGet("IDN",".ISCI","TODAY'S HIGH")</f>
        <v>2213.88</v>
      </c>
      <c r="T44" s="5">
        <f>_xll.RtGet("IDN",".ISCI","TODAY'S LOW")</f>
        <v>2188.46</v>
      </c>
      <c r="U44" s="7">
        <f>_xll.RtGet("IDN",".ISCT","LAST")</f>
        <v>0</v>
      </c>
      <c r="V44" s="8" t="str">
        <f>_xll.RtGet("IDN",".ITEQ","LAST")</f>
        <v>#N/A *The record could not be found</v>
      </c>
      <c r="W44" s="5" t="str">
        <f>_xll.RtGet("IDN",".ITEQ","OPENING PRICE")</f>
        <v>#N/A *The record could not be found</v>
      </c>
      <c r="X44" s="5" t="str">
        <f>_xll.RtGet("IDN",".ITEQ","TODAY'S HIGH")</f>
        <v>#N/A *The record could not be found</v>
      </c>
      <c r="Y44" s="5" t="str">
        <f>_xll.RtGet("IDN",".ITEQ","TODAY'S LOW")</f>
        <v>#N/A *The record could not be found</v>
      </c>
      <c r="Z44" s="7" t="str">
        <f>_xll.RtGet("IDN",".ITER","LAST")</f>
        <v>#N/A *The record could not be found</v>
      </c>
      <c r="AG44" s="164"/>
    </row>
    <row r="45" spans="1:33" ht="13.5" thickBot="1" x14ac:dyDescent="0.25">
      <c r="AG45" s="164"/>
    </row>
    <row r="46" spans="1:33" x14ac:dyDescent="0.2">
      <c r="A46" s="1"/>
      <c r="B46" s="1"/>
      <c r="C46" s="2"/>
      <c r="D46" s="2"/>
      <c r="E46" s="2"/>
      <c r="F46" s="3"/>
      <c r="G46" s="1"/>
      <c r="H46" s="2"/>
      <c r="I46" s="2"/>
      <c r="J46" s="2"/>
      <c r="K46" s="3"/>
      <c r="L46" s="1"/>
      <c r="M46" s="2"/>
      <c r="N46" s="2"/>
      <c r="O46" s="2"/>
      <c r="P46" s="3"/>
      <c r="Q46" s="1"/>
      <c r="R46" s="2"/>
      <c r="S46" s="2"/>
      <c r="T46" s="2"/>
      <c r="U46" s="3"/>
      <c r="V46" s="1"/>
      <c r="W46" s="2"/>
      <c r="X46" s="2"/>
      <c r="Y46" s="2"/>
      <c r="Z46" s="3"/>
      <c r="AG46" s="164"/>
    </row>
    <row r="47" spans="1:33" x14ac:dyDescent="0.2">
      <c r="AG47" s="164"/>
    </row>
    <row r="48" spans="1:33" ht="13.5" thickBot="1" x14ac:dyDescent="0.25">
      <c r="AG48" s="165"/>
    </row>
    <row r="49" spans="6:26" ht="13.5" thickBot="1" x14ac:dyDescent="0.25">
      <c r="F49" s="104">
        <f>_xll.RtGet("IDN",".IVRT","LAST")</f>
        <v>0</v>
      </c>
      <c r="K49" s="104">
        <f>_xll.RtGet("IDN",".IFNT","LAST")</f>
        <v>0</v>
      </c>
      <c r="P49" s="105">
        <f>_xll.RtGet("IDN",".IGNT","LAST")</f>
        <v>0</v>
      </c>
      <c r="U49" s="105">
        <f>_xll.RtGet("IDN",".ISCT","LAST")</f>
        <v>0</v>
      </c>
      <c r="Z49" s="105" t="str">
        <f>_xll.RtGet("IDN",".ITER","LAST")</f>
        <v>#N/A *The record could not be found</v>
      </c>
    </row>
  </sheetData>
  <phoneticPr fontId="5" type="noConversion"/>
  <pageMargins left="0.75" right="0.75" top="1" bottom="1" header="0.5" footer="0.5"/>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7"/>
  <sheetViews>
    <sheetView workbookViewId="0">
      <selection activeCell="D25" sqref="D25"/>
    </sheetView>
  </sheetViews>
  <sheetFormatPr defaultRowHeight="12.75" x14ac:dyDescent="0.2"/>
  <cols>
    <col min="1" max="1" width="15.6640625" customWidth="1"/>
    <col min="2" max="2" width="15.1640625" customWidth="1"/>
    <col min="3" max="3" width="16.1640625" customWidth="1"/>
    <col min="4" max="4" width="18.5" customWidth="1"/>
    <col min="5" max="5" width="22.5" customWidth="1"/>
    <col min="6" max="6" width="19" customWidth="1"/>
    <col min="7" max="7" width="21.83203125" customWidth="1"/>
    <col min="8" max="8" width="19.1640625" customWidth="1"/>
    <col min="9" max="9" width="17.6640625" customWidth="1"/>
    <col min="10" max="10" width="22.1640625" customWidth="1"/>
    <col min="11" max="12" width="24" customWidth="1"/>
  </cols>
  <sheetData>
    <row r="1" spans="1:12" x14ac:dyDescent="0.2">
      <c r="A1" s="139" t="s">
        <v>255</v>
      </c>
      <c r="B1" s="139" t="s">
        <v>256</v>
      </c>
      <c r="C1" s="139" t="s">
        <v>257</v>
      </c>
      <c r="D1" s="139" t="s">
        <v>258</v>
      </c>
      <c r="E1" s="139" t="s">
        <v>259</v>
      </c>
      <c r="F1" s="139" t="s">
        <v>260</v>
      </c>
      <c r="G1" s="139" t="s">
        <v>261</v>
      </c>
      <c r="H1" s="139" t="s">
        <v>262</v>
      </c>
      <c r="I1" s="139" t="s">
        <v>263</v>
      </c>
      <c r="J1" s="139" t="s">
        <v>264</v>
      </c>
      <c r="K1" s="139" t="s">
        <v>265</v>
      </c>
      <c r="L1" s="139" t="s">
        <v>266</v>
      </c>
    </row>
    <row r="2" spans="1:12" x14ac:dyDescent="0.2">
      <c r="A2" s="140">
        <v>42587</v>
      </c>
      <c r="B2" t="s">
        <v>267</v>
      </c>
      <c r="C2" s="150" t="s">
        <v>506</v>
      </c>
      <c r="D2" s="150" t="s">
        <v>507</v>
      </c>
      <c r="E2" s="162" t="s">
        <v>508</v>
      </c>
      <c r="F2" s="150"/>
      <c r="G2" s="150"/>
      <c r="H2" s="150" t="s">
        <v>509</v>
      </c>
      <c r="I2" s="150" t="s">
        <v>510</v>
      </c>
      <c r="J2" s="150" t="s">
        <v>511</v>
      </c>
      <c r="K2" t="s">
        <v>512</v>
      </c>
      <c r="L2" t="s">
        <v>268</v>
      </c>
    </row>
    <row r="3" spans="1:12" x14ac:dyDescent="0.2">
      <c r="A3" s="140">
        <v>42587</v>
      </c>
      <c r="B3" t="s">
        <v>269</v>
      </c>
      <c r="C3" s="150" t="s">
        <v>513</v>
      </c>
      <c r="D3" s="150" t="s">
        <v>514</v>
      </c>
      <c r="E3" s="162" t="s">
        <v>515</v>
      </c>
      <c r="F3" s="150"/>
      <c r="G3" s="150"/>
      <c r="H3" s="150" t="s">
        <v>516</v>
      </c>
      <c r="I3" s="150" t="s">
        <v>517</v>
      </c>
      <c r="J3" s="150" t="s">
        <v>518</v>
      </c>
      <c r="K3" t="s">
        <v>519</v>
      </c>
      <c r="L3" t="s">
        <v>270</v>
      </c>
    </row>
    <row r="4" spans="1:12" x14ac:dyDescent="0.2">
      <c r="A4" s="140">
        <v>42587</v>
      </c>
      <c r="B4" t="s">
        <v>271</v>
      </c>
      <c r="C4" s="150" t="s">
        <v>520</v>
      </c>
      <c r="D4" s="150" t="s">
        <v>521</v>
      </c>
      <c r="E4" s="162" t="s">
        <v>522</v>
      </c>
      <c r="F4" s="150"/>
      <c r="G4" s="150"/>
      <c r="H4" s="150" t="s">
        <v>523</v>
      </c>
      <c r="I4" s="150" t="s">
        <v>524</v>
      </c>
      <c r="J4" s="150" t="s">
        <v>525</v>
      </c>
      <c r="K4" t="s">
        <v>526</v>
      </c>
      <c r="L4" t="s">
        <v>272</v>
      </c>
    </row>
    <row r="5" spans="1:12" x14ac:dyDescent="0.2">
      <c r="A5" s="140">
        <v>42587</v>
      </c>
      <c r="B5" t="s">
        <v>273</v>
      </c>
      <c r="C5" s="150" t="s">
        <v>527</v>
      </c>
      <c r="D5" s="150" t="s">
        <v>528</v>
      </c>
      <c r="E5" s="162" t="s">
        <v>529</v>
      </c>
      <c r="F5" s="150"/>
      <c r="G5" s="150"/>
      <c r="H5" s="150" t="s">
        <v>530</v>
      </c>
      <c r="I5" s="150" t="s">
        <v>531</v>
      </c>
      <c r="J5" s="150" t="s">
        <v>532</v>
      </c>
      <c r="K5" t="s">
        <v>533</v>
      </c>
      <c r="L5" t="s">
        <v>274</v>
      </c>
    </row>
    <row r="6" spans="1:12" x14ac:dyDescent="0.2">
      <c r="A6" s="140">
        <v>42587</v>
      </c>
      <c r="B6" t="s">
        <v>275</v>
      </c>
      <c r="C6" s="150" t="s">
        <v>534</v>
      </c>
      <c r="D6" s="150" t="s">
        <v>535</v>
      </c>
      <c r="E6" s="162" t="s">
        <v>536</v>
      </c>
      <c r="F6" s="150"/>
      <c r="G6" s="150"/>
      <c r="H6" s="150" t="s">
        <v>537</v>
      </c>
      <c r="I6" s="150" t="s">
        <v>538</v>
      </c>
      <c r="J6" s="150" t="s">
        <v>539</v>
      </c>
      <c r="K6" t="s">
        <v>540</v>
      </c>
      <c r="L6" t="s">
        <v>276</v>
      </c>
    </row>
    <row r="7" spans="1:12" x14ac:dyDescent="0.2">
      <c r="A7" s="140">
        <v>42587</v>
      </c>
      <c r="B7" t="s">
        <v>277</v>
      </c>
      <c r="C7" s="150" t="s">
        <v>541</v>
      </c>
      <c r="D7" s="150" t="s">
        <v>542</v>
      </c>
      <c r="E7" s="162" t="s">
        <v>543</v>
      </c>
      <c r="F7" s="150"/>
      <c r="G7" s="150"/>
      <c r="H7" s="150" t="s">
        <v>544</v>
      </c>
      <c r="I7" s="150" t="s">
        <v>545</v>
      </c>
      <c r="J7" s="150" t="s">
        <v>546</v>
      </c>
      <c r="K7" t="s">
        <v>547</v>
      </c>
      <c r="L7" t="s">
        <v>278</v>
      </c>
    </row>
    <row r="10" spans="1:12" ht="13.5" thickBot="1" x14ac:dyDescent="0.25">
      <c r="A10">
        <v>4</v>
      </c>
      <c r="B10">
        <v>5</v>
      </c>
      <c r="C10">
        <v>11</v>
      </c>
      <c r="D10">
        <v>1</v>
      </c>
      <c r="E10">
        <v>3</v>
      </c>
      <c r="F10">
        <v>10</v>
      </c>
    </row>
    <row r="11" spans="1:12" ht="13.5" thickBot="1" x14ac:dyDescent="0.25">
      <c r="A11" s="141" t="s">
        <v>279</v>
      </c>
      <c r="B11" s="142">
        <f>A2</f>
        <v>42587</v>
      </c>
      <c r="C11" s="143" t="s">
        <v>280</v>
      </c>
      <c r="D11" s="143" t="s">
        <v>281</v>
      </c>
      <c r="E11" s="144" t="s">
        <v>282</v>
      </c>
      <c r="F11" s="143" t="s">
        <v>283</v>
      </c>
    </row>
    <row r="12" spans="1:12" x14ac:dyDescent="0.2">
      <c r="A12" s="145">
        <f t="shared" ref="A12:A17" si="0">A2</f>
        <v>42587</v>
      </c>
      <c r="B12" s="146" t="s">
        <v>268</v>
      </c>
      <c r="C12" s="147" t="str">
        <f>C2</f>
        <v>122.038</v>
      </c>
      <c r="D12" s="148" t="str">
        <f>D2</f>
        <v>205.409</v>
      </c>
      <c r="E12" s="149">
        <f t="shared" ref="E12:E17" si="1">J2*1</f>
        <v>0.36199999999999999</v>
      </c>
      <c r="F12" s="163">
        <f t="shared" ref="F12:F17" si="2">E2/1000000</f>
        <v>118284.85054313499</v>
      </c>
    </row>
    <row r="13" spans="1:12" x14ac:dyDescent="0.2">
      <c r="A13" s="145">
        <f t="shared" si="0"/>
        <v>42587</v>
      </c>
      <c r="B13" s="11" t="s">
        <v>270</v>
      </c>
      <c r="C13" s="147" t="str">
        <f t="shared" ref="C13:D17" si="3">C3</f>
        <v>91.131</v>
      </c>
      <c r="D13" s="148" t="str">
        <f t="shared" si="3"/>
        <v>143.606</v>
      </c>
      <c r="E13" s="149">
        <f t="shared" si="1"/>
        <v>-0.44400000000000001</v>
      </c>
      <c r="F13" s="163">
        <f t="shared" si="2"/>
        <v>25884.449496139001</v>
      </c>
    </row>
    <row r="14" spans="1:12" x14ac:dyDescent="0.2">
      <c r="A14" s="145">
        <f t="shared" si="0"/>
        <v>42587</v>
      </c>
      <c r="B14" s="11" t="s">
        <v>272</v>
      </c>
      <c r="C14" s="147" t="str">
        <f t="shared" si="3"/>
        <v>104.63</v>
      </c>
      <c r="D14" s="148" t="str">
        <f t="shared" si="3"/>
        <v>169.101</v>
      </c>
      <c r="E14" s="149">
        <f t="shared" si="1"/>
        <v>-0.36699999999999999</v>
      </c>
      <c r="F14" s="163">
        <f t="shared" si="2"/>
        <v>57288.992592602001</v>
      </c>
    </row>
    <row r="15" spans="1:12" x14ac:dyDescent="0.2">
      <c r="A15" s="145">
        <f t="shared" si="0"/>
        <v>42587</v>
      </c>
      <c r="B15" s="11" t="s">
        <v>274</v>
      </c>
      <c r="C15" s="147" t="str">
        <f t="shared" si="3"/>
        <v>116.382</v>
      </c>
      <c r="D15" s="148" t="str">
        <f t="shared" si="3"/>
        <v>191.293</v>
      </c>
      <c r="E15" s="149">
        <f t="shared" si="1"/>
        <v>1.4999999999999999E-2</v>
      </c>
      <c r="F15" s="163">
        <f t="shared" si="2"/>
        <v>101532.27726413499</v>
      </c>
    </row>
    <row r="16" spans="1:12" x14ac:dyDescent="0.2">
      <c r="A16" s="145">
        <f t="shared" si="0"/>
        <v>42587</v>
      </c>
      <c r="B16" s="11" t="s">
        <v>276</v>
      </c>
      <c r="C16" s="147" t="str">
        <f t="shared" si="3"/>
        <v>137.689</v>
      </c>
      <c r="D16" s="148" t="str">
        <f t="shared" si="3"/>
        <v>234.952</v>
      </c>
      <c r="E16" s="149">
        <f t="shared" si="1"/>
        <v>0.56699999999999995</v>
      </c>
      <c r="F16" s="163">
        <f t="shared" si="2"/>
        <v>60995.857950532998</v>
      </c>
    </row>
    <row r="17" spans="1:6" ht="13.5" thickBot="1" x14ac:dyDescent="0.25">
      <c r="A17" s="145">
        <f t="shared" si="0"/>
        <v>42587</v>
      </c>
      <c r="B17" s="14" t="s">
        <v>278</v>
      </c>
      <c r="C17" s="147" t="str">
        <f t="shared" si="3"/>
        <v>153.557</v>
      </c>
      <c r="D17" s="148" t="str">
        <f t="shared" si="3"/>
        <v>273.571</v>
      </c>
      <c r="E17" s="149">
        <f t="shared" si="1"/>
        <v>0.96199999999999997</v>
      </c>
      <c r="F17" s="163">
        <f t="shared" si="2"/>
        <v>16752.573279</v>
      </c>
    </row>
  </sheetData>
  <phoneticPr fontId="5" type="noConversion"/>
  <pageMargins left="0.75" right="0.75" top="1" bottom="1" header="0.5" footer="0.5"/>
  <pageSetup orientation="portrait" horizontalDpi="90" verticalDpi="9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115"/>
  <sheetViews>
    <sheetView topLeftCell="A4" zoomScale="70" zoomScaleNormal="70" workbookViewId="0">
      <selection activeCell="G48" sqref="G48"/>
    </sheetView>
  </sheetViews>
  <sheetFormatPr defaultRowHeight="12.75" x14ac:dyDescent="0.2"/>
  <cols>
    <col min="1" max="1" width="6.5" customWidth="1"/>
    <col min="3" max="3" width="45.83203125" bestFit="1" customWidth="1"/>
    <col min="4" max="4" width="28.1640625" customWidth="1"/>
    <col min="5" max="5" width="16.83203125" bestFit="1" customWidth="1"/>
    <col min="6" max="6" width="19.6640625" bestFit="1" customWidth="1"/>
    <col min="7" max="7" width="19.6640625" customWidth="1"/>
    <col min="9" max="9" width="31.1640625" customWidth="1"/>
    <col min="10" max="10" width="33" customWidth="1"/>
    <col min="11" max="11" width="16.6640625" customWidth="1"/>
    <col min="12" max="12" width="14.1640625" bestFit="1" customWidth="1"/>
    <col min="15" max="15" width="13.1640625" customWidth="1"/>
  </cols>
  <sheetData>
    <row r="1" spans="1:16" ht="13.5" thickBot="1" x14ac:dyDescent="0.25">
      <c r="J1" s="94"/>
      <c r="K1" s="94"/>
      <c r="L1" s="94"/>
      <c r="M1" s="94"/>
      <c r="N1" s="94" t="s">
        <v>330</v>
      </c>
      <c r="O1" s="94"/>
      <c r="P1" s="94"/>
    </row>
    <row r="2" spans="1:16" ht="16.5" thickBot="1" x14ac:dyDescent="0.3">
      <c r="B2" s="115" t="s">
        <v>73</v>
      </c>
      <c r="C2" s="116"/>
      <c r="D2" s="116"/>
      <c r="E2" s="116"/>
      <c r="F2" s="116"/>
      <c r="G2" s="116"/>
      <c r="H2" s="117"/>
      <c r="J2" s="94" t="s">
        <v>207</v>
      </c>
      <c r="K2" s="95"/>
      <c r="L2" s="95"/>
      <c r="M2" s="95"/>
      <c r="N2">
        <f>_xll.RtGet("IDN","GBPEUR=","BID")</f>
        <v>1.1768000000000001</v>
      </c>
    </row>
    <row r="3" spans="1:16" ht="15" x14ac:dyDescent="0.2">
      <c r="B3" s="118"/>
      <c r="C3" s="119"/>
      <c r="D3" s="119"/>
      <c r="E3" s="119"/>
      <c r="F3" s="119"/>
      <c r="G3" s="119"/>
      <c r="H3" s="120"/>
      <c r="I3" t="s">
        <v>207</v>
      </c>
      <c r="J3" s="94" t="s">
        <v>207</v>
      </c>
      <c r="K3" s="96"/>
      <c r="L3" s="96"/>
      <c r="M3" s="96"/>
    </row>
    <row r="4" spans="1:16" ht="13.5" thickBot="1" x14ac:dyDescent="0.25">
      <c r="B4" s="121"/>
      <c r="C4" s="122"/>
      <c r="D4" s="122"/>
      <c r="E4" s="122"/>
      <c r="F4" s="122"/>
      <c r="G4" s="122"/>
      <c r="H4" s="123"/>
      <c r="J4" s="97"/>
      <c r="K4" s="98"/>
      <c r="L4" s="98"/>
      <c r="M4" s="98"/>
    </row>
    <row r="5" spans="1:16" ht="13.5" thickBot="1" x14ac:dyDescent="0.25">
      <c r="B5" s="121"/>
      <c r="C5" s="124" t="s">
        <v>57</v>
      </c>
      <c r="D5" s="125" t="s">
        <v>56</v>
      </c>
      <c r="E5" s="125" t="s">
        <v>74</v>
      </c>
      <c r="F5" s="126" t="s">
        <v>75</v>
      </c>
      <c r="G5" s="126" t="s">
        <v>289</v>
      </c>
      <c r="H5" s="123"/>
      <c r="I5" t="str">
        <f t="shared" ref="I5:I31" si="0">D5</f>
        <v>ISIN</v>
      </c>
      <c r="J5" s="94" t="str">
        <f>F5</f>
        <v>SETS TURNOVER</v>
      </c>
      <c r="K5" s="94" t="str">
        <f t="shared" ref="K5:K23" si="1">E5</f>
        <v>SETS VOLUME</v>
      </c>
      <c r="L5" s="94" t="s">
        <v>288</v>
      </c>
      <c r="M5" s="94"/>
      <c r="N5" t="s">
        <v>334</v>
      </c>
      <c r="O5" t="s">
        <v>333</v>
      </c>
    </row>
    <row r="6" spans="1:16" x14ac:dyDescent="0.2">
      <c r="B6" s="121"/>
      <c r="C6" s="127" t="s">
        <v>286</v>
      </c>
      <c r="D6" s="130" t="s">
        <v>287</v>
      </c>
      <c r="E6" s="128" t="e">
        <f>(_xll.RtGet("IDN","/AERL.L","VOL ACCUMULATED"))*2</f>
        <v>#VALUE!</v>
      </c>
      <c r="F6" s="128" t="e">
        <f>(_xll.RtGet("IDN","/AERL.L","TURNOVER"))*2</f>
        <v>#VALUE!</v>
      </c>
      <c r="G6" s="128" t="e">
        <f>(_xll.RtGet("IDN","/AERL.L","NUM_MOVES"))*2</f>
        <v>#VALUE!</v>
      </c>
      <c r="H6" s="123"/>
      <c r="I6" t="str">
        <f t="shared" si="0"/>
        <v>IE00B1CMPN86</v>
      </c>
      <c r="J6" s="94" t="e">
        <f>O6</f>
        <v>#VALUE!</v>
      </c>
      <c r="K6" s="94" t="e">
        <f t="shared" si="1"/>
        <v>#VALUE!</v>
      </c>
      <c r="L6" s="94" t="e">
        <f>G6</f>
        <v>#VALUE!</v>
      </c>
      <c r="M6" s="94"/>
      <c r="N6" t="str">
        <f>_xll.RtGet("IDN","/AERL.L","CURRENCY")</f>
        <v>#N/A *The record could not be found</v>
      </c>
      <c r="O6" t="e">
        <f>IF((N6="GBp"),((F6*$N$2)),F6)</f>
        <v>#VALUE!</v>
      </c>
    </row>
    <row r="7" spans="1:16" x14ac:dyDescent="0.2">
      <c r="B7" s="121"/>
      <c r="C7" s="129" t="s">
        <v>78</v>
      </c>
      <c r="D7" s="130" t="s">
        <v>79</v>
      </c>
      <c r="E7" s="128">
        <f>(_xll.RtGet("IDN","/BKIR.L","VOL ACCUMULATED"))*2</f>
        <v>22210842</v>
      </c>
      <c r="F7" s="128">
        <f>(_xll.RtGet("IDN","/BKIR.L","TURNOVER"))*2</f>
        <v>4.1740000000000004</v>
      </c>
      <c r="G7" s="128">
        <f>(_xll.RtGet("IDN","/BKIR.L","NUM_MOVES"))*2</f>
        <v>526</v>
      </c>
      <c r="H7" s="123"/>
      <c r="I7" t="str">
        <f t="shared" si="0"/>
        <v>IE0030606259</v>
      </c>
      <c r="J7" s="94">
        <f t="shared" ref="J7:J55" si="2">O7</f>
        <v>4.1740000000000004</v>
      </c>
      <c r="K7" s="94">
        <f t="shared" si="1"/>
        <v>22210842</v>
      </c>
      <c r="L7" s="94">
        <f t="shared" ref="L7:L23" si="3">G7</f>
        <v>526</v>
      </c>
      <c r="M7" s="94"/>
      <c r="N7" t="str">
        <f>_xll.RtGet("IDN","/BKIR.L","CURRENCY")</f>
        <v>EUR</v>
      </c>
      <c r="O7">
        <f t="shared" ref="O7:O29" si="4">IF((N7="GBp"),((F7*$N$2)),F7)</f>
        <v>4.1740000000000004</v>
      </c>
    </row>
    <row r="8" spans="1:16" x14ac:dyDescent="0.2">
      <c r="B8" s="121"/>
      <c r="C8" s="131" t="s">
        <v>80</v>
      </c>
      <c r="D8" s="128" t="s">
        <v>81</v>
      </c>
      <c r="E8" s="128">
        <f>(_xll.RtGet("IDN","/CRH.L","VOL ACCUMULATED"))*2</f>
        <v>1584776</v>
      </c>
      <c r="F8" s="128">
        <f>(_xll.RtGet("IDN","/CRH.L","TURNOVER"))*2</f>
        <v>36.737460000000006</v>
      </c>
      <c r="G8" s="128">
        <f>(_xll.RtGet("IDN","/CRH.L","NUM_MOVES"))*2</f>
        <v>5036</v>
      </c>
      <c r="H8" s="123"/>
      <c r="I8" t="str">
        <f t="shared" si="0"/>
        <v>IE0001827041</v>
      </c>
      <c r="J8" s="94">
        <f t="shared" si="2"/>
        <v>43.232642928000011</v>
      </c>
      <c r="K8" s="94">
        <f t="shared" si="1"/>
        <v>1584776</v>
      </c>
      <c r="L8" s="94">
        <f t="shared" si="3"/>
        <v>5036</v>
      </c>
      <c r="N8" t="str">
        <f>_xll.RtGet("IDN","/CRH.L","CURRENCY")</f>
        <v>GBp</v>
      </c>
      <c r="O8">
        <f t="shared" si="4"/>
        <v>43.232642928000011</v>
      </c>
    </row>
    <row r="9" spans="1:16" x14ac:dyDescent="0.2">
      <c r="B9" s="121"/>
      <c r="C9" s="129" t="s">
        <v>111</v>
      </c>
      <c r="D9" s="130" t="s">
        <v>121</v>
      </c>
      <c r="E9" s="128">
        <f>(_xll.RtGet("IDN","/DCC.L","VOL ACCUMULATED"))*2</f>
        <v>1029102</v>
      </c>
      <c r="F9" s="128">
        <f>(_xll.RtGet("IDN","/DCC.L","TURNOVER"))*2</f>
        <v>69.88888</v>
      </c>
      <c r="G9" s="128">
        <f>(_xll.RtGet("IDN","/DCC.L","NUM_MOVES"))*2</f>
        <v>1674</v>
      </c>
      <c r="H9" s="123"/>
      <c r="I9" t="str">
        <f t="shared" si="0"/>
        <v>IE0002424939</v>
      </c>
      <c r="J9" s="94">
        <f t="shared" si="2"/>
        <v>82.245233984000009</v>
      </c>
      <c r="K9" s="94">
        <f t="shared" si="1"/>
        <v>1029102</v>
      </c>
      <c r="L9" s="94">
        <f t="shared" si="3"/>
        <v>1674</v>
      </c>
      <c r="N9" t="str">
        <f>_xll.RtGet("IDN","/DCC.L","CURRENCY")</f>
        <v>GBp</v>
      </c>
      <c r="O9">
        <f t="shared" si="4"/>
        <v>82.245233984000009</v>
      </c>
    </row>
    <row r="10" spans="1:16" x14ac:dyDescent="0.2">
      <c r="B10" s="121"/>
      <c r="C10" s="129" t="s">
        <v>204</v>
      </c>
      <c r="D10" s="130" t="s">
        <v>208</v>
      </c>
      <c r="E10" s="128">
        <f>(_xll.RtGet("IDN","/GRF_u.L","VOL ACCUMULATED"))*2</f>
        <v>406200</v>
      </c>
      <c r="F10" s="128">
        <f>(_xll.RtGet("IDN","/GRF_u.L","TURNOVER"))*2</f>
        <v>2.2490600000000001</v>
      </c>
      <c r="G10" s="128">
        <f>(_xll.RtGet("IDN","/GRF_u.L","NUM_MOVES"))*2</f>
        <v>796</v>
      </c>
      <c r="H10" s="123"/>
      <c r="I10" t="str">
        <f t="shared" si="0"/>
        <v>IE00B00MZ448</v>
      </c>
      <c r="J10" s="94">
        <f t="shared" si="2"/>
        <v>2.6466938080000002</v>
      </c>
      <c r="K10" s="94">
        <f t="shared" si="1"/>
        <v>406200</v>
      </c>
      <c r="L10" s="94">
        <f t="shared" si="3"/>
        <v>796</v>
      </c>
      <c r="N10" t="str">
        <f>_xll.RtGet("IDN","/GRF_u.L","CURRENCY")</f>
        <v>GBp</v>
      </c>
      <c r="O10">
        <f t="shared" si="4"/>
        <v>2.6466938080000002</v>
      </c>
    </row>
    <row r="11" spans="1:16" x14ac:dyDescent="0.2">
      <c r="B11" s="121"/>
      <c r="C11" s="131" t="s">
        <v>115</v>
      </c>
      <c r="D11" s="206" t="s">
        <v>496</v>
      </c>
      <c r="E11" s="128">
        <f>(_xll.RtGet("IDN","/INME.L","VOL ACCUMULATED"))*2</f>
        <v>200000</v>
      </c>
      <c r="F11" s="128">
        <f>(_xll.RtGet("IDN","/INME.L","TURNOVER"))*2</f>
        <v>2.5000000000000001E-2</v>
      </c>
      <c r="G11" s="128">
        <f>(_xll.RtGet("IDN","/INME.L","NUM_MOVES"))*2</f>
        <v>2</v>
      </c>
      <c r="H11" s="123"/>
      <c r="I11" t="str">
        <f t="shared" si="0"/>
        <v>IE00B59HWB19</v>
      </c>
      <c r="J11" s="94">
        <f t="shared" si="2"/>
        <v>2.5000000000000001E-2</v>
      </c>
      <c r="K11" s="94">
        <f t="shared" si="1"/>
        <v>200000</v>
      </c>
      <c r="L11" s="94">
        <f t="shared" si="3"/>
        <v>2</v>
      </c>
      <c r="N11" t="str">
        <f>_xll.RtGet("IDN","/INME.L","CURRENCY")</f>
        <v>EUR</v>
      </c>
      <c r="O11">
        <f t="shared" si="4"/>
        <v>2.5000000000000001E-2</v>
      </c>
    </row>
    <row r="12" spans="1:16" x14ac:dyDescent="0.2">
      <c r="B12" s="121"/>
      <c r="C12" s="131" t="s">
        <v>206</v>
      </c>
      <c r="D12" s="128" t="s">
        <v>127</v>
      </c>
      <c r="E12" s="128">
        <f>(_xll.RtGet("IDN","/KYGa.L","VOL ACCUMULATED"))*2</f>
        <v>23380</v>
      </c>
      <c r="F12" s="128">
        <f>(_xll.RtGet("IDN","/KYGa.L","TURNOVER"))*2</f>
        <v>1.7958200000000002</v>
      </c>
      <c r="G12" s="128">
        <f>(_xll.RtGet("IDN","/KYGa.L","NUM_MOVES"))*2</f>
        <v>478</v>
      </c>
      <c r="H12" s="123"/>
      <c r="I12" t="str">
        <f t="shared" si="0"/>
        <v>IE0004906560</v>
      </c>
      <c r="J12" s="94">
        <f t="shared" si="2"/>
        <v>1.7958200000000002</v>
      </c>
      <c r="K12" s="94">
        <f t="shared" si="1"/>
        <v>23380</v>
      </c>
      <c r="L12" s="94">
        <f t="shared" si="3"/>
        <v>478</v>
      </c>
      <c r="N12" t="str">
        <f>_xll.RtGet("IDN","/KYGa.L","CURRENCY")</f>
        <v>EUR</v>
      </c>
      <c r="O12">
        <f t="shared" si="4"/>
        <v>1.7958200000000002</v>
      </c>
    </row>
    <row r="13" spans="1:16" x14ac:dyDescent="0.2">
      <c r="B13" s="121"/>
      <c r="C13" s="129" t="s">
        <v>119</v>
      </c>
      <c r="D13" s="202" t="s">
        <v>489</v>
      </c>
      <c r="E13" s="128">
        <f>(_xll.RtGet("IDN","/RYA.L","VOL ACCUMULATED"))*2</f>
        <v>957286</v>
      </c>
      <c r="F13" s="128">
        <f>(_xll.RtGet("IDN","/RYA.L","TURNOVER"))*2</f>
        <v>11.534700000000001</v>
      </c>
      <c r="G13" s="128">
        <f>(_xll.RtGet("IDN","/RYA.L","NUM_MOVES"))*2</f>
        <v>1992</v>
      </c>
      <c r="H13" s="123"/>
      <c r="I13" t="str">
        <f t="shared" si="0"/>
        <v>IE00BYTBXV33</v>
      </c>
      <c r="J13" s="94">
        <f t="shared" si="2"/>
        <v>11.534700000000001</v>
      </c>
      <c r="K13" s="94">
        <f t="shared" si="1"/>
        <v>957286</v>
      </c>
      <c r="L13" s="94">
        <f t="shared" si="3"/>
        <v>1992</v>
      </c>
      <c r="N13" t="str">
        <f>_xll.RtGet("IDN","/RYA.L","CURRENCY")</f>
        <v>EUR</v>
      </c>
      <c r="O13">
        <f t="shared" si="4"/>
        <v>11.534700000000001</v>
      </c>
    </row>
    <row r="14" spans="1:16" x14ac:dyDescent="0.2">
      <c r="B14" s="121"/>
      <c r="C14" s="132" t="s">
        <v>244</v>
      </c>
      <c r="D14" s="130" t="s">
        <v>223</v>
      </c>
      <c r="E14" s="128">
        <f>(_xll.RtGet("IDN","/GCC.L","VOL ACCUMULATED"))*2</f>
        <v>22840</v>
      </c>
      <c r="F14" s="128">
        <f>(_xll.RtGet("IDN","/GCC.L","TURNOVER"))*2</f>
        <v>8.4980000000000014E-2</v>
      </c>
      <c r="G14" s="128">
        <f>(_xll.RtGet("IDN","/GCC.L","NUM_MOVES"))*2</f>
        <v>148</v>
      </c>
      <c r="H14" s="123"/>
      <c r="I14" t="str">
        <f t="shared" si="0"/>
        <v>IE00B010DT83</v>
      </c>
      <c r="J14" s="94">
        <f t="shared" si="2"/>
        <v>8.4980000000000014E-2</v>
      </c>
      <c r="K14" s="94">
        <f t="shared" si="1"/>
        <v>22840</v>
      </c>
      <c r="L14" s="94">
        <f t="shared" si="3"/>
        <v>148</v>
      </c>
      <c r="N14" t="str">
        <f>_xll.RtGet("IDN","/GCC.L","CURRENCY")</f>
        <v>EUR</v>
      </c>
      <c r="O14">
        <f t="shared" si="4"/>
        <v>8.4980000000000014E-2</v>
      </c>
    </row>
    <row r="15" spans="1:16" x14ac:dyDescent="0.2">
      <c r="B15" s="121"/>
      <c r="C15" s="133" t="s">
        <v>245</v>
      </c>
      <c r="D15" s="130" t="s">
        <v>225</v>
      </c>
      <c r="E15" s="128" t="e">
        <f>(_xll.RtGet("IDN","/DGO.L","VOL ACCUMULATED"))*2</f>
        <v>#VALUE!</v>
      </c>
      <c r="F15" s="128" t="e">
        <f>(_xll.RtGet("IDN","/DGO.L","TURNOVER"))*2</f>
        <v>#VALUE!</v>
      </c>
      <c r="G15" s="128" t="e">
        <f>(_xll.RtGet("IDN","/DGO.L","NUM_MOVES"))*2</f>
        <v>#VALUE!</v>
      </c>
      <c r="H15" s="123"/>
      <c r="I15" t="str">
        <f t="shared" si="0"/>
        <v>IE0000590798</v>
      </c>
      <c r="J15" s="94" t="e">
        <f t="shared" si="2"/>
        <v>#VALUE!</v>
      </c>
      <c r="K15" s="94" t="e">
        <f t="shared" si="1"/>
        <v>#VALUE!</v>
      </c>
      <c r="L15" s="94" t="e">
        <f t="shared" si="3"/>
        <v>#VALUE!</v>
      </c>
      <c r="N15" t="str">
        <f>_xll.RtGet("IDN","/DGO.L","CURRENCY")</f>
        <v>#N/A *The record could not be found</v>
      </c>
      <c r="O15" t="e">
        <f t="shared" si="4"/>
        <v>#VALUE!</v>
      </c>
    </row>
    <row r="16" spans="1:16" x14ac:dyDescent="0.2">
      <c r="A16" s="161"/>
      <c r="B16" s="121"/>
      <c r="C16" s="133" t="s">
        <v>246</v>
      </c>
      <c r="D16" s="130" t="s">
        <v>227</v>
      </c>
      <c r="E16" s="128">
        <f>(_xll.RtGet("IDN","/FFY.L","VOL ACCUMULATED"))*2</f>
        <v>416382</v>
      </c>
      <c r="F16" s="128">
        <f>(_xll.RtGet("IDN","/FFY.L","TURNOVER"))*2</f>
        <v>0.50730000000000008</v>
      </c>
      <c r="G16" s="128">
        <f>(_xll.RtGet("IDN","/FFY.L","NUM_MOVES"))*2</f>
        <v>22</v>
      </c>
      <c r="H16" s="123"/>
      <c r="I16" t="str">
        <f t="shared" si="0"/>
        <v>IE0003295239</v>
      </c>
      <c r="J16" s="94">
        <f t="shared" si="2"/>
        <v>0.59699064000000013</v>
      </c>
      <c r="K16" s="94">
        <f t="shared" si="1"/>
        <v>416382</v>
      </c>
      <c r="L16" s="94">
        <f t="shared" si="3"/>
        <v>22</v>
      </c>
      <c r="N16" t="str">
        <f>_xll.RtGet("IDN","/FFY.L","CURRENCY")</f>
        <v>GBp</v>
      </c>
      <c r="O16">
        <f t="shared" si="4"/>
        <v>0.59699064000000013</v>
      </c>
    </row>
    <row r="17" spans="1:15" x14ac:dyDescent="0.2">
      <c r="B17" s="121"/>
      <c r="C17" s="135" t="s">
        <v>247</v>
      </c>
      <c r="D17" s="130" t="s">
        <v>228</v>
      </c>
      <c r="E17" s="128">
        <f>(_xll.RtGet("IDN","/GL9.L","VOL ACCUMULATED"))*2</f>
        <v>12926</v>
      </c>
      <c r="F17" s="128">
        <f>(_xll.RtGet("IDN","/GL9.L","TURNOVER"))*2</f>
        <v>0.22152000000000002</v>
      </c>
      <c r="G17" s="128">
        <f>(_xll.RtGet("IDN","/GL9.L","NUM_MOVES"))*2</f>
        <v>88</v>
      </c>
      <c r="H17" s="123"/>
      <c r="I17" t="str">
        <f t="shared" si="0"/>
        <v>IE0000669501</v>
      </c>
      <c r="J17" s="94">
        <f t="shared" si="2"/>
        <v>0.22152000000000002</v>
      </c>
      <c r="K17" s="94">
        <f t="shared" si="1"/>
        <v>12926</v>
      </c>
      <c r="L17" s="94">
        <f t="shared" si="3"/>
        <v>88</v>
      </c>
      <c r="N17" t="str">
        <f>_xll.RtGet("IDN","/GL9.L","CURRENCY")</f>
        <v>EUR</v>
      </c>
      <c r="O17">
        <f t="shared" si="4"/>
        <v>0.22152000000000002</v>
      </c>
    </row>
    <row r="18" spans="1:15" x14ac:dyDescent="0.2">
      <c r="B18" s="121"/>
      <c r="C18" s="135" t="s">
        <v>248</v>
      </c>
      <c r="D18" s="130" t="s">
        <v>229</v>
      </c>
      <c r="E18" s="128">
        <f>(_xll.RtGet("IDN","/IFP.L","VOL ACCUMULATED"))*2</f>
        <v>4140</v>
      </c>
      <c r="F18" s="128">
        <f>(_xll.RtGet("IDN","/IFP.L","TURNOVER"))*2</f>
        <v>7.660000000000001E-3</v>
      </c>
      <c r="G18" s="128">
        <f>(_xll.RtGet("IDN","/IFP.L","NUM_MOVES"))*2</f>
        <v>6</v>
      </c>
      <c r="H18" s="136"/>
      <c r="I18" t="str">
        <f t="shared" si="0"/>
        <v>IE0002325243</v>
      </c>
      <c r="J18" s="94">
        <f t="shared" si="2"/>
        <v>9.0142880000000022E-3</v>
      </c>
      <c r="K18" s="94">
        <f t="shared" si="1"/>
        <v>4140</v>
      </c>
      <c r="L18" s="94">
        <f t="shared" si="3"/>
        <v>6</v>
      </c>
      <c r="N18" t="str">
        <f>_xll.RtGet("IDN","/IFP.L","CURRENCY")</f>
        <v>GBp</v>
      </c>
      <c r="O18">
        <f t="shared" si="4"/>
        <v>9.0142880000000022E-3</v>
      </c>
    </row>
    <row r="19" spans="1:15" x14ac:dyDescent="0.2">
      <c r="B19" s="134"/>
      <c r="C19" s="135" t="s">
        <v>249</v>
      </c>
      <c r="D19" s="208" t="s">
        <v>499</v>
      </c>
      <c r="E19" s="128">
        <f>(_xll.RtGet("IDN","/ICG_u.L","VOL ACCUMULATED"))*2</f>
        <v>6818</v>
      </c>
      <c r="F19" s="128">
        <f>(_xll.RtGet("IDN","/ICG_u.L","TURNOVER"))*2</f>
        <v>3.0260000000000002E-2</v>
      </c>
      <c r="G19" s="128">
        <f>(_xll.RtGet("IDN","/ICG_u.L","NUM_MOVES"))*2</f>
        <v>2</v>
      </c>
      <c r="H19" s="136"/>
      <c r="I19" t="str">
        <f t="shared" si="0"/>
        <v>IE00BLP58571</v>
      </c>
      <c r="J19" s="94">
        <f t="shared" si="2"/>
        <v>3.0260000000000002E-2</v>
      </c>
      <c r="K19" s="94">
        <f t="shared" si="1"/>
        <v>6818</v>
      </c>
      <c r="L19" s="94">
        <f t="shared" si="3"/>
        <v>2</v>
      </c>
      <c r="N19" t="str">
        <f>_xll.RtGet("IDN","/ICG_u.L","CURRENCY")</f>
        <v>EUR</v>
      </c>
      <c r="O19">
        <f t="shared" si="4"/>
        <v>3.0260000000000002E-2</v>
      </c>
    </row>
    <row r="20" spans="1:15" x14ac:dyDescent="0.2">
      <c r="B20" s="134"/>
      <c r="C20" s="135" t="s">
        <v>250</v>
      </c>
      <c r="D20" s="208" t="s">
        <v>505</v>
      </c>
      <c r="E20" s="128">
        <f>(_xll.RtGet("IDN","/JEV.L","VOL ACCUMULATED"))*2</f>
        <v>84258</v>
      </c>
      <c r="F20" s="128">
        <f>(_xll.RtGet("IDN","/JEV.L","TURNOVER"))*2</f>
        <v>0.18306000000000003</v>
      </c>
      <c r="G20" s="128">
        <f>(_xll.RtGet("IDN","/JEV.L","NUM_MOVES"))*2</f>
        <v>66</v>
      </c>
      <c r="H20" s="136"/>
      <c r="I20" t="str">
        <f t="shared" si="0"/>
        <v>IE00BDC5DG00</v>
      </c>
      <c r="J20" s="94">
        <f t="shared" si="2"/>
        <v>0.21542500800000006</v>
      </c>
      <c r="K20" s="94">
        <f t="shared" si="1"/>
        <v>84258</v>
      </c>
      <c r="L20" s="94">
        <f t="shared" si="3"/>
        <v>66</v>
      </c>
      <c r="N20" t="str">
        <f>_xll.RtGet("IDN","/JEV.L","CURRENCY")</f>
        <v>GBp</v>
      </c>
      <c r="O20">
        <f t="shared" si="4"/>
        <v>0.21542500800000006</v>
      </c>
    </row>
    <row r="21" spans="1:15" x14ac:dyDescent="0.2">
      <c r="B21" s="134"/>
      <c r="C21" s="135" t="s">
        <v>251</v>
      </c>
      <c r="D21" s="130" t="s">
        <v>231</v>
      </c>
      <c r="E21" s="128">
        <f>(_xll.RtGet("IDN","/KSP.L","VOL ACCUMULATED"))*2</f>
        <v>29424</v>
      </c>
      <c r="F21" s="128">
        <f>(_xll.RtGet("IDN","/KSP.L","TURNOVER"))*2</f>
        <v>0.63002000000000002</v>
      </c>
      <c r="G21" s="128">
        <f>(_xll.RtGet("IDN","/KSP.L","NUM_MOVES"))*2</f>
        <v>304</v>
      </c>
      <c r="H21" s="136"/>
      <c r="I21" t="str">
        <f t="shared" si="0"/>
        <v>IE0004927939</v>
      </c>
      <c r="J21" s="94">
        <f t="shared" si="2"/>
        <v>0.63002000000000002</v>
      </c>
      <c r="K21" s="94">
        <f t="shared" si="1"/>
        <v>29424</v>
      </c>
      <c r="L21" s="94">
        <f t="shared" si="3"/>
        <v>304</v>
      </c>
      <c r="N21" t="str">
        <f>_xll.RtGet("IDN","/KSP.L","CURRENCY")</f>
        <v>EUR</v>
      </c>
      <c r="O21">
        <f t="shared" si="4"/>
        <v>0.63002000000000002</v>
      </c>
    </row>
    <row r="22" spans="1:15" x14ac:dyDescent="0.2">
      <c r="B22" s="134"/>
      <c r="C22" s="135" t="s">
        <v>252</v>
      </c>
      <c r="D22" s="130" t="s">
        <v>467</v>
      </c>
      <c r="E22" s="128">
        <f>(_xll.RtGet("IDN","/PPB.L","VOL ACCUMULATED"))*2</f>
        <v>69766</v>
      </c>
      <c r="F22" s="128">
        <f>(_xll.RtGet("IDN","/PPB.L","TURNOVER"))*2</f>
        <v>6.4013800000000005</v>
      </c>
      <c r="G22" s="128">
        <f>(_xll.RtGet("IDN","/PPB.L","NUM_MOVES"))*2</f>
        <v>1316</v>
      </c>
      <c r="H22" s="136"/>
      <c r="I22" t="str">
        <f t="shared" si="0"/>
        <v>IE00BWT6H894</v>
      </c>
      <c r="J22" s="94">
        <f t="shared" si="2"/>
        <v>7.5331439840000014</v>
      </c>
      <c r="K22" s="94">
        <f t="shared" si="1"/>
        <v>69766</v>
      </c>
      <c r="L22" s="94">
        <f t="shared" si="3"/>
        <v>1316</v>
      </c>
      <c r="N22" t="str">
        <f>_xll.RtGet("IDN","/PPB.L","CURRENCY")</f>
        <v>GBp</v>
      </c>
      <c r="O22">
        <f t="shared" si="4"/>
        <v>7.5331439840000014</v>
      </c>
    </row>
    <row r="23" spans="1:15" x14ac:dyDescent="0.2">
      <c r="B23" s="134"/>
      <c r="C23" s="135" t="s">
        <v>253</v>
      </c>
      <c r="D23" s="130" t="s">
        <v>234</v>
      </c>
      <c r="E23" s="128">
        <f>(_xll.RtGet("IDN","/UDG.L","VOL ACCUMULATED"))*2</f>
        <v>167834</v>
      </c>
      <c r="F23" s="128">
        <f>(_xll.RtGet("IDN","/UDG.L","TURNOVER"))*2</f>
        <v>0.9961000000000001</v>
      </c>
      <c r="G23" s="128">
        <f>(_xll.RtGet("IDN","/UDG.L","NUM_MOVES"))*2</f>
        <v>570</v>
      </c>
      <c r="H23" s="136"/>
      <c r="I23" t="str">
        <f t="shared" si="0"/>
        <v>IE0033024807</v>
      </c>
      <c r="J23" s="94">
        <f t="shared" si="2"/>
        <v>1.1722104800000002</v>
      </c>
      <c r="K23" s="94">
        <f t="shared" si="1"/>
        <v>167834</v>
      </c>
      <c r="L23" s="94">
        <f t="shared" si="3"/>
        <v>570</v>
      </c>
      <c r="N23" t="str">
        <f>_xll.RtGet("IDN","/UDG.L","CURRENCY")</f>
        <v>GBp</v>
      </c>
      <c r="O23">
        <f t="shared" si="4"/>
        <v>1.1722104800000002</v>
      </c>
    </row>
    <row r="24" spans="1:15" x14ac:dyDescent="0.2">
      <c r="B24" s="134"/>
      <c r="C24" s="156" t="s">
        <v>302</v>
      </c>
      <c r="D24" s="159" t="s">
        <v>303</v>
      </c>
      <c r="E24" s="128">
        <f>(_xll.RtGet("IDN","/SKG.L","VOL ACCUMULATED"))*2</f>
        <v>324358</v>
      </c>
      <c r="F24" s="128">
        <f>(_xll.RtGet("IDN","/SKG.L","TURNOVER"))*2</f>
        <v>5.6663600000000001</v>
      </c>
      <c r="G24" s="128">
        <f>(_xll.RtGet("IDN","/SKG.L","NUM_MOVES"))*2</f>
        <v>1112</v>
      </c>
      <c r="H24" s="136"/>
      <c r="I24" t="str">
        <f t="shared" si="0"/>
        <v>IE00B1RR8406</v>
      </c>
      <c r="J24" s="94">
        <f t="shared" si="2"/>
        <v>6.6681724480000009</v>
      </c>
      <c r="K24" s="94">
        <f>E24</f>
        <v>324358</v>
      </c>
      <c r="L24" s="94">
        <f>G24</f>
        <v>1112</v>
      </c>
      <c r="N24" t="str">
        <f>_xll.RtGet("IDN","/SKG.L","CURRENCY")</f>
        <v>GBp</v>
      </c>
      <c r="O24">
        <f t="shared" si="4"/>
        <v>6.6681724480000009</v>
      </c>
    </row>
    <row r="25" spans="1:15" x14ac:dyDescent="0.2">
      <c r="B25" s="134"/>
      <c r="C25" s="156" t="s">
        <v>290</v>
      </c>
      <c r="D25" s="159" t="s">
        <v>209</v>
      </c>
      <c r="E25" s="128">
        <f>(_xll.RtGet("IDN","/ABBY.L","VOL ACCUMULATED"))*2</f>
        <v>0</v>
      </c>
      <c r="F25" s="128">
        <f>(_xll.RtGet("IDN","/ABBY.L","TURNOVER"))*2</f>
        <v>0</v>
      </c>
      <c r="G25" s="128">
        <f>(_xll.RtGet("IDN","ABBY.L","NUM_MOVES"))*2</f>
        <v>0</v>
      </c>
      <c r="H25" s="136"/>
      <c r="I25" t="str">
        <f t="shared" si="0"/>
        <v>IE0000020408</v>
      </c>
      <c r="J25" s="94">
        <f t="shared" si="2"/>
        <v>0</v>
      </c>
      <c r="K25" s="94">
        <f t="shared" ref="K25:K31" si="5">E25</f>
        <v>0</v>
      </c>
      <c r="L25" s="94">
        <f t="shared" ref="L25:L31" si="6">G25</f>
        <v>0</v>
      </c>
      <c r="N25" t="str">
        <f>_xll.RtGet("IDN","/ABBY.L","CURRENCY")</f>
        <v>GBp</v>
      </c>
      <c r="O25">
        <f t="shared" si="4"/>
        <v>0</v>
      </c>
    </row>
    <row r="26" spans="1:15" x14ac:dyDescent="0.2">
      <c r="B26" s="134"/>
      <c r="C26" s="156" t="s">
        <v>291</v>
      </c>
      <c r="D26" s="157" t="s">
        <v>210</v>
      </c>
      <c r="E26" s="128">
        <f>(_xll.RtGet("IDN","/AMNX.L","VOL ACCUMULATED"))*2</f>
        <v>11675034</v>
      </c>
      <c r="F26" s="128">
        <f>(_xll.RtGet("IDN","/AMNX.L","TURNOVER"))*2</f>
        <v>0.15386000000000002</v>
      </c>
      <c r="G26" s="128">
        <f>(_xll.RtGet("IDN","/AMNX.L","NUM_MOVES"))*2</f>
        <v>52</v>
      </c>
      <c r="H26" s="136"/>
      <c r="I26" t="str">
        <f t="shared" si="0"/>
        <v>IE0003073255</v>
      </c>
      <c r="J26" s="94">
        <f t="shared" si="2"/>
        <v>0.18106244800000004</v>
      </c>
      <c r="K26" s="94">
        <f t="shared" si="5"/>
        <v>11675034</v>
      </c>
      <c r="L26" s="94">
        <f t="shared" si="6"/>
        <v>52</v>
      </c>
      <c r="N26" t="str">
        <f>_xll.RtGet("IDN","/AMNX.L","CURRENCY")</f>
        <v>GBp</v>
      </c>
      <c r="O26">
        <f t="shared" si="4"/>
        <v>0.18106244800000004</v>
      </c>
    </row>
    <row r="27" spans="1:15" x14ac:dyDescent="0.2">
      <c r="A27" t="s">
        <v>207</v>
      </c>
      <c r="B27" s="134"/>
      <c r="C27" s="156" t="s">
        <v>296</v>
      </c>
      <c r="D27" s="157" t="s">
        <v>224</v>
      </c>
      <c r="E27" s="128">
        <f>(_xll.RtGet("IDN","/DQ5.L","VOL ACCUMULATED"))*2</f>
        <v>0</v>
      </c>
      <c r="F27" s="128">
        <f>(_xll.RtGet("IDN","/DQ5.L","TURNOVER"))*2</f>
        <v>0</v>
      </c>
      <c r="G27" s="128">
        <f>(_xll.RtGet("IDN","/DQ5.L","NUM_MOVES"))*2</f>
        <v>0</v>
      </c>
      <c r="H27" s="136"/>
      <c r="I27" t="str">
        <f t="shared" si="0"/>
        <v>IE0007214426</v>
      </c>
      <c r="J27" s="94">
        <f t="shared" si="2"/>
        <v>0</v>
      </c>
      <c r="K27" s="94">
        <f t="shared" si="5"/>
        <v>0</v>
      </c>
      <c r="L27" s="94">
        <f t="shared" si="6"/>
        <v>0</v>
      </c>
      <c r="N27" t="str">
        <f>_xll.RtGet("IDN","/DQ5.L","CURRENCY")</f>
        <v>GBp</v>
      </c>
      <c r="O27">
        <f t="shared" si="4"/>
        <v>0</v>
      </c>
    </row>
    <row r="28" spans="1:15" x14ac:dyDescent="0.2">
      <c r="B28" s="134"/>
      <c r="C28" s="156" t="s">
        <v>308</v>
      </c>
      <c r="D28" s="157" t="s">
        <v>468</v>
      </c>
      <c r="E28" s="128" t="e">
        <f>(_xll.RtGet("IDN","/PACC.L","VOL ACCUMULATED"))*2</f>
        <v>#VALUE!</v>
      </c>
      <c r="F28" s="128" t="e">
        <f>(_xll.RtGet("IDN","/PACC.L","TURNOVER"))*2</f>
        <v>#VALUE!</v>
      </c>
      <c r="G28" s="128" t="e">
        <f>(_xll.RtGet("IDN","/PACC.L","NUM_MOVES"))*2</f>
        <v>#VALUE!</v>
      </c>
      <c r="H28" s="136"/>
      <c r="I28" t="str">
        <f t="shared" si="0"/>
        <v>IE00B1Z9ZG98</v>
      </c>
      <c r="J28" s="94" t="e">
        <f t="shared" si="2"/>
        <v>#VALUE!</v>
      </c>
      <c r="K28" s="94" t="e">
        <f t="shared" si="5"/>
        <v>#VALUE!</v>
      </c>
      <c r="L28" s="94" t="e">
        <f t="shared" si="6"/>
        <v>#VALUE!</v>
      </c>
      <c r="N28" t="str">
        <f>_xll.RtGet("IDN","/PACC.L","CURRENCY")</f>
        <v>#N/A *The record could not be found</v>
      </c>
      <c r="O28" t="e">
        <f t="shared" si="4"/>
        <v>#VALUE!</v>
      </c>
    </row>
    <row r="29" spans="1:15" x14ac:dyDescent="0.2">
      <c r="B29" s="134"/>
      <c r="C29" s="156" t="s">
        <v>297</v>
      </c>
      <c r="D29" s="157" t="s">
        <v>232</v>
      </c>
      <c r="E29" s="128">
        <f>(_xll.RtGet("IDN","/ORM.L","VOL ACCUMULATED"))*2</f>
        <v>801036</v>
      </c>
      <c r="F29" s="128">
        <f>(_xll.RtGet("IDN","/ORM.L","TURNOVER"))*2</f>
        <v>1.6360000000000003E-2</v>
      </c>
      <c r="G29" s="128">
        <f>(_xll.RtGet("IDN","/ORM.L","NUM_MOVES"))*2</f>
        <v>18</v>
      </c>
      <c r="H29" s="136"/>
      <c r="I29" t="str">
        <f t="shared" si="0"/>
        <v>IE0006627891</v>
      </c>
      <c r="J29" s="94">
        <f t="shared" si="2"/>
        <v>1.9252448000000005E-2</v>
      </c>
      <c r="K29" s="94">
        <f t="shared" si="5"/>
        <v>801036</v>
      </c>
      <c r="L29" s="94">
        <f t="shared" si="6"/>
        <v>18</v>
      </c>
      <c r="N29" t="str">
        <f>_xll.RtGet("IDN","/ORM.L","CURRENCY")</f>
        <v>GBp</v>
      </c>
      <c r="O29">
        <f t="shared" si="4"/>
        <v>1.9252448000000005E-2</v>
      </c>
    </row>
    <row r="30" spans="1:15" x14ac:dyDescent="0.2">
      <c r="B30" s="134"/>
      <c r="C30" s="204" t="s">
        <v>292</v>
      </c>
      <c r="D30" s="157" t="s">
        <v>233</v>
      </c>
      <c r="E30" s="128">
        <f>(_xll.RtGet("IDN","/TLW.L","VOL ACCUMULATED"))*2</f>
        <v>7983726</v>
      </c>
      <c r="F30" s="128">
        <f>(_xll.RtGet("IDN","/TLW.L","TURNOVER"))*2</f>
        <v>16.6203</v>
      </c>
      <c r="G30" s="128">
        <f>(_xll.RtGet("IDN","/TLW.L","NUM_MOVES"))*2</f>
        <v>6572</v>
      </c>
      <c r="H30" s="136"/>
      <c r="I30" t="str">
        <f t="shared" si="0"/>
        <v>GB0001500809</v>
      </c>
      <c r="J30" s="94">
        <f t="shared" si="2"/>
        <v>19.558769040000001</v>
      </c>
      <c r="K30" s="94">
        <f t="shared" si="5"/>
        <v>7983726</v>
      </c>
      <c r="L30" s="94">
        <f t="shared" si="6"/>
        <v>6572</v>
      </c>
      <c r="N30" t="str">
        <f>_xll.RtGet("IDN","/TLW.L","CURRENCY")</f>
        <v>GBp</v>
      </c>
      <c r="O30">
        <f t="shared" ref="O30:O43" si="7">IF((N30="GBp"),((F30*$N$2)),F30)</f>
        <v>19.558769040000001</v>
      </c>
    </row>
    <row r="31" spans="1:15" x14ac:dyDescent="0.2">
      <c r="B31" s="134"/>
      <c r="C31" s="156" t="s">
        <v>494</v>
      </c>
      <c r="D31" s="205" t="s">
        <v>495</v>
      </c>
      <c r="E31" s="128">
        <f>(_xll.RtGet("IDN","/WLG.L","VOL ACCUMULATED"))*2</f>
        <v>2578</v>
      </c>
      <c r="F31" s="128">
        <f>(_xll.RtGet("IDN","/WLG.L","TURNOVER"))*2</f>
        <v>7.9400000000000009E-3</v>
      </c>
      <c r="G31" s="128">
        <f>(_xll.RtGet("IDN","/WLG.L","NUM_MOVES"))*2</f>
        <v>4</v>
      </c>
      <c r="H31" s="136"/>
      <c r="I31" t="str">
        <f t="shared" si="0"/>
        <v>GB00BDGT1X16</v>
      </c>
      <c r="J31" s="94">
        <f t="shared" si="2"/>
        <v>9.3437920000000018E-3</v>
      </c>
      <c r="K31" s="94">
        <f t="shared" si="5"/>
        <v>2578</v>
      </c>
      <c r="L31" s="94">
        <f t="shared" si="6"/>
        <v>4</v>
      </c>
      <c r="N31" t="str">
        <f>_xll.RtGet("IDN","/WLG.L","CURRENCY")</f>
        <v>GBp</v>
      </c>
      <c r="O31">
        <f t="shared" si="7"/>
        <v>9.3437920000000018E-3</v>
      </c>
    </row>
    <row r="32" spans="1:15" x14ac:dyDescent="0.2">
      <c r="B32" s="134"/>
      <c r="C32" s="156" t="s">
        <v>293</v>
      </c>
      <c r="D32" s="157" t="s">
        <v>226</v>
      </c>
      <c r="E32" s="128">
        <f>(_xll.RtGet("IDN","/FBH.L","VOL ACCUMULATED"))*2</f>
        <v>0</v>
      </c>
      <c r="F32" s="128">
        <f>(_xll.RtGet("IDN","/FBH.L","TURNOVER"))*2</f>
        <v>0</v>
      </c>
      <c r="G32" s="128">
        <f>(_xll.RtGet("IDN","/FBH.L","NUM_MOVES"))*2</f>
        <v>0</v>
      </c>
      <c r="H32" s="136"/>
      <c r="I32" t="str">
        <f t="shared" ref="I32:I42" si="8">D32</f>
        <v>IE0003290289</v>
      </c>
      <c r="J32" s="94">
        <f t="shared" si="2"/>
        <v>0</v>
      </c>
      <c r="K32" s="94">
        <f t="shared" ref="K32:K55" si="9">E32</f>
        <v>0</v>
      </c>
      <c r="L32" s="94">
        <f t="shared" ref="L32:L55" si="10">G32</f>
        <v>0</v>
      </c>
      <c r="N32" t="str">
        <f>_xll.RtGet("IDN","/FBH.L","CURRENCY")</f>
        <v>EUR</v>
      </c>
      <c r="O32">
        <f t="shared" si="7"/>
        <v>0</v>
      </c>
    </row>
    <row r="33" spans="2:15" x14ac:dyDescent="0.2">
      <c r="B33" s="134"/>
      <c r="C33" s="156" t="s">
        <v>294</v>
      </c>
      <c r="D33" s="157" t="s">
        <v>409</v>
      </c>
      <c r="E33" s="128">
        <f>(_xll.RtGet("IDN","/OVG.L","VOL ACCUMULATED"))*2</f>
        <v>1153790</v>
      </c>
      <c r="F33" s="128">
        <f>(_xll.RtGet("IDN","/OVG.L","TURNOVER"))*2</f>
        <v>0.16076000000000001</v>
      </c>
      <c r="G33" s="128">
        <f>(_xll.RtGet("IDN","/OVG.L","NUM_MOVES"))*2</f>
        <v>82</v>
      </c>
      <c r="H33" s="136"/>
      <c r="I33" t="str">
        <f t="shared" si="8"/>
        <v>IE00B4XVDC01</v>
      </c>
      <c r="J33" s="94">
        <f t="shared" si="2"/>
        <v>0.18918236800000002</v>
      </c>
      <c r="K33" s="94">
        <f t="shared" si="9"/>
        <v>1153790</v>
      </c>
      <c r="L33" s="94">
        <f t="shared" si="10"/>
        <v>82</v>
      </c>
      <c r="N33" t="str">
        <f>_xll.RtGet("IDN","/OVG.L","CURRENCY")</f>
        <v>GBp</v>
      </c>
      <c r="O33">
        <f t="shared" si="7"/>
        <v>0.18918236800000002</v>
      </c>
    </row>
    <row r="34" spans="2:15" x14ac:dyDescent="0.2">
      <c r="B34" s="134"/>
      <c r="C34" s="156" t="s">
        <v>298</v>
      </c>
      <c r="D34" s="157" t="s">
        <v>299</v>
      </c>
      <c r="E34" s="128">
        <f>(_xll.RtGet("IDN","/PTR.L","VOL ACCUMULATED"))*2</f>
        <v>0</v>
      </c>
      <c r="F34" s="128">
        <f>(_xll.RtGet("IDN","/PTR.L","TURNOVER"))*2</f>
        <v>0</v>
      </c>
      <c r="G34" s="128">
        <f>(_xll.RtGet("IDN","/PTR.L","NUM_MOVES"))*2</f>
        <v>0</v>
      </c>
      <c r="H34" s="136"/>
      <c r="I34" t="str">
        <f t="shared" si="8"/>
        <v>IE00B0Q82B24</v>
      </c>
      <c r="J34" s="94">
        <f t="shared" si="2"/>
        <v>0</v>
      </c>
      <c r="K34" s="94">
        <f t="shared" si="9"/>
        <v>0</v>
      </c>
      <c r="L34" s="94">
        <f t="shared" si="10"/>
        <v>0</v>
      </c>
      <c r="N34" t="str">
        <f>_xll.RtGet("IDN","/PTR.L","CURRENCY")</f>
        <v>GBp</v>
      </c>
      <c r="O34">
        <f t="shared" si="7"/>
        <v>0</v>
      </c>
    </row>
    <row r="35" spans="2:15" x14ac:dyDescent="0.2">
      <c r="B35" s="134"/>
      <c r="C35" s="156" t="s">
        <v>295</v>
      </c>
      <c r="D35" s="207" t="s">
        <v>498</v>
      </c>
      <c r="E35" s="128">
        <f>(_xll.RtGet("IDN","/PRR.L","VOL ACCUMULATED"))*2</f>
        <v>12051180</v>
      </c>
      <c r="F35" s="128">
        <f>(_xll.RtGet("IDN","/PRR.L","TURNOVER"))*2</f>
        <v>1.22448</v>
      </c>
      <c r="G35" s="128">
        <f>(_xll.RtGet("IDN","/PRR.L","NUM_MOVES"))*2</f>
        <v>50</v>
      </c>
      <c r="H35" s="136"/>
      <c r="I35" t="str">
        <f t="shared" si="8"/>
        <v>IE00B66B5T26</v>
      </c>
      <c r="J35" s="94">
        <f t="shared" si="2"/>
        <v>1.440968064</v>
      </c>
      <c r="K35" s="94">
        <f t="shared" si="9"/>
        <v>12051180</v>
      </c>
      <c r="L35" s="94">
        <f t="shared" si="10"/>
        <v>50</v>
      </c>
      <c r="N35" t="str">
        <f>_xll.RtGet("IDN","/PRR.L","CURRENCY")</f>
        <v>GBp</v>
      </c>
      <c r="O35">
        <f t="shared" si="7"/>
        <v>1.440968064</v>
      </c>
    </row>
    <row r="36" spans="2:15" x14ac:dyDescent="0.2">
      <c r="B36" s="134"/>
      <c r="C36" s="158" t="s">
        <v>304</v>
      </c>
      <c r="D36" s="160" t="s">
        <v>306</v>
      </c>
      <c r="E36" s="128">
        <f>(_xll.RtGet("IDN","/ZMNO.L","VOL ACCUMULATED"))*2</f>
        <v>49742</v>
      </c>
      <c r="F36" s="128">
        <f>(_xll.RtGet("IDN","ZMNO.L","TURNOVER"))*2</f>
        <v>5.3800000000000002E-3</v>
      </c>
      <c r="G36" s="128">
        <f>(_xll.RtGet("IDN","/ZMNO.L","NUM_MOVES"))*2</f>
        <v>6</v>
      </c>
      <c r="H36" s="136"/>
      <c r="I36" t="str">
        <f t="shared" si="8"/>
        <v>IE00B1G17W46</v>
      </c>
      <c r="J36" s="94">
        <f t="shared" si="2"/>
        <v>6.331184000000001E-3</v>
      </c>
      <c r="K36" s="94">
        <f t="shared" si="9"/>
        <v>49742</v>
      </c>
      <c r="L36" s="94">
        <f t="shared" si="10"/>
        <v>6</v>
      </c>
      <c r="N36" t="str">
        <f>_xll.RtGet("IDN","/ZMNO.L","CURRENCY")</f>
        <v>GBp</v>
      </c>
      <c r="O36">
        <f t="shared" si="7"/>
        <v>6.331184000000001E-3</v>
      </c>
    </row>
    <row r="37" spans="2:15" x14ac:dyDescent="0.2">
      <c r="B37" s="134"/>
      <c r="C37" s="158" t="s">
        <v>305</v>
      </c>
      <c r="D37" s="160" t="s">
        <v>307</v>
      </c>
      <c r="E37" s="128">
        <f>(_xll.RtGet("IDN","/T7O.L","VOL ACCUMULATED"))*2</f>
        <v>12046</v>
      </c>
      <c r="F37" s="128">
        <f>(_xll.RtGet("IDN","/T7O.L","TURNOVER"))*2</f>
        <v>1.4700000000000001E-2</v>
      </c>
      <c r="G37" s="128">
        <f>(_xll.RtGet("IDN","/T7O.L","NUM_MOVES"))*2</f>
        <v>8</v>
      </c>
      <c r="H37" s="136"/>
      <c r="I37" t="str">
        <f t="shared" si="8"/>
        <v>IE00B1HDWM43</v>
      </c>
      <c r="J37" s="94">
        <f t="shared" si="2"/>
        <v>1.7298960000000002E-2</v>
      </c>
      <c r="K37" s="94">
        <f t="shared" si="9"/>
        <v>12046</v>
      </c>
      <c r="L37" s="94">
        <f t="shared" si="10"/>
        <v>8</v>
      </c>
      <c r="N37" t="str">
        <f>_xll.RtGet("IDN","/T7O.L","CURRENCY")</f>
        <v>GBp</v>
      </c>
      <c r="O37">
        <f t="shared" si="7"/>
        <v>1.7298960000000002E-2</v>
      </c>
    </row>
    <row r="38" spans="2:15" x14ac:dyDescent="0.2">
      <c r="B38" s="134"/>
      <c r="C38" s="167" t="s">
        <v>335</v>
      </c>
      <c r="D38" s="167" t="s">
        <v>331</v>
      </c>
      <c r="E38" s="168">
        <f>(_xll.RtGet("IDN","/FRST.L","VOL ACCUMULATED"))*2</f>
        <v>1650</v>
      </c>
      <c r="F38" s="168">
        <f>(_xll.RtGet("IDN","/FRST.L","TURNOVER"))*2</f>
        <v>3.1200000000000002E-2</v>
      </c>
      <c r="G38" s="168">
        <f>(_xll.RtGet("IDN","/FRST.L","NUM_MOVES"))*2</f>
        <v>8</v>
      </c>
      <c r="H38" s="136"/>
      <c r="I38" t="str">
        <f t="shared" si="8"/>
        <v>GB0031477770</v>
      </c>
      <c r="J38" s="94">
        <f t="shared" si="2"/>
        <v>3.6716160000000005E-2</v>
      </c>
      <c r="K38" s="94">
        <f t="shared" si="9"/>
        <v>1650</v>
      </c>
      <c r="L38" s="94">
        <f t="shared" si="10"/>
        <v>8</v>
      </c>
      <c r="N38" t="str">
        <f>_xll.RtGet("IDN","/FRST.L","CURRENCY")</f>
        <v>GBp</v>
      </c>
      <c r="O38">
        <f t="shared" si="7"/>
        <v>3.6716160000000005E-2</v>
      </c>
    </row>
    <row r="39" spans="2:15" x14ac:dyDescent="0.2">
      <c r="B39" s="134"/>
      <c r="C39" s="167" t="s">
        <v>336</v>
      </c>
      <c r="D39" s="167" t="s">
        <v>497</v>
      </c>
      <c r="E39" s="168" t="e">
        <f>(_xll.RtGet("IDN","/PCI.L","VOL ACCUMULATED"))*2</f>
        <v>#VALUE!</v>
      </c>
      <c r="F39" s="168" t="e">
        <f>(_xll.RtGet("IDN","/PCI.L","TURNOVER"))*2</f>
        <v>#VALUE!</v>
      </c>
      <c r="G39" s="168" t="e">
        <f>(_xll.RtGet("IDN","/PCI.L","NUM_MOVES"))*2</f>
        <v>#VALUE!</v>
      </c>
      <c r="H39" s="136"/>
      <c r="I39" t="str">
        <f t="shared" si="8"/>
        <v>IE00BB0QZ876</v>
      </c>
      <c r="J39" s="94" t="e">
        <f t="shared" si="2"/>
        <v>#VALUE!</v>
      </c>
      <c r="K39" s="94" t="e">
        <f t="shared" si="9"/>
        <v>#VALUE!</v>
      </c>
      <c r="L39" s="94" t="e">
        <f t="shared" si="10"/>
        <v>#VALUE!</v>
      </c>
      <c r="N39" t="str">
        <f>_xll.RtGet("IDN","/PCI.L","CURRENCY")</f>
        <v>#N/A *The record could not be found</v>
      </c>
      <c r="O39" t="e">
        <f t="shared" si="7"/>
        <v>#VALUE!</v>
      </c>
    </row>
    <row r="40" spans="2:15" ht="13.5" thickBot="1" x14ac:dyDescent="0.25">
      <c r="B40" s="134"/>
      <c r="C40" s="167" t="s">
        <v>337</v>
      </c>
      <c r="D40" s="167" t="s">
        <v>332</v>
      </c>
      <c r="E40" s="168">
        <f>(_xll.RtGet("IDN","/OGN.L","VOL ACCUMULATED"))*2</f>
        <v>518</v>
      </c>
      <c r="F40" s="168">
        <f>(_xll.RtGet("IDN","/OGN.L","TURNOVER"))*2</f>
        <v>2.9200000000000003E-3</v>
      </c>
      <c r="G40" s="168">
        <f>(_xll.RtGet("IDN","/OGN.L","NUM_MOVES"))*2</f>
        <v>4</v>
      </c>
      <c r="H40" s="138"/>
      <c r="I40" t="str">
        <f t="shared" si="8"/>
        <v>IE00B1WV4493</v>
      </c>
      <c r="J40" s="94">
        <f t="shared" si="2"/>
        <v>2.9200000000000003E-3</v>
      </c>
      <c r="K40" s="94">
        <f t="shared" si="9"/>
        <v>518</v>
      </c>
      <c r="L40" s="94">
        <f t="shared" si="10"/>
        <v>4</v>
      </c>
      <c r="N40" t="str">
        <f>_xll.RtGet("IDN","/OGN.L","CURRENCY")</f>
        <v>EUR</v>
      </c>
      <c r="O40">
        <f t="shared" si="7"/>
        <v>2.9200000000000003E-3</v>
      </c>
    </row>
    <row r="41" spans="2:15" x14ac:dyDescent="0.2">
      <c r="B41" s="134"/>
      <c r="C41" t="s">
        <v>406</v>
      </c>
      <c r="D41" t="s">
        <v>490</v>
      </c>
      <c r="E41" s="168">
        <f>(_xll.RtGet("IDN","/CGNR.L","VOL ACCUMULATED"))*2</f>
        <v>96864</v>
      </c>
      <c r="F41" s="168">
        <f>(_xll.RtGet("IDN","/CGNR.L","TURNOVER"))*2</f>
        <v>2.9920000000000002E-2</v>
      </c>
      <c r="G41" s="168">
        <f>(_xll.RtGet("IDN","/CGNR.L","NUM_MOVES"))*2</f>
        <v>30</v>
      </c>
      <c r="I41" t="str">
        <f t="shared" si="8"/>
        <v>IE00BZ4BTZ13</v>
      </c>
      <c r="J41" s="94">
        <f t="shared" si="2"/>
        <v>3.5209856000000005E-2</v>
      </c>
      <c r="K41" s="94">
        <f t="shared" si="9"/>
        <v>96864</v>
      </c>
      <c r="L41" s="94">
        <f t="shared" si="10"/>
        <v>30</v>
      </c>
      <c r="N41" t="str">
        <f>_xll.RtGet("IDN","/CGNR.L","CURRENCY")</f>
        <v>GBp</v>
      </c>
      <c r="O41">
        <f t="shared" si="7"/>
        <v>3.5209856000000005E-2</v>
      </c>
    </row>
    <row r="42" spans="2:15" x14ac:dyDescent="0.2">
      <c r="B42" s="134"/>
      <c r="C42" s="180" t="s">
        <v>407</v>
      </c>
      <c r="D42" s="180" t="s">
        <v>405</v>
      </c>
      <c r="E42" s="168">
        <f>(_xll.RtGet("IDN","/KDR.L","VOL ACCUMULATED"))*2</f>
        <v>8853626</v>
      </c>
      <c r="F42" s="168">
        <f>(_xll.RtGet("IDN","/KDR.L","TURNOVER"))*2</f>
        <v>6.5140000000000003E-2</v>
      </c>
      <c r="G42" s="168">
        <f>(_xll.RtGet("IDN","/KDR.L","NUM_MOVES"))*2</f>
        <v>24</v>
      </c>
      <c r="I42" t="str">
        <f t="shared" si="8"/>
        <v>IE00B01ZSK94</v>
      </c>
      <c r="J42" s="94">
        <f t="shared" si="2"/>
        <v>7.6656752000000009E-2</v>
      </c>
      <c r="K42" s="94">
        <f t="shared" si="9"/>
        <v>8853626</v>
      </c>
      <c r="L42" s="94">
        <f t="shared" si="10"/>
        <v>24</v>
      </c>
      <c r="N42" t="str">
        <f>_xll.RtGet("IDN","/KDR.L","CURRENCY")</f>
        <v>GBp</v>
      </c>
      <c r="O42">
        <f t="shared" si="7"/>
        <v>7.6656752000000009E-2</v>
      </c>
    </row>
    <row r="43" spans="2:15" x14ac:dyDescent="0.2">
      <c r="B43" s="134"/>
      <c r="C43" t="s">
        <v>411</v>
      </c>
      <c r="D43" t="s">
        <v>410</v>
      </c>
      <c r="E43" s="168">
        <f>(_xll.RtGet("IDN","/GWMO.L","VOL ACCUMULATED"))*2</f>
        <v>444258</v>
      </c>
      <c r="F43">
        <f>(_xll.RtGet("IDN","/GWMO.L","TURNOVER"))*2</f>
        <v>2.4000000000000002E-3</v>
      </c>
      <c r="G43">
        <f>(_xll.RtGet("IDN","/GWMO.L","NUM_MOVES"))*2</f>
        <v>4</v>
      </c>
      <c r="I43" t="s">
        <v>410</v>
      </c>
      <c r="J43" s="94">
        <f t="shared" si="2"/>
        <v>2.8243200000000004E-3</v>
      </c>
      <c r="K43" s="94">
        <f t="shared" si="9"/>
        <v>444258</v>
      </c>
      <c r="L43" s="94">
        <f t="shared" si="10"/>
        <v>4</v>
      </c>
      <c r="N43" t="str">
        <f>_xll.RtGet("IDN","/GWMO.L","CURRENCY")</f>
        <v>GBp</v>
      </c>
      <c r="O43">
        <f t="shared" si="7"/>
        <v>2.8243200000000004E-3</v>
      </c>
    </row>
    <row r="44" spans="2:15" x14ac:dyDescent="0.2">
      <c r="B44" s="134"/>
      <c r="C44" t="s">
        <v>500</v>
      </c>
      <c r="D44" t="s">
        <v>501</v>
      </c>
      <c r="E44" s="168">
        <f>(_xll.RtGet("IDN","/AMYT.L","VOL ACCUMULATED"))*2</f>
        <v>793386</v>
      </c>
      <c r="F44">
        <f>(_xll.RtGet("IDN","/AMYT.L","TURNOVER"))*2</f>
        <v>0.12988000000000002</v>
      </c>
      <c r="G44">
        <f>(_xll.RtGet("IDN","/AMYT.L","NUM_MOVES"))*2</f>
        <v>52</v>
      </c>
      <c r="I44" t="s">
        <v>501</v>
      </c>
      <c r="J44" s="94">
        <f t="shared" si="2"/>
        <v>0.15284278400000004</v>
      </c>
      <c r="K44" s="94">
        <f t="shared" si="9"/>
        <v>793386</v>
      </c>
      <c r="L44" s="94">
        <f t="shared" si="10"/>
        <v>52</v>
      </c>
      <c r="N44" t="str">
        <f>_xll.RtGet("IDN","/AMYT.L","CURRENCY")</f>
        <v>GBp</v>
      </c>
      <c r="O44">
        <f t="shared" ref="O44:O52" si="11">IF((N44="GBp"),((F44*$N$2)),F44)</f>
        <v>0.15284278400000004</v>
      </c>
    </row>
    <row r="45" spans="2:15" x14ac:dyDescent="0.2">
      <c r="B45" s="134"/>
      <c r="C45" s="192" t="s">
        <v>451</v>
      </c>
      <c r="D45" t="s">
        <v>452</v>
      </c>
      <c r="E45">
        <f>(_xll.RtGet("IDN","/GRNG.L","VOL ACCUMULATED"))*2</f>
        <v>10642</v>
      </c>
      <c r="F45">
        <f>(_xll.RtGet("IDN","/GRNG.L","TURNOVER"))*2</f>
        <v>1.5900000000000001E-2</v>
      </c>
      <c r="G45">
        <f>(_xll.RtGet("IDN","/GRNG.L","NUM_MOVES"))*2</f>
        <v>4</v>
      </c>
      <c r="I45" t="s">
        <v>452</v>
      </c>
      <c r="J45" s="94">
        <f t="shared" si="2"/>
        <v>1.5900000000000001E-2</v>
      </c>
      <c r="K45" s="94">
        <f t="shared" si="9"/>
        <v>10642</v>
      </c>
      <c r="L45" s="94">
        <f t="shared" si="10"/>
        <v>4</v>
      </c>
      <c r="N45" t="str">
        <f>_xll.RtGet("IDN","/GRNG.L","CURRENCY")</f>
        <v>EUR</v>
      </c>
      <c r="O45">
        <f t="shared" si="11"/>
        <v>1.5900000000000001E-2</v>
      </c>
    </row>
    <row r="46" spans="2:15" x14ac:dyDescent="0.2">
      <c r="B46" s="134"/>
      <c r="C46" t="s">
        <v>453</v>
      </c>
      <c r="D46" t="s">
        <v>454</v>
      </c>
      <c r="E46">
        <f>(_xll.RtGet("IDN","/FOG.L","VOL ACCUMULATED"))*2</f>
        <v>1300502</v>
      </c>
      <c r="F46">
        <f>(_xll.RtGet("IDN","/FOG.L","TURNOVER"))*2</f>
        <v>7.034E-2</v>
      </c>
      <c r="G46">
        <f>(_xll.RtGet("IDN","/FOG.L","NUM_MOVES"))*2</f>
        <v>30</v>
      </c>
      <c r="I46" t="s">
        <v>454</v>
      </c>
      <c r="J46" s="94">
        <f t="shared" si="2"/>
        <v>8.2776111999999999E-2</v>
      </c>
      <c r="K46" s="94">
        <f t="shared" si="9"/>
        <v>1300502</v>
      </c>
      <c r="L46" s="94">
        <f t="shared" si="10"/>
        <v>30</v>
      </c>
      <c r="N46" t="str">
        <f>_xll.RtGet("IDN","/FOG.L","CURRENCY")</f>
        <v>GBp</v>
      </c>
      <c r="O46">
        <f t="shared" si="11"/>
        <v>8.2776111999999999E-2</v>
      </c>
    </row>
    <row r="47" spans="2:15" x14ac:dyDescent="0.2">
      <c r="B47" s="134"/>
      <c r="C47" t="s">
        <v>455</v>
      </c>
      <c r="D47" t="s">
        <v>456</v>
      </c>
      <c r="E47">
        <f>(_xll.RtGet("IDN","/MCON.L","VOL ACCUMULATED"))*2</f>
        <v>0</v>
      </c>
      <c r="F47">
        <f>(_xll.RtGet("IDN","/MCON.L","TURNOVER"))*2</f>
        <v>0</v>
      </c>
      <c r="G47">
        <f>(_xll.RtGet("IDN","/MCON.L","NUM_MOVES"))*2</f>
        <v>0</v>
      </c>
      <c r="I47" t="s">
        <v>456</v>
      </c>
      <c r="J47" s="94">
        <f t="shared" si="2"/>
        <v>0</v>
      </c>
      <c r="K47" s="94">
        <f t="shared" si="9"/>
        <v>0</v>
      </c>
      <c r="L47" s="94">
        <f t="shared" si="10"/>
        <v>0</v>
      </c>
      <c r="N47" t="str">
        <f>_xll.RtGet("IDN","MCON.L","CURRENCY")</f>
        <v>GBp</v>
      </c>
      <c r="O47">
        <f t="shared" si="11"/>
        <v>0</v>
      </c>
    </row>
    <row r="48" spans="2:15" x14ac:dyDescent="0.2">
      <c r="B48" s="134"/>
      <c r="C48" t="s">
        <v>457</v>
      </c>
      <c r="D48" t="s">
        <v>458</v>
      </c>
      <c r="E48">
        <f>(_xll.RtGet("IDN","/GAN.L","VOL ACCUMULATED"))*2</f>
        <v>103602</v>
      </c>
      <c r="F48">
        <f>(_xll.RtGet("IDN","/GAN.L","TURNOVER"))*2</f>
        <v>3.8760000000000003E-2</v>
      </c>
      <c r="G48">
        <f>(_xll.RtGet("IDN","/GAN.L","NUM_MOVES"))*2</f>
        <v>10</v>
      </c>
      <c r="I48" t="s">
        <v>458</v>
      </c>
      <c r="J48" s="94">
        <f t="shared" si="2"/>
        <v>4.5612768000000005E-2</v>
      </c>
      <c r="K48" s="94">
        <f t="shared" si="9"/>
        <v>103602</v>
      </c>
      <c r="L48" s="94">
        <f t="shared" si="10"/>
        <v>10</v>
      </c>
      <c r="N48" t="str">
        <f>_xll.RtGet("IDN","MCON.L","CURRENCY")</f>
        <v>GBp</v>
      </c>
      <c r="O48">
        <f t="shared" si="11"/>
        <v>4.5612768000000005E-2</v>
      </c>
    </row>
    <row r="49" spans="2:15" ht="13.5" thickBot="1" x14ac:dyDescent="0.25">
      <c r="B49" s="137"/>
      <c r="C49" t="s">
        <v>459</v>
      </c>
      <c r="D49" t="s">
        <v>460</v>
      </c>
      <c r="E49">
        <f>(_xll.RtGet("IDN","/HBRN.L","VOL ACCUMULATED"))*2</f>
        <v>8284</v>
      </c>
      <c r="F49">
        <f>(_xll.RtGet("IDN","/HBRN.L","TURNOVER"))*2</f>
        <v>1.1500000000000002E-2</v>
      </c>
      <c r="G49">
        <f>(_xll.RtGet("IDN","/HBRN.L","NUM_MOVES"))*2</f>
        <v>10</v>
      </c>
      <c r="I49" t="s">
        <v>460</v>
      </c>
      <c r="J49" s="94">
        <f t="shared" si="2"/>
        <v>1.1500000000000002E-2</v>
      </c>
      <c r="K49" s="94">
        <f t="shared" si="9"/>
        <v>8284</v>
      </c>
      <c r="L49" s="94">
        <f t="shared" si="10"/>
        <v>10</v>
      </c>
      <c r="N49" t="str">
        <f>_xll.RtGet("IDN","HBRN.L","CURRENCY")</f>
        <v>EUR</v>
      </c>
      <c r="O49">
        <f t="shared" si="11"/>
        <v>1.1500000000000002E-2</v>
      </c>
    </row>
    <row r="50" spans="2:15" x14ac:dyDescent="0.2">
      <c r="C50" s="193" t="s">
        <v>462</v>
      </c>
      <c r="D50" s="194" t="s">
        <v>461</v>
      </c>
      <c r="E50">
        <f>(_xll.RtGet("IDN","/IRESEUR.Lp","VOL ACCUMULATED"))*2</f>
        <v>2000</v>
      </c>
      <c r="F50">
        <f>(_xll.RtGet("IDN","/IRESEUR.Lp","TURNOVER"))*2</f>
        <v>2.2800000000000003E-3</v>
      </c>
      <c r="G50">
        <f>(_xll.RtGet("IDN","/IRESEUR.Lp","NUM_MOVES"))*2</f>
        <v>2</v>
      </c>
      <c r="I50" s="194" t="s">
        <v>461</v>
      </c>
      <c r="J50" s="94">
        <f t="shared" si="2"/>
        <v>2.2800000000000003E-3</v>
      </c>
      <c r="K50" s="94">
        <f t="shared" si="9"/>
        <v>2000</v>
      </c>
      <c r="L50" s="94">
        <f t="shared" si="10"/>
        <v>2</v>
      </c>
      <c r="N50" t="str">
        <f>_xll.RtGet("IDN","IRESEUR.Lp","CURRENCY")</f>
        <v>EUR</v>
      </c>
      <c r="O50">
        <f t="shared" si="11"/>
        <v>2.2800000000000003E-3</v>
      </c>
    </row>
    <row r="51" spans="2:15" x14ac:dyDescent="0.2">
      <c r="C51" s="196" t="s">
        <v>464</v>
      </c>
      <c r="D51" s="195" t="s">
        <v>463</v>
      </c>
      <c r="E51">
        <f>(_xll.RtGet("IDN","/DALD.L","VOL ACCUMULATED"))*2</f>
        <v>2988</v>
      </c>
      <c r="F51">
        <f>(_xll.RtGet("IDN","/DALD.L","TURNOVER"))*2</f>
        <v>1.0120000000000001E-2</v>
      </c>
      <c r="G51">
        <f>(_xll.RtGet("IDN","/DALD.L","NUM_MOVES"))*2</f>
        <v>4</v>
      </c>
      <c r="I51" s="198" t="s">
        <v>463</v>
      </c>
      <c r="J51" s="94">
        <f t="shared" si="2"/>
        <v>1.1909216000000002E-2</v>
      </c>
      <c r="K51" s="94">
        <f t="shared" si="9"/>
        <v>2988</v>
      </c>
      <c r="L51" s="94">
        <f t="shared" si="10"/>
        <v>4</v>
      </c>
      <c r="N51" t="str">
        <f>_xll.RtGet("IDN","DALD.L","CURRENCY")</f>
        <v>GBp</v>
      </c>
      <c r="O51">
        <f t="shared" si="11"/>
        <v>1.1909216000000002E-2</v>
      </c>
    </row>
    <row r="52" spans="2:15" x14ac:dyDescent="0.2">
      <c r="C52" s="198" t="s">
        <v>465</v>
      </c>
      <c r="D52" s="197" t="s">
        <v>466</v>
      </c>
      <c r="E52">
        <f>(_xll.RtGet("IDN","/APGNA.L","VOL ACCUMULATED"))*2</f>
        <v>7136</v>
      </c>
      <c r="F52">
        <f>(_xll.RtGet("IDN","/APGNA.L","TURNOVER"))*2</f>
        <v>2.5800000000000003E-2</v>
      </c>
      <c r="G52">
        <f>(_xll.RtGet("IDN","/APGNA.L","NUM_MOVES"))*2</f>
        <v>10</v>
      </c>
      <c r="I52" t="s">
        <v>466</v>
      </c>
      <c r="J52" s="94">
        <f t="shared" si="2"/>
        <v>3.0361440000000007E-2</v>
      </c>
      <c r="K52" s="94">
        <f t="shared" si="9"/>
        <v>7136</v>
      </c>
      <c r="L52" s="94">
        <f t="shared" si="10"/>
        <v>10</v>
      </c>
      <c r="N52" t="str">
        <f>_xll.RtGet("IDN","APGNA.L","CURRENCY")</f>
        <v>GBp</v>
      </c>
      <c r="O52">
        <f t="shared" si="11"/>
        <v>3.0361440000000007E-2</v>
      </c>
    </row>
    <row r="53" spans="2:15" x14ac:dyDescent="0.2">
      <c r="C53" t="s">
        <v>487</v>
      </c>
      <c r="D53" t="s">
        <v>488</v>
      </c>
      <c r="E53">
        <f>(_xll.RtGet("IDN","/HSW.L","VOL ACCUMULATED"))*2</f>
        <v>8014</v>
      </c>
      <c r="F53">
        <f>(_xll.RtGet("IDN","/HSW.L","TURNOVER"))*2</f>
        <v>1.2740000000000001E-2</v>
      </c>
      <c r="G53">
        <f>(_xll.RtGet("IDN","/HSW.L","NUM_MOVES"))*2</f>
        <v>20</v>
      </c>
      <c r="I53" t="s">
        <v>488</v>
      </c>
      <c r="J53" s="94">
        <f t="shared" si="2"/>
        <v>1.4992432000000002E-2</v>
      </c>
      <c r="K53" s="94">
        <f t="shared" si="9"/>
        <v>8014</v>
      </c>
      <c r="L53" s="94">
        <f t="shared" si="10"/>
        <v>20</v>
      </c>
      <c r="N53" t="str">
        <f>_xll.RtGet("IDN","HSW.L","CURRENCY")</f>
        <v>GBp</v>
      </c>
      <c r="O53">
        <f>IF((N53="GBp"),((F53*$N$2)),F53)</f>
        <v>1.4992432000000002E-2</v>
      </c>
    </row>
    <row r="54" spans="2:15" ht="15.75" x14ac:dyDescent="0.25">
      <c r="C54" t="s">
        <v>492</v>
      </c>
      <c r="D54" s="203" t="s">
        <v>493</v>
      </c>
      <c r="E54">
        <f>(_xll.RtGet("IDN","/VENN.L","VOL ACCUMULATED"))*2</f>
        <v>0</v>
      </c>
      <c r="F54">
        <f>(_xll.RtGet("IDN","/VENN.L","TURNOVER"))*2</f>
        <v>0</v>
      </c>
      <c r="G54">
        <f>(_xll.RtGet("IDN","/VENN.L","NUM_MOVES"))*2</f>
        <v>0</v>
      </c>
      <c r="I54" s="203" t="s">
        <v>493</v>
      </c>
      <c r="J54" s="94">
        <f t="shared" si="2"/>
        <v>0</v>
      </c>
      <c r="K54" s="94">
        <f t="shared" si="9"/>
        <v>0</v>
      </c>
      <c r="L54" s="94">
        <f t="shared" si="10"/>
        <v>0</v>
      </c>
      <c r="N54" t="str">
        <f>_xll.RtGet("IDN","VENN.L","CURRENCY")</f>
        <v>GBp</v>
      </c>
      <c r="O54">
        <f>IF((N54="GBp"),((F54*$N$2)),F54)</f>
        <v>0</v>
      </c>
    </row>
    <row r="55" spans="2:15" x14ac:dyDescent="0.2">
      <c r="C55" s="201" t="s">
        <v>502</v>
      </c>
      <c r="D55" t="s">
        <v>503</v>
      </c>
      <c r="E55">
        <f>(_xll.RtGet("IDN","/GROW.L","VOL ACCUMULATED"))*2</f>
        <v>0</v>
      </c>
      <c r="F55">
        <f>(_xll.RtGet("IDN","/GROW.L","TURNOVER"))*2</f>
        <v>0</v>
      </c>
      <c r="G55">
        <f>(_xll.RtGet("IDN","/GROW.L","NUM_MOVES"))*2</f>
        <v>0</v>
      </c>
      <c r="I55" t="s">
        <v>504</v>
      </c>
      <c r="J55" s="94">
        <f t="shared" si="2"/>
        <v>0</v>
      </c>
      <c r="K55" s="94">
        <f t="shared" si="9"/>
        <v>0</v>
      </c>
      <c r="L55" s="94">
        <f t="shared" si="10"/>
        <v>0</v>
      </c>
      <c r="N55" t="str">
        <f>_xll.RtGet("IDN","GROW.L","CURRENCY")</f>
        <v>GBp</v>
      </c>
      <c r="O55">
        <f>IF((N55="GBp"),((F55*$N$2)),F55)</f>
        <v>0</v>
      </c>
    </row>
    <row r="57" spans="2:15" x14ac:dyDescent="0.2">
      <c r="C57" s="32" t="s">
        <v>77</v>
      </c>
      <c r="D57" s="32" t="e">
        <f>(_xll.RtGet("IDN","/ALBK.L","VOL ACCUMULATED"))*2</f>
        <v>#VALUE!</v>
      </c>
      <c r="E57" s="9" t="e">
        <f>(_xll.RtGet("IDN","/ALBK.L","TURNOVER"))*2</f>
        <v>#VALUE!</v>
      </c>
    </row>
    <row r="58" spans="2:15" x14ac:dyDescent="0.2">
      <c r="C58" s="34" t="s">
        <v>79</v>
      </c>
      <c r="D58" s="34">
        <f>_xll.RtGet("IDN","/BKIR.L","VOL ACCUMULATED")*2</f>
        <v>22210842</v>
      </c>
      <c r="E58" s="12">
        <f>_xll.RtGet("IDN","/BKIR.L","TURNOVER")*2</f>
        <v>4.1740000000000004</v>
      </c>
    </row>
    <row r="59" spans="2:15" x14ac:dyDescent="0.2">
      <c r="C59" s="34" t="s">
        <v>120</v>
      </c>
      <c r="D59" s="34" t="e">
        <f>_xll.RtGet("IDN","/ANGL.L","VOL ACCUMULATED")*2</f>
        <v>#VALUE!</v>
      </c>
      <c r="E59" s="12" t="e">
        <f>_xll.RtGet("IDN","/ANGL.L","TURNOVER")*2</f>
        <v>#VALUE!</v>
      </c>
    </row>
    <row r="60" spans="2:15" x14ac:dyDescent="0.2">
      <c r="C60" s="32" t="s">
        <v>121</v>
      </c>
      <c r="D60" s="32">
        <f>_xll.RtGet("IDN","/DCC.L","VOL ACCUMULATED")*2</f>
        <v>1029102</v>
      </c>
      <c r="E60" s="9">
        <f>_xll.RtGet("IDN","/DCC.L","TURNOVER")*2</f>
        <v>69.88888</v>
      </c>
    </row>
    <row r="61" spans="2:15" x14ac:dyDescent="0.2">
      <c r="C61" s="32" t="s">
        <v>64</v>
      </c>
      <c r="D61" s="32" t="e">
        <f>_xll.RtGet("IDN","/ELN.L","VOL ACCUMULATED")*2</f>
        <v>#VALUE!</v>
      </c>
      <c r="E61" s="9" t="e">
        <f>_xll.RtGet("IDN","/ELN.L","TURNOVER")*2</f>
        <v>#VALUE!</v>
      </c>
    </row>
    <row r="62" spans="2:15" x14ac:dyDescent="0.2">
      <c r="C62" s="32" t="s">
        <v>122</v>
      </c>
      <c r="D62" s="32">
        <f>_xll.RtGet("IDN","/GRF_u.L","VOL ACCUMULATED")*2</f>
        <v>406200</v>
      </c>
      <c r="E62" s="9">
        <f>_xll.RtGet("IDN","/GRF_u.L","TURNOVER")*2</f>
        <v>2.2490600000000001</v>
      </c>
    </row>
    <row r="63" spans="2:15" x14ac:dyDescent="0.2">
      <c r="C63" s="32" t="s">
        <v>123</v>
      </c>
      <c r="D63" s="32" t="e">
        <f>_xll.RtGet("IDN","/IAW.L","VOL ACCUMULATED")*2</f>
        <v>#VALUE!</v>
      </c>
      <c r="E63" s="9" t="e">
        <f>_xll.RtGet("IDN","/IAW.L","TURNOVER")*2</f>
        <v>#VALUE!</v>
      </c>
    </row>
    <row r="64" spans="2:15" x14ac:dyDescent="0.2">
      <c r="C64" s="32" t="s">
        <v>124</v>
      </c>
      <c r="D64" s="32" t="e">
        <f>_xll.RtGet("IDN","/INWS.L","VOL ACCUMULATED")*2</f>
        <v>#VALUE!</v>
      </c>
      <c r="E64" s="9" t="e">
        <f>_xll.RtGet("IDN","/INWS.L","TURNOVER")*2</f>
        <v>#VALUE!</v>
      </c>
    </row>
    <row r="65" spans="2:5" x14ac:dyDescent="0.2">
      <c r="C65" s="32" t="s">
        <v>125</v>
      </c>
      <c r="D65" s="32" t="e">
        <f>_xll.RtGet("IDN","/IPM.L","VOL ACCUMULATED")*2</f>
        <v>#VALUE!</v>
      </c>
      <c r="E65" s="9" t="e">
        <f>_xll.RtGet("IDN","/IPM.L","TURNOVER")*2</f>
        <v>#VALUE!</v>
      </c>
    </row>
    <row r="66" spans="2:5" x14ac:dyDescent="0.2">
      <c r="C66" s="32" t="s">
        <v>126</v>
      </c>
      <c r="D66" s="32" t="e">
        <f>_xll.RtGet("IDN","/JDH.L","VOL ACCUMULATED")*2</f>
        <v>#VALUE!</v>
      </c>
      <c r="E66" s="9" t="e">
        <f>_xll.RtGet("IDN","/JDH.L","TURNOVER")*2</f>
        <v>#VALUE!</v>
      </c>
    </row>
    <row r="67" spans="2:5" x14ac:dyDescent="0.2">
      <c r="C67" s="32" t="s">
        <v>127</v>
      </c>
      <c r="D67" s="32">
        <f>_xll.RtGet("IDN","/KYGa.L","VOL ACCUMULATED")*2</f>
        <v>23380</v>
      </c>
      <c r="E67" s="9">
        <f>_xll.RtGet("IDN","/KYGa.L","TURNOVER")*2</f>
        <v>1.7958200000000002</v>
      </c>
    </row>
    <row r="68" spans="2:5" x14ac:dyDescent="0.2">
      <c r="C68" s="32" t="s">
        <v>128</v>
      </c>
      <c r="D68" s="32">
        <f>_xll.RtGet("IDN","/RYA.L","VOL ACCUMULATED")*2</f>
        <v>957286</v>
      </c>
      <c r="E68" s="9">
        <f>_xll.RtGet("IDN","/RYA.L","TURNOVER")*2</f>
        <v>11.534700000000001</v>
      </c>
    </row>
    <row r="69" spans="2:5" x14ac:dyDescent="0.2">
      <c r="B69" s="31" t="s">
        <v>76</v>
      </c>
      <c r="C69" s="34" t="s">
        <v>491</v>
      </c>
      <c r="D69" s="34">
        <f>_xll.RtGet("IDN","/CRH.L","VOL ACCUMULATED")*2</f>
        <v>1584776</v>
      </c>
      <c r="E69" s="12">
        <f>_xll.RtGet("IDN","/CRH.L","TURNOVER")*2</f>
        <v>36.737460000000006</v>
      </c>
    </row>
    <row r="70" spans="2:5" x14ac:dyDescent="0.2">
      <c r="B70" s="33" t="s">
        <v>78</v>
      </c>
    </row>
    <row r="71" spans="2:5" x14ac:dyDescent="0.2">
      <c r="B71" s="33" t="s">
        <v>110</v>
      </c>
    </row>
    <row r="72" spans="2:5" x14ac:dyDescent="0.2">
      <c r="B72" s="31" t="s">
        <v>111</v>
      </c>
    </row>
    <row r="73" spans="2:5" x14ac:dyDescent="0.2">
      <c r="B73" s="31" t="s">
        <v>112</v>
      </c>
    </row>
    <row r="74" spans="2:5" x14ac:dyDescent="0.2">
      <c r="B74" s="31" t="s">
        <v>113</v>
      </c>
    </row>
    <row r="75" spans="2:5" x14ac:dyDescent="0.2">
      <c r="B75" s="31" t="s">
        <v>114</v>
      </c>
    </row>
    <row r="76" spans="2:5" x14ac:dyDescent="0.2">
      <c r="B76" s="31" t="s">
        <v>115</v>
      </c>
    </row>
    <row r="77" spans="2:5" x14ac:dyDescent="0.2">
      <c r="B77" s="31" t="s">
        <v>116</v>
      </c>
    </row>
    <row r="78" spans="2:5" x14ac:dyDescent="0.2">
      <c r="B78" s="31" t="s">
        <v>117</v>
      </c>
    </row>
    <row r="79" spans="2:5" x14ac:dyDescent="0.2">
      <c r="B79" s="31" t="s">
        <v>118</v>
      </c>
    </row>
    <row r="80" spans="2:5" x14ac:dyDescent="0.2">
      <c r="B80" s="31" t="s">
        <v>119</v>
      </c>
    </row>
    <row r="81" spans="2:5" x14ac:dyDescent="0.2">
      <c r="B81" s="33" t="s">
        <v>80</v>
      </c>
    </row>
    <row r="91" spans="2:5" x14ac:dyDescent="0.2">
      <c r="C91" s="32" t="s">
        <v>77</v>
      </c>
      <c r="D91" s="32" t="e">
        <f>(_xll.RtGet("IDN","/ALBK.L","VOL ACCUMULATED"))*2</f>
        <v>#VALUE!</v>
      </c>
      <c r="E91" s="9" t="e">
        <f>(_xll.RtGet("IDN","/ALBK.L","TURNOVER"))*2</f>
        <v>#VALUE!</v>
      </c>
    </row>
    <row r="92" spans="2:5" x14ac:dyDescent="0.2">
      <c r="C92" s="34" t="s">
        <v>79</v>
      </c>
      <c r="D92" s="34">
        <f>_xll.RtGet("IDN","/BKIR.L","VOL ACCUMULATED")*2</f>
        <v>22210842</v>
      </c>
      <c r="E92" s="12">
        <f>_xll.RtGet("IDN","/BKIR.L","TURNOVER")*2</f>
        <v>4.1740000000000004</v>
      </c>
    </row>
    <row r="93" spans="2:5" x14ac:dyDescent="0.2">
      <c r="C93" s="34" t="s">
        <v>120</v>
      </c>
      <c r="D93" s="34" t="e">
        <f>_xll.RtGet("IDN","/ANGL.L","VOL ACCUMULATED")*2</f>
        <v>#VALUE!</v>
      </c>
      <c r="E93" s="12" t="e">
        <f>_xll.RtGet("IDN","/ANGL.L","TURNOVER")*2</f>
        <v>#VALUE!</v>
      </c>
    </row>
    <row r="94" spans="2:5" x14ac:dyDescent="0.2">
      <c r="C94" s="32" t="s">
        <v>121</v>
      </c>
      <c r="D94" s="32">
        <f>_xll.RtGet("IDN","/DCC.L","VOL ACCUMULATED")*2</f>
        <v>1029102</v>
      </c>
      <c r="E94" s="9">
        <f>_xll.RtGet("IDN","/DCC.L","TURNOVER")*2</f>
        <v>69.88888</v>
      </c>
    </row>
    <row r="95" spans="2:5" x14ac:dyDescent="0.2">
      <c r="C95" s="32" t="s">
        <v>64</v>
      </c>
      <c r="D95" s="32" t="e">
        <f>_xll.RtGet("IDN","/ELN.L","VOL ACCUMULATED")*2</f>
        <v>#VALUE!</v>
      </c>
      <c r="E95" s="9" t="e">
        <f>_xll.RtGet("IDN","/ELN.L","TURNOVER")*2</f>
        <v>#VALUE!</v>
      </c>
    </row>
    <row r="96" spans="2:5" x14ac:dyDescent="0.2">
      <c r="C96" s="32" t="s">
        <v>208</v>
      </c>
      <c r="D96" s="32">
        <f>_xll.RtGet("IDN","/GRF_u.L","VOL ACCUMULATED")*2</f>
        <v>406200</v>
      </c>
      <c r="E96" s="9">
        <f>_xll.RtGet("IDN","/GRF_u.L","TURNOVER")*2</f>
        <v>2.2490600000000001</v>
      </c>
    </row>
    <row r="97" spans="2:5" x14ac:dyDescent="0.2">
      <c r="C97" s="32" t="s">
        <v>123</v>
      </c>
      <c r="D97" s="32" t="e">
        <f>_xll.RtGet("IDN","/IAW.L","VOL ACCUMULATED")*2</f>
        <v>#VALUE!</v>
      </c>
      <c r="E97" s="9" t="e">
        <f>_xll.RtGet("IDN","/IAW.L","TURNOVER")*2</f>
        <v>#VALUE!</v>
      </c>
    </row>
    <row r="98" spans="2:5" x14ac:dyDescent="0.2">
      <c r="C98" s="32" t="s">
        <v>124</v>
      </c>
      <c r="D98" s="32" t="e">
        <f>_xll.RtGet("IDN","/INWS.L","VOL ACCUMULATED")*2</f>
        <v>#VALUE!</v>
      </c>
      <c r="E98" s="9" t="e">
        <f>_xll.RtGet("IDN","/INWS.L","TURNOVER")*2</f>
        <v>#VALUE!</v>
      </c>
    </row>
    <row r="99" spans="2:5" x14ac:dyDescent="0.2">
      <c r="C99" s="32" t="s">
        <v>125</v>
      </c>
      <c r="D99" s="32" t="e">
        <f>_xll.RtGet("IDN","/IPM.L","VOL ACCUMULATED")*2</f>
        <v>#VALUE!</v>
      </c>
      <c r="E99" s="9" t="e">
        <f>_xll.RtGet("IDN","/IPM.L","TURNOVER")*2</f>
        <v>#VALUE!</v>
      </c>
    </row>
    <row r="100" spans="2:5" x14ac:dyDescent="0.2">
      <c r="C100" s="32" t="s">
        <v>126</v>
      </c>
      <c r="D100" s="32" t="e">
        <f>_xll.RtGet("IDN","/JDH.L","VOL ACCUMULATED")*2</f>
        <v>#VALUE!</v>
      </c>
      <c r="E100" s="9" t="e">
        <f>_xll.RtGet("IDN","/JDH.L","TURNOVER")*2</f>
        <v>#VALUE!</v>
      </c>
    </row>
    <row r="101" spans="2:5" x14ac:dyDescent="0.2">
      <c r="C101" s="32" t="s">
        <v>127</v>
      </c>
      <c r="D101" s="32">
        <f>_xll.RtGet("IDN","/KYGa.L","VOL ACCUMULATED")*2</f>
        <v>23380</v>
      </c>
      <c r="E101" s="9">
        <f>_xll.RtGet("IDN","/KYGa.L","TURNOVER")*2</f>
        <v>1.7958200000000002</v>
      </c>
    </row>
    <row r="102" spans="2:5" x14ac:dyDescent="0.2">
      <c r="C102" s="32" t="s">
        <v>128</v>
      </c>
      <c r="D102" s="32">
        <f>_xll.RtGet("IDN","/RYA.L","VOL ACCUMULATED")*2</f>
        <v>957286</v>
      </c>
      <c r="E102" s="9">
        <f>_xll.RtGet("IDN","/RYA.L","TURNOVER")*2</f>
        <v>11.534700000000001</v>
      </c>
    </row>
    <row r="103" spans="2:5" x14ac:dyDescent="0.2">
      <c r="B103" s="31" t="s">
        <v>76</v>
      </c>
      <c r="C103" s="34" t="s">
        <v>491</v>
      </c>
      <c r="D103" s="34">
        <f>_xll.RtGet("IDN","/CRH.L","VOL ACCUMULATED")*2</f>
        <v>1584776</v>
      </c>
      <c r="E103" s="12">
        <f>_xll.RtGet("IDN","/CRH.L","TURNOVER")*2</f>
        <v>36.737460000000006</v>
      </c>
    </row>
    <row r="104" spans="2:5" x14ac:dyDescent="0.2">
      <c r="B104" s="33" t="s">
        <v>78</v>
      </c>
    </row>
    <row r="105" spans="2:5" x14ac:dyDescent="0.2">
      <c r="B105" s="33" t="s">
        <v>203</v>
      </c>
    </row>
    <row r="106" spans="2:5" x14ac:dyDescent="0.2">
      <c r="B106" s="31" t="s">
        <v>111</v>
      </c>
    </row>
    <row r="107" spans="2:5" x14ac:dyDescent="0.2">
      <c r="B107" s="31" t="s">
        <v>112</v>
      </c>
    </row>
    <row r="108" spans="2:5" x14ac:dyDescent="0.2">
      <c r="B108" s="31" t="s">
        <v>204</v>
      </c>
    </row>
    <row r="109" spans="2:5" x14ac:dyDescent="0.2">
      <c r="B109" s="31" t="s">
        <v>114</v>
      </c>
    </row>
    <row r="110" spans="2:5" x14ac:dyDescent="0.2">
      <c r="B110" s="31" t="s">
        <v>115</v>
      </c>
    </row>
    <row r="111" spans="2:5" x14ac:dyDescent="0.2">
      <c r="B111" s="31" t="s">
        <v>116</v>
      </c>
    </row>
    <row r="112" spans="2:5" x14ac:dyDescent="0.2">
      <c r="B112" s="31" t="s">
        <v>205</v>
      </c>
    </row>
    <row r="113" spans="2:2" x14ac:dyDescent="0.2">
      <c r="B113" s="31" t="s">
        <v>206</v>
      </c>
    </row>
    <row r="114" spans="2:2" x14ac:dyDescent="0.2">
      <c r="B114" s="31" t="s">
        <v>119</v>
      </c>
    </row>
    <row r="115" spans="2:2" x14ac:dyDescent="0.2">
      <c r="B115" s="33" t="s">
        <v>80</v>
      </c>
    </row>
  </sheetData>
  <phoneticPr fontId="5" type="noConversion"/>
  <pageMargins left="0.75" right="0.75" top="1" bottom="1" header="0.5" footer="0.5"/>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18"/>
  <sheetViews>
    <sheetView workbookViewId="0">
      <selection activeCell="B4" sqref="B4:G6"/>
    </sheetView>
  </sheetViews>
  <sheetFormatPr defaultRowHeight="12.75" x14ac:dyDescent="0.2"/>
  <cols>
    <col min="2" max="2" width="13" bestFit="1" customWidth="1"/>
    <col min="4" max="4" width="21.33203125" bestFit="1" customWidth="1"/>
    <col min="5" max="5" width="14.33203125" customWidth="1"/>
    <col min="6" max="7" width="9.83203125" bestFit="1" customWidth="1"/>
    <col min="10" max="10" width="13.33203125" customWidth="1"/>
    <col min="12" max="12" width="49" customWidth="1"/>
  </cols>
  <sheetData>
    <row r="1" spans="1:15" ht="16.5" thickBot="1" x14ac:dyDescent="0.3">
      <c r="A1" s="209" t="s">
        <v>55</v>
      </c>
      <c r="B1" s="210"/>
      <c r="C1" s="210"/>
      <c r="D1" s="210"/>
      <c r="E1" s="210"/>
      <c r="F1" s="210"/>
      <c r="G1" s="210"/>
      <c r="H1" s="210"/>
      <c r="I1" s="210"/>
      <c r="J1" s="210"/>
      <c r="K1" s="210"/>
      <c r="L1" s="210"/>
      <c r="M1" s="211"/>
    </row>
    <row r="2" spans="1:15" ht="15" x14ac:dyDescent="0.2">
      <c r="A2" s="16"/>
      <c r="B2" s="17"/>
      <c r="C2" s="17"/>
      <c r="D2" s="17"/>
      <c r="E2" s="17"/>
      <c r="F2" s="17"/>
      <c r="G2" s="17"/>
      <c r="H2" s="17"/>
      <c r="I2" s="17"/>
      <c r="J2" s="17"/>
      <c r="K2" s="17"/>
      <c r="L2" s="17"/>
      <c r="M2" s="18"/>
    </row>
    <row r="3" spans="1:15" ht="15.75" thickBot="1" x14ac:dyDescent="0.25">
      <c r="A3" s="16"/>
      <c r="B3" s="17"/>
      <c r="C3" s="17"/>
      <c r="D3" s="17"/>
      <c r="E3" s="17"/>
      <c r="F3" s="17"/>
      <c r="G3" s="17"/>
      <c r="H3" s="17"/>
      <c r="I3" s="17"/>
      <c r="J3" s="17"/>
      <c r="K3" s="17"/>
      <c r="L3" s="17"/>
      <c r="M3" s="18"/>
    </row>
    <row r="4" spans="1:15" ht="13.5" thickBot="1" x14ac:dyDescent="0.25">
      <c r="A4" s="19"/>
      <c r="B4" s="108" t="s">
        <v>56</v>
      </c>
      <c r="C4" s="111" t="s">
        <v>239</v>
      </c>
      <c r="D4" s="108" t="s">
        <v>57</v>
      </c>
      <c r="E4" s="109" t="s">
        <v>236</v>
      </c>
      <c r="F4" s="109" t="s">
        <v>58</v>
      </c>
      <c r="G4" s="112" t="s">
        <v>235</v>
      </c>
      <c r="H4" s="109" t="s">
        <v>59</v>
      </c>
      <c r="I4" s="109" t="s">
        <v>60</v>
      </c>
      <c r="J4" s="109" t="s">
        <v>61</v>
      </c>
      <c r="K4" s="109" t="s">
        <v>62</v>
      </c>
      <c r="L4" s="110" t="s">
        <v>63</v>
      </c>
      <c r="M4" s="111" t="s">
        <v>237</v>
      </c>
      <c r="O4" s="112" t="s">
        <v>238</v>
      </c>
    </row>
    <row r="5" spans="1:15" x14ac:dyDescent="0.2">
      <c r="A5" s="19"/>
      <c r="B5" s="114" t="s">
        <v>64</v>
      </c>
      <c r="C5" s="21" t="s">
        <v>240</v>
      </c>
      <c r="D5" s="22" t="s">
        <v>65</v>
      </c>
      <c r="E5" s="35" t="str">
        <f>IF(L5=0,"No",IF(H5&gt;0, "No", "Yes"))</f>
        <v>No</v>
      </c>
      <c r="F5" s="37">
        <f>IF(E5="NO",0,J5)</f>
        <v>0</v>
      </c>
      <c r="G5" s="113" t="str">
        <f>IF(E5="No","OK",IF(ABS(L5-M5)/(L5)&gt;=O5,"NOT OK","OK" ))</f>
        <v>OK</v>
      </c>
      <c r="H5" s="21" t="str">
        <f>_xll.RtGet("IDN","ELN.I","NUMBER TRADES")</f>
        <v>#N/A *The record could not be found</v>
      </c>
      <c r="I5" s="23" t="str">
        <f>_xll.RtGet("IDN","ELN.I","LAST")</f>
        <v>#N/A *The record could not be found</v>
      </c>
      <c r="J5" s="24" t="e">
        <f>ROUNDUP(L5/K5,2)</f>
        <v>#VALUE!</v>
      </c>
      <c r="K5" s="25">
        <f>_xll.RtGet("IDN","EUR=S","BID")</f>
        <v>1.1075000000000002</v>
      </c>
      <c r="L5" s="35" t="str">
        <f>_xll.RtGet("IDN","/ELN.N","LAST")</f>
        <v>#N/A *The record could not be found</v>
      </c>
      <c r="M5" s="35" t="str">
        <f>_xll.RtGet("IDN","/ELN.N","HISTORIC CLOSE")</f>
        <v>#N/A *The record could not be found</v>
      </c>
      <c r="O5" s="113">
        <v>0.4</v>
      </c>
    </row>
    <row r="6" spans="1:15" x14ac:dyDescent="0.2">
      <c r="A6" s="19"/>
      <c r="B6" s="114" t="s">
        <v>66</v>
      </c>
      <c r="C6" s="21" t="s">
        <v>241</v>
      </c>
      <c r="D6" s="22" t="s">
        <v>67</v>
      </c>
      <c r="E6" s="35" t="str">
        <f>IF(L6=0,"No",IF(H6&gt;0, "No", "Yes"))</f>
        <v>No</v>
      </c>
      <c r="F6" s="37">
        <f>IF(E6="NO",0,J6)</f>
        <v>0</v>
      </c>
      <c r="G6" s="113" t="str">
        <f>IF(E6="No","OK",IF(ABS(L6-M6)/(L6)&gt;=O6,"NOT OK","OK" ))</f>
        <v>OK</v>
      </c>
      <c r="H6" s="21" t="str">
        <f>_xll.RtGet("IDN","ICON.I","NUMBER TRADES")</f>
        <v>#N/A *The record could not be found</v>
      </c>
      <c r="I6" s="23" t="str">
        <f>_xll.RtGet("IDN","ICON.I","LAST")</f>
        <v>#N/A *The record could not be found</v>
      </c>
      <c r="J6" s="24">
        <f>ROUNDUP(L6/K6,2)</f>
        <v>68.27000000000001</v>
      </c>
      <c r="K6" s="25">
        <f>_xll.RtGet("IDN","EUR=S","BID")</f>
        <v>1.1075000000000002</v>
      </c>
      <c r="L6" s="35">
        <f>_xll.RtGet("IDN","/ICLR.O","LAST")</f>
        <v>75.600000000000009</v>
      </c>
      <c r="M6" s="35">
        <f>_xll.RtGet("IDN","/ICLR.O","HISTORIC CLOSE")</f>
        <v>76.44</v>
      </c>
      <c r="O6" s="113">
        <v>0.4</v>
      </c>
    </row>
    <row r="7" spans="1:15" x14ac:dyDescent="0.2">
      <c r="A7" s="19"/>
      <c r="B7" s="114" t="s">
        <v>68</v>
      </c>
      <c r="C7" s="21" t="s">
        <v>242</v>
      </c>
      <c r="D7" s="22" t="s">
        <v>69</v>
      </c>
      <c r="E7" s="35" t="str">
        <f>IF(L7=0,"No",IF(H7&gt;0, "No", "Yes"))</f>
        <v>No</v>
      </c>
      <c r="F7" s="37">
        <f>IF(E7="NO",0,J7)</f>
        <v>0</v>
      </c>
      <c r="G7" s="113" t="str">
        <f>IF(E7="No","OK",IF(ABS(L7-M7)/(L7)&gt;=O7,"NOT OK","OK" ))</f>
        <v>OK</v>
      </c>
      <c r="H7" s="21" t="str">
        <f>_xll.RtGet("IDN","IONA.I","NUMBER TRADES")</f>
        <v>#N/A *The record could not be found</v>
      </c>
      <c r="I7" s="23" t="str">
        <f>_xll.RtGet("IDN","IONA.I","LAST")</f>
        <v>#N/A *The record could not be found</v>
      </c>
      <c r="J7" s="24" t="e">
        <f>ROUNDUP(L7/K7,2)</f>
        <v>#VALUE!</v>
      </c>
      <c r="K7" s="25">
        <f>_xll.RtGet("IDN","EUR=S","BID")</f>
        <v>1.1075000000000002</v>
      </c>
      <c r="L7" s="35" t="str">
        <f>_xll.RtGet("IDN","/IONA.O","LAST")</f>
        <v>#N/A *The record could not be found</v>
      </c>
      <c r="M7" s="35" t="str">
        <f>_xll.RtGet("IDN","/IONA.O","HISTORIC CLOSE")</f>
        <v>#N/A *The record could not be found</v>
      </c>
      <c r="O7" s="113">
        <v>0.4</v>
      </c>
    </row>
    <row r="8" spans="1:15" x14ac:dyDescent="0.2">
      <c r="A8" s="19"/>
      <c r="B8" s="114" t="s">
        <v>70</v>
      </c>
      <c r="C8" s="21" t="s">
        <v>243</v>
      </c>
      <c r="D8" s="22" t="s">
        <v>71</v>
      </c>
      <c r="E8" s="35" t="str">
        <f>IF(L8=0,"No",IF(H8&gt;0, "No", "Yes"))</f>
        <v>No</v>
      </c>
      <c r="F8" s="37">
        <f>IF(E8="NO",0,J8)</f>
        <v>0</v>
      </c>
      <c r="G8" s="113" t="str">
        <f>IF(E8="No","OK",IF(ABS(L8-M8)/(L8)&gt;=O8,"NOT OK","OK" ))</f>
        <v>OK</v>
      </c>
      <c r="H8" s="21" t="str">
        <f>_xll.RtGet("IDN","TRIB.I","NUMBER TRADES")</f>
        <v>#N/A *The record could not be found</v>
      </c>
      <c r="I8" s="23" t="str">
        <f>_xll.RtGet("IDN","TRIB.I","LAST")</f>
        <v>#N/A *The record could not be found</v>
      </c>
      <c r="J8" s="24">
        <f>ROUNDUP(L8/K8,2)</f>
        <v>2.9099999999999997</v>
      </c>
      <c r="K8" s="25">
        <f>_xll.RtGet("IDN","EUR=S","BID")</f>
        <v>1.1075000000000002</v>
      </c>
      <c r="L8" s="35">
        <f>_xll.RtGet("IDN","/TRIB.O","LAST")/4</f>
        <v>3.217625</v>
      </c>
      <c r="M8" s="35">
        <f>_xll.RtGet("IDN","/TRIB.O","HISTORIC CLOSE")/4</f>
        <v>3.2600000000000002</v>
      </c>
      <c r="O8" s="113">
        <v>0.4</v>
      </c>
    </row>
    <row r="9" spans="1:15" ht="13.5" thickBot="1" x14ac:dyDescent="0.25">
      <c r="A9" s="19"/>
      <c r="B9" s="212" t="s">
        <v>72</v>
      </c>
      <c r="C9" s="213"/>
      <c r="D9" s="214"/>
      <c r="E9" s="214"/>
      <c r="F9" s="214"/>
      <c r="G9" s="214"/>
      <c r="H9" s="214"/>
      <c r="I9" s="214"/>
      <c r="J9" s="214"/>
      <c r="K9" s="214"/>
      <c r="L9" s="215"/>
      <c r="M9" s="20"/>
    </row>
    <row r="10" spans="1:15" x14ac:dyDescent="0.2">
      <c r="A10" s="19"/>
      <c r="B10" s="27"/>
      <c r="C10" s="27"/>
      <c r="D10" s="27"/>
      <c r="E10" s="27"/>
      <c r="F10" s="27"/>
      <c r="G10" s="27"/>
      <c r="H10" s="27"/>
      <c r="I10" s="27"/>
      <c r="J10" s="27"/>
      <c r="K10" s="27"/>
      <c r="L10" s="27"/>
      <c r="M10" s="20"/>
    </row>
    <row r="11" spans="1:15" x14ac:dyDescent="0.2">
      <c r="A11" s="19"/>
      <c r="B11" s="27"/>
      <c r="C11" s="27"/>
      <c r="D11" s="27"/>
      <c r="E11" s="27"/>
      <c r="F11" s="27"/>
      <c r="G11" s="27"/>
      <c r="H11" s="27"/>
      <c r="I11" s="27"/>
      <c r="J11" s="27"/>
      <c r="K11" s="27"/>
      <c r="L11" s="27"/>
      <c r="M11" s="20"/>
    </row>
    <row r="12" spans="1:15" ht="13.5" thickBot="1" x14ac:dyDescent="0.25">
      <c r="A12" s="28"/>
      <c r="B12" s="29"/>
      <c r="C12" s="29"/>
      <c r="D12" s="29"/>
      <c r="E12" s="29"/>
      <c r="F12" s="29"/>
      <c r="G12" s="29"/>
      <c r="H12" s="29"/>
      <c r="I12" s="29"/>
      <c r="J12" s="29"/>
      <c r="K12" s="29"/>
      <c r="L12" s="29"/>
      <c r="M12" s="30"/>
    </row>
    <row r="13" spans="1:15" x14ac:dyDescent="0.2">
      <c r="B13" t="s">
        <v>300</v>
      </c>
      <c r="C13" t="s">
        <v>404</v>
      </c>
      <c r="D13" s="22" t="s">
        <v>401</v>
      </c>
      <c r="E13" t="s">
        <v>402</v>
      </c>
      <c r="F13">
        <v>1.0000000000000001E-5</v>
      </c>
      <c r="G13" t="s">
        <v>403</v>
      </c>
    </row>
    <row r="17" spans="4:6" x14ac:dyDescent="0.2">
      <c r="D17" s="36"/>
    </row>
    <row r="18" spans="4:6" x14ac:dyDescent="0.2">
      <c r="F18" t="s">
        <v>207</v>
      </c>
    </row>
  </sheetData>
  <mergeCells count="2">
    <mergeCell ref="A1:M1"/>
    <mergeCell ref="B9:L9"/>
  </mergeCells>
  <phoneticPr fontId="5"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36"/>
  <sheetViews>
    <sheetView tabSelected="1" topLeftCell="B1" workbookViewId="0">
      <selection activeCell="M33" sqref="M33"/>
    </sheetView>
  </sheetViews>
  <sheetFormatPr defaultRowHeight="12.75" x14ac:dyDescent="0.2"/>
  <cols>
    <col min="1" max="1" width="25.33203125" customWidth="1"/>
    <col min="2" max="2" width="12.6640625" customWidth="1"/>
    <col min="3" max="3" width="25.33203125" customWidth="1"/>
    <col min="5" max="5" width="9.83203125" bestFit="1" customWidth="1"/>
    <col min="10" max="10" width="9.33203125" customWidth="1"/>
  </cols>
  <sheetData>
    <row r="1" spans="1:10" ht="13.5" thickBot="1" x14ac:dyDescent="0.25">
      <c r="A1" s="92" t="s">
        <v>26</v>
      </c>
      <c r="B1" s="93" t="s">
        <v>27</v>
      </c>
      <c r="C1" s="101" t="s">
        <v>28</v>
      </c>
      <c r="E1" s="93" t="s">
        <v>27</v>
      </c>
      <c r="F1" s="101" t="s">
        <v>28</v>
      </c>
      <c r="H1" s="190" t="s">
        <v>27</v>
      </c>
      <c r="I1" s="190" t="s">
        <v>28</v>
      </c>
      <c r="J1" t="s">
        <v>450</v>
      </c>
    </row>
    <row r="2" spans="1:10" x14ac:dyDescent="0.2">
      <c r="A2" s="80" t="s">
        <v>29</v>
      </c>
      <c r="B2" s="82" t="s">
        <v>83</v>
      </c>
      <c r="C2" s="99" t="str">
        <f>MID(_xll.RtGet("IDN","ECB37","IRGROW 4"),8,6)</f>
        <v xml:space="preserve">.1087 </v>
      </c>
      <c r="E2" s="171" t="str">
        <f>MID(_xll.RtGet("IDN","ECB37","IRGROW 4"),2,3)</f>
        <v xml:space="preserve">SD </v>
      </c>
      <c r="F2" s="171" t="str">
        <f>MID(_xll.RtGet("IDN","ECB37","IRGROW 4"),8,6)</f>
        <v xml:space="preserve">.1087 </v>
      </c>
      <c r="G2" s="169"/>
      <c r="H2" s="11" t="s">
        <v>83</v>
      </c>
      <c r="I2" s="189">
        <f>_xll.RtGet("IDN","/EURUSDREF=","PRIMACT_1")</f>
        <v>1.1087</v>
      </c>
      <c r="J2" t="str">
        <f>MID(_xll.RtGet("IDN","/ECBREF=","IRGROW 4"),8,6)</f>
        <v/>
      </c>
    </row>
    <row r="3" spans="1:10" x14ac:dyDescent="0.2">
      <c r="A3" s="10" t="s">
        <v>30</v>
      </c>
      <c r="B3" s="11" t="s">
        <v>84</v>
      </c>
      <c r="C3" s="100" t="str">
        <f>MID(_xll.RtGet("IDN","ECB37","IRGROW 5"),8,6)</f>
        <v xml:space="preserve">13.59 </v>
      </c>
      <c r="E3" s="171" t="str">
        <f>MID(_xll.RtGet("IDN","ECB37","IRGROW 5"),2,3)</f>
        <v xml:space="preserve">PY </v>
      </c>
      <c r="F3" s="171" t="str">
        <f>MID(_xll.RtGet("IDN","ECB37","IRGROW 5"),8,6)</f>
        <v xml:space="preserve">13.59 </v>
      </c>
      <c r="G3" s="169"/>
      <c r="H3" s="11" t="s">
        <v>84</v>
      </c>
      <c r="I3" s="189">
        <f>_xll.RtGet("IDN","/EURJPYREF=","PRIMACT_1")</f>
        <v>113.59</v>
      </c>
    </row>
    <row r="4" spans="1:10" x14ac:dyDescent="0.2">
      <c r="A4" s="10" t="s">
        <v>31</v>
      </c>
      <c r="B4" s="11" t="s">
        <v>85</v>
      </c>
      <c r="C4" s="100" t="str">
        <f>MID(_xll.RtGet("IDN","ECB37","IRGROW 8"),8,6)</f>
        <v xml:space="preserve">.4368 </v>
      </c>
      <c r="E4" s="171" t="str">
        <f>MID(_xll.RtGet("IDN","ECB37","IRGROW 8"),2,3)</f>
        <v xml:space="preserve">KK </v>
      </c>
      <c r="F4" s="171" t="str">
        <f>MID(_xll.RtGet("IDN","ECB37","IRGROW 8"),8,6)</f>
        <v xml:space="preserve">.4368 </v>
      </c>
      <c r="G4" s="169"/>
      <c r="H4" s="11" t="s">
        <v>85</v>
      </c>
      <c r="I4" s="189">
        <f>_xll.RtGet("IDN","/EURDKKREF=","PRIMACT_1")</f>
        <v>7.4368000000000007</v>
      </c>
    </row>
    <row r="5" spans="1:10" x14ac:dyDescent="0.2">
      <c r="A5" s="10" t="s">
        <v>32</v>
      </c>
      <c r="B5" s="11" t="s">
        <v>86</v>
      </c>
      <c r="C5" s="100" t="str">
        <f>MID(_xll.RtGet("IDN","ECB37","IRGROW 10"),7,7)</f>
        <v xml:space="preserve">311.02 </v>
      </c>
      <c r="E5" s="171" t="str">
        <f>MID(_xll.RtGet("IDN","ECB37","IRGROW 10"),2,3)</f>
        <v xml:space="preserve">UF </v>
      </c>
      <c r="F5" s="171" t="str">
        <f>MID(_xll.RtGet("IDN","ECB37","IRGROW 10"),7,7)</f>
        <v xml:space="preserve">311.02 </v>
      </c>
      <c r="G5" s="169"/>
      <c r="H5" s="11" t="s">
        <v>94</v>
      </c>
      <c r="I5" s="189">
        <f>_xll.RtGet("IDN","/EURHUFREF=","PRIMACT_1")</f>
        <v>311.02</v>
      </c>
    </row>
    <row r="6" spans="1:10" x14ac:dyDescent="0.2">
      <c r="A6" s="10" t="s">
        <v>33</v>
      </c>
      <c r="B6" s="11" t="s">
        <v>87</v>
      </c>
      <c r="C6" s="100" t="str">
        <f>MID(_xll.RtGet("IDN","ECB37","IRGROW 6"),27,6)</f>
        <v xml:space="preserve">.4065 </v>
      </c>
      <c r="E6" s="171" t="str">
        <f>MID(_xll.RtGet("IDN","ECB37","IRGROW 6"),21,3)</f>
        <v xml:space="preserve">OK </v>
      </c>
      <c r="F6" s="171" t="str">
        <f>MID(_xll.RtGet("IDN","ECB37","IRGROW 6"),27,6)</f>
        <v xml:space="preserve">.4065 </v>
      </c>
      <c r="G6" s="169"/>
      <c r="H6" s="11" t="s">
        <v>88</v>
      </c>
      <c r="I6" s="189">
        <f>_xll.RtGet("IDN","/EURCHFREF=","PRIMACT_1")</f>
        <v>1.0883</v>
      </c>
    </row>
    <row r="7" spans="1:10" x14ac:dyDescent="0.2">
      <c r="A7" s="10" t="s">
        <v>34</v>
      </c>
      <c r="B7" s="11" t="s">
        <v>88</v>
      </c>
      <c r="C7" s="100" t="str">
        <f>MID(_xll.RtGet("IDN","ECB37","IRGROW 9"),27,6)</f>
        <v xml:space="preserve">.3082 </v>
      </c>
      <c r="E7" s="171" t="str">
        <f>MID(_xll.RtGet("IDN","ECB37","IRGROW 10"),21,3)</f>
        <v xml:space="preserve">UD </v>
      </c>
      <c r="F7" s="171" t="str">
        <f>MID(_xll.RtGet("IDN","ECB37","IRGROW 10"),28,5)</f>
        <v xml:space="preserve">.452 </v>
      </c>
      <c r="G7" s="169"/>
      <c r="H7" s="11" t="s">
        <v>446</v>
      </c>
      <c r="I7" s="189">
        <f>_xll.RtGet("IDN_RDF","/EURRUBREF=","PRIM ACT 1")</f>
        <v>71.808999999999997</v>
      </c>
    </row>
    <row r="8" spans="1:10" x14ac:dyDescent="0.2">
      <c r="A8" s="10" t="s">
        <v>35</v>
      </c>
      <c r="B8" s="11" t="s">
        <v>89</v>
      </c>
      <c r="C8" s="100" t="str">
        <f>MID(_xll.RtGet("IDN","ECB37","IRGROW 10"),28,5)</f>
        <v xml:space="preserve">.452 </v>
      </c>
      <c r="E8" s="171" t="str">
        <f>MID(_xll.RtGet("IDN","ECB37","IRGROW 11"),21,3)</f>
        <v xml:space="preserve">RL </v>
      </c>
      <c r="F8" s="171" t="str">
        <f>MID(_xll.RtGet("IDN","ECB37","IRGROW 11"),27,6)</f>
        <v xml:space="preserve">.5239 </v>
      </c>
      <c r="G8" s="169"/>
      <c r="H8" s="11" t="s">
        <v>447</v>
      </c>
      <c r="I8" s="189">
        <f>_xll.RtGet("IDN_RDF","/EURTRYREF=","PRIM ACT 1")</f>
        <v>3.3082000000000003</v>
      </c>
    </row>
    <row r="9" spans="1:10" x14ac:dyDescent="0.2">
      <c r="A9" s="10" t="s">
        <v>36</v>
      </c>
      <c r="B9" s="11" t="s">
        <v>90</v>
      </c>
      <c r="C9" s="100" t="str">
        <f>MID(_xll.RtGet("IDN","ECB37","IRGROW 11"),27,6)</f>
        <v xml:space="preserve">.5239 </v>
      </c>
      <c r="E9" s="171" t="str">
        <f>MID(_xll.RtGet("IDN","ECB37","IRGROW 12"),2,3)</f>
        <v xml:space="preserve">ON </v>
      </c>
      <c r="F9" s="171" t="str">
        <f>MID(_xll.RtGet("IDN","ECB37","IRGROW 12"),27,6)</f>
        <v xml:space="preserve">.4573 </v>
      </c>
      <c r="G9" s="169"/>
      <c r="H9" s="11" t="s">
        <v>102</v>
      </c>
      <c r="I9" s="189">
        <f>_xll.RtGet("IDN_RDF","/EURAUDREF=","PRIM ACT 1")</f>
        <v>1.4520000000000002</v>
      </c>
    </row>
    <row r="10" spans="1:10" x14ac:dyDescent="0.2">
      <c r="A10" s="10" t="s">
        <v>37</v>
      </c>
      <c r="B10" s="11" t="s">
        <v>91</v>
      </c>
      <c r="C10" s="100" t="str">
        <f>MID(_xll.RtGet("IDN","ECB37","IRGROW 12"),27,6)</f>
        <v xml:space="preserve">.4573 </v>
      </c>
      <c r="E10" s="171" t="str">
        <f>MID(_xll.RtGet("IDN","ECB37","IRGROW 6"),2,3)</f>
        <v xml:space="preserve">GN </v>
      </c>
      <c r="F10" s="171" t="str">
        <f>MID(_xll.RtGet("IDN","ECB37","IRGROW 6"),8,6)</f>
        <v xml:space="preserve">.9558 </v>
      </c>
      <c r="G10" s="169"/>
      <c r="H10" s="11" t="s">
        <v>91</v>
      </c>
      <c r="I10" s="189">
        <f>_xll.RtGet("IDN_RDF","/EURBGNREF=","PRIM ACT 1")</f>
        <v>1.9558</v>
      </c>
    </row>
    <row r="11" spans="1:10" x14ac:dyDescent="0.2">
      <c r="A11" s="10" t="s">
        <v>38</v>
      </c>
      <c r="B11" s="11" t="s">
        <v>92</v>
      </c>
      <c r="C11" s="100" t="str">
        <f>MID(_xll.RtGet("IDN","ECB37","IRGROW 6"),8,6)</f>
        <v xml:space="preserve">.9558 </v>
      </c>
      <c r="E11" s="171" t="str">
        <f>MID(_xll.RtGet("IDN","ECB37","IRGROW 9"),2,3)</f>
        <v xml:space="preserve">BP </v>
      </c>
      <c r="F11" s="171" t="str">
        <f>MID(_xll.RtGet("IDN","ECB37","IRGROW 9"),7,7)</f>
        <v xml:space="preserve">.84955 </v>
      </c>
      <c r="G11" s="169"/>
      <c r="H11" s="11" t="s">
        <v>86</v>
      </c>
      <c r="I11" s="189">
        <f>_xll.RtGet("IDN_RDF","/EURGBPREF=","PRIM ACT 1")</f>
        <v>0.84955000000000003</v>
      </c>
    </row>
    <row r="12" spans="1:10" x14ac:dyDescent="0.2">
      <c r="A12" s="10" t="s">
        <v>39</v>
      </c>
      <c r="B12" s="11" t="s">
        <v>93</v>
      </c>
      <c r="C12" s="100" t="str">
        <f>MID(_xll.RtGet("IDN","ECB37","IRGROW 9"),7,7)</f>
        <v xml:space="preserve">.84955 </v>
      </c>
      <c r="D12" s="170"/>
      <c r="E12" s="171" t="str">
        <f>MID(_xll.RtGet("IDN","ECB37","IRGROW 11"),2,3)</f>
        <v xml:space="preserve">LN </v>
      </c>
      <c r="F12" s="171" t="str">
        <f>MID(_xll.RtGet("IDN","ECB37","IRGROW 11"),8,6)</f>
        <v xml:space="preserve">.2786 </v>
      </c>
      <c r="G12" s="169"/>
      <c r="H12" s="11" t="s">
        <v>96</v>
      </c>
      <c r="I12" s="189">
        <f>_xll.RtGet("IDN_RDF","/EURLVLREF=","PRIM ACT 1")</f>
        <v>0.70280399999999998</v>
      </c>
    </row>
    <row r="13" spans="1:10" x14ac:dyDescent="0.2">
      <c r="A13" s="10" t="s">
        <v>40</v>
      </c>
      <c r="B13" s="11" t="s">
        <v>94</v>
      </c>
      <c r="C13" s="100" t="str">
        <f>MID(_xll.RtGet("IDN","ECB37","IRGROW 11"),8,6)</f>
        <v xml:space="preserve">.2786 </v>
      </c>
      <c r="E13" s="171" t="str">
        <f>MID(_xll.RtGet("IDN","ECB37","IRGROW 12"),2,3)</f>
        <v xml:space="preserve">ON </v>
      </c>
      <c r="F13" s="171" t="str">
        <f>MID(_xll.RtGet("IDN","ECB37","IRGROW 12"),8,6)</f>
        <v xml:space="preserve">.4584 </v>
      </c>
      <c r="G13" s="169"/>
      <c r="H13" s="11" t="s">
        <v>98</v>
      </c>
      <c r="I13" s="189">
        <f>_xll.RtGet("IDN_RDF","/EURPLNREF=","PRIM ACT 1")</f>
        <v>4.2786</v>
      </c>
    </row>
    <row r="14" spans="1:10" x14ac:dyDescent="0.2">
      <c r="A14" s="10" t="s">
        <v>41</v>
      </c>
      <c r="B14" s="11" t="s">
        <v>95</v>
      </c>
      <c r="C14" s="100" t="str">
        <f>MID(_xll.RtGet("IDN","ECB37","IRGROW 12"),8,6)</f>
        <v xml:space="preserve">.4584 </v>
      </c>
      <c r="E14" s="171" t="str">
        <f>MID(_xll.RtGet("IDN","ECB37","IRGROW 13"),2,3)</f>
        <v xml:space="preserve">EK </v>
      </c>
      <c r="F14" s="171" t="str">
        <f>MID(_xll.RtGet("IDN","ECB37","IRGROW 13"),8,6)</f>
        <v xml:space="preserve">9.525 </v>
      </c>
      <c r="G14" s="169"/>
      <c r="H14" s="11" t="s">
        <v>344</v>
      </c>
      <c r="I14" s="189">
        <f>_xll.RtGet("IDN_RDF","/EURRONREF=","PRIM ACT 1")</f>
        <v>4.4584000000000001</v>
      </c>
    </row>
    <row r="15" spans="1:10" x14ac:dyDescent="0.2">
      <c r="A15" s="10" t="s">
        <v>42</v>
      </c>
      <c r="B15" s="11" t="s">
        <v>96</v>
      </c>
      <c r="C15" s="100" t="str">
        <f>MID(_xll.RtGet("IDN","ECB37","IRGROW 13"),8,6)</f>
        <v xml:space="preserve">9.525 </v>
      </c>
      <c r="E15" s="171" t="str">
        <f>MID(_xll.RtGet("IDN","ECB37","IRGROW 4"),21,3)</f>
        <v xml:space="preserve">HF </v>
      </c>
      <c r="F15" s="171" t="str">
        <f>MID(_xll.RtGet("IDN","ECB37","IRGROW 4"),26,7)</f>
        <v xml:space="preserve">1.0883 </v>
      </c>
      <c r="G15" s="169"/>
      <c r="H15" s="11" t="s">
        <v>87</v>
      </c>
      <c r="I15" s="189">
        <f>_xll.RtGet("IDN_RDF","/EURSEKREF=","PRIM ACT 1")</f>
        <v>9.5250000000000004</v>
      </c>
    </row>
    <row r="16" spans="1:10" x14ac:dyDescent="0.2">
      <c r="A16" s="10" t="s">
        <v>43</v>
      </c>
      <c r="B16" s="11" t="s">
        <v>97</v>
      </c>
      <c r="C16" s="100" t="str">
        <f>MID(_xll.RtGet("IDN","ECB37","IRGROW 4"),26,7)</f>
        <v xml:space="preserve">1.0883 </v>
      </c>
      <c r="E16" s="171" t="str">
        <f>MID(_xll.RtGet("IDN","ECB37","IRGROW 5"),21,3)</f>
        <v xml:space="preserve">SK </v>
      </c>
      <c r="F16" s="171" t="str">
        <f>MID(_xll.RtGet("IDN","ECB37","IRGROW 5"),26,7)</f>
        <v xml:space="preserve">     * </v>
      </c>
      <c r="G16" s="169"/>
      <c r="H16" s="11" t="s">
        <v>103</v>
      </c>
      <c r="I16" s="189">
        <f>_xll.RtGet("IDN_RDF","/EURCADREF=","PRIM ACT 1")</f>
        <v>1.4573</v>
      </c>
    </row>
    <row r="17" spans="1:14" x14ac:dyDescent="0.2">
      <c r="A17" s="10" t="s">
        <v>44</v>
      </c>
      <c r="B17" s="11" t="s">
        <v>98</v>
      </c>
      <c r="C17" s="100" t="str">
        <f>MID(_xll.RtGet("IDN","ECB37","IRGROW 5"),26,7)</f>
        <v xml:space="preserve">     * </v>
      </c>
      <c r="E17" s="171" t="str">
        <f>MID(_xll.RtGet("IDN","ECB37","IRGROW 4"),40,3)</f>
        <v xml:space="preserve">KD </v>
      </c>
      <c r="F17" s="171" t="str">
        <f>MID(_xll.RtGet("IDN","ECB37","IRGROW 4"),47,5)</f>
        <v xml:space="preserve">5999 </v>
      </c>
      <c r="G17" s="169"/>
      <c r="H17" s="11" t="s">
        <v>104</v>
      </c>
      <c r="I17" s="189">
        <f>_xll.RtGet("IDN_RDF","/EURHKDREF=","PRIM ACT 1")</f>
        <v>8.5998999999999999</v>
      </c>
    </row>
    <row r="18" spans="1:14" x14ac:dyDescent="0.2">
      <c r="A18" s="10" t="s">
        <v>45</v>
      </c>
      <c r="B18" s="11" t="s">
        <v>99</v>
      </c>
      <c r="C18" s="100" t="str">
        <f>MID(_xll.RtGet("IDN","ECB37","IRGROW 4"),47,5)</f>
        <v xml:space="preserve">5999 </v>
      </c>
      <c r="E18" s="171" t="str">
        <f>MID(_xll.RtGet("IDN","ECB37","IRGROW 6"),40,3)</f>
        <v xml:space="preserve">LS </v>
      </c>
      <c r="F18" s="171" t="str">
        <f>MID(_xll.RtGet("IDN","ECB37","IRGROW 6"),46,6)</f>
        <v xml:space="preserve">.2435 </v>
      </c>
      <c r="G18" s="169"/>
      <c r="H18" s="11" t="s">
        <v>448</v>
      </c>
      <c r="I18" s="189">
        <f>_xll.RtGet("IDN_RDF","/EURIDRREF=","PRIM ACT 1")</f>
        <v>14552.800000000001</v>
      </c>
      <c r="J18" s="188" t="str">
        <f>MID(_xll.RtGet("IDN","ECB37","IRGROW 7"),21,3)</f>
        <v xml:space="preserve">RK </v>
      </c>
      <c r="K18" s="171" t="str">
        <f>MID(_xll.RtGet("IDN","ECB37","IRGROW 7"),27,7)</f>
        <v xml:space="preserve">.4799  </v>
      </c>
    </row>
    <row r="19" spans="1:14" x14ac:dyDescent="0.2">
      <c r="A19" s="10" t="s">
        <v>46</v>
      </c>
      <c r="B19" s="11" t="s">
        <v>100</v>
      </c>
      <c r="C19" s="100" t="str">
        <f>MID(_xll.RtGet("IDN","ECB37","IRGROW 7"),27,7)</f>
        <v xml:space="preserve">.4799  </v>
      </c>
      <c r="E19" s="171" t="str">
        <f>MID(_xll.RtGet("IDN","ECB37","IRGROW 7"),40,3)</f>
        <v xml:space="preserve">NR </v>
      </c>
      <c r="F19" s="171" t="str">
        <f>MID(_xll.RtGet("IDN","ECB37","IRGROW 7"),45,7)</f>
        <v xml:space="preserve">  74.1 </v>
      </c>
      <c r="G19" s="169"/>
      <c r="H19" s="11" t="s">
        <v>449</v>
      </c>
      <c r="I19" s="189">
        <f>_xll.RtGet("IDN_RDF","/EURILSREF=","PRIM ACT 1")</f>
        <v>4.2435</v>
      </c>
    </row>
    <row r="20" spans="1:14" x14ac:dyDescent="0.2">
      <c r="A20" s="10" t="s">
        <v>47</v>
      </c>
      <c r="B20" s="11" t="s">
        <v>101</v>
      </c>
      <c r="C20" s="100" t="str">
        <f>MID(_xll.RtGet("IDN","ECB37","IRGROW 8"),27,6)</f>
        <v xml:space="preserve">1.809 </v>
      </c>
      <c r="E20" s="171" t="str">
        <f>MID(_xll.RtGet("IDN","ECB37","IRGROW 8"),40,3)</f>
        <v xml:space="preserve">RW </v>
      </c>
      <c r="F20" s="171" t="str">
        <f>MID(_xll.RtGet("IDN","ECB37","IRGROW 8"),46,6)</f>
        <v xml:space="preserve">29.38 </v>
      </c>
      <c r="G20" s="169"/>
      <c r="H20" s="11" t="s">
        <v>107</v>
      </c>
      <c r="I20" s="189">
        <f>_xll.RtGet("IDN_RDF","/EURKRWREF=","PRIM ACT 1")</f>
        <v>1229.3800000000001</v>
      </c>
    </row>
    <row r="21" spans="1:14" x14ac:dyDescent="0.2">
      <c r="A21" s="10" t="s">
        <v>82</v>
      </c>
      <c r="B21" s="11" t="s">
        <v>109</v>
      </c>
      <c r="C21" s="100" t="str">
        <f>MID(_xll.RtGet("IDN","ECB37","IRGROW 6"),46,6)</f>
        <v xml:space="preserve">.2435 </v>
      </c>
      <c r="E21" s="171" t="str">
        <f>MID(_xll.RtGet("IDN","ECB37","IRGROW 10"),40,3)</f>
        <v xml:space="preserve">YR </v>
      </c>
      <c r="F21" s="171" t="str">
        <f>MID(_xll.RtGet("IDN","ECB37","IRGROW 10"),45,7)</f>
        <v xml:space="preserve">4.4694 </v>
      </c>
      <c r="G21" s="169"/>
      <c r="H21" s="11" t="s">
        <v>346</v>
      </c>
      <c r="I21" s="189">
        <f>_xll.RtGet("IDN_RDF","/EURPHPREF=","PRIM ACT 1")</f>
        <v>52.003999999999998</v>
      </c>
    </row>
    <row r="22" spans="1:14" x14ac:dyDescent="0.2">
      <c r="A22" s="10" t="s">
        <v>48</v>
      </c>
      <c r="B22" s="11" t="s">
        <v>102</v>
      </c>
      <c r="C22" s="100" t="str">
        <f>MID(_xll.RtGet("IDN","ECB37","IRGROW 7"),45,7)</f>
        <v xml:space="preserve">  74.1 </v>
      </c>
      <c r="E22" s="171" t="str">
        <f>MID(_xll.RtGet("IDN","ECB37","IRGROW 4"),59,3)</f>
        <v xml:space="preserve">HB </v>
      </c>
      <c r="F22" s="171" t="str">
        <f>MID(_xll.RtGet("IDN","ECB37","IRGROW 4"),65,7)</f>
        <v xml:space="preserve">8.793  </v>
      </c>
      <c r="G22" s="169"/>
      <c r="H22" s="11" t="s">
        <v>347</v>
      </c>
      <c r="I22" s="189">
        <f>_xll.RtGet("IDN_RDF","/EURTHBREF=","PRIM ACT 1")</f>
        <v>38.792999999999999</v>
      </c>
    </row>
    <row r="23" spans="1:14" x14ac:dyDescent="0.2">
      <c r="A23" s="10" t="s">
        <v>49</v>
      </c>
      <c r="B23" s="11" t="s">
        <v>103</v>
      </c>
      <c r="C23" s="99" t="str">
        <f>MID(_xll.RtGet("IDN","ECB37","IRGROW 8"),46,6)</f>
        <v xml:space="preserve">29.38 </v>
      </c>
      <c r="E23" s="171" t="str">
        <f>MID(_xll.RtGet("IDN","ECB37","IRGROW 6"),59,3)</f>
        <v xml:space="preserve">   </v>
      </c>
      <c r="F23" s="171" t="str">
        <f>MID(_xll.RtGet("IDN","ECB37","IRGROW 6"),65,6)</f>
        <v xml:space="preserve">      </v>
      </c>
      <c r="G23" s="169"/>
      <c r="H23" s="11" t="s">
        <v>348</v>
      </c>
      <c r="I23" s="189">
        <f>_xll.RtGet("IDN_RDF","/EURMYRREF=","PRIM ACT 1")</f>
        <v>4.4694000000000003</v>
      </c>
      <c r="L23" t="str">
        <f>MID("EURVALUEIS1",11,1)</f>
        <v>1</v>
      </c>
      <c r="M23" t="str">
        <f>_xll.RtGet("IDN_RDF","/EUREURREF=","PRIM ACT 1")</f>
        <v>#N/A *The record could not be found</v>
      </c>
    </row>
    <row r="24" spans="1:14" x14ac:dyDescent="0.2">
      <c r="A24" s="10" t="s">
        <v>50</v>
      </c>
      <c r="B24" s="11" t="s">
        <v>104</v>
      </c>
      <c r="C24" s="100" t="str">
        <f>MID(_xll.RtGet("IDN","ECB37","IRGROW 10"),45,7)</f>
        <v xml:space="preserve">4.4694 </v>
      </c>
      <c r="E24" s="171" t="str">
        <f>MID(_xll.RtGet("IDN","ECB37","IRGROW 12"),40,3)</f>
        <v xml:space="preserve">HP </v>
      </c>
      <c r="F24" s="171" t="str">
        <f>MID(_xll.RtGet("IDN","ECB37","IRGROW 12"),45,7)</f>
        <v xml:space="preserve">52.004 </v>
      </c>
      <c r="G24" s="169"/>
      <c r="H24" s="11" t="s">
        <v>108</v>
      </c>
      <c r="I24" s="189">
        <f>_xll.RtGet("IDN_RDF","/EURZARREF=","PRIM ACT 1")</f>
        <v>15.128400000000001</v>
      </c>
    </row>
    <row r="25" spans="1:14" x14ac:dyDescent="0.2">
      <c r="A25" s="10" t="s">
        <v>51</v>
      </c>
      <c r="B25" s="11" t="s">
        <v>105</v>
      </c>
      <c r="C25" s="100" t="str">
        <f>MID(_xll.RtGet("IDN","ECB37","IRGROW 4"),65,7)</f>
        <v xml:space="preserve">8.793  </v>
      </c>
      <c r="E25" s="171" t="str">
        <f>MID(_xll.RtGet("IDN","ECB37","IRGROW 7"),59,3)</f>
        <v xml:space="preserve">   </v>
      </c>
      <c r="F25" s="171" t="str">
        <f>MID(_xll.RtGet("IDN","ECB37","IRGROW 7"),65,6)</f>
        <v xml:space="preserve">      </v>
      </c>
      <c r="G25" s="169"/>
      <c r="H25" s="11" t="s">
        <v>221</v>
      </c>
      <c r="I25" s="189">
        <f>_xll.RtGet("IDN_RDF","/EURCZKREF=","PRIM ACT 1")</f>
        <v>27.027000000000001</v>
      </c>
    </row>
    <row r="26" spans="1:14" x14ac:dyDescent="0.2">
      <c r="A26" s="10" t="s">
        <v>52</v>
      </c>
      <c r="B26" s="11" t="s">
        <v>106</v>
      </c>
      <c r="C26" s="100" t="str">
        <f>MID(_xll.RtGet("IDN","ECB37","IRGROW 6"),65,6)</f>
        <v xml:space="preserve">      </v>
      </c>
      <c r="E26" s="171" t="str">
        <f>MID(_xll.RtGet("IDN","ECB37","IRGROW 7"),2,3)</f>
        <v xml:space="preserve">ZK </v>
      </c>
      <c r="F26" s="171" t="str">
        <f>MID(_xll.RtGet("IDN","ECB37","IRGROW 7"),8,6)</f>
        <v xml:space="preserve">7.027 </v>
      </c>
      <c r="G26" s="169"/>
      <c r="H26" s="11" t="s">
        <v>284</v>
      </c>
      <c r="I26" s="189">
        <v>1</v>
      </c>
      <c r="M26" t="str">
        <f>MID("EURVALUEIS1",11,1)</f>
        <v>1</v>
      </c>
      <c r="N26" s="201" t="s">
        <v>486</v>
      </c>
    </row>
    <row r="27" spans="1:14" x14ac:dyDescent="0.2">
      <c r="A27" s="10" t="s">
        <v>53</v>
      </c>
      <c r="B27" s="11" t="s">
        <v>107</v>
      </c>
      <c r="C27" s="100" t="str">
        <f>MID(_xll.RtGet("IDN","ECB37","IRGROW 12"),45,7)</f>
        <v xml:space="preserve">52.004 </v>
      </c>
      <c r="E27" s="154" t="s">
        <v>284</v>
      </c>
      <c r="F27" s="154" t="str">
        <f>MID("EURVALUEIS1",11,1)</f>
        <v>1</v>
      </c>
      <c r="G27" s="169"/>
      <c r="H27" s="11" t="s">
        <v>485</v>
      </c>
      <c r="I27" s="191">
        <f>_xll.RtGet("IDN_RDF","/EURBRLREF=","PRIM ACT 1")</f>
        <v>3.5239000000000003</v>
      </c>
    </row>
    <row r="28" spans="1:14" x14ac:dyDescent="0.2">
      <c r="A28" s="10" t="s">
        <v>54</v>
      </c>
      <c r="B28" s="11" t="s">
        <v>108</v>
      </c>
      <c r="C28" s="99" t="str">
        <f>MID(_xll.RtGet("IDN","ECB37","IRGROW 7"),65,6)</f>
        <v xml:space="preserve">      </v>
      </c>
      <c r="G28" s="169"/>
      <c r="H28" s="11" t="s">
        <v>343</v>
      </c>
      <c r="I28" s="189">
        <f>_xll.RtGet("IDN_RDF","/EURHRKREF=","PRIM ACT 1")</f>
        <v>7.4799000000000007</v>
      </c>
    </row>
    <row r="29" spans="1:14" x14ac:dyDescent="0.2">
      <c r="A29" s="152" t="s">
        <v>222</v>
      </c>
      <c r="B29" s="153" t="s">
        <v>221</v>
      </c>
      <c r="C29" s="154" t="str">
        <f>MID(_xll.RtGet("IDN","ECB37","IRGROW 7"),8,6)</f>
        <v xml:space="preserve">7.027 </v>
      </c>
      <c r="E29" s="171" t="str">
        <f>MID(_xll.RtGet("IDN","ECB37","IRGROW 9"),21,3)</f>
        <v xml:space="preserve">RY </v>
      </c>
      <c r="F29" s="171" t="str">
        <f>MID(_xll.RtGet("IDN","ECB37","IRGROW 9"),27,6)</f>
        <v xml:space="preserve">.3082 </v>
      </c>
      <c r="G29" s="169"/>
      <c r="H29" s="11" t="s">
        <v>90</v>
      </c>
      <c r="I29" s="189">
        <f>_xll.RtGet("IDN_RDF","/EURNOKREF=","PRIM ACT 1")</f>
        <v>9.4065000000000012</v>
      </c>
    </row>
    <row r="30" spans="1:14" x14ac:dyDescent="0.2">
      <c r="A30" s="155" t="s">
        <v>285</v>
      </c>
      <c r="B30" s="153" t="s">
        <v>284</v>
      </c>
      <c r="C30" s="154" t="str">
        <f>MID("EURVALUEIS1",11,1)</f>
        <v>1</v>
      </c>
      <c r="E30" s="171" t="str">
        <f>MID(_xll.RtGet("IDN","ECB37","IRGROW 8"),21,3)</f>
        <v xml:space="preserve">UB </v>
      </c>
      <c r="F30" s="171" t="str">
        <f>MID(_xll.RtGet("IDN","ECB37","IRGROW 8"),27,6)</f>
        <v xml:space="preserve">1.809 </v>
      </c>
      <c r="G30" s="169"/>
      <c r="H30" t="s">
        <v>345</v>
      </c>
      <c r="I30" s="191">
        <f>_xll.RtGet("IDN_RDF","/EURCNYREF=","PRIM ACT 1")</f>
        <v>7.3848000000000003</v>
      </c>
    </row>
    <row r="31" spans="1:14" x14ac:dyDescent="0.2">
      <c r="A31" s="172" t="s">
        <v>349</v>
      </c>
      <c r="B31" s="173" t="s">
        <v>345</v>
      </c>
    </row>
    <row r="32" spans="1:14" x14ac:dyDescent="0.2">
      <c r="A32" s="172" t="s">
        <v>350</v>
      </c>
      <c r="B32" s="173" t="s">
        <v>343</v>
      </c>
      <c r="H32" s="11" t="s">
        <v>95</v>
      </c>
      <c r="I32" s="189" t="str">
        <f>_xll.RtGet("IDN_RDF","/EURLTLREF=","PRIM ACT 1")</f>
        <v>#N/A *The record could not be found</v>
      </c>
      <c r="M32" t="s">
        <v>548</v>
      </c>
    </row>
    <row r="33" spans="1:2" x14ac:dyDescent="0.2">
      <c r="A33" s="172" t="s">
        <v>351</v>
      </c>
      <c r="B33" s="173" t="s">
        <v>348</v>
      </c>
    </row>
    <row r="34" spans="1:2" x14ac:dyDescent="0.2">
      <c r="A34" s="172" t="s">
        <v>352</v>
      </c>
      <c r="B34" s="173" t="s">
        <v>346</v>
      </c>
    </row>
    <row r="35" spans="1:2" x14ac:dyDescent="0.2">
      <c r="A35" s="172" t="s">
        <v>353</v>
      </c>
      <c r="B35" s="173" t="s">
        <v>344</v>
      </c>
    </row>
    <row r="36" spans="1:2" x14ac:dyDescent="0.2">
      <c r="A36" s="172" t="s">
        <v>354</v>
      </c>
      <c r="B36" s="173" t="s">
        <v>347</v>
      </c>
    </row>
  </sheetData>
  <phoneticPr fontId="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131"/>
  <sheetViews>
    <sheetView workbookViewId="0">
      <selection activeCell="I40" sqref="I40"/>
    </sheetView>
  </sheetViews>
  <sheetFormatPr defaultRowHeight="12.75" x14ac:dyDescent="0.2"/>
  <cols>
    <col min="1" max="1" width="6.5" customWidth="1"/>
    <col min="3" max="3" width="45.83203125" bestFit="1" customWidth="1"/>
    <col min="4" max="4" width="28.1640625" customWidth="1"/>
    <col min="5" max="5" width="16.83203125" bestFit="1" customWidth="1"/>
    <col min="6" max="6" width="24.6640625" bestFit="1" customWidth="1"/>
    <col min="7" max="7" width="19.6640625" customWidth="1"/>
    <col min="9" max="9" width="14.83203125" bestFit="1" customWidth="1"/>
    <col min="10" max="10" width="14.83203125" customWidth="1"/>
    <col min="11" max="11" width="33" customWidth="1"/>
    <col min="12" max="12" width="13.33203125" bestFit="1" customWidth="1"/>
    <col min="14" max="14" width="14.1640625" bestFit="1" customWidth="1"/>
    <col min="17" max="17" width="13.1640625" customWidth="1"/>
    <col min="19" max="19" width="16.1640625" customWidth="1"/>
  </cols>
  <sheetData>
    <row r="1" spans="1:21" ht="13.5" thickBot="1" x14ac:dyDescent="0.25">
      <c r="K1" s="94"/>
      <c r="L1" s="94"/>
      <c r="M1" s="94"/>
      <c r="N1" s="94"/>
      <c r="O1" s="94"/>
      <c r="P1" s="94" t="s">
        <v>330</v>
      </c>
      <c r="Q1" s="94"/>
      <c r="R1" s="94"/>
      <c r="U1" t="s">
        <v>436</v>
      </c>
    </row>
    <row r="2" spans="1:21" ht="16.5" thickBot="1" x14ac:dyDescent="0.3">
      <c r="B2" s="115" t="s">
        <v>355</v>
      </c>
      <c r="C2" s="116"/>
      <c r="D2" s="116"/>
      <c r="E2" s="116"/>
      <c r="F2" s="116"/>
      <c r="G2" s="116"/>
      <c r="H2" s="117"/>
      <c r="K2" s="94" t="s">
        <v>207</v>
      </c>
      <c r="L2" s="95"/>
      <c r="M2" s="95"/>
      <c r="N2" s="95"/>
      <c r="O2" s="95"/>
      <c r="P2">
        <f>_xll.RtGet("IDN","GBPEUR=","BID")</f>
        <v>1.1768000000000001</v>
      </c>
      <c r="U2">
        <f>_xll.RtGet("IDN","CHFEUR=R","BID")</f>
        <v>0.91680000000000006</v>
      </c>
    </row>
    <row r="3" spans="1:21" ht="15" x14ac:dyDescent="0.2">
      <c r="B3" s="118"/>
      <c r="C3" s="119"/>
      <c r="D3" s="119"/>
      <c r="E3" s="119"/>
      <c r="F3" s="119"/>
      <c r="G3" s="119"/>
      <c r="H3" s="120"/>
      <c r="I3" t="s">
        <v>207</v>
      </c>
      <c r="K3" s="94" t="s">
        <v>207</v>
      </c>
      <c r="L3" s="96"/>
      <c r="M3" s="96"/>
      <c r="N3" s="96"/>
      <c r="O3" s="96"/>
    </row>
    <row r="4" spans="1:21" ht="13.5" thickBot="1" x14ac:dyDescent="0.25">
      <c r="B4" s="121"/>
      <c r="C4" s="122"/>
      <c r="D4" s="122"/>
      <c r="E4" s="122"/>
      <c r="F4" s="122"/>
      <c r="G4" s="122"/>
      <c r="H4" s="123"/>
      <c r="K4" s="97"/>
      <c r="L4" s="98"/>
      <c r="M4" s="98"/>
      <c r="N4" s="98"/>
      <c r="O4" s="98"/>
    </row>
    <row r="5" spans="1:21" x14ac:dyDescent="0.2">
      <c r="B5" s="121"/>
      <c r="C5" s="174" t="s">
        <v>57</v>
      </c>
      <c r="D5" s="175" t="s">
        <v>56</v>
      </c>
      <c r="E5" s="175" t="s">
        <v>356</v>
      </c>
      <c r="F5" s="181" t="s">
        <v>380</v>
      </c>
      <c r="G5" s="181" t="s">
        <v>289</v>
      </c>
      <c r="H5" s="123"/>
      <c r="I5" t="s">
        <v>357</v>
      </c>
      <c r="J5" s="175" t="str">
        <f>D5</f>
        <v>ISIN</v>
      </c>
      <c r="K5" s="94" t="str">
        <f>F5</f>
        <v>TQ TURNOVER ('000's)</v>
      </c>
      <c r="L5" s="94" t="str">
        <f t="shared" ref="L5:L32" si="0">E5</f>
        <v>TQ VOLUME</v>
      </c>
      <c r="M5" s="94" t="s">
        <v>442</v>
      </c>
      <c r="N5" s="94" t="s">
        <v>288</v>
      </c>
      <c r="O5" s="94"/>
      <c r="P5" t="s">
        <v>334</v>
      </c>
      <c r="Q5" t="s">
        <v>437</v>
      </c>
    </row>
    <row r="6" spans="1:21" x14ac:dyDescent="0.2">
      <c r="B6" s="121"/>
      <c r="C6" s="176" t="s">
        <v>338</v>
      </c>
      <c r="D6" s="176" t="s">
        <v>77</v>
      </c>
      <c r="E6" s="182" t="e">
        <f>(_xll.RtGet("IDN",I6,"VOL ACCUMULATED"))*2</f>
        <v>#VALUE!</v>
      </c>
      <c r="F6" s="182" t="e">
        <f>(_xll.RtGet("IDN",I6,"TURNOVER"))*2</f>
        <v>#VALUE!</v>
      </c>
      <c r="G6" s="182" t="e">
        <f>(_xll.RtGet("IDN",I6,"NUM_MOVES"))*2</f>
        <v>#VALUE!</v>
      </c>
      <c r="H6" s="183"/>
      <c r="I6" s="11" t="s">
        <v>358</v>
      </c>
      <c r="J6" s="176" t="str">
        <f>D6</f>
        <v>IE0000197834</v>
      </c>
      <c r="K6" s="155" t="e">
        <f t="shared" ref="K6:K32" si="1">Q6</f>
        <v>#VALUE!</v>
      </c>
      <c r="L6" s="155" t="e">
        <f t="shared" si="0"/>
        <v>#VALUE!</v>
      </c>
      <c r="M6" s="155"/>
      <c r="N6" s="155" t="e">
        <f>G6</f>
        <v>#VALUE!</v>
      </c>
      <c r="O6" s="155"/>
      <c r="P6" s="11" t="str">
        <f>_xll.RtGet("IDN",I6,"CURRENCY")</f>
        <v>#N/A *The record could not be found</v>
      </c>
      <c r="Q6" s="11" t="e">
        <f t="shared" ref="Q6:Q11" si="2">IF((P6="GBp"),((F6*$P$2)/100),IF(P6="CHF",F6*$U$2,F6))</f>
        <v>#VALUE!</v>
      </c>
      <c r="S6" s="11" t="e">
        <f>IF((P6="GBp"),((F6*$P$2)/100),IF(P6="CHF",F6*$U$2,F6))</f>
        <v>#VALUE!</v>
      </c>
    </row>
    <row r="7" spans="1:21" x14ac:dyDescent="0.2">
      <c r="A7" t="s">
        <v>207</v>
      </c>
      <c r="B7" s="121"/>
      <c r="C7" s="176" t="s">
        <v>341</v>
      </c>
      <c r="D7" s="176" t="s">
        <v>79</v>
      </c>
      <c r="E7" s="182" t="e">
        <f>(_xll.RtGet("IDN",I7,"VOL ACCUMULATED"))*2</f>
        <v>#VALUE!</v>
      </c>
      <c r="F7" s="182" t="e">
        <f>(_xll.RtGet("IDN",I7,"TURNOVER"))*2</f>
        <v>#VALUE!</v>
      </c>
      <c r="G7" s="182" t="e">
        <f>(_xll.RtGet("IDN",I7,"NUM_MOVES"))*2</f>
        <v>#VALUE!</v>
      </c>
      <c r="H7" s="183"/>
      <c r="I7" s="11" t="s">
        <v>359</v>
      </c>
      <c r="J7" s="176" t="str">
        <f t="shared" ref="J7:J32" si="3">D7</f>
        <v>IE0030606259</v>
      </c>
      <c r="K7" s="155" t="e">
        <f t="shared" si="1"/>
        <v>#VALUE!</v>
      </c>
      <c r="L7" s="155" t="e">
        <f t="shared" si="0"/>
        <v>#VALUE!</v>
      </c>
      <c r="M7" s="155"/>
      <c r="N7" s="155" t="e">
        <f t="shared" ref="N7:N32" si="4">G7</f>
        <v>#VALUE!</v>
      </c>
      <c r="O7" s="155"/>
      <c r="P7" s="11" t="str">
        <f>_xll.RtGet("IDN",I7,"CURRENCY")</f>
        <v>#N/A *The record could not be found</v>
      </c>
      <c r="Q7" s="11" t="e">
        <f t="shared" si="2"/>
        <v>#VALUE!</v>
      </c>
      <c r="S7" s="11" t="e">
        <f>IF((P7="GBp"),((F7*$P$2)/100),IF(P7="CHF",F7*$U$2,F7))</f>
        <v>#VALUE!</v>
      </c>
    </row>
    <row r="8" spans="1:21" x14ac:dyDescent="0.2">
      <c r="A8" t="s">
        <v>207</v>
      </c>
      <c r="B8" s="121"/>
      <c r="C8" s="176" t="s">
        <v>360</v>
      </c>
      <c r="D8" s="176" t="s">
        <v>81</v>
      </c>
      <c r="E8" s="182" t="e">
        <f>(_xll.RtGet("IDN",I8,"VOL ACCUMULATED"))*2</f>
        <v>#VALUE!</v>
      </c>
      <c r="F8" s="182" t="e">
        <f>(_xll.RtGet("IDN",I8,"TURNOVER"))*2</f>
        <v>#VALUE!</v>
      </c>
      <c r="G8" s="182" t="e">
        <f>(_xll.RtGet("IDN",I8,"NUM_MOVES"))*2</f>
        <v>#VALUE!</v>
      </c>
      <c r="H8" s="183"/>
      <c r="I8" s="11" t="s">
        <v>361</v>
      </c>
      <c r="J8" s="176" t="str">
        <f t="shared" si="3"/>
        <v>IE0001827041</v>
      </c>
      <c r="K8" s="155" t="e">
        <f t="shared" si="1"/>
        <v>#VALUE!</v>
      </c>
      <c r="L8" s="155" t="e">
        <f t="shared" si="0"/>
        <v>#VALUE!</v>
      </c>
      <c r="M8" s="155" t="s">
        <v>443</v>
      </c>
      <c r="N8" s="155" t="e">
        <f t="shared" si="4"/>
        <v>#VALUE!</v>
      </c>
      <c r="O8" s="155"/>
      <c r="P8" s="11" t="str">
        <f>_xll.RtGet("IDN",I8,"CURRENCY")</f>
        <v>#N/A *The record could not be found</v>
      </c>
      <c r="Q8" s="11" t="e">
        <f t="shared" si="2"/>
        <v>#VALUE!</v>
      </c>
      <c r="S8" s="11" t="e">
        <f t="shared" ref="S8:S32" si="5">IF((P8="GBp"),((F8*$P$2)/100),IF(P8="CHF",F8*$U$2,F8))</f>
        <v>#VALUE!</v>
      </c>
    </row>
    <row r="9" spans="1:21" x14ac:dyDescent="0.2">
      <c r="B9" s="121"/>
      <c r="C9" s="176" t="s">
        <v>339</v>
      </c>
      <c r="D9" s="176" t="s">
        <v>121</v>
      </c>
      <c r="E9" s="182" t="e">
        <f>(_xll.RtGet("IDN",I9,"VOL ACCUMULATED"))*2</f>
        <v>#VALUE!</v>
      </c>
      <c r="F9" s="182" t="e">
        <f>(_xll.RtGet("IDN",I9,"TURNOVER"))*2</f>
        <v>#VALUE!</v>
      </c>
      <c r="G9" s="182" t="e">
        <f>(_xll.RtGet("IDN",I9,"NUM_MOVES"))*2</f>
        <v>#VALUE!</v>
      </c>
      <c r="H9" s="183"/>
      <c r="I9" s="11" t="s">
        <v>362</v>
      </c>
      <c r="J9" s="176" t="str">
        <f t="shared" si="3"/>
        <v>IE0002424939</v>
      </c>
      <c r="K9" s="155" t="e">
        <f t="shared" si="1"/>
        <v>#VALUE!</v>
      </c>
      <c r="L9" s="155" t="e">
        <f t="shared" si="0"/>
        <v>#VALUE!</v>
      </c>
      <c r="M9" s="155"/>
      <c r="N9" s="155" t="e">
        <f t="shared" si="4"/>
        <v>#VALUE!</v>
      </c>
      <c r="O9" s="11"/>
      <c r="P9" s="11" t="str">
        <f>_xll.RtGet("IDN",I9,"CURRENCY")</f>
        <v>#N/A *The record could not be found</v>
      </c>
      <c r="Q9" s="11" t="e">
        <f t="shared" si="2"/>
        <v>#VALUE!</v>
      </c>
      <c r="S9" s="11" t="e">
        <f t="shared" si="5"/>
        <v>#VALUE!</v>
      </c>
    </row>
    <row r="10" spans="1:21" x14ac:dyDescent="0.2">
      <c r="B10" s="121"/>
      <c r="C10" s="176" t="s">
        <v>363</v>
      </c>
      <c r="D10" s="176" t="s">
        <v>64</v>
      </c>
      <c r="E10" s="182" t="e">
        <f>(_xll.RtGet("IDN",I10,"VOL ACCUMULATED"))*2</f>
        <v>#VALUE!</v>
      </c>
      <c r="F10" s="182" t="e">
        <f>(_xll.RtGet("IDN",I10,"TURNOVER"))*2</f>
        <v>#VALUE!</v>
      </c>
      <c r="G10" s="182" t="e">
        <f>(_xll.RtGet("IDN",I10,"NUM_MOVES"))*2</f>
        <v>#VALUE!</v>
      </c>
      <c r="H10" s="183"/>
      <c r="I10" s="11" t="s">
        <v>364</v>
      </c>
      <c r="J10" s="176" t="str">
        <f t="shared" si="3"/>
        <v>IE0003072950</v>
      </c>
      <c r="K10" s="155" t="e">
        <f t="shared" si="1"/>
        <v>#VALUE!</v>
      </c>
      <c r="L10" s="155" t="e">
        <f t="shared" si="0"/>
        <v>#VALUE!</v>
      </c>
      <c r="M10" s="155"/>
      <c r="N10" s="155" t="e">
        <f t="shared" si="4"/>
        <v>#VALUE!</v>
      </c>
      <c r="O10" s="11"/>
      <c r="P10" s="11" t="str">
        <f>_xll.RtGet("IDN",I10,"CURRENCY")</f>
        <v>#N/A *The record could not be found</v>
      </c>
      <c r="Q10" s="11" t="e">
        <f t="shared" si="2"/>
        <v>#VALUE!</v>
      </c>
      <c r="S10" s="11" t="e">
        <f t="shared" si="5"/>
        <v>#VALUE!</v>
      </c>
    </row>
    <row r="11" spans="1:21" x14ac:dyDescent="0.2">
      <c r="B11" s="121"/>
      <c r="C11" s="176" t="s">
        <v>342</v>
      </c>
      <c r="D11" s="176" t="s">
        <v>223</v>
      </c>
      <c r="E11" s="182">
        <f>(_xll.RtGet("IDN",I11,"VOL ACCUMULATED"))*2</f>
        <v>42056</v>
      </c>
      <c r="F11" s="182">
        <f>(_xll.RtGet("IDN",I11,"TURNOVER"))*2</f>
        <v>156.52000000000001</v>
      </c>
      <c r="G11" s="182">
        <f>(_xll.RtGet("IDN",I11,"NUM_MOVES"))*2</f>
        <v>240</v>
      </c>
      <c r="H11" s="183"/>
      <c r="I11" s="11" t="s">
        <v>365</v>
      </c>
      <c r="J11" s="176" t="str">
        <f t="shared" si="3"/>
        <v>IE00B010DT83</v>
      </c>
      <c r="K11" s="155">
        <f t="shared" si="1"/>
        <v>156.52000000000001</v>
      </c>
      <c r="L11" s="155">
        <f t="shared" si="0"/>
        <v>42056</v>
      </c>
      <c r="M11" s="155"/>
      <c r="N11" s="155">
        <f t="shared" si="4"/>
        <v>240</v>
      </c>
      <c r="O11" s="11"/>
      <c r="P11" s="11" t="str">
        <f>_xll.RtGet("IDN",I11,"CURRENCY")</f>
        <v>EUR</v>
      </c>
      <c r="Q11" s="11">
        <f t="shared" si="2"/>
        <v>156.52000000000001</v>
      </c>
      <c r="S11" s="11">
        <f t="shared" si="5"/>
        <v>156.52000000000001</v>
      </c>
    </row>
    <row r="12" spans="1:21" x14ac:dyDescent="0.2">
      <c r="B12" s="121"/>
      <c r="C12" s="176" t="s">
        <v>366</v>
      </c>
      <c r="D12" s="176" t="s">
        <v>208</v>
      </c>
      <c r="E12" s="182" t="e">
        <f>(_xll.RtGet("IDN",I12,"VOL ACCUMULATED"))*2</f>
        <v>#VALUE!</v>
      </c>
      <c r="F12" s="182" t="e">
        <f>(_xll.RtGet("IDN",I12,"TURNOVER"))*2</f>
        <v>#VALUE!</v>
      </c>
      <c r="G12" s="182" t="e">
        <f>(_xll.RtGet("IDN",I12,"NUM_MOVES"))*2</f>
        <v>#VALUE!</v>
      </c>
      <c r="H12" s="183"/>
      <c r="I12" s="11" t="s">
        <v>367</v>
      </c>
      <c r="J12" s="176" t="str">
        <f t="shared" si="3"/>
        <v>IE00B00MZ448</v>
      </c>
      <c r="K12" s="155" t="e">
        <f t="shared" si="1"/>
        <v>#VALUE!</v>
      </c>
      <c r="L12" s="155" t="e">
        <f t="shared" si="0"/>
        <v>#VALUE!</v>
      </c>
      <c r="M12" s="155"/>
      <c r="N12" s="155" t="e">
        <f t="shared" si="4"/>
        <v>#VALUE!</v>
      </c>
      <c r="O12" s="11"/>
      <c r="P12" s="11" t="str">
        <f>_xll.RtGet("IDN",I12,"CURRENCY")</f>
        <v>#N/A *The record could not be found</v>
      </c>
      <c r="Q12" s="11" t="e">
        <f t="shared" ref="Q12:Q19" si="6">IF((P12="GBp"),((F12*$P$2)/100),IF(P12="CHF",F12*$U$2,F12))</f>
        <v>#VALUE!</v>
      </c>
      <c r="S12" s="11" t="e">
        <f t="shared" si="5"/>
        <v>#VALUE!</v>
      </c>
    </row>
    <row r="13" spans="1:21" x14ac:dyDescent="0.2">
      <c r="B13" s="121"/>
      <c r="C13" s="176" t="s">
        <v>340</v>
      </c>
      <c r="D13" s="176" t="s">
        <v>124</v>
      </c>
      <c r="E13" s="182" t="e">
        <f>(_xll.RtGet("IDN",I13,"VOL ACCUMULATED"))*2</f>
        <v>#VALUE!</v>
      </c>
      <c r="F13" s="182" t="e">
        <f>(_xll.RtGet("IDN",I13,"TURNOVER"))*2</f>
        <v>#VALUE!</v>
      </c>
      <c r="G13" s="182" t="e">
        <f>(_xll.RtGet("IDN",I13,"NUM_MOVES"))*2</f>
        <v>#VALUE!</v>
      </c>
      <c r="H13" s="183"/>
      <c r="I13" s="11" t="s">
        <v>368</v>
      </c>
      <c r="J13" s="176" t="str">
        <f t="shared" si="3"/>
        <v>IE0004614818</v>
      </c>
      <c r="K13" s="155" t="e">
        <f t="shared" si="1"/>
        <v>#VALUE!</v>
      </c>
      <c r="L13" s="155" t="e">
        <f t="shared" si="0"/>
        <v>#VALUE!</v>
      </c>
      <c r="M13" s="155"/>
      <c r="N13" s="155" t="e">
        <f t="shared" si="4"/>
        <v>#VALUE!</v>
      </c>
      <c r="O13" s="11"/>
      <c r="P13" s="11" t="str">
        <f>_xll.RtGet("IDN",I13,"CURRENCY")</f>
        <v>#N/A *The record could not be found</v>
      </c>
      <c r="Q13" s="11" t="e">
        <f t="shared" si="6"/>
        <v>#VALUE!</v>
      </c>
      <c r="S13" s="11" t="e">
        <f t="shared" si="5"/>
        <v>#VALUE!</v>
      </c>
    </row>
    <row r="14" spans="1:21" x14ac:dyDescent="0.2">
      <c r="B14" s="121"/>
      <c r="C14" s="176" t="s">
        <v>369</v>
      </c>
      <c r="D14" s="176" t="s">
        <v>408</v>
      </c>
      <c r="E14" s="182" t="e">
        <f>(_xll.RtGet("IDN",I14,"VOL ACCUMULATED"))*2</f>
        <v>#VALUE!</v>
      </c>
      <c r="F14" s="182" t="e">
        <f>(_xll.RtGet("IDN",I14,"TURNOVER"))*2</f>
        <v>#VALUE!</v>
      </c>
      <c r="G14" s="182" t="e">
        <f>(_xll.RtGet("IDN",I14,"NUM_MOVES"))*2</f>
        <v>#VALUE!</v>
      </c>
      <c r="H14" s="183"/>
      <c r="I14" s="11" t="s">
        <v>370</v>
      </c>
      <c r="J14" s="176" t="str">
        <f t="shared" si="3"/>
        <v>IE00B59NXW72</v>
      </c>
      <c r="K14" s="155" t="e">
        <f t="shared" si="1"/>
        <v>#VALUE!</v>
      </c>
      <c r="L14" s="155" t="e">
        <f t="shared" si="0"/>
        <v>#VALUE!</v>
      </c>
      <c r="M14" s="155"/>
      <c r="N14" s="155" t="e">
        <f t="shared" si="4"/>
        <v>#VALUE!</v>
      </c>
      <c r="O14" s="11"/>
      <c r="P14" s="11" t="str">
        <f>_xll.RtGet("IDN",I14,"CURRENCY")</f>
        <v>#N/A *The record could not be found</v>
      </c>
      <c r="Q14" s="11" t="e">
        <f t="shared" si="6"/>
        <v>#VALUE!</v>
      </c>
      <c r="S14" s="11" t="e">
        <f t="shared" si="5"/>
        <v>#VALUE!</v>
      </c>
    </row>
    <row r="15" spans="1:21" x14ac:dyDescent="0.2">
      <c r="B15" s="121"/>
      <c r="C15" s="176" t="s">
        <v>371</v>
      </c>
      <c r="D15" s="176" t="s">
        <v>231</v>
      </c>
      <c r="E15" s="182" t="e">
        <f>(_xll.RtGet("IDN",I15,"VOL ACCUMULATED"))*2</f>
        <v>#VALUE!</v>
      </c>
      <c r="F15" s="182" t="e">
        <f>(_xll.RtGet("IDN",I15,"TURNOVER"))*2</f>
        <v>#VALUE!</v>
      </c>
      <c r="G15" s="182" t="e">
        <f>(_xll.RtGet("IDN",I15,"NUM_MOVES"))*2</f>
        <v>#VALUE!</v>
      </c>
      <c r="H15" s="183"/>
      <c r="I15" s="11" t="s">
        <v>372</v>
      </c>
      <c r="J15" s="176" t="str">
        <f t="shared" si="3"/>
        <v>IE0004927939</v>
      </c>
      <c r="K15" s="155" t="e">
        <f t="shared" si="1"/>
        <v>#VALUE!</v>
      </c>
      <c r="L15" s="155" t="e">
        <f t="shared" si="0"/>
        <v>#VALUE!</v>
      </c>
      <c r="M15" s="155"/>
      <c r="N15" s="155" t="e">
        <f t="shared" si="4"/>
        <v>#VALUE!</v>
      </c>
      <c r="O15" s="11"/>
      <c r="P15" s="11" t="str">
        <f>_xll.RtGet("IDN",I15,"CURRENCY")</f>
        <v>#N/A *The record could not be found</v>
      </c>
      <c r="Q15" s="11" t="e">
        <f t="shared" si="6"/>
        <v>#VALUE!</v>
      </c>
      <c r="S15" s="11" t="e">
        <f t="shared" si="5"/>
        <v>#VALUE!</v>
      </c>
    </row>
    <row r="16" spans="1:21" x14ac:dyDescent="0.2">
      <c r="B16" s="121"/>
      <c r="C16" s="176" t="s">
        <v>373</v>
      </c>
      <c r="D16" s="176" t="s">
        <v>127</v>
      </c>
      <c r="E16" s="182" t="e">
        <f>(_xll.RtGet("IDN",I16,"VOL ACCUMULATED"))*2</f>
        <v>#VALUE!</v>
      </c>
      <c r="F16" s="182" t="e">
        <f>(_xll.RtGet("IDN",I16,"TURNOVER"))*2</f>
        <v>#VALUE!</v>
      </c>
      <c r="G16" s="182" t="e">
        <f>(_xll.RtGet("IDN",I16,"NUM_MOVES"))*2</f>
        <v>#VALUE!</v>
      </c>
      <c r="H16" s="183"/>
      <c r="I16" s="11" t="s">
        <v>374</v>
      </c>
      <c r="J16" s="176" t="str">
        <f t="shared" si="3"/>
        <v>IE0004906560</v>
      </c>
      <c r="K16" s="155" t="e">
        <f t="shared" si="1"/>
        <v>#VALUE!</v>
      </c>
      <c r="L16" s="155" t="e">
        <f t="shared" si="0"/>
        <v>#VALUE!</v>
      </c>
      <c r="M16" s="155"/>
      <c r="N16" s="155" t="e">
        <f t="shared" si="4"/>
        <v>#VALUE!</v>
      </c>
      <c r="O16" s="11"/>
      <c r="P16" s="11" t="str">
        <f>_xll.RtGet("IDN",I16,"CURRENCY")</f>
        <v>#N/A *The record could not be found</v>
      </c>
      <c r="Q16" s="11" t="e">
        <f t="shared" si="6"/>
        <v>#VALUE!</v>
      </c>
      <c r="S16" s="11" t="e">
        <f t="shared" si="5"/>
        <v>#VALUE!</v>
      </c>
    </row>
    <row r="17" spans="1:19" x14ac:dyDescent="0.2">
      <c r="B17" s="121"/>
      <c r="C17" s="176" t="s">
        <v>375</v>
      </c>
      <c r="D17" s="176" t="s">
        <v>301</v>
      </c>
      <c r="E17" s="182" t="e">
        <f>(_xll.RtGet("IDN",I17,"VOL ACCUMULATED"))*2</f>
        <v>#VALUE!</v>
      </c>
      <c r="F17" s="182" t="e">
        <f>(_xll.RtGet("IDN",I17,"TURNOVER"))*2</f>
        <v>#VALUE!</v>
      </c>
      <c r="G17" s="182" t="e">
        <f>(_xll.RtGet("IDN",I17,"NUM_MOVES"))*2</f>
        <v>#VALUE!</v>
      </c>
      <c r="H17" s="183"/>
      <c r="I17" s="11" t="s">
        <v>376</v>
      </c>
      <c r="J17" s="176" t="str">
        <f t="shared" si="3"/>
        <v>IE00B1GKF381</v>
      </c>
      <c r="K17" s="155" t="e">
        <f t="shared" si="1"/>
        <v>#VALUE!</v>
      </c>
      <c r="L17" s="155" t="e">
        <f t="shared" si="0"/>
        <v>#VALUE!</v>
      </c>
      <c r="M17" s="155"/>
      <c r="N17" s="155" t="e">
        <f t="shared" si="4"/>
        <v>#VALUE!</v>
      </c>
      <c r="O17" s="11"/>
      <c r="P17" s="11" t="str">
        <f>_xll.RtGet("IDN",I17,"CURRENCY")</f>
        <v>#N/A *The record could not be found</v>
      </c>
      <c r="Q17" s="11" t="e">
        <f t="shared" si="6"/>
        <v>#VALUE!</v>
      </c>
      <c r="S17" s="11" t="e">
        <f t="shared" si="5"/>
        <v>#VALUE!</v>
      </c>
    </row>
    <row r="18" spans="1:19" x14ac:dyDescent="0.2">
      <c r="A18" s="161"/>
      <c r="B18" s="121"/>
      <c r="C18" s="176" t="s">
        <v>377</v>
      </c>
      <c r="D18" s="176" t="s">
        <v>378</v>
      </c>
      <c r="E18" s="182" t="e">
        <f>(_xll.RtGet("IDN",I18,"VOL ACCUMULATED"))*2</f>
        <v>#VALUE!</v>
      </c>
      <c r="F18" s="182" t="e">
        <f>(_xll.RtGet("IDN",I18,"TURNOVER"))*2</f>
        <v>#VALUE!</v>
      </c>
      <c r="G18" s="182" t="e">
        <f>(_xll.RtGet("IDN",I18,"NUM_MOVES"))*2</f>
        <v>#VALUE!</v>
      </c>
      <c r="H18" s="183"/>
      <c r="I18" s="11" t="s">
        <v>379</v>
      </c>
      <c r="J18" s="176" t="str">
        <f t="shared" si="3"/>
        <v>CH0043238366</v>
      </c>
      <c r="K18" s="155" t="e">
        <f t="shared" si="1"/>
        <v>#VALUE!</v>
      </c>
      <c r="L18" s="155" t="e">
        <f t="shared" si="0"/>
        <v>#VALUE!</v>
      </c>
      <c r="M18" s="155" t="s">
        <v>443</v>
      </c>
      <c r="N18" s="155" t="e">
        <f t="shared" si="4"/>
        <v>#VALUE!</v>
      </c>
      <c r="O18" s="11"/>
      <c r="P18" s="11" t="str">
        <f>_xll.RtGet("IDN",I18,"CURRENCY")</f>
        <v>#N/A *The record could not be found</v>
      </c>
      <c r="Q18" s="11" t="e">
        <f t="shared" si="6"/>
        <v>#VALUE!</v>
      </c>
      <c r="S18" s="11" t="e">
        <f t="shared" si="5"/>
        <v>#VALUE!</v>
      </c>
    </row>
    <row r="19" spans="1:19" ht="15" x14ac:dyDescent="0.25">
      <c r="B19" s="121"/>
      <c r="C19" s="184" t="s">
        <v>421</v>
      </c>
      <c r="D19" s="185" t="s">
        <v>225</v>
      </c>
      <c r="E19" s="182" t="e">
        <f>(_xll.RtGet("IDN",I19,"VOL ACCUMULATED"))*2</f>
        <v>#VALUE!</v>
      </c>
      <c r="F19" s="182" t="e">
        <f>(_xll.RtGet("IDN",I19,"TURNOVER"))*2</f>
        <v>#VALUE!</v>
      </c>
      <c r="G19" s="182" t="e">
        <f>(_xll.RtGet("IDN",I19,"NUM_MOVES"))*2</f>
        <v>#VALUE!</v>
      </c>
      <c r="H19" s="183"/>
      <c r="I19" s="186" t="s">
        <v>423</v>
      </c>
      <c r="J19" s="176" t="str">
        <f t="shared" si="3"/>
        <v>IE0000590798</v>
      </c>
      <c r="K19" s="155" t="e">
        <f t="shared" si="1"/>
        <v>#VALUE!</v>
      </c>
      <c r="L19" s="155" t="e">
        <f t="shared" si="0"/>
        <v>#VALUE!</v>
      </c>
      <c r="M19" s="155" t="s">
        <v>444</v>
      </c>
      <c r="N19" s="155" t="e">
        <f t="shared" si="4"/>
        <v>#VALUE!</v>
      </c>
      <c r="O19" s="11"/>
      <c r="P19" s="11" t="str">
        <f>_xll.RtGet("IDN",I19,"CURRENCY")</f>
        <v>#N/A *The record could not be found</v>
      </c>
      <c r="Q19" s="11" t="e">
        <f t="shared" si="6"/>
        <v>#VALUE!</v>
      </c>
      <c r="S19" s="11" t="e">
        <f t="shared" si="5"/>
        <v>#VALUE!</v>
      </c>
    </row>
    <row r="20" spans="1:19" ht="15" x14ac:dyDescent="0.25">
      <c r="B20" s="121"/>
      <c r="C20" s="185" t="s">
        <v>420</v>
      </c>
      <c r="D20" s="185" t="s">
        <v>228</v>
      </c>
      <c r="E20" s="182">
        <f>(_xll.RtGet("IDN",I20,"VOL ACCUMULATED"))*2</f>
        <v>14352</v>
      </c>
      <c r="F20" s="182">
        <f>(_xll.RtGet("IDN",I20,"TURNOVER"))*2</f>
        <v>245.68</v>
      </c>
      <c r="G20" s="182">
        <f>(_xll.RtGet("IDN",I20,"NUM_MOVES"))*2</f>
        <v>158</v>
      </c>
      <c r="H20" s="183"/>
      <c r="I20" s="186" t="s">
        <v>424</v>
      </c>
      <c r="J20" s="176" t="str">
        <f t="shared" si="3"/>
        <v>IE0000669501</v>
      </c>
      <c r="K20" s="155">
        <f t="shared" si="1"/>
        <v>245.68</v>
      </c>
      <c r="L20" s="155">
        <f t="shared" si="0"/>
        <v>14352</v>
      </c>
      <c r="M20" s="155"/>
      <c r="N20" s="155">
        <f t="shared" si="4"/>
        <v>158</v>
      </c>
      <c r="O20" s="11"/>
      <c r="P20" s="11" t="str">
        <f>_xll.RtGet("IDN",I20,"CURRENCY")</f>
        <v>EUR</v>
      </c>
      <c r="Q20" s="11">
        <f t="shared" ref="Q20:Q32" si="7">IF((P20="GBp"),((F20*$P$2)/100),IF(P20="CHF",F20*$U$2,F20))</f>
        <v>245.68</v>
      </c>
      <c r="S20" s="11">
        <f t="shared" si="5"/>
        <v>245.68</v>
      </c>
    </row>
    <row r="21" spans="1:19" ht="15" x14ac:dyDescent="0.25">
      <c r="B21" s="121"/>
      <c r="C21" s="185" t="s">
        <v>422</v>
      </c>
      <c r="D21" s="185" t="s">
        <v>467</v>
      </c>
      <c r="E21" s="182" t="e">
        <f>(_xll.RtGet("IDN",I21,"VOL ACCUMULATED"))*2</f>
        <v>#VALUE!</v>
      </c>
      <c r="F21" s="182" t="e">
        <f>(_xll.RtGet("IDN",I21,"TURNOVER"))*2</f>
        <v>#VALUE!</v>
      </c>
      <c r="G21" s="182" t="e">
        <f>(_xll.RtGet("IDN",I21,"NUM_MOVES"))*2</f>
        <v>#VALUE!</v>
      </c>
      <c r="H21" s="183"/>
      <c r="I21" s="186" t="s">
        <v>425</v>
      </c>
      <c r="J21" s="176" t="str">
        <f t="shared" si="3"/>
        <v>IE00BWT6H894</v>
      </c>
      <c r="K21" s="155" t="e">
        <f t="shared" si="1"/>
        <v>#VALUE!</v>
      </c>
      <c r="L21" s="155" t="e">
        <f t="shared" si="0"/>
        <v>#VALUE!</v>
      </c>
      <c r="M21" s="155"/>
      <c r="N21" s="155" t="e">
        <f t="shared" si="4"/>
        <v>#VALUE!</v>
      </c>
      <c r="O21" s="11"/>
      <c r="P21" s="11" t="str">
        <f>_xll.RtGet("IDN",I21,"CURRENCY")</f>
        <v>#N/A *The record could not be found</v>
      </c>
      <c r="Q21" s="11" t="e">
        <f t="shared" si="7"/>
        <v>#VALUE!</v>
      </c>
      <c r="S21" s="11" t="e">
        <f t="shared" si="5"/>
        <v>#VALUE!</v>
      </c>
    </row>
    <row r="22" spans="1:19" ht="15" x14ac:dyDescent="0.25">
      <c r="B22" s="121"/>
      <c r="C22" s="185" t="s">
        <v>413</v>
      </c>
      <c r="D22" s="185" t="s">
        <v>226</v>
      </c>
      <c r="E22" s="182" t="e">
        <f>(_xll.RtGet("IDN",I22,"VOL ACCUMULATED"))*2</f>
        <v>#VALUE!</v>
      </c>
      <c r="F22" s="182" t="e">
        <f>(_xll.RtGet("IDN",I22,"TURNOVER"))*2</f>
        <v>#VALUE!</v>
      </c>
      <c r="G22" s="182" t="e">
        <f>(_xll.RtGet("IDN",I22,"NUM_MOVES"))*2</f>
        <v>#VALUE!</v>
      </c>
      <c r="H22" s="183"/>
      <c r="I22" s="186" t="s">
        <v>426</v>
      </c>
      <c r="J22" s="176" t="str">
        <f t="shared" si="3"/>
        <v>IE0003290289</v>
      </c>
      <c r="K22" s="155" t="e">
        <f t="shared" si="1"/>
        <v>#VALUE!</v>
      </c>
      <c r="L22" s="155" t="e">
        <f t="shared" si="0"/>
        <v>#VALUE!</v>
      </c>
      <c r="M22" s="155"/>
      <c r="N22" s="155" t="e">
        <f t="shared" si="4"/>
        <v>#VALUE!</v>
      </c>
      <c r="O22" s="11"/>
      <c r="P22" s="11" t="str">
        <f>_xll.RtGet("IDN",I22,"CURRENCY")</f>
        <v>#N/A *The record could not be found</v>
      </c>
      <c r="Q22" s="11" t="e">
        <f t="shared" si="7"/>
        <v>#VALUE!</v>
      </c>
      <c r="S22" s="11" t="e">
        <f t="shared" si="5"/>
        <v>#VALUE!</v>
      </c>
    </row>
    <row r="23" spans="1:19" ht="15" x14ac:dyDescent="0.25">
      <c r="B23" s="134"/>
      <c r="C23" s="185" t="s">
        <v>417</v>
      </c>
      <c r="D23" s="185" t="s">
        <v>230</v>
      </c>
      <c r="E23" s="182" t="e">
        <f>(_xll.RtGet("IDN",I23,"VOL ACCUMULATED"))*2</f>
        <v>#VALUE!</v>
      </c>
      <c r="F23" s="182" t="e">
        <f>(_xll.RtGet("IDN",I23,"TURNOVER"))*2</f>
        <v>#VALUE!</v>
      </c>
      <c r="G23" s="182" t="e">
        <f>(_xll.RtGet("IDN",I23,"NUM_MOVES"))*2</f>
        <v>#VALUE!</v>
      </c>
      <c r="H23" s="187"/>
      <c r="I23" s="186" t="s">
        <v>427</v>
      </c>
      <c r="J23" s="176" t="str">
        <f t="shared" si="3"/>
        <v>IE0004879486</v>
      </c>
      <c r="K23" s="155" t="e">
        <f t="shared" si="1"/>
        <v>#VALUE!</v>
      </c>
      <c r="L23" s="155" t="e">
        <f t="shared" si="0"/>
        <v>#VALUE!</v>
      </c>
      <c r="M23" s="155" t="s">
        <v>444</v>
      </c>
      <c r="N23" s="155" t="e">
        <f t="shared" si="4"/>
        <v>#VALUE!</v>
      </c>
      <c r="O23" s="11"/>
      <c r="P23" s="11" t="str">
        <f>_xll.RtGet("IDN",I23,"CURRENCY")</f>
        <v>#N/A *The record could not be found</v>
      </c>
      <c r="Q23" s="11" t="e">
        <f t="shared" si="7"/>
        <v>#VALUE!</v>
      </c>
      <c r="S23" s="11" t="e">
        <f t="shared" si="5"/>
        <v>#VALUE!</v>
      </c>
    </row>
    <row r="24" spans="1:19" ht="15" x14ac:dyDescent="0.25">
      <c r="B24" s="134"/>
      <c r="C24" s="185" t="s">
        <v>415</v>
      </c>
      <c r="D24" s="185" t="s">
        <v>66</v>
      </c>
      <c r="E24" s="182" t="e">
        <f>(_xll.RtGet("IDN",I24,"VOL ACCUMULATED"))*2</f>
        <v>#VALUE!</v>
      </c>
      <c r="F24" s="182" t="e">
        <f>(_xll.RtGet("IDN",I24,"TURNOVER"))*2</f>
        <v>#VALUE!</v>
      </c>
      <c r="G24" s="182" t="e">
        <f>(_xll.RtGet("IDN",I24,"NUM_MOVES"))*2</f>
        <v>#VALUE!</v>
      </c>
      <c r="H24" s="187"/>
      <c r="I24" s="186" t="s">
        <v>428</v>
      </c>
      <c r="J24" s="176" t="str">
        <f t="shared" si="3"/>
        <v>IE0005711209</v>
      </c>
      <c r="K24" s="155" t="e">
        <f t="shared" si="1"/>
        <v>#VALUE!</v>
      </c>
      <c r="L24" s="155" t="e">
        <f t="shared" si="0"/>
        <v>#VALUE!</v>
      </c>
      <c r="M24" s="155"/>
      <c r="N24" s="155" t="e">
        <f t="shared" si="4"/>
        <v>#VALUE!</v>
      </c>
      <c r="O24" s="11"/>
      <c r="P24" s="11" t="str">
        <f>_xll.RtGet("IDN",I24,"CURRENCY")</f>
        <v>#N/A *The record could not be found</v>
      </c>
      <c r="Q24" s="11" t="e">
        <f t="shared" si="7"/>
        <v>#VALUE!</v>
      </c>
      <c r="S24" s="11" t="e">
        <f t="shared" si="5"/>
        <v>#VALUE!</v>
      </c>
    </row>
    <row r="25" spans="1:19" ht="15" x14ac:dyDescent="0.25">
      <c r="B25" s="134"/>
      <c r="C25" s="184" t="s">
        <v>419</v>
      </c>
      <c r="D25" s="185" t="s">
        <v>234</v>
      </c>
      <c r="E25" s="182" t="e">
        <f>(_xll.RtGet("IDN",I25,"VOL ACCUMULATED"))*2</f>
        <v>#VALUE!</v>
      </c>
      <c r="F25" s="182" t="e">
        <f>(_xll.RtGet("IDN",I25,"TURNOVER"))*2</f>
        <v>#VALUE!</v>
      </c>
      <c r="G25" s="182" t="e">
        <f>(_xll.RtGet("IDN",I25,"NUM_MOVES"))*2</f>
        <v>#VALUE!</v>
      </c>
      <c r="H25" s="187"/>
      <c r="I25" s="186" t="s">
        <v>429</v>
      </c>
      <c r="J25" s="176" t="str">
        <f t="shared" si="3"/>
        <v>IE0033024807</v>
      </c>
      <c r="K25" s="155" t="e">
        <f t="shared" si="1"/>
        <v>#VALUE!</v>
      </c>
      <c r="L25" s="155" t="e">
        <f t="shared" si="0"/>
        <v>#VALUE!</v>
      </c>
      <c r="M25" s="155"/>
      <c r="N25" s="155" t="e">
        <f t="shared" si="4"/>
        <v>#VALUE!</v>
      </c>
      <c r="O25" s="11"/>
      <c r="P25" s="11" t="str">
        <f>_xll.RtGet("IDN",I25,"CURRENCY")</f>
        <v>#N/A *The record could not be found</v>
      </c>
      <c r="Q25" s="11" t="e">
        <f t="shared" si="7"/>
        <v>#VALUE!</v>
      </c>
      <c r="S25" s="11" t="e">
        <f t="shared" si="5"/>
        <v>#VALUE!</v>
      </c>
    </row>
    <row r="26" spans="1:19" ht="15" x14ac:dyDescent="0.25">
      <c r="B26" s="134"/>
      <c r="C26" s="185" t="s">
        <v>416</v>
      </c>
      <c r="D26" s="185" t="s">
        <v>254</v>
      </c>
      <c r="E26" s="182" t="e">
        <f>(_xll.RtGet("IDN",I26,"VOL ACCUMULATED"))*2</f>
        <v>#VALUE!</v>
      </c>
      <c r="F26" s="182" t="e">
        <f>(_xll.RtGet("IDN",I26,"TURNOVER"))*2</f>
        <v>#VALUE!</v>
      </c>
      <c r="G26" s="182" t="e">
        <f>(_xll.RtGet("IDN",I26,"NUM_MOVES"))*2</f>
        <v>#VALUE!</v>
      </c>
      <c r="H26" s="187"/>
      <c r="I26" s="186" t="s">
        <v>430</v>
      </c>
      <c r="J26" s="176" t="str">
        <f t="shared" si="3"/>
        <v>IE0033336516</v>
      </c>
      <c r="K26" s="155" t="e">
        <f t="shared" si="1"/>
        <v>#VALUE!</v>
      </c>
      <c r="L26" s="155" t="e">
        <f t="shared" si="0"/>
        <v>#VALUE!</v>
      </c>
      <c r="M26" s="155"/>
      <c r="N26" s="155" t="e">
        <f t="shared" si="4"/>
        <v>#VALUE!</v>
      </c>
      <c r="O26" s="11"/>
      <c r="P26" s="11" t="str">
        <f>_xll.RtGet("IDN",I26,"CURRENCY")</f>
        <v>#N/A *The record could not be found</v>
      </c>
      <c r="Q26" s="11" t="e">
        <f t="shared" si="7"/>
        <v>#VALUE!</v>
      </c>
      <c r="S26" s="11" t="e">
        <f t="shared" si="5"/>
        <v>#VALUE!</v>
      </c>
    </row>
    <row r="27" spans="1:19" ht="15" x14ac:dyDescent="0.25">
      <c r="B27" s="134"/>
      <c r="C27" s="185" t="s">
        <v>414</v>
      </c>
      <c r="D27" s="185" t="s">
        <v>287</v>
      </c>
      <c r="E27" s="182" t="e">
        <f>(_xll.RtGet("IDN",I27,"VOL ACCUMULATED"))*2</f>
        <v>#VALUE!</v>
      </c>
      <c r="F27" s="182" t="e">
        <f>(_xll.RtGet("IDN",I27,"TURNOVER"))*2</f>
        <v>#VALUE!</v>
      </c>
      <c r="G27" s="182" t="e">
        <f>(_xll.RtGet("IDN",I27,"NUM_MOVES"))*2</f>
        <v>#VALUE!</v>
      </c>
      <c r="H27" s="187"/>
      <c r="I27" s="186" t="s">
        <v>412</v>
      </c>
      <c r="J27" s="176" t="str">
        <f t="shared" si="3"/>
        <v>IE00B1CMPN86</v>
      </c>
      <c r="K27" s="155" t="e">
        <f t="shared" si="1"/>
        <v>#VALUE!</v>
      </c>
      <c r="L27" s="155" t="e">
        <f t="shared" si="0"/>
        <v>#VALUE!</v>
      </c>
      <c r="M27" s="155"/>
      <c r="N27" s="155" t="e">
        <f t="shared" si="4"/>
        <v>#VALUE!</v>
      </c>
      <c r="O27" s="11"/>
      <c r="P27" s="11" t="str">
        <f>_xll.RtGet("IDN",I27,"CURRENCY")</f>
        <v>#N/A *The record could not be found</v>
      </c>
      <c r="Q27" s="11" t="e">
        <f t="shared" si="7"/>
        <v>#VALUE!</v>
      </c>
      <c r="S27" s="11" t="e">
        <f t="shared" si="5"/>
        <v>#VALUE!</v>
      </c>
    </row>
    <row r="28" spans="1:19" ht="15" x14ac:dyDescent="0.25">
      <c r="B28" s="134"/>
      <c r="C28" s="185" t="s">
        <v>418</v>
      </c>
      <c r="D28" s="185" t="s">
        <v>303</v>
      </c>
      <c r="E28" s="182" t="e">
        <f>(_xll.RtGet("IDN",I28,"VOL ACCUMULATED"))*2</f>
        <v>#VALUE!</v>
      </c>
      <c r="F28" s="182" t="e">
        <f>(_xll.RtGet("IDN",I28,"TURNOVER"))*2</f>
        <v>#VALUE!</v>
      </c>
      <c r="G28" s="182" t="e">
        <f>(_xll.RtGet("IDN",I28,"NUM_MOVES"))*2</f>
        <v>#VALUE!</v>
      </c>
      <c r="H28" s="187"/>
      <c r="I28" s="186" t="s">
        <v>431</v>
      </c>
      <c r="J28" s="176" t="str">
        <f t="shared" si="3"/>
        <v>IE00B1RR8406</v>
      </c>
      <c r="K28" s="155" t="e">
        <f t="shared" si="1"/>
        <v>#VALUE!</v>
      </c>
      <c r="L28" s="155" t="e">
        <f t="shared" si="0"/>
        <v>#VALUE!</v>
      </c>
      <c r="M28" s="155"/>
      <c r="N28" s="155" t="e">
        <f t="shared" si="4"/>
        <v>#VALUE!</v>
      </c>
      <c r="O28" s="11"/>
      <c r="P28" s="11" t="str">
        <f>_xll.RtGet("IDN",I28,"CURRENCY")</f>
        <v>#N/A *The record could not be found</v>
      </c>
      <c r="Q28" s="11" t="e">
        <f t="shared" si="7"/>
        <v>#VALUE!</v>
      </c>
      <c r="S28" s="11" t="e">
        <f t="shared" si="5"/>
        <v>#VALUE!</v>
      </c>
    </row>
    <row r="29" spans="1:19" x14ac:dyDescent="0.2">
      <c r="A29" t="s">
        <v>207</v>
      </c>
      <c r="B29" s="134"/>
      <c r="C29" s="176" t="s">
        <v>438</v>
      </c>
      <c r="D29" s="176" t="s">
        <v>81</v>
      </c>
      <c r="E29" s="182">
        <f>(_xll.RtGet("IDN",I29,"VOL ACCUMULATED"))*2</f>
        <v>267726</v>
      </c>
      <c r="F29" s="182">
        <f>(_xll.RtGet("IDN",I29,"TURNOVER"))*2</f>
        <v>621141.04</v>
      </c>
      <c r="G29" s="182">
        <f>(_xll.RtGet("IDN",I29,"NUM_MOVES"))*2</f>
        <v>1504</v>
      </c>
      <c r="H29" s="136"/>
      <c r="I29" s="11" t="s">
        <v>432</v>
      </c>
      <c r="J29" s="176" t="str">
        <f t="shared" si="3"/>
        <v>IE0001827041</v>
      </c>
      <c r="K29" s="155">
        <f t="shared" si="1"/>
        <v>7309.5877587200011</v>
      </c>
      <c r="L29" s="155">
        <f t="shared" si="0"/>
        <v>267726</v>
      </c>
      <c r="M29" s="155" t="s">
        <v>444</v>
      </c>
      <c r="N29" s="155">
        <f t="shared" si="4"/>
        <v>1504</v>
      </c>
      <c r="P29" s="11" t="str">
        <f>_xll.RtGet("IDN",I29,"CURRENCY")</f>
        <v>GBp</v>
      </c>
      <c r="Q29" s="11">
        <f t="shared" si="7"/>
        <v>7309.5877587200011</v>
      </c>
      <c r="S29" s="11">
        <f t="shared" si="5"/>
        <v>7309.5877587200011</v>
      </c>
    </row>
    <row r="30" spans="1:19" x14ac:dyDescent="0.2">
      <c r="B30" s="134"/>
      <c r="C30" s="176" t="s">
        <v>441</v>
      </c>
      <c r="D30" s="176" t="s">
        <v>378</v>
      </c>
      <c r="E30" s="182" t="e">
        <f>(_xll.RtGet("IDN",I30,"VOL ACCUMULATED"))*2</f>
        <v>#VALUE!</v>
      </c>
      <c r="F30" s="182" t="e">
        <f>(_xll.RtGet("IDN",I30,"TURNOVER"))*2</f>
        <v>#VALUE!</v>
      </c>
      <c r="G30" s="182" t="e">
        <f>(_xll.RtGet("IDN",I30,"NUM_MOVES"))*2</f>
        <v>#VALUE!</v>
      </c>
      <c r="H30" s="136"/>
      <c r="I30" s="11" t="s">
        <v>433</v>
      </c>
      <c r="J30" s="176" t="str">
        <f t="shared" si="3"/>
        <v>CH0043238366</v>
      </c>
      <c r="K30" s="155" t="e">
        <f t="shared" si="1"/>
        <v>#VALUE!</v>
      </c>
      <c r="L30" s="155" t="e">
        <f t="shared" si="0"/>
        <v>#VALUE!</v>
      </c>
      <c r="M30" s="155" t="s">
        <v>445</v>
      </c>
      <c r="N30" s="155" t="e">
        <f t="shared" si="4"/>
        <v>#VALUE!</v>
      </c>
      <c r="P30" s="11" t="str">
        <f>_xll.RtGet("IDN",I30,"CURRENCY")</f>
        <v>#N/A *The record could not be found</v>
      </c>
      <c r="Q30" s="11" t="e">
        <f t="shared" si="7"/>
        <v>#VALUE!</v>
      </c>
      <c r="S30" s="11" t="e">
        <f t="shared" si="5"/>
        <v>#VALUE!</v>
      </c>
    </row>
    <row r="31" spans="1:19" ht="15" x14ac:dyDescent="0.25">
      <c r="B31" s="134"/>
      <c r="C31" s="184" t="s">
        <v>439</v>
      </c>
      <c r="D31" s="185" t="s">
        <v>225</v>
      </c>
      <c r="E31" s="182" t="e">
        <f>(_xll.RtGet("IDN",I31,"VOL ACCUMULATED"))*2</f>
        <v>#VALUE!</v>
      </c>
      <c r="F31" s="182" t="e">
        <f>(_xll.RtGet("IDN",I31,"TURNOVER"))*2</f>
        <v>#VALUE!</v>
      </c>
      <c r="G31" s="182" t="e">
        <f>(_xll.RtGet("IDN",I31,"NUM_MOVES"))*2</f>
        <v>#VALUE!</v>
      </c>
      <c r="H31" s="136"/>
      <c r="I31" s="186" t="s">
        <v>434</v>
      </c>
      <c r="J31" s="176" t="str">
        <f t="shared" si="3"/>
        <v>IE0000590798</v>
      </c>
      <c r="K31" s="155" t="e">
        <f t="shared" si="1"/>
        <v>#VALUE!</v>
      </c>
      <c r="L31" s="155" t="e">
        <f t="shared" si="0"/>
        <v>#VALUE!</v>
      </c>
      <c r="M31" s="155" t="s">
        <v>443</v>
      </c>
      <c r="N31" s="155" t="e">
        <f t="shared" si="4"/>
        <v>#VALUE!</v>
      </c>
      <c r="P31" s="11" t="str">
        <f>_xll.RtGet("IDN",I31,"CURRENCY")</f>
        <v>#N/A *The record could not be found</v>
      </c>
      <c r="Q31" s="11" t="e">
        <f t="shared" si="7"/>
        <v>#VALUE!</v>
      </c>
      <c r="S31" s="11" t="e">
        <f t="shared" si="5"/>
        <v>#VALUE!</v>
      </c>
    </row>
    <row r="32" spans="1:19" ht="15" x14ac:dyDescent="0.25">
      <c r="B32" s="134"/>
      <c r="C32" s="184" t="s">
        <v>440</v>
      </c>
      <c r="D32" s="185" t="s">
        <v>230</v>
      </c>
      <c r="E32" s="182" t="e">
        <f>(_xll.RtGet("IDN",I32,"VOL ACCUMULATED"))*2</f>
        <v>#VALUE!</v>
      </c>
      <c r="F32" s="182" t="e">
        <f>(_xll.RtGet("IDN",I32,"TURNOVER"))*2</f>
        <v>#VALUE!</v>
      </c>
      <c r="G32" s="182" t="e">
        <f>(_xll.RtGet("IDN",I32,"NUM_MOVES"))*2</f>
        <v>#VALUE!</v>
      </c>
      <c r="H32" s="136"/>
      <c r="I32" s="186" t="s">
        <v>435</v>
      </c>
      <c r="J32" s="176" t="str">
        <f t="shared" si="3"/>
        <v>IE0004879486</v>
      </c>
      <c r="K32" s="155" t="e">
        <f t="shared" si="1"/>
        <v>#VALUE!</v>
      </c>
      <c r="L32" s="155" t="e">
        <f t="shared" si="0"/>
        <v>#VALUE!</v>
      </c>
      <c r="M32" s="155" t="s">
        <v>443</v>
      </c>
      <c r="N32" s="155" t="e">
        <f t="shared" si="4"/>
        <v>#VALUE!</v>
      </c>
      <c r="P32" s="11" t="str">
        <f>_xll.RtGet("IDN",I32,"CURRENCY")</f>
        <v>#N/A *The record could not be found</v>
      </c>
      <c r="Q32" s="11" t="e">
        <f t="shared" si="7"/>
        <v>#VALUE!</v>
      </c>
      <c r="S32" s="11" t="e">
        <f t="shared" si="5"/>
        <v>#VALUE!</v>
      </c>
    </row>
    <row r="33" spans="2:14" x14ac:dyDescent="0.2">
      <c r="B33" s="134"/>
      <c r="C33" s="156"/>
      <c r="D33" s="157"/>
      <c r="E33" s="128"/>
      <c r="F33" s="128"/>
      <c r="G33" s="128"/>
      <c r="H33" s="136"/>
      <c r="K33" s="94"/>
      <c r="L33" s="94"/>
      <c r="M33" s="94"/>
      <c r="N33" s="94"/>
    </row>
    <row r="34" spans="2:14" x14ac:dyDescent="0.2">
      <c r="B34" s="134"/>
      <c r="C34" s="156"/>
      <c r="D34" s="157"/>
      <c r="E34" s="128"/>
      <c r="F34" s="128"/>
      <c r="G34" s="128"/>
      <c r="H34" s="136"/>
      <c r="K34" s="94"/>
      <c r="L34" s="94"/>
      <c r="M34" s="94"/>
      <c r="N34" s="94"/>
    </row>
    <row r="35" spans="2:14" x14ac:dyDescent="0.2">
      <c r="B35" s="134"/>
      <c r="C35" s="156"/>
      <c r="D35" s="157"/>
      <c r="E35" s="128"/>
      <c r="F35" s="128"/>
      <c r="G35" s="128"/>
      <c r="H35" s="136"/>
      <c r="K35" s="94"/>
      <c r="L35" s="94"/>
      <c r="M35" s="94"/>
      <c r="N35" s="94"/>
    </row>
    <row r="36" spans="2:14" x14ac:dyDescent="0.2">
      <c r="B36" s="134"/>
      <c r="C36" s="156" t="s">
        <v>469</v>
      </c>
      <c r="D36" s="157" t="s">
        <v>470</v>
      </c>
      <c r="E36" s="128" t="s">
        <v>56</v>
      </c>
      <c r="F36" s="128" t="s">
        <v>471</v>
      </c>
      <c r="G36" s="128" t="s">
        <v>472</v>
      </c>
      <c r="H36" s="136" t="s">
        <v>473</v>
      </c>
      <c r="K36" s="94"/>
      <c r="L36" s="94"/>
      <c r="M36" s="94"/>
      <c r="N36" s="94"/>
    </row>
    <row r="37" spans="2:14" x14ac:dyDescent="0.2">
      <c r="B37" s="134"/>
      <c r="C37" s="199">
        <v>42180</v>
      </c>
      <c r="D37" s="157" t="s">
        <v>474</v>
      </c>
      <c r="E37" s="128" t="s">
        <v>64</v>
      </c>
      <c r="F37" s="128" t="s">
        <v>475</v>
      </c>
      <c r="G37" s="128" t="s">
        <v>475</v>
      </c>
      <c r="H37" s="136">
        <v>530</v>
      </c>
      <c r="K37" s="94"/>
      <c r="L37" s="94"/>
      <c r="M37" s="94"/>
      <c r="N37" s="94"/>
    </row>
    <row r="38" spans="2:14" x14ac:dyDescent="0.2">
      <c r="B38" s="134"/>
      <c r="C38" s="199">
        <v>42180</v>
      </c>
      <c r="D38" s="157" t="s">
        <v>244</v>
      </c>
      <c r="E38" s="128" t="s">
        <v>223</v>
      </c>
      <c r="F38" s="128">
        <v>301582</v>
      </c>
      <c r="G38" s="128">
        <v>1085520</v>
      </c>
      <c r="H38" s="136">
        <v>22076</v>
      </c>
      <c r="K38" s="94"/>
      <c r="L38" s="94"/>
      <c r="M38" s="94"/>
      <c r="N38" s="94"/>
    </row>
    <row r="39" spans="2:14" x14ac:dyDescent="0.2">
      <c r="B39" s="134"/>
      <c r="C39" s="199">
        <v>42180</v>
      </c>
      <c r="D39" s="157" t="s">
        <v>476</v>
      </c>
      <c r="E39" s="128" t="s">
        <v>408</v>
      </c>
      <c r="F39" s="128" t="s">
        <v>475</v>
      </c>
      <c r="G39" s="128" t="s">
        <v>475</v>
      </c>
      <c r="H39" s="136">
        <v>72644</v>
      </c>
      <c r="K39" s="94"/>
      <c r="L39" s="94"/>
      <c r="M39" s="94"/>
      <c r="N39" s="94"/>
    </row>
    <row r="40" spans="2:14" x14ac:dyDescent="0.2">
      <c r="B40" s="134"/>
      <c r="C40" s="199">
        <v>42180</v>
      </c>
      <c r="D40" s="157" t="s">
        <v>477</v>
      </c>
      <c r="E40" s="128" t="s">
        <v>301</v>
      </c>
      <c r="F40" s="128" t="s">
        <v>475</v>
      </c>
      <c r="G40" s="128" t="s">
        <v>475</v>
      </c>
      <c r="H40" s="136">
        <v>47628</v>
      </c>
      <c r="K40" s="94"/>
      <c r="L40" s="94"/>
      <c r="M40" s="94"/>
      <c r="N40" s="94"/>
    </row>
    <row r="41" spans="2:14" x14ac:dyDescent="0.2">
      <c r="B41" s="134"/>
      <c r="C41" s="199">
        <v>42180</v>
      </c>
      <c r="D41" s="157" t="s">
        <v>478</v>
      </c>
      <c r="E41" s="128" t="s">
        <v>378</v>
      </c>
      <c r="F41" s="128" t="s">
        <v>475</v>
      </c>
      <c r="G41" s="128" t="s">
        <v>475</v>
      </c>
      <c r="H41" s="136">
        <v>64141</v>
      </c>
      <c r="K41" s="94"/>
      <c r="L41" s="94"/>
      <c r="M41" s="94"/>
      <c r="N41" s="94"/>
    </row>
    <row r="42" spans="2:14" x14ac:dyDescent="0.2">
      <c r="B42" s="134"/>
      <c r="C42" s="199">
        <v>42180</v>
      </c>
      <c r="D42" s="157" t="s">
        <v>76</v>
      </c>
      <c r="E42" s="128" t="s">
        <v>77</v>
      </c>
      <c r="F42" s="128" t="s">
        <v>475</v>
      </c>
      <c r="G42" s="128" t="s">
        <v>475</v>
      </c>
      <c r="H42" s="136">
        <v>502</v>
      </c>
      <c r="K42" s="94"/>
      <c r="L42" s="94"/>
      <c r="M42" s="94"/>
      <c r="N42" s="94"/>
    </row>
    <row r="43" spans="2:14" x14ac:dyDescent="0.2">
      <c r="B43" s="134"/>
      <c r="C43" s="199">
        <v>42180</v>
      </c>
      <c r="D43" s="157" t="s">
        <v>78</v>
      </c>
      <c r="E43" s="128" t="s">
        <v>79</v>
      </c>
      <c r="F43" s="128" t="s">
        <v>475</v>
      </c>
      <c r="G43" s="128" t="s">
        <v>475</v>
      </c>
      <c r="H43" s="136">
        <v>11904</v>
      </c>
      <c r="K43" s="94"/>
      <c r="L43" s="94"/>
      <c r="M43" s="94"/>
      <c r="N43" s="94"/>
    </row>
    <row r="44" spans="2:14" x14ac:dyDescent="0.2">
      <c r="B44" s="134"/>
      <c r="C44" s="199">
        <v>42180</v>
      </c>
      <c r="D44" s="157" t="s">
        <v>80</v>
      </c>
      <c r="E44" s="128" t="s">
        <v>81</v>
      </c>
      <c r="F44" s="128" t="s">
        <v>475</v>
      </c>
      <c r="G44" s="128" t="s">
        <v>475</v>
      </c>
      <c r="H44" s="136">
        <v>517</v>
      </c>
      <c r="K44" s="94"/>
      <c r="L44" s="94"/>
      <c r="M44" s="94"/>
      <c r="N44" s="94"/>
    </row>
    <row r="45" spans="2:14" x14ac:dyDescent="0.2">
      <c r="B45" s="134"/>
      <c r="C45" s="199">
        <v>42180</v>
      </c>
      <c r="D45" s="157" t="s">
        <v>111</v>
      </c>
      <c r="E45" s="128" t="s">
        <v>121</v>
      </c>
      <c r="F45" s="128" t="s">
        <v>475</v>
      </c>
      <c r="G45" s="128" t="s">
        <v>475</v>
      </c>
      <c r="H45" s="136">
        <v>524</v>
      </c>
      <c r="K45" s="94"/>
      <c r="L45" s="94"/>
      <c r="M45" s="94"/>
      <c r="N45" s="94"/>
    </row>
    <row r="46" spans="2:14" x14ac:dyDescent="0.2">
      <c r="B46" s="134"/>
      <c r="C46" s="199">
        <v>42180</v>
      </c>
      <c r="D46" s="157" t="s">
        <v>479</v>
      </c>
      <c r="E46" s="128" t="s">
        <v>208</v>
      </c>
      <c r="F46" s="128" t="s">
        <v>475</v>
      </c>
      <c r="G46" s="128" t="s">
        <v>475</v>
      </c>
      <c r="H46" s="136">
        <v>22332</v>
      </c>
      <c r="K46" s="94"/>
      <c r="L46" s="94"/>
      <c r="M46" s="94"/>
      <c r="N46" s="94"/>
    </row>
    <row r="47" spans="2:14" x14ac:dyDescent="0.2">
      <c r="B47" s="134"/>
      <c r="C47" s="199">
        <v>42180</v>
      </c>
      <c r="D47" s="157" t="s">
        <v>480</v>
      </c>
      <c r="E47" s="128" t="s">
        <v>124</v>
      </c>
      <c r="F47" s="128" t="s">
        <v>475</v>
      </c>
      <c r="G47" s="128" t="s">
        <v>475</v>
      </c>
      <c r="H47" s="136">
        <v>561</v>
      </c>
      <c r="K47" s="94"/>
      <c r="L47" s="94"/>
      <c r="M47" s="94"/>
      <c r="N47" s="94"/>
    </row>
    <row r="48" spans="2:14" x14ac:dyDescent="0.2">
      <c r="B48" s="134"/>
      <c r="C48" s="199">
        <v>42180</v>
      </c>
      <c r="D48" s="157" t="s">
        <v>481</v>
      </c>
      <c r="E48" s="128" t="s">
        <v>231</v>
      </c>
      <c r="F48" s="128" t="s">
        <v>475</v>
      </c>
      <c r="G48" s="128" t="s">
        <v>475</v>
      </c>
      <c r="H48" s="136">
        <v>573</v>
      </c>
      <c r="K48" s="94"/>
      <c r="L48" s="94"/>
      <c r="M48" s="94"/>
      <c r="N48" s="94"/>
    </row>
    <row r="49" spans="2:14" x14ac:dyDescent="0.2">
      <c r="B49" s="134"/>
      <c r="C49" s="199">
        <v>42180</v>
      </c>
      <c r="D49" s="157" t="s">
        <v>482</v>
      </c>
      <c r="E49" s="128" t="s">
        <v>127</v>
      </c>
      <c r="F49" s="128" t="s">
        <v>475</v>
      </c>
      <c r="G49" s="128" t="s">
        <v>475</v>
      </c>
      <c r="H49" s="136">
        <v>572</v>
      </c>
      <c r="K49" s="94"/>
      <c r="L49" s="94"/>
      <c r="M49" s="94"/>
      <c r="N49" s="94"/>
    </row>
    <row r="50" spans="2:14" x14ac:dyDescent="0.2">
      <c r="B50" s="134"/>
      <c r="C50" s="199">
        <v>42180</v>
      </c>
      <c r="D50" s="157" t="s">
        <v>483</v>
      </c>
      <c r="E50" s="128" t="s">
        <v>225</v>
      </c>
      <c r="F50" s="128">
        <v>248942</v>
      </c>
      <c r="G50" s="128">
        <v>2529895.4679800002</v>
      </c>
      <c r="H50" s="136">
        <v>527</v>
      </c>
      <c r="K50" s="94"/>
      <c r="L50" s="94"/>
      <c r="M50" s="94"/>
      <c r="N50" s="94"/>
    </row>
    <row r="51" spans="2:14" x14ac:dyDescent="0.2">
      <c r="B51" s="134"/>
      <c r="C51" s="200">
        <v>42180</v>
      </c>
      <c r="D51" s="160" t="s">
        <v>484</v>
      </c>
      <c r="E51" s="128" t="s">
        <v>228</v>
      </c>
      <c r="F51" s="128">
        <v>30270</v>
      </c>
      <c r="G51" s="128">
        <v>535960</v>
      </c>
      <c r="H51" s="136">
        <v>543</v>
      </c>
      <c r="K51" s="94"/>
      <c r="L51" s="94"/>
      <c r="M51" s="94"/>
      <c r="N51" s="94"/>
    </row>
    <row r="52" spans="2:14" x14ac:dyDescent="0.2">
      <c r="B52" s="134"/>
      <c r="C52" s="158"/>
      <c r="D52" s="160"/>
      <c r="E52" s="128"/>
      <c r="F52" s="128"/>
      <c r="G52" s="128"/>
      <c r="H52" s="136"/>
      <c r="K52" s="94"/>
      <c r="L52" s="94"/>
      <c r="M52" s="94"/>
      <c r="N52" s="94"/>
    </row>
    <row r="53" spans="2:14" x14ac:dyDescent="0.2">
      <c r="B53" s="134"/>
      <c r="C53" s="158"/>
      <c r="D53" s="160"/>
      <c r="E53" s="128"/>
      <c r="F53" s="128"/>
      <c r="G53" s="128"/>
      <c r="H53" s="136"/>
      <c r="K53" s="94"/>
      <c r="L53" s="94"/>
      <c r="M53" s="94"/>
      <c r="N53" s="94"/>
    </row>
    <row r="54" spans="2:14" x14ac:dyDescent="0.2">
      <c r="B54" s="134"/>
      <c r="C54" s="158"/>
      <c r="D54" s="160"/>
      <c r="E54" s="128"/>
      <c r="F54" s="128"/>
      <c r="G54" s="128"/>
      <c r="H54" s="136"/>
      <c r="K54" s="94"/>
      <c r="L54" s="94"/>
      <c r="M54" s="94"/>
      <c r="N54" s="94"/>
    </row>
    <row r="55" spans="2:14" x14ac:dyDescent="0.2">
      <c r="B55" s="134"/>
      <c r="C55" s="158"/>
      <c r="D55" s="160"/>
      <c r="E55" s="128"/>
      <c r="F55" s="128"/>
      <c r="G55" s="128"/>
      <c r="H55" s="136"/>
      <c r="K55" s="94"/>
      <c r="L55" s="94"/>
      <c r="M55" s="94"/>
      <c r="N55" s="94"/>
    </row>
    <row r="56" spans="2:14" x14ac:dyDescent="0.2">
      <c r="B56" s="134"/>
      <c r="C56" s="158"/>
      <c r="D56" s="160"/>
      <c r="E56" s="128"/>
      <c r="F56" s="128"/>
      <c r="G56" s="128"/>
      <c r="H56" s="136"/>
      <c r="K56" s="94"/>
      <c r="L56" s="94"/>
      <c r="M56" s="94"/>
      <c r="N56" s="94"/>
    </row>
    <row r="57" spans="2:14" x14ac:dyDescent="0.2">
      <c r="B57" s="134"/>
      <c r="C57" s="158"/>
      <c r="D57" s="160"/>
      <c r="E57" s="128"/>
      <c r="F57" s="128"/>
      <c r="G57" s="128"/>
      <c r="H57" s="136"/>
      <c r="K57" s="94"/>
      <c r="L57" s="94"/>
      <c r="M57" s="94"/>
      <c r="N57" s="94"/>
    </row>
    <row r="58" spans="2:14" x14ac:dyDescent="0.2">
      <c r="B58" s="134"/>
      <c r="C58" s="158"/>
      <c r="D58" s="160"/>
      <c r="E58" s="128"/>
      <c r="F58" s="128"/>
      <c r="G58" s="128"/>
      <c r="H58" s="136"/>
      <c r="K58" s="94"/>
      <c r="L58" s="94"/>
      <c r="M58" s="94"/>
      <c r="N58" s="94"/>
    </row>
    <row r="59" spans="2:14" x14ac:dyDescent="0.2">
      <c r="B59" s="134"/>
      <c r="C59" s="167"/>
      <c r="D59" s="167"/>
      <c r="E59" s="168"/>
      <c r="F59" s="168"/>
      <c r="G59" s="168"/>
      <c r="H59" s="136"/>
      <c r="K59" s="94"/>
      <c r="L59" s="94"/>
      <c r="M59" s="94"/>
      <c r="N59" s="94"/>
    </row>
    <row r="60" spans="2:14" x14ac:dyDescent="0.2">
      <c r="B60" s="134"/>
      <c r="C60" s="167"/>
      <c r="D60" s="167"/>
      <c r="E60" s="168"/>
      <c r="F60" s="168"/>
      <c r="G60" s="168"/>
      <c r="H60" s="136"/>
      <c r="K60" s="94"/>
      <c r="L60" s="94"/>
      <c r="M60" s="94"/>
      <c r="N60" s="94"/>
    </row>
    <row r="61" spans="2:14" x14ac:dyDescent="0.2">
      <c r="B61" s="134"/>
      <c r="C61" s="167"/>
      <c r="D61" s="167"/>
      <c r="E61" s="168"/>
      <c r="F61" s="168"/>
      <c r="G61" s="168"/>
      <c r="H61" s="136"/>
      <c r="K61" s="94"/>
      <c r="L61" s="94"/>
      <c r="M61" s="94"/>
      <c r="N61" s="94"/>
    </row>
    <row r="62" spans="2:14" x14ac:dyDescent="0.2">
      <c r="B62" s="134"/>
      <c r="C62" s="167"/>
      <c r="D62" s="167"/>
      <c r="E62" s="168"/>
      <c r="F62" s="168"/>
      <c r="G62" s="168"/>
      <c r="H62" s="136"/>
      <c r="K62" s="94"/>
      <c r="L62" s="94"/>
      <c r="M62" s="94"/>
      <c r="N62" s="94"/>
    </row>
    <row r="63" spans="2:14" ht="13.5" thickBot="1" x14ac:dyDescent="0.25">
      <c r="B63" s="134"/>
      <c r="C63" s="167"/>
      <c r="D63" s="167"/>
      <c r="E63" s="168"/>
      <c r="F63" s="168"/>
      <c r="G63" s="168"/>
      <c r="H63" s="138"/>
      <c r="K63" s="94"/>
      <c r="L63" s="94"/>
      <c r="M63" s="94"/>
      <c r="N63" s="94"/>
    </row>
    <row r="64" spans="2:14" x14ac:dyDescent="0.2">
      <c r="B64" s="134"/>
      <c r="C64" s="167"/>
      <c r="D64" s="167"/>
      <c r="E64" s="168"/>
      <c r="F64" s="168"/>
      <c r="G64" s="168"/>
      <c r="K64" s="94"/>
      <c r="L64" s="94"/>
      <c r="M64" s="94"/>
      <c r="N64" s="94"/>
    </row>
    <row r="65" spans="2:14" ht="13.5" thickBot="1" x14ac:dyDescent="0.25">
      <c r="B65" s="137"/>
      <c r="C65" s="167"/>
      <c r="D65" s="167"/>
      <c r="E65" s="168"/>
      <c r="F65" s="168"/>
      <c r="G65" s="168"/>
      <c r="K65" s="94"/>
      <c r="L65" s="94"/>
      <c r="M65" s="94"/>
      <c r="N65" s="94"/>
    </row>
    <row r="83" spans="2:5" x14ac:dyDescent="0.2">
      <c r="C83" s="32"/>
      <c r="D83" s="32"/>
      <c r="E83" s="9"/>
    </row>
    <row r="84" spans="2:5" x14ac:dyDescent="0.2">
      <c r="C84" s="34"/>
      <c r="D84" s="34"/>
      <c r="E84" s="12"/>
    </row>
    <row r="85" spans="2:5" x14ac:dyDescent="0.2">
      <c r="B85" s="31" t="s">
        <v>76</v>
      </c>
      <c r="C85" s="34"/>
      <c r="D85" s="34"/>
      <c r="E85" s="12"/>
    </row>
    <row r="86" spans="2:5" x14ac:dyDescent="0.2">
      <c r="B86" s="33" t="s">
        <v>78</v>
      </c>
      <c r="C86" s="32"/>
      <c r="D86" s="32"/>
      <c r="E86" s="9"/>
    </row>
    <row r="87" spans="2:5" x14ac:dyDescent="0.2">
      <c r="B87" s="33" t="s">
        <v>110</v>
      </c>
      <c r="C87" s="32"/>
      <c r="D87" s="32"/>
      <c r="E87" s="9"/>
    </row>
    <row r="88" spans="2:5" x14ac:dyDescent="0.2">
      <c r="B88" s="31" t="s">
        <v>111</v>
      </c>
      <c r="C88" s="32"/>
      <c r="D88" s="32"/>
      <c r="E88" s="9"/>
    </row>
    <row r="89" spans="2:5" x14ac:dyDescent="0.2">
      <c r="B89" s="31" t="s">
        <v>112</v>
      </c>
      <c r="C89" s="32"/>
      <c r="D89" s="32"/>
      <c r="E89" s="9"/>
    </row>
    <row r="90" spans="2:5" x14ac:dyDescent="0.2">
      <c r="B90" s="31" t="s">
        <v>113</v>
      </c>
      <c r="C90" s="32"/>
      <c r="D90" s="32"/>
      <c r="E90" s="9"/>
    </row>
    <row r="91" spans="2:5" x14ac:dyDescent="0.2">
      <c r="B91" s="31" t="s">
        <v>114</v>
      </c>
      <c r="C91" s="32"/>
      <c r="D91" s="32"/>
      <c r="E91" s="9"/>
    </row>
    <row r="92" spans="2:5" x14ac:dyDescent="0.2">
      <c r="B92" s="31" t="s">
        <v>115</v>
      </c>
      <c r="C92" s="32"/>
      <c r="D92" s="32"/>
      <c r="E92" s="9"/>
    </row>
    <row r="93" spans="2:5" x14ac:dyDescent="0.2">
      <c r="B93" s="31" t="s">
        <v>116</v>
      </c>
      <c r="C93" s="32"/>
      <c r="D93" s="32"/>
      <c r="E93" s="9"/>
    </row>
    <row r="94" spans="2:5" x14ac:dyDescent="0.2">
      <c r="B94" s="31" t="s">
        <v>117</v>
      </c>
      <c r="C94" s="32"/>
      <c r="D94" s="32"/>
      <c r="E94" s="9"/>
    </row>
    <row r="95" spans="2:5" x14ac:dyDescent="0.2">
      <c r="B95" s="31" t="s">
        <v>118</v>
      </c>
      <c r="C95" s="34"/>
      <c r="D95" s="34"/>
      <c r="E95" s="12"/>
    </row>
    <row r="96" spans="2:5" x14ac:dyDescent="0.2">
      <c r="B96" s="31" t="s">
        <v>119</v>
      </c>
    </row>
    <row r="97" spans="2:2" x14ac:dyDescent="0.2">
      <c r="B97" s="33" t="s">
        <v>80</v>
      </c>
    </row>
    <row r="117" spans="2:5" x14ac:dyDescent="0.2">
      <c r="C117" s="32"/>
      <c r="D117" s="32"/>
      <c r="E117" s="9"/>
    </row>
    <row r="118" spans="2:5" x14ac:dyDescent="0.2">
      <c r="C118" s="34"/>
      <c r="D118" s="34"/>
      <c r="E118" s="12"/>
    </row>
    <row r="119" spans="2:5" x14ac:dyDescent="0.2">
      <c r="B119" s="31" t="s">
        <v>76</v>
      </c>
      <c r="C119" s="34"/>
      <c r="D119" s="34"/>
      <c r="E119" s="12"/>
    </row>
    <row r="120" spans="2:5" x14ac:dyDescent="0.2">
      <c r="B120" s="33" t="s">
        <v>78</v>
      </c>
      <c r="C120" s="32"/>
      <c r="D120" s="32"/>
      <c r="E120" s="9"/>
    </row>
    <row r="121" spans="2:5" x14ac:dyDescent="0.2">
      <c r="B121" s="33" t="s">
        <v>203</v>
      </c>
      <c r="C121" s="32"/>
      <c r="D121" s="32"/>
      <c r="E121" s="9"/>
    </row>
    <row r="122" spans="2:5" x14ac:dyDescent="0.2">
      <c r="B122" s="31" t="s">
        <v>111</v>
      </c>
      <c r="C122" s="32"/>
      <c r="D122" s="32"/>
      <c r="E122" s="9"/>
    </row>
    <row r="123" spans="2:5" x14ac:dyDescent="0.2">
      <c r="B123" s="31" t="s">
        <v>112</v>
      </c>
      <c r="C123" s="32"/>
      <c r="D123" s="32"/>
      <c r="E123" s="9"/>
    </row>
    <row r="124" spans="2:5" x14ac:dyDescent="0.2">
      <c r="B124" s="31" t="s">
        <v>204</v>
      </c>
      <c r="C124" s="32"/>
      <c r="D124" s="32"/>
      <c r="E124" s="9"/>
    </row>
    <row r="125" spans="2:5" x14ac:dyDescent="0.2">
      <c r="B125" s="31" t="s">
        <v>114</v>
      </c>
      <c r="C125" s="32"/>
      <c r="D125" s="32"/>
      <c r="E125" s="9"/>
    </row>
    <row r="126" spans="2:5" x14ac:dyDescent="0.2">
      <c r="B126" s="31" t="s">
        <v>115</v>
      </c>
      <c r="C126" s="32"/>
      <c r="D126" s="32"/>
      <c r="E126" s="9"/>
    </row>
    <row r="127" spans="2:5" x14ac:dyDescent="0.2">
      <c r="B127" s="31" t="s">
        <v>116</v>
      </c>
      <c r="C127" s="32"/>
      <c r="D127" s="32"/>
      <c r="E127" s="9"/>
    </row>
    <row r="128" spans="2:5" x14ac:dyDescent="0.2">
      <c r="B128" s="31" t="s">
        <v>205</v>
      </c>
      <c r="C128" s="32"/>
      <c r="D128" s="32"/>
      <c r="E128" s="9"/>
    </row>
    <row r="129" spans="2:5" x14ac:dyDescent="0.2">
      <c r="B129" s="31" t="s">
        <v>206</v>
      </c>
      <c r="C129" s="34"/>
      <c r="D129" s="34"/>
      <c r="E129" s="12"/>
    </row>
    <row r="130" spans="2:5" x14ac:dyDescent="0.2">
      <c r="B130" s="31" t="s">
        <v>119</v>
      </c>
    </row>
    <row r="131" spans="2:5" x14ac:dyDescent="0.2">
      <c r="B131" s="33" t="s">
        <v>80</v>
      </c>
    </row>
  </sheetData>
  <phoneticPr fontId="5" type="noConversion"/>
  <pageMargins left="0.75" right="0.75" top="1" bottom="1" header="0.5" footer="0.5"/>
  <pageSetup orientation="portrait" horizontalDpi="90" verticalDpi="9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
  <sheetViews>
    <sheetView workbookViewId="0">
      <selection activeCell="F26" sqref="F26"/>
    </sheetView>
  </sheetViews>
  <sheetFormatPr defaultRowHeight="12.75" x14ac:dyDescent="0.2"/>
  <sheetData>
    <row r="3" spans="1:1" x14ac:dyDescent="0.2">
      <c r="A3">
        <f>_xll.RtGet(E5,".IEOB","HST_CLOSE")</f>
        <v>2033.73</v>
      </c>
    </row>
    <row r="5" spans="1:1" x14ac:dyDescent="0.2">
      <c r="A5" s="9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ISEQ_DATA</vt:lpstr>
      <vt:lpstr>BIS</vt:lpstr>
      <vt:lpstr>SETS</vt:lpstr>
      <vt:lpstr>MARK_TO_MKT</vt:lpstr>
      <vt:lpstr>EX_RATES</vt:lpstr>
      <vt:lpstr>Turquoise</vt:lpstr>
      <vt:lpstr>Sheet1</vt:lpstr>
      <vt:lpstr>BIS!BIS</vt:lpstr>
      <vt:lpstr>CheckM2Mkt</vt:lpstr>
      <vt:lpstr>EUR</vt:lpstr>
      <vt:lpstr>EXRATES</vt:lpstr>
      <vt:lpstr>Index_Data</vt:lpstr>
      <vt:lpstr>Index_Data_TEST</vt:lpstr>
      <vt:lpstr>ISIN</vt:lpstr>
      <vt:lpstr>Mark2Market</vt:lpstr>
      <vt:lpstr>Mk2Mkt</vt:lpstr>
      <vt:lpstr>NEW_EXRATES</vt:lpstr>
      <vt:lpstr>NewM2M</vt:lpstr>
      <vt:lpstr>SETSDATA</vt:lpstr>
      <vt:lpstr>Turquoise</vt:lpstr>
    </vt:vector>
  </TitlesOfParts>
  <Company>The Irish Stock Exchange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Scully</dc:creator>
  <cp:lastModifiedBy>Information Products</cp:lastModifiedBy>
  <cp:lastPrinted>2004-02-23T15:49:15Z</cp:lastPrinted>
  <dcterms:created xsi:type="dcterms:W3CDTF">2002-08-02T13:17:44Z</dcterms:created>
  <dcterms:modified xsi:type="dcterms:W3CDTF">2016-08-08T14:38:11Z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-972324626</vt:i4>
  </property>
  <property fmtid="{D5CDD505-2E9C-101B-9397-08002B2CF9AE}" pid="3" name="_NewReviewCycle">
    <vt:lpwstr/>
  </property>
  <property fmtid="{D5CDD505-2E9C-101B-9397-08002B2CF9AE}" pid="4" name="_EmailSubject">
    <vt:lpwstr>PowerPlus Pro (PPP) training</vt:lpwstr>
  </property>
  <property fmtid="{D5CDD505-2E9C-101B-9397-08002B2CF9AE}" pid="5" name="_AuthorEmail">
    <vt:lpwstr>Aidan.Ellicott@thomsonreuters.com</vt:lpwstr>
  </property>
  <property fmtid="{D5CDD505-2E9C-101B-9397-08002B2CF9AE}" pid="6" name="_AuthorEmailDisplayName">
    <vt:lpwstr>Ellicott, Aidan (Financial&amp;Risk)</vt:lpwstr>
  </property>
  <property fmtid="{D5CDD505-2E9C-101B-9397-08002B2CF9AE}" pid="7" name="_ReviewingToolsShownOnce">
    <vt:lpwstr/>
  </property>
</Properties>
</file>