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45A87161-80BC-4D90-A803-7DB4FC87C707}"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5" i="6" l="1"/>
  <c r="F46" i="6"/>
  <c r="F47" i="6"/>
  <c r="B26" i="8"/>
  <c r="F25" i="6"/>
  <c r="F33" i="6"/>
  <c r="F32" i="6"/>
  <c r="F22" i="6"/>
  <c r="F21" i="6"/>
  <c r="F20" i="6"/>
  <c r="B30" i="8"/>
  <c r="F9" i="6"/>
  <c r="F56" i="6"/>
  <c r="F55" i="6"/>
  <c r="F54" i="6"/>
  <c r="F53" i="6"/>
  <c r="F52" i="6"/>
  <c r="F17" i="6"/>
  <c r="F16" i="6"/>
  <c r="F15" i="6"/>
  <c r="F14" i="6"/>
  <c r="F13" i="6"/>
  <c r="F10" i="6"/>
  <c r="F39" i="6"/>
  <c r="F38" i="6"/>
  <c r="F37" i="6"/>
  <c r="F36" i="6"/>
  <c r="B32" i="8"/>
  <c r="B31" i="8"/>
  <c r="B29" i="8"/>
  <c r="B25" i="8"/>
  <c r="B17" i="8"/>
  <c r="C21" i="6"/>
  <c r="C25" i="6"/>
  <c r="C22" i="6"/>
  <c r="C20" i="6"/>
  <c r="B14" i="8"/>
  <c r="B11" i="8"/>
  <c r="B9" i="8"/>
  <c r="B15" i="8"/>
  <c r="B10" i="8"/>
  <c r="C48" i="6"/>
  <c r="C47" i="6"/>
  <c r="B16" i="8"/>
  <c r="B13" i="8"/>
  <c r="B12" i="8"/>
  <c r="C56" i="6"/>
  <c r="C55" i="6"/>
  <c r="C54" i="6"/>
  <c r="C53" i="6"/>
  <c r="C52" i="6"/>
  <c r="C16" i="6"/>
  <c r="C17" i="6"/>
  <c r="C15" i="6"/>
  <c r="C14" i="6"/>
  <c r="C13" i="6"/>
  <c r="C10" i="6"/>
  <c r="C9" i="6"/>
  <c r="C39" i="6"/>
  <c r="C38" i="6"/>
  <c r="C37" i="6"/>
  <c r="C36" i="6"/>
  <c r="E54" i="8"/>
  <c r="E53" i="8"/>
  <c r="E52" i="8"/>
  <c r="E38" i="8"/>
  <c r="E37" i="8"/>
  <c r="E36" i="8"/>
  <c r="E21" i="8"/>
  <c r="E20" i="8"/>
  <c r="C6" i="9"/>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C60" i="6" s="1"/>
  <c r="D50" i="6"/>
  <c r="D59" i="6" s="1"/>
  <c r="F50" i="6"/>
  <c r="G50" i="6"/>
  <c r="I50" i="6"/>
  <c r="J50" i="6"/>
  <c r="C57" i="6"/>
  <c r="D57" i="6"/>
  <c r="F57" i="6"/>
  <c r="G57" i="6"/>
  <c r="I57" i="6"/>
  <c r="J57" i="6"/>
  <c r="F59" i="6"/>
  <c r="I59" i="6"/>
  <c r="C4" i="9"/>
  <c r="F60" i="6"/>
  <c r="C5" i="9" s="1"/>
  <c r="I60" i="6"/>
  <c r="E13" i="8"/>
  <c r="E46" i="8"/>
  <c r="E47" i="8"/>
  <c r="E48" i="8"/>
  <c r="E49" i="8"/>
  <c r="E25" i="8"/>
  <c r="E26" i="8"/>
  <c r="E27" i="8"/>
  <c r="E28" i="8"/>
  <c r="E10" i="8"/>
  <c r="E11" i="8"/>
  <c r="E12" i="8"/>
  <c r="E14" i="8"/>
  <c r="E15" i="8"/>
  <c r="E16" i="8"/>
  <c r="E17" i="8"/>
  <c r="E9" i="8"/>
  <c r="G7" i="9" l="1"/>
  <c r="D50" i="8" l="1"/>
  <c r="D34" i="8"/>
  <c r="E8" i="8" l="1"/>
  <c r="E18" i="8" s="1"/>
  <c r="D18" i="8"/>
  <c r="E24" i="8"/>
  <c r="E34" i="8" s="1"/>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<sst xmlns="http://schemas.openxmlformats.org/spreadsheetml/2006/main" count="303" uniqueCount="196">
  <si>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</si>
  <si>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</si>
  <si>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</si>
  <si>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</si>
  <si>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</si>
  <si>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</si>
  <si>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</si>
  <si>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</si>
  <si>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</si>
  <si>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</si>
  <si>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</si>
  <si>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</si>
  <si>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</si>
  <si>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</si>
  <si>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</si>
  <si>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</si>
  <si>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</si>
  <si>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</si>
  <si>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Guillaume</t>
  </si>
  <si>
    <t>1.1 Utilisation des Cadriciels</t>
  </si>
  <si>
    <t>Le projet respecte les meilleures pratiques des cadriciels utilisés. (Exemple: séparation des responsabilités dans les Components et Services d'Angular, respect de la sémantique HTTP avec Express, etc.)</t>
  </si>
  <si>
    <t>-2 Client:BoardComponent - getElementByClassName n'est pas une bonne pratique, utiliser @ViewChild. S'il n'y a pas d'élément, vous aurez une exception. L'exception n'est pas gérée. Même chose pour child, classList, getElementsByTagName. TileHolderComponent utilise aussi getElementById, children, textContent, childElementCount, etc. Étant donné que vous avez beaucoup de code comme ça et que je ne m'attends pas à ce que vous le corrigiez, je pénalise sévèrement le sprint2, mais je vais l'ignorer pour le sprint3. Si par contre vous le corrigez pour le sprint3, je vais réduire les points retirés au sprint2.
-0.25 Client:ClientSocketHandlerServer:88
-1 Server:DatabaseService - les connections strings vont dans des variables d'environnement</t>
  </si>
  <si>
    <t>1.2 Arborescence</t>
  </si>
  <si>
    <t>Le projet respecte une arborescence de fichier claire,uniforme et structurée.
Les noms de fichiers et dossiers respectent le format kebab-case.</t>
  </si>
  <si>
    <t xml:space="preserve">-0.25 Client:Services - certains fichiers sont dans des dossiers et d'autres ne le sont pas
-0.5 Server:classes:exchangeCOmmand, passCommand, placementCommand, pointsCalculator
-0.25 Server:PlacementInformation </t>
  </si>
  <si>
    <t>-0.25 Server - le fichier best-score.service.ts contient la classe DatabaseService</t>
  </si>
  <si>
    <t>Sous-total</t>
  </si>
  <si>
    <t>2. Classe</t>
  </si>
  <si>
    <t>2.1 Responsabilité</t>
  </si>
  <si>
    <t>La classe n'a qu'une responsabilitée.
La classe n'est pas triviale.</t>
  </si>
  <si>
    <t>-1 Server:SocketManagerService
-0.5 Client:ChatService</t>
  </si>
  <si>
    <t>-1 Client:ClientSocketHandlerService
-1 Server:SocketManagerService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</si>
  <si>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</si>
  <si>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</si>
  <si>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</si>
  <si>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</si>
  <si>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-0.25 Client:TileComponent.letterFontSize .valueFontSize
-0.25 Server:Game.gameBoard</t>
  </si>
  <si>
    <t>-0.25 Client:TileComponent.letterFontSize
-0.25 Server:GameManagerService .characterVerification</t>
  </si>
  <si>
    <t>2.4 Accessibilité</t>
  </si>
  <si>
    <t>La classe minisme l'accessibilité des membres. (Bonne utilisation de public/private/protected pour les attributs et les fonctions)
Les méthodes get/set font une validation quelconque sur les attributs privés.</t>
  </si>
  <si>
    <t>-0.25 Server:GameManagerService .exchangeFormatValid .exchangeTileHolderValid</t>
  </si>
  <si>
    <t xml:space="preserve">-0.25 Server:Game .placementBot .actionVirtualBeginnerPlayer
-0.25 Server:PlacementCommand .findNewWords .insideBoardGame
-0.25 Server:PointsCalculator .newLetterOnBoard .specialPropertyWord
-0.25 Server:VirtualPlayer .getRandomLetterForBlank .getCombinations
-0.25 Server:DatabaseService .populateDB
-0.25 Server:GameManagerService .messageLengthVerification </t>
  </si>
  <si>
    <t>2.5 Valeur par défaut</t>
  </si>
  <si>
    <t>La classe initialise tous ses attributs de la même façon. Soit à la définition, soit dans le constructeur.</t>
  </si>
  <si>
    <t>-0.25 Client:JoinPageComponent
-0.25 Common:Tile
-0.25 Server:SocketManagerService</t>
  </si>
  <si>
    <t>-0.25 Client:PlayAreaComponent
-0.25 Client:JoinPageComponent
-0.25 Client:ClientSocketHandlerService</t>
  </si>
  <si>
    <t>3. Fonctions</t>
  </si>
  <si>
    <t>Nabil</t>
  </si>
  <si>
    <t>3.1 Nom</t>
  </si>
  <si>
    <t>La fonction a un nom précis.
La fonction a un nom qui respecte le format camelCase.</t>
  </si>
  <si>
    <t>-0.05: Client::BoardService::verifyProperty ... nom pas très précis!
-0.05: Client::ChatService::accepted -&gt; isAcceptedToJoin ?
-0.05: Client::ResizerService::changeValue ... nom pas très précis!
-0.07: Server::Game::verifyGameState ... la fonction ne fait pas que la vérification ... pensez à changer le nom!
-0.05: Server::GameManagerService::lengthVerification ... nom pas très précis (length of ?)!</t>
  </si>
  <si>
    <t>-0.10: Client::TileHolderComponent::isAtExtremity -&gt; getNodeExtremity ?
-0.10: Client::clientSocketHandlerService::passerTour ... nom de la fonction!</t>
  </si>
  <si>
    <t>3.2 Utilité</t>
  </si>
  <si>
    <t>La fonction est utilie et non-triviale.
La fonction ne peut pas être fragmenté en plusieurs fonctions.</t>
  </si>
  <si>
    <t>-0.20: Client::BoardService::getBoard ... n'est pas utile!</t>
  </si>
  <si>
    <t>-0.15: Client::ClientSocketHandlerService::configureBaseSocketFeatures ... mettre quelques callbacks dans des fonctions!
-0.20: Server::SocketManagerService::handleSockets ... mettre quelques callbacks dans des fonctions!</t>
  </si>
  <si>
    <t>3.3 Paramètres</t>
  </si>
  <si>
    <t>La fonction possède le moins de paramètres possibles en entrée.
La fonction possède uniquement des paramètres d'entrée qui sont utilisés.</t>
  </si>
  <si>
    <t>-0.05: Client::BoardService::getBoard ... type de sortie!
-0.05: Client::SocketClientService::isSocketAlive ... type de sortie!
-0.05: Server::PassCommand::validatedPassCommandFormat ... type de sortie!
-0.05: Server::Player::isUpper ... type de sortie!
-0.05: Server::PointsCalculator::calculatedPointsPlacement ... type de sortie!
-0.05: Server::GameManagerService::placeFormatValid ... type de sortie!
-0.05: Server::GameManagerService::exchangeFormatValid ... type de sortie!
-0.05: Server::GameManagerService::exchangeTileHolderValid ... type de sortie!
-0.05: Server::GameManagerService::lengthVerification ... type de sortie!
-0.02: Server::IdManagerService::getUsername ... le nom du paramètre devrait être userId!
Warning: Server::RoomManagerService::joinRoom ... essayez de réduire le nombre de paramètres!</t>
  </si>
  <si>
    <t>-0.05: Client::TileHolderComponent::checkForID ... type de la sortie!
-0.05: Client::TileHolderComponent::isAtExtremity ... type de la sortie!
-0.05: Client::TileHolderComponent::getLettersOnHolder ... type de la sortie!
-0.05: Client::TileHolderComponent::findLetterIndexes ... type de la sortie!
-0.05: Client::TileHolderComponent::getLastKey ... type de la sortie!
-0.05: Client::JoinPageComponent::myError ... type de la sortie!
-0.05: Server::Player::isUpper ... type de la sortie!
-0.05: Server::PointsCalculator::calculatedPointsPlacement ... type de la sortie!
-0.05: Server::VirtualPlayer::getCombinations ... type de la sortie!</t>
  </si>
  <si>
    <t>4. Exceptions</t>
  </si>
  <si>
    <t>4.1 Console</t>
  </si>
  <si>
    <t>La console ne génère pas de message d'avertissement (warning) ou d'erreur (error) qui aurait pu être gérés par le programme.</t>
  </si>
  <si>
    <t>-0.30: Une erreur et quelques avertissements lors de la création d'une partie!
-0.50: Quelques erreurs sur la console pour les tests du client!</t>
  </si>
  <si>
    <t>-0.5: Quelques avertissements quand on clique sur le bouton 'Scrabble Classique'!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</si>
  <si>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</si>
  <si>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</si>
  <si>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</si>
  <si>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</si>
  <si>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</si>
  <si>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</si>
  <si>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</si>
  <si>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</si>
  <si>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</si>
  <si>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</si>
  <si>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</si>
  <si>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Warning: Dans le fichier client::constants::general-constants.ts, NUMBER_LETTER_TILEHOLDER -&gt; NUMBER_LETTER_TILE_HOLDER</t>
  </si>
  <si>
    <t>-0.10: Client::Constants::GeneralConstants ... NUMBER_LETTER_TILEHOLDER -&gt; NUMBER_LETTER_TILE_HOLDER
-0.10: Server::GameManagerService::messageVerification ... nom de la variable 'erreur'</t>
  </si>
  <si>
    <t>5.4 Constante</t>
  </si>
  <si>
    <t>La constante est utilisé dans un contexte lié à la logique d'affaire. (Exemple d'erreur: const DEUX = 2,  bonne utilisation: WAIT_TIME = 5000 )</t>
  </si>
  <si>
    <t>-0.25: Server::PlacementCommand::validatedPlaceCommandBoard ... les constantes 'tileHolderContains', 'insideBoard' et 'wordCondition' peuvent être des constantes! 
-0.10: Server::VirtualPlayer::findAllPositionGameBoard ... la constante 'tilesShuffled' est inutile!</t>
  </si>
  <si>
    <t>6. Expressions booléennes</t>
  </si>
  <si>
    <t>6.1 Expression</t>
  </si>
  <si>
    <t>L'expression booléenne n'es pas comparée à true ou false. (Exemple d'erreur: x === true)</t>
  </si>
  <si>
    <t>6.2 Logique négative</t>
  </si>
  <si>
    <t>L'expression booléenne évite la logique négative. (Exemple d'erreur:  if( !notFound(…) )</t>
  </si>
  <si>
    <t>-0.25 Server:SocketManagerService:286</t>
  </si>
  <si>
    <t>6.3 Ternaire</t>
  </si>
  <si>
    <t>L'expression booléenne utilise un ternaire dans le bon scénario.</t>
  </si>
  <si>
    <t>-0.25 Server:PlacementCommand:36
-0.25 Server:IdManagerService:32, 63</t>
  </si>
  <si>
    <t>-0.25 Client:TileHolderComponent:50
-0.25 Client:ClientSocketHandlerService:77, 96, 169
-0.25 Server:Game:162, 170, 242, 255
-0.25 Server:PlacementCommand:285-291
-0.25 Server:ReserverCommand:12
-0.25 Server:VirtualPlayer:69
-0.25 Server:GameBoardService:47, 53
-0.5 Server:SocketManagerService:153, 183, 226, 243, 264</t>
  </si>
  <si>
    <t>6.4 Prédicats</t>
  </si>
  <si>
    <t>L'expression booléenne est simple.
L'expression booléenne utilise un ou des prédicats pour simplifier une condition complexe.</t>
  </si>
  <si>
    <t>-0.25 Server:Game:37
-0 Server:Game:79 - limite</t>
  </si>
  <si>
    <t>-0.25 Client:TileHolderComponent:147, 149, 158, 160, 209, 215
-0.25 Client:BoardComponent:149
-0.25 BoardService:19-28
-0.25 Client:ClientSocketHandlerService:212-235
-0.25 Server:PlacementCommand:187, 207, 
-0.25 Server:VirtualPlayer:184, 190
-0.25 Server:GameBoardService:15-24</t>
  </si>
  <si>
    <t>7. Qualité générale</t>
  </si>
  <si>
    <t>Kevin</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</si>
  <si>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</si>
  <si>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</si>
  <si>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</si>
  <si>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(Le code commenté n'est pas pertinent)</t>
  </si>
  <si>
    <t>-1 placement-command.ts</t>
  </si>
  <si>
    <t>-0.5 client::BoardComponent:147</t>
  </si>
  <si>
    <t>7.3 Enum</t>
  </si>
  <si>
    <t>Le code utilise des enum lorsque c'est pertinent.</t>
  </si>
  <si>
    <t>-0.5 utiliser un enum pour les commandes
-0.5 utiliser un enum pour les orientations (v et h)</t>
  </si>
  <si>
    <t>7.4 Classe et interface</t>
  </si>
  <si>
    <t>Le code n'utilise pas d'objets anonymes JS et priorise les classes et les interfaces.</t>
  </si>
  <si>
    <t>-0.5 server::Game:86</t>
  </si>
  <si>
    <t>7.5 Duplication</t>
  </si>
  <si>
    <t>Il n'y a pas de duplication de code.</t>
  </si>
  <si>
    <t>-0.5 game.ts 32-37
-2 placement-command.ts 188-195, 208-214,239-273
-0.5 player.ts 39-44</t>
  </si>
  <si>
    <t>-0.5 server::GameBoardService:62-71</t>
  </si>
  <si>
    <t>7.6 ESLint</t>
  </si>
  <si>
    <t>Il n'y a pas de "eslint:disable" non justifiés dans le code.
L'utilisation limitée de eslint:disable est tolérée dans les fichiers de test (.spec.ts). (Exemple : nombres magiques)</t>
  </si>
  <si>
    <t>-3 SocketManager
-1 placemen-commandéts
-1 resizer.service.ts
-1 join-page.compenent.ts</t>
  </si>
  <si>
    <t>-1 eslint-disable-next-line no-invalid-this
-1 /* eslint-disable complexity */
-1 /* eslint-disable @typescript-eslint/no-shadow */
-1 /* eslint-disable no-console */</t>
  </si>
  <si>
    <t>7.7 Imbrication</t>
  </si>
  <si>
    <t>La structure conditionnelle réduit l'imbrication lorsque possible.</t>
  </si>
  <si>
    <t>0 warning: La structure if () { .... return} n'as pas besoin de else {} block. Des points seront enlevés si present au prochain sprint.  
-0 warning: Toujours utiliserla structure if { .... return} quand c'est possible. Des points seront enlevés si present au prochain sprint. 
Note: Utiliser la structure de négation : if (!condition)  return ... pour réduire l'imbrication
-1 idManager,service.ts:30
-0.5 roomManager.service.ts:28
-1 SocketManager:95</t>
  </si>
  <si>
    <t>-1 client::BoardComponent:105,180
-0.5 server::VirtualPlayer:64
-0.5 server::DatabaseService:93
-0.5 server::RoomManager:64
-3.5 server:SocketManager:112,120,122,165,223,237,249</t>
  </si>
  <si>
    <t>7.8 Performance</t>
  </si>
  <si>
    <t>Le logiciel a une performance acceptable.</t>
  </si>
  <si>
    <t>8. Gestion de versions</t>
  </si>
  <si>
    <t>8.1 TAG</t>
  </si>
  <si>
    <t>La branche de développement possède le bon tag. (sprint1, sprint2, sprint3)</t>
  </si>
  <si>
    <t>devloppment n'est pas un mot</t>
  </si>
  <si>
    <t>8.2 Commit</t>
  </si>
  <si>
    <t>Le commit a un message pertinent et descriptif.</t>
  </si>
  <si>
    <t>Mettre plus d'effort sur les messages de commit &lt;&lt;reparer egalite&gt;&gt; &lt;&lt;added test&gt;&gt; &lt;&lt;fixed tests&gt;&gt; &lt;&lt;refactor row&gt;&gt; &lt;&lt;solved fs&gt;&gt; &lt;&lt;chat room&gt;</t>
  </si>
  <si>
    <t>8.3 Branches mortes</t>
  </si>
  <si>
    <t xml:space="preserve">Le projet ne contient pas de branches mortes (stale branch). Une branche est considérée comme morte si elle n'a pas de commit pendant plus de 3 semaines. </t>
  </si>
  <si>
    <t>-1 demo, feature/reserve-command feature/swap-letters, etc.</t>
  </si>
  <si>
    <t>8.4 Gitlab</t>
  </si>
  <si>
    <t>Des Merge Requests sont utilisées pour fusionner vers la branche de production.
Les Merge Requests sont approuvées par au moins un membre de l'équipe avant la fusion.
Les Issues sont mis à jour tout au long du projet.</t>
  </si>
  <si>
    <t>-1 Manque de consistance dans les noms des MR
Plusieurs MR mergées sans approbation
-1 les MR ne sont pas faites sur la branche de développement
-0.5 Les issues ne sont pas mis à jour</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</si>
  <si>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</si>
  <si>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</si>
  <si>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</si>
  <si>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</si>
  <si>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</si>
  <si>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</si>
  <si>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</si>
  <si>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</si>
  <si>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</si>
  <si>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1.2 Initialisation d'une nouvelle partie - Multijoueur</t>
  </si>
  <si>
    <t>----- Fonctionnalités -----
- Nom et paramètres de partie: Oui
- Pouvoir refuser le 2e joueur: Oui
- Avertissement si je suis refusé + redirection vers la liste des parties: Oui et Non - 1
- Démarrer -&gt; Redirection vers la vue de jeu: Non: accepter redirige automatiquement -0.5
- Option pour transformer en partie solo: Non -1
- Annuler la partie: Oui
- Annuler redirige vers l'interface précédent: Pas vraiment -0.5
----- Tests -----
Oui</t>
  </si>
  <si>
    <t>1.3 Mode de jeu classique - Multijoueur</t>
  </si>
  <si>
    <t xml:space="preserve">----- Fonctionnalités -----
-1Les details de fin de partie dans la boite de communication n'est pas conforme
-1 Le score de fin de partie n'est pas mis à jours
----- Tests -----
Server:Timer 
Server:SocketManager 
Server:IdManager 
Je vous accorde 100% pour ce sprint mais ces classes doivent être tester pour le prochain sprint </t>
  </si>
  <si>
    <t>1.4 Validation des mots</t>
  </si>
  <si>
    <t>----- Fonctionnalités -----
Validation des mots fonctionne: Oui
Validation est sur le serveur: Oui
Les lettres sont retournées après 3 sec. si le placement forme un mot invalide: Non -1
Possible de placer des mots avec é, ç ou à: Non (!placer H8h mé) -1
Calcul des points: Oui
Calcul des bonus: Oui
50 points pour Bingo: Oui
----- Tests -----
Server:GameManagaer.placeVerification .placeBoardValid
Server:PointsCalculator</t>
  </si>
  <si>
    <t>1.5 Vue de jeu</t>
  </si>
  <si>
    <t>----- Fonctionnalités -----
-0.05: La taille de tout le panneau est modifiée plutôt que le contenu des tuiles!
----- Tests -----
Server::GameBoardService: 95%
Client::PlayAreaComponent: 98%
Client::BoardService: 100%
Client::GridService: 100%
Client::ResizerService: 100%</t>
  </si>
  <si>
    <t>1.6 Boite de communication et clavardage</t>
  </si>
  <si>
    <t>----- Fonctionnalités -----
-0.05: Les commandes ne s'affichent pas dans la boite de communication!
-0.10: Le replacement automatique de la barre de défilement ne fonctionne pas!
----- Tests -----
Server::GameManagerService: 93%
Client::ChatService: 93%</t>
  </si>
  <si>
    <t>1.7 Placer des lettres (commande seulement)</t>
  </si>
  <si>
    <t>----- Fonctionnalités -----
Possible de placer des lettres sur le plateau: Oui
Respect des arguments de la commande (a-o) (1-15) (h/v): Non, ligne majuscule -0.5
Seulement les lettre dans mon chevalet: Oui
Placer 1 lettre sans argument orientation: Oui
Possible de placer une lettre blanche: Oui
Lettre blanche est remplacée par la lettre qu'elle devient: Oui
Lettres placées valides seulement si contact: Oui
Impossible de jouer si ce n'est pas mon tour: Oui
----- Tests -----
Server:SocketManagaerService:119-156
Server:PlacementCommand</t>
  </si>
  <si>
    <t>1.8 Échanger des lettres (commande seulement)</t>
  </si>
  <si>
    <t>----- Fonctionnalités -----
-0.5 la syntaxe de la commande échanger n'est pas bonne
-1 La commande échanger fonctionne parfois même quand des lettres n'existent pas</t>
  </si>
  <si>
    <t>1.9 Passer son tour</t>
  </si>
  <si>
    <t>----- Fonctionnalités -----
-0.10: Le bouttoun "Passer" n'est pas désactivé quand ce n'est pas le tour du joueur!
----- Tests -----
Très bon travail!</t>
  </si>
  <si>
    <t>1.10 Abandonner une partie</t>
  </si>
  <si>
    <t>----- Fonctionnalités -----
-0.10: Le système n'attend pas 5 secondes après la fermeture du site web avant de mettre fin à la partie!
----- Tests -----
Très bon travail!</t>
  </si>
  <si>
    <t>Note finale pour le sprint</t>
  </si>
  <si>
    <t>Pénalités</t>
  </si>
  <si>
    <t>Crash</t>
  </si>
  <si>
    <t>Erreur de build</t>
  </si>
  <si>
    <t>2.1 Mode solo et Joueur Virtuel débutant</t>
  </si>
  <si>
    <t>2.2 Placement aléatoire dans une partie</t>
  </si>
  <si>
    <t>--- Fonctionnalités ---
- Placement aléatoire fonctionne: Oui 3/3
- Le bouton est invisible s'il n'y a pas de partie: Oui 1.5/1.5
- Le bouton est visible mais désactivé s'il y a 1 partie: Oui 1.5/1.5
--- Tests ---
Server:RoomManagerService.joinRoom</t>
  </si>
  <si>
    <t>2.3 Meilleurs scores</t>
  </si>
  <si>
    <t>--- Fonctionnalités --- 
-0.10: Message d'erreur pour l'inaccessibilité de la base de données mais pas pour la déconnexion du serveur!
--- Tests --- 
Server::SocketManagerService::handleSockets</t>
  </si>
  <si>
    <t>2.4 Paramètres de partie - minuterie</t>
  </si>
  <si>
    <t>2.5 Initialisation d'une nouvelle partie - mode solo</t>
  </si>
  <si>
    <t>2.6 Placer des lettres</t>
  </si>
  <si>
    <t>--- Fonctionnalités ---
- Possible de modifier l'axe et la flèche change: Oui 2/2
- Marqueur de case active et bordure:  Oui 2/2
- Possible de placer des lettres avec le clavier: Oui 2/2
- Possible de placer la lettre blanche avec majuscule: Oui 1/1
- Possible de placer une lettre avec accent: Oui 1/1
- Possible de retirer des lettres avec backspace: Oui 2/2
- Confirmer placement avec enter: Oui 2/2
- Annuler placement avec escape, chevalet ou boite de communication: Seulement pour escape -0.66 = 0.34/1
- Résultat de la commande de la boite de communication: Oui 1/1
--- Tests ---
Client:BoardComponent.placeWord
Server:PlacementCommand
Server:SocketManager.on('placer')</t>
  </si>
  <si>
    <t>2.7 Échanger des lettres</t>
  </si>
  <si>
    <t>--- Fonctionnalités --- 
-0.15: Quand je séléctionne avant d'avoir le tour, la vue désélectionne les lettres mais les boutons sont toujours actifs!
-0.15: Quand je séléctionne une lettre et la déplacer tout en séléctionnant une autre lettre pour échange, les deux sont échangées!
--- Tests --- 
Server::SocketManagerService::handleSockets</t>
  </si>
  <si>
    <t>2.8 Commande réserve</t>
  </si>
  <si>
    <t xml:space="preserve">--- Fonctionnalités ---
- Possible d'avoir le réserve avec la commande !réserve: Oui 1.5/1.5
- Respect de l'affichage LETTRE:QUANTITÉ: Oui 1.5/1.5
- Seulement pour le joueur qui a fait la commande: Oui 1/1
-0.5 Problème suite à échange, il y a des lettres minuscules
--- Tests --- </t>
  </si>
  <si>
    <t>2.9 Manipuler les lettres du chevalet</t>
  </si>
  <si>
    <t>--- Fonctionnalités ---
- C'est clair qu'elle lettre est sélectionnée: Oui 1/1
- Possible de sélectionner avec click gauche: Oui 1/1
- Possible de sélectionner avec touche du clavier: Oui 1.5/1.5
- Possible de sélectionner la lettre blanche: Oui 0.5/0.5
- Désélectionner avec une lettre pas dans le chevalet: Oui 1/1
- Possible de sélectionner la deuxième occurence en appuyant 2 fois sur la même lettre: Oui 1/1
- Possible de déplacer les lettres avec les flèches: Oui 2/2
- Possible de déplacer les lettres avec la roulette: Oui 1/1
- Les positions des lettres est conservées entre les tours: Non 0/1
--- Tests ---</t>
  </si>
  <si>
    <t>2.10 Commande indice</t>
  </si>
  <si>
    <t>--- Fonctionnalités --- 
Excellent travail!
--- Tests --- 
Server::SocketManagerService::handleSockets</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</si>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</sst>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7">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bottom style="thin">
        <color rgb="FF000000"/>
      </bottom>
      <diagonal/>
    </border>
    <border>
      <left/>
      <right/>
      <top/>
      <bottom style="thin">
        <color rgb="FF000000"/>
      </bottom>
      <diagonal/>
    </border>
    <border>
      <left/>
      <right style="medium">
        <color auto="1"/>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8">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2" fontId="0" fillId="8" borderId="14" xfId="0" applyNumberFormat="1" applyFill="1" applyBorder="1" applyAlignment="1">
      <alignment horizontal="center"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55" xfId="0" applyFill="1" applyBorder="1" applyAlignment="1">
      <alignment horizontal="left" vertical="center" wrapText="1"/>
    </xf>
    <xf numFmtId="0" fontId="0" fillId="9" borderId="55" xfId="0" applyFill="1" applyBorder="1" applyAlignment="1">
      <alignment horizontal="center" vertical="center" wrapText="1"/>
    </xf>
    <xf numFmtId="0" fontId="0" fillId="9" borderId="55" xfId="0" applyFill="1" applyBorder="1" applyAlignment="1">
      <alignment horizontal="left" vertical="center" wrapText="1"/>
    </xf>
    <xf numFmtId="0" fontId="0" fillId="13" borderId="54" xfId="0" applyFill="1" applyBorder="1" applyAlignment="1">
      <alignment horizontal="center" vertical="center" wrapText="1"/>
    </xf>
    <xf numFmtId="0" fontId="0" fillId="13" borderId="55" xfId="0" applyFill="1" applyBorder="1" applyAlignment="1">
      <alignment horizontal="center" vertical="center" wrapText="1"/>
    </xf>
    <xf numFmtId="0" fontId="0" fillId="13" borderId="56" xfId="0" applyFill="1" applyBorder="1" applyAlignment="1">
      <alignment horizontal="left" vertical="center" wrapText="1"/>
    </xf>
    <xf numFmtId="2" fontId="0" fillId="8" borderId="35" xfId="0" applyNumberFormat="1" applyFill="1" applyBorder="1" applyAlignment="1">
      <alignment horizontal="center" vertical="center" wrapText="1"/>
    </xf>
    <xf numFmtId="0" fontId="13" fillId="8" borderId="3"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8" borderId="38" xfId="0" applyFont="1" applyFill="1" applyBorder="1" applyAlignment="1">
      <alignment horizontal="left" vertical="center" wrapText="1"/>
    </xf>
    <xf numFmtId="0" fontId="13" fillId="9" borderId="3"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3" borderId="3" xfId="0" applyFont="1" applyFill="1" applyBorder="1" applyAlignment="1">
      <alignment horizontal="center" vertical="center" wrapText="1"/>
    </xf>
    <xf numFmtId="0" fontId="13" fillId="13" borderId="27" xfId="0" applyFont="1" applyFill="1" applyBorder="1" applyAlignment="1">
      <alignment horizontal="center" vertical="center" wrapText="1"/>
    </xf>
    <xf numFmtId="0" fontId="13" fillId="13" borderId="38" xfId="0" applyFont="1" applyFill="1" applyBorder="1" applyAlignment="1">
      <alignment horizontal="left" vertical="center" wrapText="1"/>
    </xf>
    <xf numFmtId="1" fontId="0" fillId="8" borderId="8" xfId="0" applyNumberFormat="1" applyFill="1" applyBorder="1" applyAlignment="1">
      <alignment horizontal="center" vertical="center" wrapText="1"/>
    </xf>
    <xf numFmtId="1" fontId="0" fillId="8" borderId="28" xfId="0" applyNumberFormat="1" applyFill="1" applyBorder="1" applyAlignment="1">
      <alignment horizontal="center" vertical="center" wrapText="1"/>
    </xf>
    <xf numFmtId="1" fontId="0" fillId="8" borderId="37" xfId="0" applyNumberFormat="1" applyFill="1" applyBorder="1" applyAlignment="1">
      <alignment horizontal="left" vertical="center" wrapText="1"/>
    </xf>
    <xf numFmtId="1" fontId="0" fillId="9" borderId="8" xfId="0" applyNumberFormat="1" applyFill="1" applyBorder="1" applyAlignment="1">
      <alignment horizontal="center" vertical="center" wrapText="1"/>
    </xf>
    <xf numFmtId="1" fontId="0" fillId="9" borderId="28" xfId="0" applyNumberFormat="1" applyFill="1" applyBorder="1" applyAlignment="1">
      <alignment horizontal="center" vertical="center" wrapText="1"/>
    </xf>
    <xf numFmtId="1" fontId="0" fillId="9" borderId="37" xfId="0" applyNumberFormat="1" applyFill="1" applyBorder="1" applyAlignment="1">
      <alignment horizontal="left" vertical="center" wrapText="1"/>
    </xf>
    <xf numFmtId="1" fontId="0" fillId="10" borderId="8" xfId="0" applyNumberFormat="1" applyFill="1" applyBorder="1" applyAlignment="1">
      <alignment horizontal="center" vertical="center" wrapText="1"/>
    </xf>
    <xf numFmtId="1" fontId="0" fillId="10" borderId="28" xfId="0" applyNumberFormat="1" applyFill="1" applyBorder="1" applyAlignment="1">
      <alignment horizontal="center" vertical="center" wrapText="1"/>
    </xf>
    <xf numFmtId="1" fontId="0" fillId="10" borderId="37" xfId="0" applyNumberFormat="1" applyFill="1" applyBorder="1" applyAlignment="1">
      <alignment horizontal="left" vertical="center" wrapText="1"/>
    </xf>
    <xf numFmtId="1" fontId="0" fillId="0" borderId="0" xfId="0" applyNumberFormat="1" applyAlignment="1">
      <alignment horizontal="center" vertical="center" wrapText="1"/>
    </xf>
    <xf numFmtId="1" fontId="0" fillId="0" borderId="0" xfId="0" applyNumberFormat="1"/>
    <xf numFmtId="0" fontId="14" fillId="19" borderId="33" xfId="0" applyFont="1" applyFill="1" applyBorder="1" applyAlignment="1">
      <alignment horizontal="left" vertical="center" wrapText="1"/>
    </xf>
    <xf numFmtId="2" fontId="14" fillId="19" borderId="29" xfId="0" applyNumberFormat="1" applyFont="1" applyFill="1" applyBorder="1" applyAlignment="1">
      <alignment horizontal="left" vertical="center"/>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2" fontId="14" fillId="20" borderId="29" xfId="0" applyNumberFormat="1" applyFont="1" applyFill="1" applyBorder="1" applyAlignment="1">
      <alignment horizontal="left" vertical="center" wrapText="1"/>
    </xf>
    <xf numFmtId="2" fontId="0" fillId="9" borderId="14" xfId="0" applyNumberFormat="1" applyFill="1" applyBorder="1" applyAlignment="1">
      <alignment horizontal="center" vertical="center" wrapText="1"/>
    </xf>
    <xf numFmtId="2" fontId="0" fillId="9" borderId="54" xfId="0" applyNumberFormat="1" applyFill="1" applyBorder="1" applyAlignment="1">
      <alignment horizontal="center" vertical="center" wrapText="1"/>
    </xf>
    <xf numFmtId="0" fontId="14" fillId="20" borderId="30"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1" fontId="0" fillId="0" borderId="8" xfId="0" applyNumberFormat="1" applyBorder="1" applyAlignment="1">
      <alignment horizontal="right" vertical="center" wrapText="1"/>
    </xf>
    <xf numFmtId="1" fontId="0" fillId="0" borderId="28" xfId="0" applyNumberFormat="1"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36"/>
      <c r="B3" s="113" t="s">
        <v>0</v>
      </c>
      <c r="C3" s="113" t="s">
        <v>1</v>
      </c>
      <c r="D3" s="113" t="s">
        <v>2</v>
      </c>
      <c r="E3" s="114" t="s">
        <v>3</v>
      </c>
      <c r="F3" s="115" t="s">
        <v>4</v>
      </c>
      <c r="G3" s="116" t="s">
        <v>5</v>
      </c>
    </row>
    <row r="4" spans="1:7">
      <c r="A4" s="94" t="s">
        <v>6</v>
      </c>
      <c r="B4" s="95">
        <f>(Fonctionnalités!E18)</f>
        <v>0.83115000000000006</v>
      </c>
      <c r="C4" s="95">
        <f>'Assurance Qualité'!C60</f>
        <v>0.75099999999999989</v>
      </c>
      <c r="D4" s="95">
        <f>B4*0.6+C4*0.4 - 0.1*E4</f>
        <v>0.79909000000000008</v>
      </c>
      <c r="E4" s="96"/>
      <c r="F4" s="97">
        <v>20</v>
      </c>
      <c r="G4" s="98">
        <f>D4*F4</f>
        <v>15.981800000000002</v>
      </c>
    </row>
    <row r="5" spans="1:7">
      <c r="A5" s="99" t="s">
        <v>7</v>
      </c>
      <c r="B5" s="100">
        <f>(Fonctionnalités!E34)</f>
        <v>0.85611999999999999</v>
      </c>
      <c r="C5" s="100">
        <f>'Assurance Qualité'!F60</f>
        <v>0.65249999999999997</v>
      </c>
      <c r="D5" s="100">
        <f t="shared" ref="D5:D6" si="0">B5*0.6+C5*0.4 - 0.1*E5</f>
        <v>0.77467200000000003</v>
      </c>
      <c r="E5" s="101"/>
      <c r="F5" s="102">
        <v>25</v>
      </c>
      <c r="G5" s="103">
        <f t="shared" ref="G5:G7" si="1">D5*F5</f>
        <v>19.366800000000001</v>
      </c>
    </row>
    <row r="6" spans="1:7">
      <c r="A6" s="104" t="s">
        <v>8</v>
      </c>
      <c r="B6" s="105">
        <f>(Fonctionnalités!E50)</f>
        <v>0</v>
      </c>
      <c r="C6" s="105">
        <f>'Assurance Qualité'!I60</f>
        <v>0</v>
      </c>
      <c r="D6" s="105">
        <f t="shared" si="0"/>
        <v>0</v>
      </c>
      <c r="E6" s="106"/>
      <c r="F6" s="107">
        <v>20</v>
      </c>
      <c r="G6" s="108">
        <f t="shared" si="1"/>
        <v>0</v>
      </c>
    </row>
    <row r="7" spans="1:7">
      <c r="A7" s="109" t="s">
        <v>9</v>
      </c>
      <c r="B7" s="109"/>
      <c r="C7" s="109"/>
      <c r="D7" s="110">
        <v>0</v>
      </c>
      <c r="E7" s="111"/>
      <c r="F7" s="109">
        <v>10</v>
      </c>
      <c r="G7" s="1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B38" zoomScaleNormal="100" workbookViewId="0">
      <selection activeCell="H42" sqref="H42"/>
    </sheetView>
  </sheetViews>
  <sheetFormatPr defaultColWidth="9.140625" defaultRowHeight="15"/>
  <cols>
    <col min="1" max="1" width="22.7109375" style="1" customWidth="1"/>
    <col min="2" max="2" width="77.5703125" style="10" customWidth="1"/>
    <col min="3" max="4" width="10.7109375" style="1" hidden="1" customWidth="1"/>
    <col min="5" max="5" width="93.5703125" style="10" hidden="1" customWidth="1"/>
    <col min="6" max="7" width="10.7109375" customWidth="1"/>
    <col min="8" max="8" width="108.14062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8" t="s">
        <v>10</v>
      </c>
      <c r="B2" s="278"/>
      <c r="C2" s="278"/>
      <c r="D2" s="278"/>
      <c r="E2" s="278"/>
      <c r="F2" s="278"/>
      <c r="G2" s="278"/>
      <c r="H2" s="278"/>
      <c r="I2" s="278"/>
      <c r="J2" s="278"/>
      <c r="K2" s="278"/>
      <c r="L2" s="7"/>
      <c r="M2" s="7"/>
    </row>
    <row r="4" spans="1:17" ht="18.399999999999999" customHeight="1">
      <c r="A4" s="279" t="s">
        <v>11</v>
      </c>
      <c r="B4" s="279"/>
      <c r="C4" s="279"/>
      <c r="D4" s="279"/>
      <c r="E4" s="279"/>
      <c r="F4" s="279"/>
      <c r="G4" s="279"/>
      <c r="H4" s="279"/>
      <c r="I4" s="279"/>
      <c r="J4" s="279"/>
      <c r="K4" s="279"/>
      <c r="L4" s="4"/>
      <c r="M4" s="4"/>
    </row>
    <row r="5" spans="1:17" ht="18.75">
      <c r="A5" s="11"/>
      <c r="B5" s="37"/>
      <c r="C5" s="2"/>
      <c r="D5" s="2"/>
      <c r="E5" s="37"/>
      <c r="F5" s="2"/>
      <c r="G5" s="2"/>
      <c r="H5" s="37"/>
      <c r="I5" s="2"/>
      <c r="J5" s="2"/>
      <c r="K5" s="37"/>
      <c r="L5" s="2"/>
      <c r="M5" s="2"/>
    </row>
    <row r="6" spans="1:17" ht="18.399999999999999" customHeight="1">
      <c r="A6" s="271" t="s">
        <v>12</v>
      </c>
      <c r="B6" s="283" t="s">
        <v>13</v>
      </c>
      <c r="C6" s="273" t="s">
        <v>6</v>
      </c>
      <c r="D6" s="274"/>
      <c r="E6" s="274"/>
      <c r="F6" s="275" t="s">
        <v>7</v>
      </c>
      <c r="G6" s="276"/>
      <c r="H6" s="277"/>
      <c r="I6" s="280" t="s">
        <v>8</v>
      </c>
      <c r="J6" s="281"/>
      <c r="K6" s="282"/>
      <c r="L6" s="3"/>
      <c r="M6" s="3"/>
      <c r="N6" s="269"/>
      <c r="O6" s="270"/>
      <c r="P6" s="270"/>
    </row>
    <row r="7" spans="1:17" ht="18.75">
      <c r="A7" s="272"/>
      <c r="B7" s="284"/>
      <c r="C7" s="14" t="s">
        <v>14</v>
      </c>
      <c r="D7" s="15" t="s">
        <v>4</v>
      </c>
      <c r="E7" s="21" t="s">
        <v>15</v>
      </c>
      <c r="F7" s="16" t="s">
        <v>14</v>
      </c>
      <c r="G7" s="17" t="s">
        <v>4</v>
      </c>
      <c r="H7" s="20" t="s">
        <v>15</v>
      </c>
      <c r="I7" s="18" t="s">
        <v>14</v>
      </c>
      <c r="J7" s="19" t="s">
        <v>4</v>
      </c>
      <c r="K7" s="22" t="s">
        <v>15</v>
      </c>
      <c r="L7" s="3"/>
      <c r="M7" s="3"/>
      <c r="N7" s="36"/>
      <c r="O7" s="36"/>
      <c r="P7" s="36"/>
      <c r="Q7" s="36"/>
    </row>
    <row r="8" spans="1:17" ht="18.75">
      <c r="A8" s="253" t="s">
        <v>16</v>
      </c>
      <c r="B8" s="253"/>
      <c r="C8" s="246" t="s">
        <v>17</v>
      </c>
      <c r="D8" s="247"/>
      <c r="E8" s="42" t="s">
        <v>18</v>
      </c>
      <c r="F8" s="246" t="s">
        <v>17</v>
      </c>
      <c r="G8" s="247"/>
      <c r="H8" s="42" t="s">
        <v>18</v>
      </c>
      <c r="I8" s="246" t="s">
        <v>17</v>
      </c>
      <c r="J8" s="247"/>
      <c r="K8" s="42"/>
      <c r="L8" s="3"/>
      <c r="M8" s="3"/>
      <c r="N8" s="36"/>
      <c r="O8" s="36"/>
      <c r="P8" s="36"/>
      <c r="Q8" s="36"/>
    </row>
    <row r="9" spans="1:17" ht="121.5">
      <c r="A9" s="29" t="s">
        <v>19</v>
      </c>
      <c r="B9" s="29" t="s">
        <v>20</v>
      </c>
      <c r="C9" s="207">
        <f>6/6</f>
        <v>1</v>
      </c>
      <c r="D9" s="208">
        <v>6</v>
      </c>
      <c r="E9" s="209"/>
      <c r="F9" s="244">
        <f>(6-3)/6</f>
        <v>0.5</v>
      </c>
      <c r="G9" s="210">
        <v>6</v>
      </c>
      <c r="H9" s="211" t="s">
        <v>21</v>
      </c>
      <c r="I9" s="212"/>
      <c r="J9" s="213">
        <v>6</v>
      </c>
      <c r="K9" s="214"/>
      <c r="L9" s="3"/>
      <c r="M9" s="3"/>
      <c r="N9" s="36"/>
      <c r="O9" s="36"/>
      <c r="P9" s="36"/>
      <c r="Q9" s="36"/>
    </row>
    <row r="10" spans="1:17" ht="30.75">
      <c r="A10" s="23" t="s">
        <v>22</v>
      </c>
      <c r="B10" s="23" t="s">
        <v>23</v>
      </c>
      <c r="C10" s="207">
        <f>(2-1)/2</f>
        <v>0.5</v>
      </c>
      <c r="D10" s="208">
        <v>2</v>
      </c>
      <c r="E10" s="209" t="s">
        <v>24</v>
      </c>
      <c r="F10" s="244">
        <f>(2-0.25)/2</f>
        <v>0.875</v>
      </c>
      <c r="G10" s="210">
        <v>2</v>
      </c>
      <c r="H10" s="211" t="s">
        <v>25</v>
      </c>
      <c r="I10" s="212"/>
      <c r="J10" s="213">
        <v>2</v>
      </c>
      <c r="K10" s="214"/>
      <c r="L10" s="3"/>
      <c r="M10" s="3"/>
      <c r="N10" s="36"/>
      <c r="O10" s="36"/>
      <c r="P10" s="36"/>
      <c r="Q10" s="36"/>
    </row>
    <row r="11" spans="1:17" s="30" customFormat="1" ht="15.75">
      <c r="A11" s="248" t="s">
        <v>26</v>
      </c>
      <c r="B11" s="249"/>
      <c r="C11" s="216">
        <f>SUMPRODUCT(C6:C10,D6:D10)</f>
        <v>7</v>
      </c>
      <c r="D11" s="217">
        <f>SUM(D6:D10)</f>
        <v>8</v>
      </c>
      <c r="E11" s="218"/>
      <c r="F11" s="219">
        <f>SUMPRODUCT(F6:F10,G6:G10)</f>
        <v>4.75</v>
      </c>
      <c r="G11" s="220">
        <f>SUM(G6:G10)</f>
        <v>8</v>
      </c>
      <c r="H11" s="221"/>
      <c r="I11" s="222">
        <f>SUMPRODUCT(I6:I10,J6:J10)</f>
        <v>0</v>
      </c>
      <c r="J11" s="223">
        <f>SUM(J6:J10)</f>
        <v>8</v>
      </c>
      <c r="K11" s="224"/>
      <c r="L11" s="52"/>
      <c r="M11" s="52"/>
      <c r="N11" s="40"/>
      <c r="O11" s="40"/>
      <c r="P11" s="40"/>
      <c r="Q11" s="40"/>
    </row>
    <row r="12" spans="1:17" s="12" customFormat="1" ht="18.399999999999999" customHeight="1">
      <c r="A12" s="253" t="s">
        <v>27</v>
      </c>
      <c r="B12" s="253"/>
      <c r="C12" s="246" t="s">
        <v>17</v>
      </c>
      <c r="D12" s="247"/>
      <c r="E12" s="42" t="s">
        <v>18</v>
      </c>
      <c r="F12" s="246" t="s">
        <v>17</v>
      </c>
      <c r="G12" s="247"/>
      <c r="H12" s="42" t="s">
        <v>18</v>
      </c>
      <c r="I12" s="246" t="s">
        <v>17</v>
      </c>
      <c r="J12" s="247"/>
      <c r="K12" s="42"/>
      <c r="L12" s="4"/>
      <c r="M12" s="4"/>
      <c r="N12" s="39"/>
      <c r="O12" s="39"/>
      <c r="P12" s="39"/>
      <c r="Q12" s="39"/>
    </row>
    <row r="13" spans="1:17" ht="30.75">
      <c r="A13" s="29" t="s">
        <v>28</v>
      </c>
      <c r="B13" s="29" t="s">
        <v>29</v>
      </c>
      <c r="C13" s="215">
        <f>(4-1.5)/4</f>
        <v>0.625</v>
      </c>
      <c r="D13" s="76">
        <v>4</v>
      </c>
      <c r="E13" s="77" t="s">
        <v>30</v>
      </c>
      <c r="F13" s="85">
        <f>2/4</f>
        <v>0.5</v>
      </c>
      <c r="G13" s="86">
        <v>4</v>
      </c>
      <c r="H13" s="87" t="s">
        <v>31</v>
      </c>
      <c r="I13" s="88"/>
      <c r="J13" s="89">
        <v>4</v>
      </c>
      <c r="K13" s="90"/>
      <c r="L13" s="5"/>
      <c r="M13" s="5"/>
    </row>
    <row r="14" spans="1:17" ht="30.75">
      <c r="A14" s="23" t="s">
        <v>32</v>
      </c>
      <c r="B14" s="23" t="s">
        <v>33</v>
      </c>
      <c r="C14" s="79">
        <f>2/2</f>
        <v>1</v>
      </c>
      <c r="D14" s="80">
        <v>2</v>
      </c>
      <c r="E14" s="81"/>
      <c r="F14" s="82">
        <f>2/2</f>
        <v>1</v>
      </c>
      <c r="G14" s="83">
        <v>2</v>
      </c>
      <c r="H14" s="84"/>
      <c r="I14" s="72"/>
      <c r="J14" s="73">
        <v>2</v>
      </c>
      <c r="K14" s="74"/>
      <c r="L14" s="5"/>
      <c r="M14" s="5"/>
    </row>
    <row r="15" spans="1:17" ht="45.75">
      <c r="A15" s="23" t="s">
        <v>34</v>
      </c>
      <c r="B15" s="23" t="s">
        <v>35</v>
      </c>
      <c r="C15" s="206">
        <f>(3-2*0.25)/3</f>
        <v>0.83333333333333337</v>
      </c>
      <c r="D15" s="80">
        <v>3</v>
      </c>
      <c r="E15" s="81" t="s">
        <v>36</v>
      </c>
      <c r="F15" s="243">
        <f>(3-0.5)/3</f>
        <v>0.83333333333333337</v>
      </c>
      <c r="G15" s="83">
        <v>3</v>
      </c>
      <c r="H15" s="84" t="s">
        <v>37</v>
      </c>
      <c r="I15" s="72"/>
      <c r="J15" s="73">
        <v>3</v>
      </c>
      <c r="K15" s="74"/>
      <c r="L15" s="5"/>
      <c r="M15" s="5"/>
    </row>
    <row r="16" spans="1:17" ht="91.5">
      <c r="A16" s="23" t="s">
        <v>38</v>
      </c>
      <c r="B16" s="23" t="s">
        <v>39</v>
      </c>
      <c r="C16" s="206">
        <f>(2-0.25)/2</f>
        <v>0.875</v>
      </c>
      <c r="D16" s="80">
        <v>2</v>
      </c>
      <c r="E16" s="81" t="s">
        <v>40</v>
      </c>
      <c r="F16" s="82">
        <f>(2-0.25*6)/2</f>
        <v>0.25</v>
      </c>
      <c r="G16" s="83">
        <v>2</v>
      </c>
      <c r="H16" s="84" t="s">
        <v>41</v>
      </c>
      <c r="I16" s="72"/>
      <c r="J16" s="73">
        <v>2</v>
      </c>
      <c r="K16" s="74"/>
      <c r="L16" s="5"/>
      <c r="M16" s="5"/>
    </row>
    <row r="17" spans="1:17" ht="45.75">
      <c r="A17" s="23" t="s">
        <v>42</v>
      </c>
      <c r="B17" s="23" t="s">
        <v>43</v>
      </c>
      <c r="C17" s="206">
        <f>(4-3*0.25)/4</f>
        <v>0.8125</v>
      </c>
      <c r="D17" s="80">
        <v>4</v>
      </c>
      <c r="E17" s="81" t="s">
        <v>44</v>
      </c>
      <c r="F17" s="243">
        <f>(4-0.75)/4</f>
        <v>0.8125</v>
      </c>
      <c r="G17" s="83">
        <v>4</v>
      </c>
      <c r="H17" s="84" t="s">
        <v>45</v>
      </c>
      <c r="I17" s="72"/>
      <c r="J17" s="73">
        <v>4</v>
      </c>
      <c r="K17" s="74"/>
      <c r="L17" s="5"/>
      <c r="M17" s="5"/>
    </row>
    <row r="18" spans="1:17" s="30" customFormat="1" ht="15.75">
      <c r="A18" s="248" t="s">
        <v>26</v>
      </c>
      <c r="B18" s="249"/>
      <c r="C18" s="43">
        <f>SUMPRODUCT(C13:C17,D13:D17)</f>
        <v>12</v>
      </c>
      <c r="D18" s="44">
        <f>SUM(D13:D17)</f>
        <v>15</v>
      </c>
      <c r="E18" s="45"/>
      <c r="F18" s="46">
        <f>SUMPRODUCT(F13:F17,G13:G17)</f>
        <v>10.25</v>
      </c>
      <c r="G18" s="47">
        <f>SUM(G13:G17)</f>
        <v>15</v>
      </c>
      <c r="H18" s="48"/>
      <c r="I18" s="49">
        <f>SUMPRODUCT(I13:I17,J13:J17)</f>
        <v>0</v>
      </c>
      <c r="J18" s="50">
        <f>SUM(J13:J17)</f>
        <v>15</v>
      </c>
      <c r="K18" s="51"/>
      <c r="L18" s="52"/>
      <c r="M18" s="52"/>
      <c r="N18" s="40"/>
      <c r="O18" s="40"/>
      <c r="P18" s="40"/>
      <c r="Q18" s="40"/>
    </row>
    <row r="19" spans="1:17" s="39" customFormat="1" ht="18.399999999999999" customHeight="1">
      <c r="A19" s="285" t="s">
        <v>46</v>
      </c>
      <c r="B19" s="285"/>
      <c r="C19" s="246" t="s">
        <v>17</v>
      </c>
      <c r="D19" s="247"/>
      <c r="E19" s="42" t="s">
        <v>47</v>
      </c>
      <c r="F19" s="246" t="s">
        <v>17</v>
      </c>
      <c r="G19" s="247"/>
      <c r="H19" s="42" t="s">
        <v>47</v>
      </c>
      <c r="I19" s="246" t="s">
        <v>17</v>
      </c>
      <c r="J19" s="247"/>
      <c r="K19" s="42"/>
      <c r="L19" s="4"/>
      <c r="M19" s="4"/>
    </row>
    <row r="20" spans="1:17" ht="30.75">
      <c r="A20" s="29" t="s">
        <v>48</v>
      </c>
      <c r="B20" s="29" t="s">
        <v>49</v>
      </c>
      <c r="C20" s="93">
        <f>1-0.05*4-0.07</f>
        <v>0.73</v>
      </c>
      <c r="D20" s="25">
        <v>2</v>
      </c>
      <c r="E20" s="26" t="s">
        <v>50</v>
      </c>
      <c r="F20" s="78">
        <f>1-0.1*2</f>
        <v>0.8</v>
      </c>
      <c r="G20" s="27">
        <v>2</v>
      </c>
      <c r="H20" s="28" t="s">
        <v>51</v>
      </c>
      <c r="I20" s="69"/>
      <c r="J20" s="70">
        <v>2</v>
      </c>
      <c r="K20" s="71"/>
      <c r="L20" s="5"/>
      <c r="M20" s="5"/>
    </row>
    <row r="21" spans="1:17" ht="30.75">
      <c r="A21" s="23" t="s">
        <v>52</v>
      </c>
      <c r="B21" s="23" t="s">
        <v>53</v>
      </c>
      <c r="C21" s="79">
        <f>1-0.2</f>
        <v>0.8</v>
      </c>
      <c r="D21" s="80">
        <v>3</v>
      </c>
      <c r="E21" s="81" t="s">
        <v>54</v>
      </c>
      <c r="F21" s="82">
        <f>1-0.15-0.2</f>
        <v>0.64999999999999991</v>
      </c>
      <c r="G21" s="83">
        <v>3</v>
      </c>
      <c r="H21" s="84" t="s">
        <v>55</v>
      </c>
      <c r="I21" s="72"/>
      <c r="J21" s="73">
        <v>3</v>
      </c>
      <c r="K21" s="74"/>
      <c r="L21" s="5"/>
      <c r="M21" s="5"/>
    </row>
    <row r="22" spans="1:17" ht="137.25">
      <c r="A22" s="23" t="s">
        <v>56</v>
      </c>
      <c r="B22" s="23" t="s">
        <v>57</v>
      </c>
      <c r="C22" s="79">
        <f>1-0.05*9-0.02</f>
        <v>0.53</v>
      </c>
      <c r="D22" s="80">
        <v>3</v>
      </c>
      <c r="E22" s="81" t="s">
        <v>58</v>
      </c>
      <c r="F22" s="82">
        <f>1-0.05*9</f>
        <v>0.55000000000000004</v>
      </c>
      <c r="G22" s="83">
        <v>3</v>
      </c>
      <c r="H22" s="84" t="s">
        <v>59</v>
      </c>
      <c r="I22" s="72"/>
      <c r="J22" s="73">
        <v>3</v>
      </c>
      <c r="K22" s="74"/>
      <c r="L22" s="5"/>
      <c r="M22" s="5"/>
    </row>
    <row r="23" spans="1:17" s="40" customFormat="1" ht="15.75">
      <c r="A23" s="286" t="s">
        <v>26</v>
      </c>
      <c r="B23" s="268"/>
      <c r="C23" s="53">
        <f>SUMPRODUCT(C20:C22,D20:D22)</f>
        <v>5.45</v>
      </c>
      <c r="D23" s="54">
        <f>SUM(D20:D22)</f>
        <v>8</v>
      </c>
      <c r="E23" s="55"/>
      <c r="F23" s="56">
        <f>SUMPRODUCT(F20:F22,G20:G22)</f>
        <v>5.2</v>
      </c>
      <c r="G23" s="57">
        <f>SUM(G20:G22)</f>
        <v>8</v>
      </c>
      <c r="H23" s="58"/>
      <c r="I23" s="59">
        <f>SUMPRODUCT(I20:I22,J20:J22)</f>
        <v>0</v>
      </c>
      <c r="J23" s="60">
        <f>SUM(J20:J22)</f>
        <v>8</v>
      </c>
      <c r="K23" s="61"/>
      <c r="L23" s="52"/>
      <c r="M23" s="52"/>
    </row>
    <row r="24" spans="1:17" ht="18.75" customHeight="1">
      <c r="A24" s="41" t="s">
        <v>60</v>
      </c>
      <c r="B24" s="41"/>
      <c r="C24" s="246" t="s">
        <v>17</v>
      </c>
      <c r="D24" s="247"/>
      <c r="E24" s="42" t="s">
        <v>47</v>
      </c>
      <c r="F24" s="246" t="s">
        <v>17</v>
      </c>
      <c r="G24" s="247"/>
      <c r="H24" s="42" t="s">
        <v>47</v>
      </c>
      <c r="I24" s="246" t="s">
        <v>17</v>
      </c>
      <c r="J24" s="247"/>
      <c r="K24" s="42"/>
      <c r="L24" s="4"/>
      <c r="M24" s="4"/>
    </row>
    <row r="25" spans="1:17" ht="30.75">
      <c r="A25" s="38" t="s">
        <v>61</v>
      </c>
      <c r="B25" s="38" t="s">
        <v>62</v>
      </c>
      <c r="C25" s="93">
        <f>1-0.3-0.5</f>
        <v>0.19999999999999996</v>
      </c>
      <c r="D25" s="25">
        <v>2</v>
      </c>
      <c r="E25" s="26" t="s">
        <v>63</v>
      </c>
      <c r="F25" s="78">
        <f>1-0.5</f>
        <v>0.5</v>
      </c>
      <c r="G25" s="27">
        <v>2</v>
      </c>
      <c r="H25" s="28" t="s">
        <v>64</v>
      </c>
      <c r="I25" s="69"/>
      <c r="J25" s="70">
        <v>2</v>
      </c>
      <c r="K25" s="71"/>
      <c r="L25" s="5"/>
      <c r="M25" s="5"/>
    </row>
    <row r="26" spans="1:17">
      <c r="A26" s="23" t="s">
        <v>65</v>
      </c>
      <c r="B26" s="23" t="s">
        <v>66</v>
      </c>
      <c r="C26" s="79">
        <v>1</v>
      </c>
      <c r="D26" s="80">
        <v>1</v>
      </c>
      <c r="E26" s="81"/>
      <c r="F26" s="82">
        <v>1</v>
      </c>
      <c r="G26" s="83">
        <v>1</v>
      </c>
      <c r="H26" s="84"/>
      <c r="I26" s="72"/>
      <c r="J26" s="73">
        <v>1</v>
      </c>
      <c r="K26" s="74"/>
      <c r="L26" s="5"/>
      <c r="M26" s="5"/>
    </row>
    <row r="27" spans="1:17">
      <c r="A27" s="23" t="s">
        <v>67</v>
      </c>
      <c r="B27" s="23" t="s">
        <v>68</v>
      </c>
      <c r="C27" s="79">
        <v>1</v>
      </c>
      <c r="D27" s="80">
        <v>1</v>
      </c>
      <c r="E27" s="81"/>
      <c r="F27" s="82">
        <v>1</v>
      </c>
      <c r="G27" s="83">
        <v>1</v>
      </c>
      <c r="H27" s="84"/>
      <c r="I27" s="72"/>
      <c r="J27" s="73">
        <v>1</v>
      </c>
      <c r="K27" s="74"/>
      <c r="L27" s="5"/>
      <c r="M27" s="5"/>
    </row>
    <row r="28" spans="1:17" s="40" customFormat="1" ht="15.75">
      <c r="A28" s="267" t="s">
        <v>26</v>
      </c>
      <c r="B28" s="268"/>
      <c r="C28" s="43">
        <f>SUMPRODUCT(C25:C27,D25:D27)</f>
        <v>2.4</v>
      </c>
      <c r="D28" s="44">
        <f>SUM(D25:D27)</f>
        <v>4</v>
      </c>
      <c r="E28" s="45"/>
      <c r="F28" s="56">
        <f>SUMPRODUCT(F25:F27,G25:G27)</f>
        <v>3</v>
      </c>
      <c r="G28" s="57">
        <f>SUM(G25:G27)</f>
        <v>4</v>
      </c>
      <c r="H28" s="58"/>
      <c r="I28" s="59">
        <f>SUMPRODUCT(I25:I27,J25:J27)</f>
        <v>0</v>
      </c>
      <c r="J28" s="60">
        <f>SUM(J25:J27)</f>
        <v>4</v>
      </c>
      <c r="K28" s="61"/>
      <c r="L28" s="52"/>
      <c r="M28" s="52"/>
    </row>
    <row r="29" spans="1:17" ht="21" customHeight="1">
      <c r="A29" s="285" t="s">
        <v>69</v>
      </c>
      <c r="B29" s="285"/>
      <c r="C29" s="246" t="s">
        <v>17</v>
      </c>
      <c r="D29" s="247"/>
      <c r="E29" s="42" t="s">
        <v>47</v>
      </c>
      <c r="F29" s="246" t="s">
        <v>17</v>
      </c>
      <c r="G29" s="247"/>
      <c r="H29" s="62" t="s">
        <v>47</v>
      </c>
      <c r="I29" s="246" t="s">
        <v>17</v>
      </c>
      <c r="J29" s="247"/>
      <c r="K29" s="42"/>
      <c r="L29" s="9"/>
      <c r="M29" s="4"/>
    </row>
    <row r="30" spans="1:17">
      <c r="A30" s="31" t="s">
        <v>70</v>
      </c>
      <c r="B30" s="31" t="s">
        <v>71</v>
      </c>
      <c r="C30" s="75">
        <v>1</v>
      </c>
      <c r="D30" s="76">
        <v>2</v>
      </c>
      <c r="E30" s="77"/>
      <c r="F30" s="85">
        <v>1</v>
      </c>
      <c r="G30" s="86">
        <v>2</v>
      </c>
      <c r="H30" s="91"/>
      <c r="I30" s="88"/>
      <c r="J30" s="89">
        <v>2</v>
      </c>
      <c r="K30" s="90"/>
      <c r="L30" s="5"/>
      <c r="M30" s="5"/>
    </row>
    <row r="31" spans="1:17">
      <c r="A31" s="24" t="s">
        <v>72</v>
      </c>
      <c r="B31" s="24" t="s">
        <v>73</v>
      </c>
      <c r="C31" s="79">
        <v>1</v>
      </c>
      <c r="D31" s="80">
        <v>2</v>
      </c>
      <c r="E31" s="81"/>
      <c r="F31" s="82">
        <v>1</v>
      </c>
      <c r="G31" s="83">
        <v>2</v>
      </c>
      <c r="H31" s="92"/>
      <c r="I31" s="72"/>
      <c r="J31" s="73">
        <v>2</v>
      </c>
      <c r="K31" s="74"/>
      <c r="L31" s="5"/>
      <c r="M31" s="5"/>
    </row>
    <row r="32" spans="1:17" ht="76.5">
      <c r="A32" s="24" t="s">
        <v>74</v>
      </c>
      <c r="B32" s="24" t="s">
        <v>75</v>
      </c>
      <c r="C32" s="79">
        <v>1</v>
      </c>
      <c r="D32" s="80">
        <v>2</v>
      </c>
      <c r="E32" s="81" t="s">
        <v>76</v>
      </c>
      <c r="F32" s="82">
        <f>1-0.1*2</f>
        <v>0.8</v>
      </c>
      <c r="G32" s="83">
        <v>2</v>
      </c>
      <c r="H32" s="92" t="s">
        <v>77</v>
      </c>
      <c r="I32" s="72"/>
      <c r="J32" s="73">
        <v>2</v>
      </c>
      <c r="K32" s="74"/>
      <c r="L32" s="5"/>
      <c r="M32" s="5"/>
    </row>
    <row r="33" spans="1:13" ht="45.75">
      <c r="A33" s="24" t="s">
        <v>78</v>
      </c>
      <c r="B33" s="24" t="s">
        <v>79</v>
      </c>
      <c r="C33" s="79">
        <v>1</v>
      </c>
      <c r="D33" s="80">
        <v>3</v>
      </c>
      <c r="E33" s="81"/>
      <c r="F33" s="82">
        <f>1-0.25-0.1</f>
        <v>0.65</v>
      </c>
      <c r="G33" s="83">
        <v>3</v>
      </c>
      <c r="H33" s="92" t="s">
        <v>80</v>
      </c>
      <c r="I33" s="72"/>
      <c r="J33" s="73">
        <v>3</v>
      </c>
      <c r="K33" s="74"/>
      <c r="L33" s="5"/>
      <c r="M33" s="5"/>
    </row>
    <row r="34" spans="1:13" s="40" customFormat="1" ht="15.75">
      <c r="A34" s="248" t="s">
        <v>26</v>
      </c>
      <c r="B34" s="249"/>
      <c r="C34" s="43">
        <f>SUMPRODUCT(C30:C33,D30:D33)</f>
        <v>9</v>
      </c>
      <c r="D34" s="44">
        <f>SUM(D30:D33)</f>
        <v>9</v>
      </c>
      <c r="E34" s="45"/>
      <c r="F34" s="46">
        <f>SUMPRODUCT(F30:F33,G30:G33)</f>
        <v>7.55</v>
      </c>
      <c r="G34" s="47">
        <f>SUM(G30:G33)</f>
        <v>9</v>
      </c>
      <c r="H34" s="63"/>
      <c r="I34" s="59">
        <f>SUMPRODUCT(I30:I33,J30:J33)</f>
        <v>0</v>
      </c>
      <c r="J34" s="60">
        <f>SUM(J30:J33)</f>
        <v>9</v>
      </c>
      <c r="K34" s="61"/>
      <c r="L34" s="52"/>
      <c r="M34" s="52"/>
    </row>
    <row r="35" spans="1:13" ht="18.75" customHeight="1">
      <c r="A35" s="253" t="s">
        <v>81</v>
      </c>
      <c r="B35" s="253"/>
      <c r="C35" s="246" t="s">
        <v>17</v>
      </c>
      <c r="D35" s="247"/>
      <c r="E35" s="42" t="s">
        <v>18</v>
      </c>
      <c r="F35" s="246" t="s">
        <v>17</v>
      </c>
      <c r="G35" s="247"/>
      <c r="H35" s="42" t="s">
        <v>18</v>
      </c>
      <c r="I35" s="64" t="s">
        <v>17</v>
      </c>
      <c r="J35" s="62"/>
      <c r="K35" s="42"/>
      <c r="L35" s="8"/>
      <c r="M35" s="4"/>
    </row>
    <row r="36" spans="1:13" ht="30.75">
      <c r="A36" s="29" t="s">
        <v>82</v>
      </c>
      <c r="B36" s="29" t="s">
        <v>83</v>
      </c>
      <c r="C36" s="75">
        <f>2/2</f>
        <v>1</v>
      </c>
      <c r="D36" s="76">
        <v>2</v>
      </c>
      <c r="E36" s="77"/>
      <c r="F36" s="85">
        <f>3/3</f>
        <v>1</v>
      </c>
      <c r="G36" s="86">
        <v>2</v>
      </c>
      <c r="H36" s="87"/>
      <c r="I36" s="88"/>
      <c r="J36" s="89">
        <v>2</v>
      </c>
      <c r="K36" s="90"/>
      <c r="L36" s="5"/>
      <c r="M36" s="5"/>
    </row>
    <row r="37" spans="1:13">
      <c r="A37" s="23" t="s">
        <v>84</v>
      </c>
      <c r="B37" s="23" t="s">
        <v>85</v>
      </c>
      <c r="C37" s="79">
        <f>2/2</f>
        <v>1</v>
      </c>
      <c r="D37" s="80">
        <v>2</v>
      </c>
      <c r="E37" s="81"/>
      <c r="F37" s="243">
        <f>(2-0.25)/2</f>
        <v>0.875</v>
      </c>
      <c r="G37" s="83">
        <v>2</v>
      </c>
      <c r="H37" s="84" t="s">
        <v>86</v>
      </c>
      <c r="I37" s="72"/>
      <c r="J37" s="73">
        <v>2</v>
      </c>
      <c r="K37" s="74"/>
      <c r="L37" s="5"/>
      <c r="M37" s="5"/>
    </row>
    <row r="38" spans="1:13" ht="121.5">
      <c r="A38" s="23" t="s">
        <v>87</v>
      </c>
      <c r="B38" s="23" t="s">
        <v>88</v>
      </c>
      <c r="C38" s="206">
        <f>(3-0.25*2)/3</f>
        <v>0.83333333333333337</v>
      </c>
      <c r="D38" s="80">
        <v>3</v>
      </c>
      <c r="E38" s="81" t="s">
        <v>89</v>
      </c>
      <c r="F38" s="82">
        <f>(3-0.5-0.25*7)/3</f>
        <v>0.25</v>
      </c>
      <c r="G38" s="83">
        <v>3</v>
      </c>
      <c r="H38" s="84" t="s">
        <v>90</v>
      </c>
      <c r="I38" s="72"/>
      <c r="J38" s="73">
        <v>3</v>
      </c>
      <c r="K38" s="74"/>
      <c r="L38" s="5"/>
      <c r="M38" s="5"/>
    </row>
    <row r="39" spans="1:13" ht="106.5">
      <c r="A39" s="23" t="s">
        <v>91</v>
      </c>
      <c r="B39" s="23" t="s">
        <v>92</v>
      </c>
      <c r="C39" s="206">
        <f>(3-0.25)/3</f>
        <v>0.91666666666666663</v>
      </c>
      <c r="D39" s="80">
        <v>3</v>
      </c>
      <c r="E39" s="81" t="s">
        <v>93</v>
      </c>
      <c r="F39" s="243">
        <f>(3-7*0.25)/3</f>
        <v>0.41666666666666669</v>
      </c>
      <c r="G39" s="83">
        <v>3</v>
      </c>
      <c r="H39" s="84" t="s">
        <v>94</v>
      </c>
      <c r="I39" s="72"/>
      <c r="J39" s="73">
        <v>3</v>
      </c>
      <c r="K39" s="74"/>
      <c r="L39" s="5"/>
      <c r="M39" s="5"/>
    </row>
    <row r="40" spans="1:13" s="40" customFormat="1" ht="15.75">
      <c r="A40" s="248" t="s">
        <v>26</v>
      </c>
      <c r="B40" s="249"/>
      <c r="C40" s="65">
        <f>SUMPRODUCT(C36:C39,D36:D39)</f>
        <v>9.25</v>
      </c>
      <c r="D40" s="44">
        <f>SUM(D36:D39)</f>
        <v>10</v>
      </c>
      <c r="E40" s="45"/>
      <c r="F40" s="66">
        <f>SUMPRODUCT(F36:F39,G36:G39)</f>
        <v>5.75</v>
      </c>
      <c r="G40" s="47">
        <f>SUM(G36:G39)</f>
        <v>10</v>
      </c>
      <c r="H40" s="48"/>
      <c r="I40" s="59">
        <f>SUMPRODUCT(I36:I39,J36:J39)</f>
        <v>0</v>
      </c>
      <c r="J40" s="60">
        <f>SUM(J36:J39)</f>
        <v>10</v>
      </c>
      <c r="K40" s="61"/>
      <c r="L40" s="52"/>
      <c r="M40" s="52"/>
    </row>
    <row r="41" spans="1:13" ht="18.75" customHeight="1">
      <c r="A41" s="41" t="s">
        <v>95</v>
      </c>
      <c r="B41" s="41"/>
      <c r="C41" s="246" t="s">
        <v>17</v>
      </c>
      <c r="D41" s="247"/>
      <c r="E41" s="62"/>
      <c r="F41" s="246" t="s">
        <v>17</v>
      </c>
      <c r="G41" s="247"/>
      <c r="H41" s="42" t="s">
        <v>96</v>
      </c>
      <c r="I41" s="246" t="s">
        <v>17</v>
      </c>
      <c r="J41" s="247"/>
      <c r="K41" s="42"/>
      <c r="L41" s="4"/>
      <c r="M41" s="4"/>
    </row>
    <row r="42" spans="1:13" ht="60.75">
      <c r="A42" s="23" t="s">
        <v>97</v>
      </c>
      <c r="B42" s="23" t="s">
        <v>98</v>
      </c>
      <c r="C42" s="79">
        <v>1</v>
      </c>
      <c r="D42" s="80">
        <v>2</v>
      </c>
      <c r="E42" s="81"/>
      <c r="F42" s="82">
        <v>1</v>
      </c>
      <c r="G42" s="83">
        <v>2</v>
      </c>
      <c r="H42" s="84"/>
      <c r="I42" s="72"/>
      <c r="J42" s="73">
        <v>2</v>
      </c>
      <c r="K42" s="74"/>
      <c r="L42" s="5"/>
      <c r="M42" s="5"/>
    </row>
    <row r="43" spans="1:13">
      <c r="A43" s="23" t="s">
        <v>99</v>
      </c>
      <c r="B43" s="23" t="s">
        <v>100</v>
      </c>
      <c r="C43" s="79">
        <v>0.5</v>
      </c>
      <c r="D43" s="80">
        <v>2</v>
      </c>
      <c r="E43" s="81" t="s">
        <v>101</v>
      </c>
      <c r="F43" s="82">
        <v>0.75</v>
      </c>
      <c r="G43" s="83">
        <v>2</v>
      </c>
      <c r="H43" s="84" t="s">
        <v>102</v>
      </c>
      <c r="I43" s="72"/>
      <c r="J43" s="73">
        <v>2</v>
      </c>
      <c r="K43" s="74"/>
      <c r="L43" s="5"/>
      <c r="M43" s="5"/>
    </row>
    <row r="44" spans="1:13">
      <c r="A44" s="23" t="s">
        <v>103</v>
      </c>
      <c r="B44" s="23" t="s">
        <v>104</v>
      </c>
      <c r="C44" s="79">
        <v>0.5</v>
      </c>
      <c r="D44" s="80">
        <v>2</v>
      </c>
      <c r="E44" s="81" t="s">
        <v>105</v>
      </c>
      <c r="F44" s="82">
        <v>1</v>
      </c>
      <c r="G44" s="83">
        <v>2</v>
      </c>
      <c r="H44" s="84"/>
      <c r="I44" s="72"/>
      <c r="J44" s="73">
        <v>2</v>
      </c>
      <c r="K44" s="74"/>
      <c r="L44" s="5"/>
    </row>
    <row r="45" spans="1:13">
      <c r="A45" s="23" t="s">
        <v>106</v>
      </c>
      <c r="B45" s="23" t="s">
        <v>107</v>
      </c>
      <c r="C45" s="79">
        <v>1</v>
      </c>
      <c r="D45" s="80">
        <v>4</v>
      </c>
      <c r="E45" s="81"/>
      <c r="F45" s="82">
        <f>3.5/4</f>
        <v>0.875</v>
      </c>
      <c r="G45" s="83">
        <v>4</v>
      </c>
      <c r="H45" s="84" t="s">
        <v>108</v>
      </c>
      <c r="I45" s="72"/>
      <c r="J45" s="73">
        <v>4</v>
      </c>
      <c r="K45" s="74"/>
      <c r="L45" s="5"/>
      <c r="M45" s="5"/>
    </row>
    <row r="46" spans="1:13">
      <c r="A46" s="23" t="s">
        <v>109</v>
      </c>
      <c r="B46" s="23" t="s">
        <v>110</v>
      </c>
      <c r="C46" s="79">
        <v>0.5</v>
      </c>
      <c r="D46" s="80">
        <v>6</v>
      </c>
      <c r="E46" s="81" t="s">
        <v>111</v>
      </c>
      <c r="F46" s="82">
        <f>5.5/6</f>
        <v>0.91666666666666663</v>
      </c>
      <c r="G46" s="83">
        <v>6</v>
      </c>
      <c r="H46" s="84" t="s">
        <v>112</v>
      </c>
      <c r="I46" s="72"/>
      <c r="J46" s="73">
        <v>6</v>
      </c>
      <c r="K46" s="74"/>
      <c r="L46" s="5"/>
      <c r="M46" s="5"/>
    </row>
    <row r="47" spans="1:13" ht="60.75">
      <c r="A47" s="23" t="s">
        <v>113</v>
      </c>
      <c r="B47" s="23" t="s">
        <v>114</v>
      </c>
      <c r="C47" s="79">
        <f>4/10</f>
        <v>0.4</v>
      </c>
      <c r="D47" s="80">
        <v>10</v>
      </c>
      <c r="E47" s="81" t="s">
        <v>115</v>
      </c>
      <c r="F47" s="82">
        <f>0.6</f>
        <v>0.6</v>
      </c>
      <c r="G47" s="83">
        <v>10</v>
      </c>
      <c r="H47" s="84" t="s">
        <v>116</v>
      </c>
      <c r="I47" s="72"/>
      <c r="J47" s="73">
        <v>10</v>
      </c>
      <c r="K47" s="74"/>
      <c r="L47" s="5"/>
      <c r="M47" s="5"/>
    </row>
    <row r="48" spans="1:13" ht="76.5">
      <c r="A48" s="23" t="s">
        <v>117</v>
      </c>
      <c r="B48" s="23" t="s">
        <v>118</v>
      </c>
      <c r="C48" s="206">
        <f>3.5/6</f>
        <v>0.58333333333333337</v>
      </c>
      <c r="D48" s="80">
        <v>6</v>
      </c>
      <c r="E48" s="81" t="s">
        <v>119</v>
      </c>
      <c r="F48" s="82">
        <v>0</v>
      </c>
      <c r="G48" s="83">
        <v>6</v>
      </c>
      <c r="H48" s="84" t="s">
        <v>120</v>
      </c>
      <c r="I48" s="72"/>
      <c r="J48" s="73">
        <v>6</v>
      </c>
      <c r="K48" s="74"/>
      <c r="L48" s="5"/>
      <c r="M48" s="5"/>
    </row>
    <row r="49" spans="1:17">
      <c r="A49" s="13" t="s">
        <v>121</v>
      </c>
      <c r="B49" s="23" t="s">
        <v>122</v>
      </c>
      <c r="C49" s="79">
        <v>1</v>
      </c>
      <c r="D49" s="80">
        <v>3</v>
      </c>
      <c r="E49" s="81"/>
      <c r="F49" s="82">
        <v>1</v>
      </c>
      <c r="G49" s="83">
        <v>3</v>
      </c>
      <c r="H49" s="84"/>
      <c r="I49" s="72"/>
      <c r="J49" s="73">
        <v>3</v>
      </c>
      <c r="K49" s="74"/>
      <c r="L49" s="5"/>
      <c r="M49" s="5"/>
    </row>
    <row r="50" spans="1:17" s="30" customFormat="1" ht="15.75">
      <c r="A50" s="248" t="s">
        <v>26</v>
      </c>
      <c r="B50" s="249"/>
      <c r="C50" s="67">
        <f>SUMPRODUCT(C42:C49,D42:D49)</f>
        <v>21.5</v>
      </c>
      <c r="D50" s="54">
        <f>SUM(D42:D49)</f>
        <v>35</v>
      </c>
      <c r="E50" s="55"/>
      <c r="F50" s="66">
        <f>SUMPRODUCT(F42:F49,G42:G49)</f>
        <v>23.5</v>
      </c>
      <c r="G50" s="47">
        <f>SUM(G42:G49)</f>
        <v>35</v>
      </c>
      <c r="H50" s="48"/>
      <c r="I50" s="49">
        <f>SUMPRODUCT(I42:I49,J42:J49)</f>
        <v>0</v>
      </c>
      <c r="J50" s="50">
        <f>SUM(J42:J49)</f>
        <v>35</v>
      </c>
      <c r="K50" s="51"/>
      <c r="L50" s="52"/>
      <c r="M50" s="52"/>
      <c r="N50" s="40"/>
      <c r="O50" s="40"/>
      <c r="P50" s="40"/>
      <c r="Q50" s="40"/>
    </row>
    <row r="51" spans="1:17" ht="18.399999999999999" customHeight="1">
      <c r="A51" s="253" t="s">
        <v>123</v>
      </c>
      <c r="B51" s="253"/>
      <c r="C51" s="246" t="s">
        <v>17</v>
      </c>
      <c r="D51" s="247"/>
      <c r="E51" s="42" t="s">
        <v>18</v>
      </c>
      <c r="F51" s="246" t="s">
        <v>17</v>
      </c>
      <c r="G51" s="247"/>
      <c r="H51" s="42" t="s">
        <v>18</v>
      </c>
      <c r="I51" s="246" t="s">
        <v>17</v>
      </c>
      <c r="J51" s="247"/>
      <c r="K51" s="42"/>
      <c r="L51" s="8"/>
      <c r="M51" s="4"/>
    </row>
    <row r="52" spans="1:17">
      <c r="A52" s="29" t="s">
        <v>124</v>
      </c>
      <c r="B52" s="29" t="s">
        <v>125</v>
      </c>
      <c r="C52" s="75">
        <f>2/2</f>
        <v>1</v>
      </c>
      <c r="D52" s="76">
        <v>2</v>
      </c>
      <c r="E52" s="77" t="s">
        <v>126</v>
      </c>
      <c r="F52" s="78">
        <f>2/2</f>
        <v>1</v>
      </c>
      <c r="G52" s="27">
        <v>2</v>
      </c>
      <c r="H52" s="28"/>
      <c r="I52" s="69"/>
      <c r="J52" s="70">
        <v>2</v>
      </c>
      <c r="K52" s="71"/>
      <c r="L52" s="5"/>
      <c r="M52" s="5"/>
    </row>
    <row r="53" spans="1:17" ht="30">
      <c r="A53" s="23" t="s">
        <v>127</v>
      </c>
      <c r="B53" s="23" t="s">
        <v>128</v>
      </c>
      <c r="C53" s="79">
        <f>2/2</f>
        <v>1</v>
      </c>
      <c r="D53" s="80">
        <v>2</v>
      </c>
      <c r="E53" s="81" t="s">
        <v>129</v>
      </c>
      <c r="F53" s="82">
        <f>2/2</f>
        <v>1</v>
      </c>
      <c r="G53" s="83">
        <v>2</v>
      </c>
      <c r="H53" s="84"/>
      <c r="I53" s="72"/>
      <c r="J53" s="73">
        <v>2</v>
      </c>
      <c r="K53" s="74"/>
      <c r="L53" s="5"/>
      <c r="M53" s="5"/>
    </row>
    <row r="54" spans="1:17" ht="30.75">
      <c r="A54" s="23" t="s">
        <v>130</v>
      </c>
      <c r="B54" s="23" t="s">
        <v>131</v>
      </c>
      <c r="C54" s="79">
        <f>1/1</f>
        <v>1</v>
      </c>
      <c r="D54" s="80">
        <v>1</v>
      </c>
      <c r="E54" s="81"/>
      <c r="F54" s="82">
        <f>0/1</f>
        <v>0</v>
      </c>
      <c r="G54" s="83">
        <v>1</v>
      </c>
      <c r="H54" s="84" t="s">
        <v>132</v>
      </c>
      <c r="I54" s="72"/>
      <c r="J54" s="73">
        <v>1</v>
      </c>
      <c r="K54" s="74"/>
      <c r="L54" s="5"/>
      <c r="M54" s="5"/>
    </row>
    <row r="55" spans="1:17" ht="60">
      <c r="A55" s="23" t="s">
        <v>133</v>
      </c>
      <c r="B55" s="23" t="s">
        <v>134</v>
      </c>
      <c r="C55" s="206">
        <f>(4-2.5)/4</f>
        <v>0.375</v>
      </c>
      <c r="D55" s="80">
        <v>4</v>
      </c>
      <c r="E55" s="81" t="s">
        <v>135</v>
      </c>
      <c r="F55" s="82">
        <f>4/4</f>
        <v>1</v>
      </c>
      <c r="G55" s="83">
        <v>4</v>
      </c>
      <c r="H55" s="84"/>
      <c r="I55" s="72"/>
      <c r="J55" s="73">
        <v>4</v>
      </c>
      <c r="K55" s="74"/>
      <c r="L55" s="5"/>
      <c r="M55" s="5"/>
    </row>
    <row r="56" spans="1:17" ht="30">
      <c r="A56" s="23" t="s">
        <v>136</v>
      </c>
      <c r="B56" s="23" t="s">
        <v>137</v>
      </c>
      <c r="C56" s="79">
        <f>2/2</f>
        <v>1</v>
      </c>
      <c r="D56" s="80">
        <v>2</v>
      </c>
      <c r="E56" s="81"/>
      <c r="F56" s="82">
        <f>2/2</f>
        <v>1</v>
      </c>
      <c r="G56" s="83">
        <v>2</v>
      </c>
      <c r="H56" s="84"/>
      <c r="I56" s="72"/>
      <c r="J56" s="73">
        <v>2</v>
      </c>
      <c r="K56" s="74"/>
      <c r="L56" s="6"/>
      <c r="M56" s="5"/>
    </row>
    <row r="57" spans="1:17" s="40" customFormat="1" ht="15.75">
      <c r="A57" s="248" t="s">
        <v>26</v>
      </c>
      <c r="B57" s="249"/>
      <c r="C57" s="53">
        <f>SUMPRODUCT(C52:C56,D52:D56)</f>
        <v>8.5</v>
      </c>
      <c r="D57" s="54">
        <f>SUM(D52:D56)</f>
        <v>11</v>
      </c>
      <c r="E57" s="55"/>
      <c r="F57" s="56">
        <f>SUMPRODUCT(F52:F56,G52:G56)</f>
        <v>10</v>
      </c>
      <c r="G57" s="57">
        <f>SUM(G52:G56)</f>
        <v>11</v>
      </c>
      <c r="H57" s="58"/>
      <c r="I57" s="49">
        <f>SUMPRODUCT(I52:I56,J52:J56)</f>
        <v>0</v>
      </c>
      <c r="J57" s="50">
        <f>SUM(J52:J56)</f>
        <v>11</v>
      </c>
      <c r="K57" s="51"/>
      <c r="L57" s="52"/>
      <c r="M57" s="52"/>
    </row>
    <row r="58" spans="1:17" ht="18.75" customHeight="1">
      <c r="A58" s="250" t="s">
        <v>2</v>
      </c>
      <c r="B58" s="251"/>
      <c r="C58" s="251"/>
      <c r="D58" s="251"/>
      <c r="E58" s="251"/>
      <c r="F58" s="251"/>
      <c r="G58" s="251"/>
      <c r="H58" s="251"/>
      <c r="I58" s="251"/>
      <c r="J58" s="251"/>
      <c r="K58" s="252"/>
      <c r="L58" s="4"/>
      <c r="M58" s="4"/>
    </row>
    <row r="59" spans="1:17" s="235" customFormat="1">
      <c r="A59" s="254" t="s">
        <v>138</v>
      </c>
      <c r="B59" s="255"/>
      <c r="C59" s="225">
        <f>C18+C23+C28+C34+C40+C50+C57+C11</f>
        <v>75.099999999999994</v>
      </c>
      <c r="D59" s="226">
        <f>D11+D18+D23+D28+D34+D40+D50+D57</f>
        <v>100</v>
      </c>
      <c r="E59" s="227"/>
      <c r="F59" s="228">
        <f>F18+F23+F28+F34+F40+F50+F57</f>
        <v>65.25</v>
      </c>
      <c r="G59" s="229">
        <f>G11+G18+G23+G28+G34+G40+G50+G57</f>
        <v>100</v>
      </c>
      <c r="H59" s="230"/>
      <c r="I59" s="231">
        <f>I18+I23+I28+I34+I40+I50+I57</f>
        <v>0</v>
      </c>
      <c r="J59" s="232">
        <f>J11+J18+J23+J28+J34+J40+J50+J57</f>
        <v>100</v>
      </c>
      <c r="K59" s="233"/>
      <c r="L59" s="234"/>
      <c r="M59" s="234"/>
    </row>
    <row r="60" spans="1:17" s="40" customFormat="1" ht="15.75">
      <c r="A60" s="256" t="s">
        <v>139</v>
      </c>
      <c r="B60" s="257"/>
      <c r="C60" s="258">
        <f>C59/D59</f>
        <v>0.75099999999999989</v>
      </c>
      <c r="D60" s="259"/>
      <c r="E60" s="260"/>
      <c r="F60" s="261">
        <f>F59/G59</f>
        <v>0.65249999999999997</v>
      </c>
      <c r="G60" s="262"/>
      <c r="H60" s="263"/>
      <c r="I60" s="264">
        <f>I59/J59</f>
        <v>0</v>
      </c>
      <c r="J60" s="265"/>
      <c r="K60" s="266"/>
      <c r="L60" s="68"/>
      <c r="M60" s="68"/>
    </row>
  </sheetData>
  <mergeCells count="51">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59:B59"/>
    <mergeCell ref="A60:B60"/>
    <mergeCell ref="C60:E60"/>
    <mergeCell ref="F60:H60"/>
    <mergeCell ref="I60:K60"/>
    <mergeCell ref="A58:K58"/>
    <mergeCell ref="C41:D41"/>
    <mergeCell ref="F41:G41"/>
    <mergeCell ref="I41:J41"/>
    <mergeCell ref="A51:B51"/>
    <mergeCell ref="C51:D51"/>
    <mergeCell ref="F51:G51"/>
    <mergeCell ref="I51:J51"/>
    <mergeCell ref="A50:B50"/>
    <mergeCell ref="C35:D35"/>
    <mergeCell ref="F35:G35"/>
    <mergeCell ref="A40:B40"/>
    <mergeCell ref="A34:B34"/>
    <mergeCell ref="A57:B57"/>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A17" workbookViewId="0">
      <selection activeCell="C28" sqref="C28"/>
    </sheetView>
  </sheetViews>
  <sheetFormatPr defaultColWidth="9.140625" defaultRowHeight="15"/>
  <cols>
    <col min="1" max="1" width="50.5703125" style="33" customWidth="1"/>
    <col min="2" max="2" width="9.28515625" style="33" bestFit="1" customWidth="1"/>
    <col min="3" max="3" width="9.140625" style="33"/>
    <col min="4" max="4" width="9.85546875" style="33" bestFit="1" customWidth="1"/>
    <col min="5" max="5" width="11" style="33" bestFit="1" customWidth="1"/>
    <col min="6" max="6" width="11" style="33" customWidth="1"/>
    <col min="7" max="7" width="132.5703125" style="33" customWidth="1"/>
    <col min="8" max="16384" width="9.140625" style="33"/>
  </cols>
  <sheetData>
    <row r="2" spans="1:7" ht="18.75">
      <c r="A2" s="287" t="s">
        <v>10</v>
      </c>
      <c r="B2" s="287"/>
      <c r="C2" s="287"/>
      <c r="D2" s="287"/>
      <c r="E2" s="287"/>
      <c r="F2" s="287"/>
      <c r="G2" s="287"/>
    </row>
    <row r="3" spans="1:7">
      <c r="A3" s="34"/>
      <c r="B3" s="34"/>
      <c r="C3" s="35"/>
      <c r="D3" s="35"/>
      <c r="E3" s="34"/>
      <c r="F3" s="34"/>
      <c r="G3" s="35"/>
    </row>
    <row r="4" spans="1:7" ht="18.75">
      <c r="A4" s="32" t="s">
        <v>140</v>
      </c>
      <c r="B4" s="32"/>
      <c r="C4" s="32"/>
      <c r="D4" s="32"/>
      <c r="E4" s="32"/>
      <c r="F4" s="32"/>
      <c r="G4" s="32"/>
    </row>
    <row r="5" spans="1:7" ht="15.75" thickBot="1"/>
    <row r="6" spans="1:7" ht="23.25">
      <c r="A6" s="291" t="s">
        <v>6</v>
      </c>
      <c r="B6" s="292"/>
      <c r="C6" s="292"/>
      <c r="D6" s="292"/>
      <c r="E6" s="292"/>
      <c r="F6" s="292"/>
      <c r="G6" s="293"/>
    </row>
    <row r="7" spans="1:7">
      <c r="A7" s="117" t="s">
        <v>141</v>
      </c>
      <c r="B7" s="118" t="s">
        <v>14</v>
      </c>
      <c r="C7" s="118" t="s">
        <v>142</v>
      </c>
      <c r="D7" s="118" t="s">
        <v>4</v>
      </c>
      <c r="E7" s="118" t="s">
        <v>143</v>
      </c>
      <c r="F7" s="118" t="s">
        <v>17</v>
      </c>
      <c r="G7" s="119" t="s">
        <v>15</v>
      </c>
    </row>
    <row r="8" spans="1:7">
      <c r="A8" s="120" t="s">
        <v>144</v>
      </c>
      <c r="B8" s="121">
        <v>1</v>
      </c>
      <c r="C8" s="121">
        <v>1</v>
      </c>
      <c r="D8" s="121">
        <v>4</v>
      </c>
      <c r="E8" s="121">
        <f t="shared" ref="E8:E17" si="0">B8*C8*D8</f>
        <v>4</v>
      </c>
      <c r="F8" s="121" t="s">
        <v>96</v>
      </c>
      <c r="G8" s="122"/>
    </row>
    <row r="9" spans="1:7" ht="150">
      <c r="A9" s="123" t="s">
        <v>145</v>
      </c>
      <c r="B9" s="237">
        <f>(8-3)/8</f>
        <v>0.625</v>
      </c>
      <c r="C9" s="124">
        <v>1</v>
      </c>
      <c r="D9" s="124">
        <v>8</v>
      </c>
      <c r="E9" s="124">
        <f t="shared" si="0"/>
        <v>5</v>
      </c>
      <c r="F9" s="124" t="s">
        <v>18</v>
      </c>
      <c r="G9" s="236" t="s">
        <v>146</v>
      </c>
    </row>
    <row r="10" spans="1:7" ht="120">
      <c r="A10" s="120" t="s">
        <v>147</v>
      </c>
      <c r="B10" s="121">
        <f>18/20</f>
        <v>0.9</v>
      </c>
      <c r="C10" s="121">
        <v>1</v>
      </c>
      <c r="D10" s="121">
        <v>20</v>
      </c>
      <c r="E10" s="121">
        <f t="shared" si="0"/>
        <v>18</v>
      </c>
      <c r="F10" s="121" t="s">
        <v>96</v>
      </c>
      <c r="G10" s="238" t="s">
        <v>148</v>
      </c>
    </row>
    <row r="11" spans="1:7" ht="165">
      <c r="A11" s="123" t="s">
        <v>149</v>
      </c>
      <c r="B11" s="124">
        <f>(10-2)/10</f>
        <v>0.8</v>
      </c>
      <c r="C11" s="124">
        <v>0.9</v>
      </c>
      <c r="D11" s="124">
        <v>10</v>
      </c>
      <c r="E11" s="124">
        <f t="shared" si="0"/>
        <v>7.2000000000000011</v>
      </c>
      <c r="F11" s="124" t="s">
        <v>18</v>
      </c>
      <c r="G11" s="236" t="s">
        <v>150</v>
      </c>
    </row>
    <row r="12" spans="1:7" ht="120">
      <c r="A12" s="120" t="s">
        <v>151</v>
      </c>
      <c r="B12" s="121">
        <f>1-0.05</f>
        <v>0.95</v>
      </c>
      <c r="C12" s="121">
        <v>1</v>
      </c>
      <c r="D12" s="121">
        <v>10</v>
      </c>
      <c r="E12" s="121">
        <f t="shared" si="0"/>
        <v>9.5</v>
      </c>
      <c r="F12" s="121" t="s">
        <v>47</v>
      </c>
      <c r="G12" s="238" t="s">
        <v>152</v>
      </c>
    </row>
    <row r="13" spans="1:7" ht="90">
      <c r="A13" s="120" t="s">
        <v>153</v>
      </c>
      <c r="B13" s="121">
        <f>1-0.05-0.1</f>
        <v>0.85</v>
      </c>
      <c r="C13" s="121">
        <v>0.95</v>
      </c>
      <c r="D13" s="121">
        <v>12</v>
      </c>
      <c r="E13" s="121">
        <f t="shared" si="0"/>
        <v>9.69</v>
      </c>
      <c r="F13" s="121" t="s">
        <v>47</v>
      </c>
      <c r="G13" s="238" t="s">
        <v>154</v>
      </c>
    </row>
    <row r="14" spans="1:7" ht="180">
      <c r="A14" s="123" t="s">
        <v>155</v>
      </c>
      <c r="B14" s="237">
        <f>(12-0.5)/12</f>
        <v>0.95833333333333337</v>
      </c>
      <c r="C14" s="124">
        <v>0.75</v>
      </c>
      <c r="D14" s="124">
        <v>12</v>
      </c>
      <c r="E14" s="237">
        <f t="shared" si="0"/>
        <v>8.625</v>
      </c>
      <c r="F14" s="124" t="s">
        <v>18</v>
      </c>
      <c r="G14" s="236" t="s">
        <v>156</v>
      </c>
    </row>
    <row r="15" spans="1:7" ht="45">
      <c r="A15" s="120" t="s">
        <v>157</v>
      </c>
      <c r="B15" s="121">
        <f>8.5/10</f>
        <v>0.85</v>
      </c>
      <c r="C15" s="121">
        <v>1</v>
      </c>
      <c r="D15" s="121">
        <v>10</v>
      </c>
      <c r="E15" s="121">
        <f t="shared" si="0"/>
        <v>8.5</v>
      </c>
      <c r="F15" s="121" t="s">
        <v>96</v>
      </c>
      <c r="G15" s="238" t="s">
        <v>158</v>
      </c>
    </row>
    <row r="16" spans="1:7" ht="60">
      <c r="A16" s="123" t="s">
        <v>159</v>
      </c>
      <c r="B16" s="124">
        <f>1-0.1</f>
        <v>0.9</v>
      </c>
      <c r="C16" s="124">
        <v>1</v>
      </c>
      <c r="D16" s="124">
        <v>8</v>
      </c>
      <c r="E16" s="124">
        <f t="shared" si="0"/>
        <v>7.2</v>
      </c>
      <c r="F16" s="124" t="s">
        <v>47</v>
      </c>
      <c r="G16" s="236" t="s">
        <v>160</v>
      </c>
    </row>
    <row r="17" spans="1:7" ht="60">
      <c r="A17" s="125" t="s">
        <v>161</v>
      </c>
      <c r="B17" s="126">
        <f>1-0.1</f>
        <v>0.9</v>
      </c>
      <c r="C17" s="126">
        <v>1</v>
      </c>
      <c r="D17" s="126">
        <v>6</v>
      </c>
      <c r="E17" s="126">
        <f t="shared" si="0"/>
        <v>5.4</v>
      </c>
      <c r="F17" s="126" t="s">
        <v>47</v>
      </c>
      <c r="G17" s="239" t="s">
        <v>162</v>
      </c>
    </row>
    <row r="18" spans="1:7">
      <c r="A18" s="127" t="s">
        <v>163</v>
      </c>
      <c r="B18" s="294"/>
      <c r="C18" s="294"/>
      <c r="D18" s="128">
        <f>SUM(D8:D17)</f>
        <v>100</v>
      </c>
      <c r="E18" s="129">
        <f>(SUM(E8:E17)+E20+E21)/D18</f>
        <v>0.83115000000000006</v>
      </c>
      <c r="F18" s="129"/>
      <c r="G18" s="130"/>
    </row>
    <row r="19" spans="1:7">
      <c r="A19" s="131" t="s">
        <v>164</v>
      </c>
      <c r="B19" s="132" t="s">
        <v>14</v>
      </c>
      <c r="C19" s="132"/>
      <c r="D19" s="132" t="s">
        <v>4</v>
      </c>
      <c r="E19" s="133" t="s">
        <v>143</v>
      </c>
      <c r="F19" s="133"/>
      <c r="G19" s="134" t="s">
        <v>15</v>
      </c>
    </row>
    <row r="20" spans="1:7">
      <c r="A20" s="135" t="s">
        <v>165</v>
      </c>
      <c r="B20" s="136">
        <v>0</v>
      </c>
      <c r="C20" s="136"/>
      <c r="D20" s="137">
        <v>-10</v>
      </c>
      <c r="E20" s="136">
        <f>B20*D20</f>
        <v>0</v>
      </c>
      <c r="F20" s="136"/>
      <c r="G20" s="138"/>
    </row>
    <row r="21" spans="1:7">
      <c r="A21" s="139" t="s">
        <v>166</v>
      </c>
      <c r="B21" s="140">
        <v>0</v>
      </c>
      <c r="C21" s="140"/>
      <c r="D21" s="141">
        <v>-15</v>
      </c>
      <c r="E21" s="140">
        <f>B21*D21</f>
        <v>0</v>
      </c>
      <c r="F21" s="140"/>
      <c r="G21" s="142"/>
    </row>
    <row r="22" spans="1:7" ht="23.25">
      <c r="A22" s="295" t="s">
        <v>7</v>
      </c>
      <c r="B22" s="296"/>
      <c r="C22" s="296"/>
      <c r="D22" s="296"/>
      <c r="E22" s="296"/>
      <c r="F22" s="296"/>
      <c r="G22" s="297"/>
    </row>
    <row r="23" spans="1:7">
      <c r="A23" s="143" t="s">
        <v>141</v>
      </c>
      <c r="B23" s="144" t="s">
        <v>14</v>
      </c>
      <c r="C23" s="144" t="s">
        <v>142</v>
      </c>
      <c r="D23" s="144" t="s">
        <v>4</v>
      </c>
      <c r="E23" s="144" t="s">
        <v>143</v>
      </c>
      <c r="F23" s="144" t="s">
        <v>17</v>
      </c>
      <c r="G23" s="145" t="s">
        <v>15</v>
      </c>
    </row>
    <row r="24" spans="1:7">
      <c r="A24" s="146" t="s">
        <v>167</v>
      </c>
      <c r="B24" s="147">
        <v>1</v>
      </c>
      <c r="C24" s="147">
        <v>0.9</v>
      </c>
      <c r="D24" s="147">
        <v>20</v>
      </c>
      <c r="E24" s="147">
        <f>B24*C24*D24</f>
        <v>18</v>
      </c>
      <c r="F24" s="147"/>
      <c r="G24" s="148"/>
    </row>
    <row r="25" spans="1:7" ht="91.5">
      <c r="A25" s="149" t="s">
        <v>168</v>
      </c>
      <c r="B25" s="150">
        <f>6/6</f>
        <v>1</v>
      </c>
      <c r="C25" s="150">
        <v>0.9</v>
      </c>
      <c r="D25" s="150">
        <v>6</v>
      </c>
      <c r="E25" s="150">
        <f t="shared" ref="E25:E33" si="1">B25*C25*D25</f>
        <v>5.4</v>
      </c>
      <c r="F25" s="150"/>
      <c r="G25" s="240" t="s">
        <v>169</v>
      </c>
    </row>
    <row r="26" spans="1:7" ht="60.75">
      <c r="A26" s="146" t="s">
        <v>170</v>
      </c>
      <c r="B26" s="147">
        <f>1-0.1</f>
        <v>0.9</v>
      </c>
      <c r="C26" s="147">
        <v>0.95</v>
      </c>
      <c r="D26" s="147">
        <v>12</v>
      </c>
      <c r="E26" s="147">
        <f t="shared" si="1"/>
        <v>10.26</v>
      </c>
      <c r="F26" s="147" t="s">
        <v>47</v>
      </c>
      <c r="G26" s="241" t="s">
        <v>171</v>
      </c>
    </row>
    <row r="27" spans="1:7">
      <c r="A27" s="149" t="s">
        <v>172</v>
      </c>
      <c r="B27" s="150">
        <v>1</v>
      </c>
      <c r="C27" s="150">
        <v>0.9</v>
      </c>
      <c r="D27" s="150">
        <v>8</v>
      </c>
      <c r="E27" s="150">
        <f t="shared" si="1"/>
        <v>7.2</v>
      </c>
      <c r="F27" s="150"/>
      <c r="G27" s="151"/>
    </row>
    <row r="28" spans="1:7">
      <c r="A28" s="146" t="s">
        <v>173</v>
      </c>
      <c r="B28" s="147">
        <v>1</v>
      </c>
      <c r="C28" s="147">
        <v>1</v>
      </c>
      <c r="D28" s="147">
        <v>6</v>
      </c>
      <c r="E28" s="147">
        <f t="shared" si="1"/>
        <v>6</v>
      </c>
      <c r="F28" s="147"/>
      <c r="G28" s="148"/>
    </row>
    <row r="29" spans="1:7" ht="213">
      <c r="A29" s="149" t="s">
        <v>174</v>
      </c>
      <c r="B29" s="242">
        <f>(14-0.66)/14</f>
        <v>0.95285714285714285</v>
      </c>
      <c r="C29" s="150">
        <v>0.8</v>
      </c>
      <c r="D29" s="150">
        <v>14</v>
      </c>
      <c r="E29" s="242">
        <f t="shared" si="1"/>
        <v>10.672000000000001</v>
      </c>
      <c r="F29" s="150"/>
      <c r="G29" s="240" t="s">
        <v>175</v>
      </c>
    </row>
    <row r="30" spans="1:7" ht="76.5">
      <c r="A30" s="146" t="s">
        <v>176</v>
      </c>
      <c r="B30" s="147">
        <f>1-0.15-0.15</f>
        <v>0.7</v>
      </c>
      <c r="C30" s="147">
        <v>0.95</v>
      </c>
      <c r="D30" s="147">
        <v>12</v>
      </c>
      <c r="E30" s="147">
        <f t="shared" si="1"/>
        <v>7.9799999999999986</v>
      </c>
      <c r="F30" s="147" t="s">
        <v>47</v>
      </c>
      <c r="G30" s="241" t="s">
        <v>177</v>
      </c>
    </row>
    <row r="31" spans="1:7" ht="91.5">
      <c r="A31" s="149" t="s">
        <v>178</v>
      </c>
      <c r="B31" s="242">
        <f>(4-0.5)/4</f>
        <v>0.875</v>
      </c>
      <c r="C31" s="150">
        <v>1</v>
      </c>
      <c r="D31" s="150">
        <v>4</v>
      </c>
      <c r="E31" s="150">
        <f t="shared" si="1"/>
        <v>3.5</v>
      </c>
      <c r="F31" s="150"/>
      <c r="G31" s="240" t="s">
        <v>179</v>
      </c>
    </row>
    <row r="32" spans="1:7" ht="167.25">
      <c r="A32" s="146" t="s">
        <v>180</v>
      </c>
      <c r="B32" s="147">
        <f>(10-1)/10</f>
        <v>0.9</v>
      </c>
      <c r="C32" s="147">
        <v>1</v>
      </c>
      <c r="D32" s="147">
        <v>10</v>
      </c>
      <c r="E32" s="147">
        <f t="shared" si="1"/>
        <v>9</v>
      </c>
      <c r="F32" s="147"/>
      <c r="G32" s="241" t="s">
        <v>181</v>
      </c>
    </row>
    <row r="33" spans="1:7" ht="60.75">
      <c r="A33" s="152" t="s">
        <v>182</v>
      </c>
      <c r="B33" s="153">
        <v>1</v>
      </c>
      <c r="C33" s="153">
        <v>0.95</v>
      </c>
      <c r="D33" s="153">
        <v>8</v>
      </c>
      <c r="E33" s="153">
        <f t="shared" si="1"/>
        <v>7.6</v>
      </c>
      <c r="F33" s="153" t="s">
        <v>47</v>
      </c>
      <c r="G33" s="245" t="s">
        <v>183</v>
      </c>
    </row>
    <row r="34" spans="1:7">
      <c r="A34" s="154" t="s">
        <v>163</v>
      </c>
      <c r="B34" s="155"/>
      <c r="C34" s="155"/>
      <c r="D34" s="155">
        <f>SUM(D24:D33)</f>
        <v>100</v>
      </c>
      <c r="E34" s="156">
        <f>(SUM(E24:E33) + E36+E37+E38)/D34</f>
        <v>0.85611999999999999</v>
      </c>
      <c r="F34" s="156"/>
      <c r="G34" s="157"/>
    </row>
    <row r="35" spans="1:7">
      <c r="A35" s="158" t="s">
        <v>164</v>
      </c>
      <c r="B35" s="159" t="s">
        <v>14</v>
      </c>
      <c r="C35" s="159"/>
      <c r="D35" s="159" t="s">
        <v>4</v>
      </c>
      <c r="E35" s="160" t="s">
        <v>143</v>
      </c>
      <c r="F35" s="160"/>
      <c r="G35" s="161" t="s">
        <v>15</v>
      </c>
    </row>
    <row r="36" spans="1:7">
      <c r="A36" s="162" t="s">
        <v>165</v>
      </c>
      <c r="B36" s="163">
        <v>0</v>
      </c>
      <c r="C36" s="163"/>
      <c r="D36" s="164">
        <v>-10</v>
      </c>
      <c r="E36" s="163">
        <f>B36*D36</f>
        <v>0</v>
      </c>
      <c r="F36" s="163"/>
      <c r="G36" s="165"/>
    </row>
    <row r="37" spans="1:7">
      <c r="A37" s="166" t="s">
        <v>184</v>
      </c>
      <c r="B37" s="167">
        <v>0</v>
      </c>
      <c r="C37" s="167"/>
      <c r="D37" s="168">
        <v>-15</v>
      </c>
      <c r="E37" s="167">
        <f>B37*D37</f>
        <v>0</v>
      </c>
      <c r="F37" s="167"/>
      <c r="G37" s="169"/>
    </row>
    <row r="38" spans="1:7">
      <c r="A38" s="170" t="s">
        <v>185</v>
      </c>
      <c r="B38" s="171">
        <v>0</v>
      </c>
      <c r="C38" s="171"/>
      <c r="D38" s="172">
        <v>-5</v>
      </c>
      <c r="E38" s="171">
        <f>B38*D38</f>
        <v>0</v>
      </c>
      <c r="F38" s="171"/>
      <c r="G38" s="173"/>
    </row>
    <row r="39" spans="1:7" ht="23.25">
      <c r="A39" s="288" t="s">
        <v>8</v>
      </c>
      <c r="B39" s="289"/>
      <c r="C39" s="289"/>
      <c r="D39" s="289"/>
      <c r="E39" s="289"/>
      <c r="F39" s="289"/>
      <c r="G39" s="290"/>
    </row>
    <row r="40" spans="1:7">
      <c r="A40" s="174" t="s">
        <v>141</v>
      </c>
      <c r="B40" s="175" t="s">
        <v>14</v>
      </c>
      <c r="C40" s="175" t="s">
        <v>142</v>
      </c>
      <c r="D40" s="175" t="s">
        <v>4</v>
      </c>
      <c r="E40" s="175" t="s">
        <v>143</v>
      </c>
      <c r="F40" s="175" t="s">
        <v>17</v>
      </c>
      <c r="G40" s="176" t="s">
        <v>15</v>
      </c>
    </row>
    <row r="41" spans="1:7">
      <c r="A41" s="177" t="s">
        <v>186</v>
      </c>
      <c r="B41" s="178">
        <v>0</v>
      </c>
      <c r="C41" s="178">
        <v>0</v>
      </c>
      <c r="D41" s="178">
        <v>16</v>
      </c>
      <c r="E41" s="178">
        <f t="shared" ref="E41:E49" si="2">B41*C41*D41</f>
        <v>0</v>
      </c>
      <c r="F41" s="178"/>
      <c r="G41" s="179"/>
    </row>
    <row r="42" spans="1:7">
      <c r="A42" s="180" t="s">
        <v>187</v>
      </c>
      <c r="B42" s="181">
        <v>0</v>
      </c>
      <c r="C42" s="181">
        <v>0</v>
      </c>
      <c r="D42" s="181">
        <v>16</v>
      </c>
      <c r="E42" s="181">
        <f t="shared" si="2"/>
        <v>0</v>
      </c>
      <c r="F42" s="181"/>
      <c r="G42" s="182"/>
    </row>
    <row r="43" spans="1:7">
      <c r="A43" s="177" t="s">
        <v>188</v>
      </c>
      <c r="B43" s="178">
        <v>0</v>
      </c>
      <c r="C43" s="178">
        <v>0</v>
      </c>
      <c r="D43" s="178">
        <v>15</v>
      </c>
      <c r="E43" s="178">
        <f t="shared" si="2"/>
        <v>0</v>
      </c>
      <c r="F43" s="178"/>
      <c r="G43" s="179"/>
    </row>
    <row r="44" spans="1:7">
      <c r="A44" s="180" t="s">
        <v>189</v>
      </c>
      <c r="B44" s="181">
        <v>0</v>
      </c>
      <c r="C44" s="181">
        <v>0</v>
      </c>
      <c r="D44" s="181">
        <v>15</v>
      </c>
      <c r="E44" s="181">
        <f t="shared" si="2"/>
        <v>0</v>
      </c>
      <c r="F44" s="181"/>
      <c r="G44" s="182"/>
    </row>
    <row r="45" spans="1:7">
      <c r="A45" s="177" t="s">
        <v>190</v>
      </c>
      <c r="B45" s="178">
        <v>0</v>
      </c>
      <c r="C45" s="178">
        <v>0</v>
      </c>
      <c r="D45" s="178">
        <v>10</v>
      </c>
      <c r="E45" s="178">
        <f t="shared" si="2"/>
        <v>0</v>
      </c>
      <c r="F45" s="178"/>
      <c r="G45" s="179"/>
    </row>
    <row r="46" spans="1:7">
      <c r="A46" s="180" t="s">
        <v>191</v>
      </c>
      <c r="B46" s="181">
        <v>0</v>
      </c>
      <c r="C46" s="181">
        <v>0</v>
      </c>
      <c r="D46" s="181">
        <v>8</v>
      </c>
      <c r="E46" s="181">
        <f t="shared" si="2"/>
        <v>0</v>
      </c>
      <c r="F46" s="181"/>
      <c r="G46" s="182"/>
    </row>
    <row r="47" spans="1:7">
      <c r="A47" s="177" t="s">
        <v>192</v>
      </c>
      <c r="B47" s="178">
        <v>0</v>
      </c>
      <c r="C47" s="178">
        <v>0</v>
      </c>
      <c r="D47" s="178">
        <v>8</v>
      </c>
      <c r="E47" s="178">
        <f t="shared" si="2"/>
        <v>0</v>
      </c>
      <c r="F47" s="178"/>
      <c r="G47" s="179"/>
    </row>
    <row r="48" spans="1:7">
      <c r="A48" s="180" t="s">
        <v>193</v>
      </c>
      <c r="B48" s="181">
        <v>0</v>
      </c>
      <c r="C48" s="181">
        <v>0</v>
      </c>
      <c r="D48" s="181">
        <v>8</v>
      </c>
      <c r="E48" s="181">
        <f t="shared" si="2"/>
        <v>0</v>
      </c>
      <c r="F48" s="181"/>
      <c r="G48" s="182"/>
    </row>
    <row r="49" spans="1:7">
      <c r="A49" s="183" t="s">
        <v>194</v>
      </c>
      <c r="B49" s="184">
        <v>0</v>
      </c>
      <c r="C49" s="184">
        <v>0</v>
      </c>
      <c r="D49" s="184">
        <v>4</v>
      </c>
      <c r="E49" s="184">
        <f t="shared" si="2"/>
        <v>0</v>
      </c>
      <c r="F49" s="184"/>
      <c r="G49" s="185"/>
    </row>
    <row r="50" spans="1:7">
      <c r="A50" s="186" t="s">
        <v>163</v>
      </c>
      <c r="B50" s="187"/>
      <c r="C50" s="187"/>
      <c r="D50" s="187">
        <f>SUM(D41:D49)</f>
        <v>100</v>
      </c>
      <c r="E50" s="188">
        <f>(SUM(E41:E49) +E52+E53+E54)/D50</f>
        <v>0</v>
      </c>
      <c r="F50" s="188"/>
      <c r="G50" s="189"/>
    </row>
    <row r="51" spans="1:7">
      <c r="A51" s="190" t="s">
        <v>164</v>
      </c>
      <c r="B51" s="191" t="s">
        <v>14</v>
      </c>
      <c r="C51" s="191"/>
      <c r="D51" s="191" t="s">
        <v>4</v>
      </c>
      <c r="E51" s="192" t="s">
        <v>143</v>
      </c>
      <c r="F51" s="192"/>
      <c r="G51" s="193" t="s">
        <v>15</v>
      </c>
    </row>
    <row r="52" spans="1:7">
      <c r="A52" s="194" t="s">
        <v>165</v>
      </c>
      <c r="B52" s="195">
        <v>0</v>
      </c>
      <c r="C52" s="195"/>
      <c r="D52" s="196">
        <v>-10</v>
      </c>
      <c r="E52" s="195">
        <f>B52*D52</f>
        <v>0</v>
      </c>
      <c r="F52" s="195"/>
      <c r="G52" s="197"/>
    </row>
    <row r="53" spans="1:7">
      <c r="A53" s="198" t="s">
        <v>195</v>
      </c>
      <c r="B53" s="199">
        <v>0</v>
      </c>
      <c r="C53" s="199"/>
      <c r="D53" s="200">
        <v>-15</v>
      </c>
      <c r="E53" s="199">
        <f>B53*D53</f>
        <v>0</v>
      </c>
      <c r="F53" s="199"/>
      <c r="G53" s="201"/>
    </row>
    <row r="54" spans="1:7">
      <c r="A54" s="202" t="s">
        <v>185</v>
      </c>
      <c r="B54" s="203">
        <v>0</v>
      </c>
      <c r="C54" s="203"/>
      <c r="D54" s="204">
        <v>-5</v>
      </c>
      <c r="E54" s="203">
        <f>B54*D54</f>
        <v>0</v>
      </c>
      <c r="F54" s="203"/>
      <c r="G54" s="205"/>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C12:C13" xr:uid="{CC44C972-8B8F-4678-BAEB-D51FFB0200E2}">
      <formula1>0</formula1>
      <formula2>1</formula2>
    </dataValidation>
    <dataValidation type="list" allowBlank="1" showInputMessage="1" showErrorMessage="1" sqref="C20 C41:C49 C8:C10 C14: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2022-04-12T00:44:18Z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