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https://uniwa-my.sharepoint.com/personal/23059859_student_uwa_edu_au/Documents/UWA/05. Year 5/Semester 1/GENG5511 MPE Engineering Research Project/Project/Research_Project/GENG5511_Thesis/data/"/>
    </mc:Choice>
  </mc:AlternateContent>
  <xr:revisionPtr revIDLastSave="1696" documentId="11_22F1BAD03468D69DA182D2C1BD567C220BA5FEB6" xr6:coauthVersionLast="47" xr6:coauthVersionMax="47" xr10:uidLastSave="{DA41A0D2-73B7-43A2-B83A-7E2708D4287F}"/>
  <bookViews>
    <workbookView xWindow="-120" yWindow="-120" windowWidth="29040" windowHeight="15720" activeTab="1" xr2:uid="{00000000-000D-0000-FFFF-FFFF00000000}"/>
  </bookViews>
  <sheets>
    <sheet name="thermal expansion coefficient" sheetId="2" r:id="rId1"/>
    <sheet name="heat capacity" sheetId="4" r:id="rId2"/>
    <sheet name="melting" sheetId="6" r:id="rId3"/>
    <sheet name="cell volume" sheetId="1" r:id="rId4"/>
    <sheet name="compressibility_bulk modulus" sheetId="3" r:id="rId5"/>
    <sheet name="sublimation" sheetId="5" r:id="rId6"/>
    <sheet name="heat of sublimation" sheetId="7" r:id="rId7"/>
    <sheet name="heat of fusion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2" l="1"/>
  <c r="H47" i="2"/>
  <c r="H46" i="2"/>
  <c r="H45" i="2"/>
  <c r="H44" i="2"/>
  <c r="H43" i="2"/>
  <c r="H42" i="2"/>
  <c r="H41" i="2"/>
  <c r="H40" i="2"/>
  <c r="H39" i="2"/>
  <c r="H38" i="2"/>
  <c r="H37" i="2"/>
  <c r="H36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63" i="2"/>
  <c r="H62" i="2"/>
  <c r="H61" i="2"/>
  <c r="H60" i="2"/>
  <c r="H59" i="2"/>
  <c r="H58" i="2"/>
  <c r="H57" i="2"/>
  <c r="H56" i="2"/>
  <c r="H55" i="2"/>
  <c r="H54" i="2"/>
  <c r="H53" i="2"/>
  <c r="H52" i="2"/>
  <c r="H50" i="2"/>
  <c r="H51" i="2"/>
  <c r="H49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8" i="2"/>
  <c r="H7" i="2"/>
  <c r="H6" i="2"/>
  <c r="H4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8" i="2"/>
  <c r="H77" i="2"/>
  <c r="H76" i="2"/>
  <c r="H75" i="2"/>
  <c r="H74" i="2"/>
  <c r="H73" i="2"/>
  <c r="H72" i="2"/>
  <c r="H71" i="2"/>
  <c r="H70" i="2"/>
  <c r="H69" i="2"/>
  <c r="H68" i="2"/>
  <c r="H67" i="2"/>
  <c r="H65" i="2"/>
  <c r="H64" i="2"/>
  <c r="H112" i="2"/>
  <c r="H111" i="2"/>
  <c r="H110" i="2"/>
  <c r="H109" i="2"/>
  <c r="H79" i="2"/>
  <c r="H66" i="2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H10" i="8"/>
  <c r="G10" i="8" s="1"/>
  <c r="H9" i="8"/>
  <c r="G9" i="8"/>
  <c r="H8" i="8"/>
  <c r="G8" i="8" s="1"/>
  <c r="H7" i="8"/>
  <c r="G7" i="8"/>
  <c r="H6" i="8"/>
  <c r="G6" i="8" s="1"/>
  <c r="H5" i="8"/>
  <c r="G5" i="8" s="1"/>
  <c r="H4" i="8"/>
  <c r="G4" i="8"/>
  <c r="D33" i="7"/>
  <c r="D32" i="7"/>
  <c r="G29" i="7"/>
  <c r="F29" i="7"/>
  <c r="G28" i="7"/>
  <c r="F28" i="7"/>
  <c r="F27" i="7"/>
  <c r="F26" i="7"/>
  <c r="F25" i="7"/>
  <c r="F24" i="7"/>
  <c r="F23" i="7"/>
  <c r="K135" i="3"/>
  <c r="F135" i="3" s="1"/>
  <c r="J135" i="3"/>
  <c r="J134" i="3"/>
  <c r="K134" i="3" s="1"/>
  <c r="F134" i="3" s="1"/>
  <c r="K133" i="3"/>
  <c r="J133" i="3"/>
  <c r="F133" i="3"/>
  <c r="J132" i="3"/>
  <c r="K132" i="3" s="1"/>
  <c r="F132" i="3" s="1"/>
  <c r="K131" i="3"/>
  <c r="F131" i="3" s="1"/>
  <c r="J131" i="3"/>
  <c r="J130" i="3"/>
  <c r="K130" i="3" s="1"/>
  <c r="F130" i="3" s="1"/>
  <c r="K129" i="3"/>
  <c r="J129" i="3"/>
  <c r="F129" i="3"/>
  <c r="J128" i="3"/>
  <c r="K128" i="3" s="1"/>
  <c r="F128" i="3" s="1"/>
  <c r="K127" i="3"/>
  <c r="F127" i="3" s="1"/>
  <c r="J127" i="3"/>
  <c r="J126" i="3"/>
  <c r="K126" i="3" s="1"/>
  <c r="F126" i="3" s="1"/>
  <c r="K125" i="3"/>
  <c r="J125" i="3"/>
  <c r="F125" i="3"/>
  <c r="J124" i="3"/>
  <c r="K124" i="3" s="1"/>
  <c r="F124" i="3" s="1"/>
  <c r="K123" i="3"/>
  <c r="F123" i="3" s="1"/>
  <c r="J123" i="3"/>
  <c r="J122" i="3"/>
  <c r="K122" i="3" s="1"/>
  <c r="F122" i="3" s="1"/>
  <c r="K121" i="3"/>
  <c r="J121" i="3"/>
  <c r="F121" i="3"/>
  <c r="J120" i="3"/>
  <c r="K120" i="3" s="1"/>
  <c r="F120" i="3" s="1"/>
  <c r="K119" i="3"/>
  <c r="F119" i="3" s="1"/>
  <c r="J119" i="3"/>
  <c r="J118" i="3"/>
  <c r="K118" i="3" s="1"/>
  <c r="F118" i="3" s="1"/>
  <c r="K117" i="3"/>
  <c r="J117" i="3"/>
  <c r="F117" i="3"/>
  <c r="J116" i="3"/>
  <c r="K116" i="3" s="1"/>
  <c r="F116" i="3" s="1"/>
  <c r="K115" i="3"/>
  <c r="F115" i="3" s="1"/>
  <c r="J115" i="3"/>
  <c r="J114" i="3"/>
  <c r="K114" i="3" s="1"/>
  <c r="F114" i="3" s="1"/>
  <c r="K113" i="3"/>
  <c r="J113" i="3"/>
  <c r="F113" i="3"/>
  <c r="J112" i="3"/>
  <c r="K112" i="3" s="1"/>
  <c r="F112" i="3" s="1"/>
  <c r="K111" i="3"/>
  <c r="F111" i="3" s="1"/>
  <c r="J111" i="3"/>
  <c r="J110" i="3"/>
  <c r="K110" i="3" s="1"/>
  <c r="F110" i="3" s="1"/>
  <c r="K109" i="3"/>
  <c r="J109" i="3"/>
  <c r="F109" i="3"/>
  <c r="J108" i="3"/>
  <c r="K108" i="3" s="1"/>
  <c r="F108" i="3" s="1"/>
  <c r="F107" i="3"/>
  <c r="F106" i="3"/>
  <c r="F105" i="3"/>
  <c r="F104" i="3"/>
  <c r="F103" i="3"/>
  <c r="F102" i="3"/>
  <c r="F101" i="3"/>
  <c r="F100" i="3"/>
  <c r="F99" i="3"/>
  <c r="J98" i="3"/>
  <c r="K98" i="3" s="1"/>
  <c r="F98" i="3" s="1"/>
  <c r="K97" i="3"/>
  <c r="F97" i="3" s="1"/>
  <c r="J97" i="3"/>
  <c r="K96" i="3"/>
  <c r="F96" i="3" s="1"/>
  <c r="K95" i="3"/>
  <c r="F95" i="3"/>
  <c r="K94" i="3"/>
  <c r="F94" i="3"/>
  <c r="K93" i="3"/>
  <c r="F93" i="3"/>
  <c r="K92" i="3"/>
  <c r="F92" i="3" s="1"/>
  <c r="K91" i="3"/>
  <c r="F91" i="3" s="1"/>
  <c r="K90" i="3"/>
  <c r="F90" i="3" s="1"/>
  <c r="K89" i="3"/>
  <c r="F89" i="3"/>
  <c r="K88" i="3"/>
  <c r="F88" i="3"/>
  <c r="K87" i="3"/>
  <c r="F87" i="3"/>
  <c r="K86" i="3"/>
  <c r="F86" i="3" s="1"/>
  <c r="K85" i="3"/>
  <c r="F85" i="3" s="1"/>
  <c r="K84" i="3"/>
  <c r="F84" i="3" s="1"/>
  <c r="K83" i="3"/>
  <c r="F83" i="3"/>
  <c r="N82" i="3"/>
  <c r="F82" i="3"/>
  <c r="N81" i="3"/>
  <c r="F81" i="3"/>
  <c r="T79" i="3"/>
  <c r="F79" i="3"/>
  <c r="T78" i="3"/>
  <c r="F78" i="3"/>
  <c r="T77" i="3"/>
  <c r="F77" i="3"/>
  <c r="T76" i="3"/>
  <c r="F76" i="3"/>
  <c r="T75" i="3"/>
  <c r="F75" i="3"/>
  <c r="T74" i="3"/>
  <c r="F74" i="3"/>
  <c r="T73" i="3"/>
  <c r="F73" i="3"/>
  <c r="T72" i="3"/>
  <c r="T71" i="3"/>
  <c r="X70" i="3"/>
  <c r="Y70" i="3" s="1"/>
  <c r="T70" i="3" s="1"/>
  <c r="K70" i="3"/>
  <c r="J70" i="3"/>
  <c r="F70" i="3"/>
  <c r="X69" i="3"/>
  <c r="Y69" i="3" s="1"/>
  <c r="T69" i="3" s="1"/>
  <c r="K69" i="3"/>
  <c r="F69" i="3" s="1"/>
  <c r="J69" i="3"/>
  <c r="X68" i="3"/>
  <c r="Y68" i="3" s="1"/>
  <c r="T68" i="3" s="1"/>
  <c r="F68" i="3"/>
  <c r="X67" i="3"/>
  <c r="Y67" i="3" s="1"/>
  <c r="T67" i="3" s="1"/>
  <c r="F67" i="3"/>
  <c r="Y66" i="3"/>
  <c r="T66" i="3" s="1"/>
  <c r="X66" i="3"/>
  <c r="F66" i="3"/>
  <c r="X65" i="3"/>
  <c r="Y65" i="3" s="1"/>
  <c r="T65" i="3" s="1"/>
  <c r="F65" i="3"/>
  <c r="X64" i="3"/>
  <c r="Y64" i="3" s="1"/>
  <c r="T64" i="3" s="1"/>
  <c r="F64" i="3"/>
  <c r="Y63" i="3"/>
  <c r="T63" i="3" s="1"/>
  <c r="X63" i="3"/>
  <c r="F63" i="3"/>
  <c r="X62" i="3"/>
  <c r="Y62" i="3" s="1"/>
  <c r="T62" i="3" s="1"/>
  <c r="F62" i="3"/>
  <c r="X61" i="3"/>
  <c r="Y61" i="3" s="1"/>
  <c r="T61" i="3" s="1"/>
  <c r="N61" i="3"/>
  <c r="F61" i="3" s="1"/>
  <c r="Y60" i="3"/>
  <c r="T60" i="3" s="1"/>
  <c r="X60" i="3"/>
  <c r="N60" i="3"/>
  <c r="F60" i="3" s="1"/>
  <c r="X59" i="3"/>
  <c r="Y59" i="3" s="1"/>
  <c r="T59" i="3" s="1"/>
  <c r="N59" i="3"/>
  <c r="F59" i="3"/>
  <c r="Y58" i="3"/>
  <c r="T58" i="3" s="1"/>
  <c r="X58" i="3"/>
  <c r="N58" i="3"/>
  <c r="F58" i="3" s="1"/>
  <c r="X57" i="3"/>
  <c r="Y57" i="3" s="1"/>
  <c r="T57" i="3" s="1"/>
  <c r="N57" i="3"/>
  <c r="F57" i="3" s="1"/>
  <c r="X56" i="3"/>
  <c r="Y56" i="3" s="1"/>
  <c r="T56" i="3" s="1"/>
  <c r="K56" i="3"/>
  <c r="F56" i="3" s="1"/>
  <c r="J56" i="3"/>
  <c r="X55" i="3"/>
  <c r="Y55" i="3" s="1"/>
  <c r="T55" i="3" s="1"/>
  <c r="J55" i="3"/>
  <c r="K55" i="3" s="1"/>
  <c r="F55" i="3" s="1"/>
  <c r="X54" i="3"/>
  <c r="Y54" i="3" s="1"/>
  <c r="T54" i="3" s="1"/>
  <c r="K54" i="3"/>
  <c r="F54" i="3" s="1"/>
  <c r="J54" i="3"/>
  <c r="X53" i="3"/>
  <c r="Y53" i="3" s="1"/>
  <c r="T53" i="3" s="1"/>
  <c r="J53" i="3"/>
  <c r="K53" i="3" s="1"/>
  <c r="F53" i="3" s="1"/>
  <c r="X52" i="3"/>
  <c r="Y52" i="3" s="1"/>
  <c r="T52" i="3" s="1"/>
  <c r="K52" i="3"/>
  <c r="F52" i="3" s="1"/>
  <c r="J52" i="3"/>
  <c r="X51" i="3"/>
  <c r="Y51" i="3" s="1"/>
  <c r="T51" i="3" s="1"/>
  <c r="J51" i="3"/>
  <c r="K51" i="3" s="1"/>
  <c r="F51" i="3" s="1"/>
  <c r="X50" i="3"/>
  <c r="Y50" i="3" s="1"/>
  <c r="T50" i="3" s="1"/>
  <c r="K50" i="3"/>
  <c r="F50" i="3" s="1"/>
  <c r="J50" i="3"/>
  <c r="X49" i="3"/>
  <c r="Y49" i="3" s="1"/>
  <c r="T49" i="3" s="1"/>
  <c r="J49" i="3"/>
  <c r="K49" i="3" s="1"/>
  <c r="F49" i="3" s="1"/>
  <c r="X48" i="3"/>
  <c r="Y48" i="3" s="1"/>
  <c r="T48" i="3" s="1"/>
  <c r="K48" i="3"/>
  <c r="F48" i="3" s="1"/>
  <c r="J48" i="3"/>
  <c r="X47" i="3"/>
  <c r="Y47" i="3" s="1"/>
  <c r="T47" i="3" s="1"/>
  <c r="J47" i="3"/>
  <c r="K47" i="3" s="1"/>
  <c r="F47" i="3" s="1"/>
  <c r="X46" i="3"/>
  <c r="Y46" i="3" s="1"/>
  <c r="T46" i="3" s="1"/>
  <c r="K46" i="3"/>
  <c r="F46" i="3" s="1"/>
  <c r="J46" i="3"/>
  <c r="X45" i="3"/>
  <c r="Y45" i="3" s="1"/>
  <c r="T45" i="3" s="1"/>
  <c r="J45" i="3"/>
  <c r="K45" i="3" s="1"/>
  <c r="F45" i="3" s="1"/>
  <c r="X44" i="3"/>
  <c r="Y44" i="3" s="1"/>
  <c r="T44" i="3" s="1"/>
  <c r="K44" i="3"/>
  <c r="F44" i="3" s="1"/>
  <c r="J44" i="3"/>
  <c r="X43" i="3"/>
  <c r="Y43" i="3" s="1"/>
  <c r="T43" i="3" s="1"/>
  <c r="J43" i="3"/>
  <c r="K43" i="3" s="1"/>
  <c r="F43" i="3" s="1"/>
  <c r="X42" i="3"/>
  <c r="Y42" i="3" s="1"/>
  <c r="T42" i="3" s="1"/>
  <c r="K42" i="3"/>
  <c r="F42" i="3" s="1"/>
  <c r="J42" i="3"/>
  <c r="U41" i="3"/>
  <c r="T41" i="3"/>
  <c r="J41" i="3"/>
  <c r="K41" i="3" s="1"/>
  <c r="F41" i="3" s="1"/>
  <c r="U40" i="3"/>
  <c r="T40" i="3"/>
  <c r="J40" i="3"/>
  <c r="K40" i="3" s="1"/>
  <c r="F40" i="3" s="1"/>
  <c r="U39" i="3"/>
  <c r="T39" i="3" s="1"/>
  <c r="J39" i="3"/>
  <c r="K39" i="3" s="1"/>
  <c r="F39" i="3" s="1"/>
  <c r="U38" i="3"/>
  <c r="T38" i="3"/>
  <c r="J38" i="3"/>
  <c r="K38" i="3" s="1"/>
  <c r="F38" i="3" s="1"/>
  <c r="U37" i="3"/>
  <c r="T37" i="3" s="1"/>
  <c r="F37" i="3"/>
  <c r="U36" i="3"/>
  <c r="T36" i="3" s="1"/>
  <c r="F36" i="3"/>
  <c r="U35" i="3"/>
  <c r="T35" i="3"/>
  <c r="F35" i="3"/>
  <c r="U34" i="3"/>
  <c r="T34" i="3"/>
  <c r="F34" i="3"/>
  <c r="U33" i="3"/>
  <c r="T33" i="3" s="1"/>
  <c r="F33" i="3"/>
  <c r="T32" i="3"/>
  <c r="F32" i="3"/>
  <c r="T31" i="3"/>
  <c r="F31" i="3"/>
  <c r="T30" i="3"/>
  <c r="F30" i="3"/>
  <c r="T29" i="3"/>
  <c r="F29" i="3"/>
  <c r="T28" i="3"/>
  <c r="F28" i="3"/>
  <c r="T27" i="3"/>
  <c r="F27" i="3"/>
  <c r="T26" i="3"/>
  <c r="F26" i="3"/>
  <c r="T25" i="3"/>
  <c r="F25" i="3"/>
  <c r="T24" i="3"/>
  <c r="F24" i="3"/>
  <c r="T23" i="3"/>
  <c r="F23" i="3"/>
  <c r="T22" i="3"/>
  <c r="T21" i="3"/>
  <c r="T20" i="3"/>
  <c r="J20" i="3"/>
  <c r="F20" i="3"/>
  <c r="T19" i="3"/>
  <c r="J19" i="3"/>
  <c r="F19" i="3"/>
  <c r="T18" i="3"/>
  <c r="J18" i="3"/>
  <c r="F18" i="3"/>
  <c r="T17" i="3"/>
  <c r="J17" i="3"/>
  <c r="F17" i="3"/>
  <c r="T16" i="3"/>
  <c r="J16" i="3"/>
  <c r="F16" i="3"/>
  <c r="T15" i="3"/>
  <c r="J15" i="3"/>
  <c r="F15" i="3"/>
  <c r="T14" i="3"/>
  <c r="J14" i="3"/>
  <c r="F14" i="3"/>
  <c r="T13" i="3"/>
  <c r="T12" i="3"/>
  <c r="J12" i="3"/>
  <c r="F12" i="3"/>
  <c r="T11" i="3"/>
  <c r="J11" i="3"/>
  <c r="F11" i="3"/>
  <c r="T10" i="3"/>
  <c r="J10" i="3"/>
  <c r="F10" i="3"/>
  <c r="T9" i="3"/>
  <c r="J9" i="3"/>
  <c r="F9" i="3"/>
  <c r="T8" i="3"/>
  <c r="J8" i="3"/>
  <c r="F8" i="3"/>
  <c r="T7" i="3"/>
  <c r="J7" i="3"/>
  <c r="F7" i="3"/>
  <c r="T6" i="3"/>
  <c r="J6" i="3"/>
  <c r="F6" i="3"/>
  <c r="T5" i="3"/>
  <c r="N588" i="1"/>
  <c r="O588" i="1" s="1"/>
  <c r="H588" i="1"/>
  <c r="O587" i="1"/>
  <c r="N587" i="1"/>
  <c r="H587" i="1"/>
  <c r="N586" i="1"/>
  <c r="O586" i="1" s="1"/>
  <c r="H586" i="1"/>
  <c r="N585" i="1"/>
  <c r="O585" i="1" s="1"/>
  <c r="H585" i="1"/>
  <c r="N584" i="1"/>
  <c r="O584" i="1" s="1"/>
  <c r="H584" i="1"/>
  <c r="N583" i="1"/>
  <c r="O583" i="1" s="1"/>
  <c r="H583" i="1"/>
  <c r="N582" i="1"/>
  <c r="O582" i="1" s="1"/>
  <c r="H582" i="1"/>
  <c r="N581" i="1"/>
  <c r="O581" i="1" s="1"/>
  <c r="H581" i="1"/>
  <c r="N580" i="1"/>
  <c r="O580" i="1" s="1"/>
  <c r="H580" i="1"/>
  <c r="N579" i="1"/>
  <c r="O579" i="1" s="1"/>
  <c r="H579" i="1"/>
  <c r="N578" i="1"/>
  <c r="O578" i="1" s="1"/>
  <c r="H578" i="1"/>
  <c r="N577" i="1"/>
  <c r="O577" i="1" s="1"/>
  <c r="H577" i="1"/>
  <c r="N576" i="1"/>
  <c r="O576" i="1" s="1"/>
  <c r="H576" i="1"/>
  <c r="N575" i="1"/>
  <c r="O575" i="1" s="1"/>
  <c r="H575" i="1"/>
  <c r="N574" i="1"/>
  <c r="O574" i="1" s="1"/>
  <c r="H574" i="1"/>
  <c r="N573" i="1"/>
  <c r="O573" i="1" s="1"/>
  <c r="H573" i="1"/>
  <c r="N572" i="1"/>
  <c r="O572" i="1" s="1"/>
  <c r="H572" i="1"/>
  <c r="N571" i="1"/>
  <c r="O571" i="1" s="1"/>
  <c r="H571" i="1"/>
  <c r="N570" i="1"/>
  <c r="O570" i="1" s="1"/>
  <c r="H570" i="1"/>
  <c r="N569" i="1"/>
  <c r="O569" i="1" s="1"/>
  <c r="H569" i="1"/>
  <c r="N568" i="1"/>
  <c r="O568" i="1" s="1"/>
  <c r="H568" i="1"/>
  <c r="N567" i="1"/>
  <c r="O567" i="1" s="1"/>
  <c r="H567" i="1"/>
  <c r="N566" i="1"/>
  <c r="O566" i="1" s="1"/>
  <c r="H566" i="1"/>
  <c r="N565" i="1"/>
  <c r="O565" i="1" s="1"/>
  <c r="H565" i="1"/>
  <c r="N564" i="1"/>
  <c r="O564" i="1" s="1"/>
  <c r="H564" i="1"/>
  <c r="N563" i="1"/>
  <c r="O563" i="1" s="1"/>
  <c r="H563" i="1"/>
  <c r="N562" i="1"/>
  <c r="O562" i="1" s="1"/>
  <c r="H562" i="1"/>
  <c r="N561" i="1"/>
  <c r="O561" i="1" s="1"/>
  <c r="H561" i="1"/>
  <c r="N560" i="1"/>
  <c r="O560" i="1" s="1"/>
  <c r="H560" i="1"/>
  <c r="N559" i="1"/>
  <c r="O559" i="1" s="1"/>
  <c r="H559" i="1"/>
  <c r="N558" i="1"/>
  <c r="O558" i="1" s="1"/>
  <c r="H558" i="1"/>
  <c r="N557" i="1"/>
  <c r="O557" i="1" s="1"/>
  <c r="H557" i="1"/>
  <c r="N556" i="1"/>
  <c r="O556" i="1" s="1"/>
  <c r="H556" i="1"/>
  <c r="N555" i="1"/>
  <c r="O555" i="1" s="1"/>
  <c r="H555" i="1"/>
  <c r="N554" i="1"/>
  <c r="O554" i="1" s="1"/>
  <c r="H554" i="1"/>
  <c r="S553" i="1"/>
  <c r="H553" i="1" s="1"/>
  <c r="Q553" i="1"/>
  <c r="G553" i="1" s="1"/>
  <c r="F553" i="1"/>
  <c r="S552" i="1"/>
  <c r="H552" i="1" s="1"/>
  <c r="Q552" i="1"/>
  <c r="G552" i="1" s="1"/>
  <c r="F552" i="1"/>
  <c r="S551" i="1"/>
  <c r="H551" i="1" s="1"/>
  <c r="Q551" i="1"/>
  <c r="G551" i="1" s="1"/>
  <c r="F551" i="1"/>
  <c r="S550" i="1"/>
  <c r="H550" i="1" s="1"/>
  <c r="Q550" i="1"/>
  <c r="G550" i="1"/>
  <c r="F550" i="1"/>
  <c r="S549" i="1"/>
  <c r="H549" i="1" s="1"/>
  <c r="Q549" i="1"/>
  <c r="G549" i="1" s="1"/>
  <c r="F549" i="1"/>
  <c r="S548" i="1"/>
  <c r="H548" i="1" s="1"/>
  <c r="Q548" i="1"/>
  <c r="G548" i="1"/>
  <c r="F548" i="1"/>
  <c r="S547" i="1"/>
  <c r="H547" i="1" s="1"/>
  <c r="Q547" i="1"/>
  <c r="G547" i="1" s="1"/>
  <c r="F547" i="1"/>
  <c r="S546" i="1"/>
  <c r="H546" i="1" s="1"/>
  <c r="Q546" i="1"/>
  <c r="G546" i="1" s="1"/>
  <c r="F546" i="1"/>
  <c r="S545" i="1"/>
  <c r="H545" i="1" s="1"/>
  <c r="Q545" i="1"/>
  <c r="G545" i="1" s="1"/>
  <c r="F545" i="1"/>
  <c r="S544" i="1"/>
  <c r="H544" i="1" s="1"/>
  <c r="Q544" i="1"/>
  <c r="G544" i="1" s="1"/>
  <c r="F544" i="1"/>
  <c r="S543" i="1"/>
  <c r="H543" i="1" s="1"/>
  <c r="Q543" i="1"/>
  <c r="G543" i="1" s="1"/>
  <c r="F543" i="1"/>
  <c r="S542" i="1"/>
  <c r="H542" i="1" s="1"/>
  <c r="Q542" i="1"/>
  <c r="G542" i="1" s="1"/>
  <c r="F542" i="1"/>
  <c r="S541" i="1"/>
  <c r="H541" i="1" s="1"/>
  <c r="Q541" i="1"/>
  <c r="G541" i="1" s="1"/>
  <c r="F541" i="1"/>
  <c r="S540" i="1"/>
  <c r="H540" i="1" s="1"/>
  <c r="Q540" i="1"/>
  <c r="G540" i="1" s="1"/>
  <c r="F540" i="1"/>
  <c r="S539" i="1"/>
  <c r="H539" i="1" s="1"/>
  <c r="Q539" i="1"/>
  <c r="G539" i="1" s="1"/>
  <c r="F539" i="1"/>
  <c r="S538" i="1"/>
  <c r="Q538" i="1"/>
  <c r="G538" i="1" s="1"/>
  <c r="H538" i="1"/>
  <c r="F538" i="1"/>
  <c r="S537" i="1"/>
  <c r="H537" i="1" s="1"/>
  <c r="Q537" i="1"/>
  <c r="G537" i="1" s="1"/>
  <c r="F537" i="1"/>
  <c r="S536" i="1"/>
  <c r="H536" i="1" s="1"/>
  <c r="Q536" i="1"/>
  <c r="G536" i="1"/>
  <c r="F536" i="1"/>
  <c r="S535" i="1"/>
  <c r="H535" i="1" s="1"/>
  <c r="Q535" i="1"/>
  <c r="G535" i="1" s="1"/>
  <c r="F535" i="1"/>
  <c r="S534" i="1"/>
  <c r="H534" i="1" s="1"/>
  <c r="Q534" i="1"/>
  <c r="G534" i="1" s="1"/>
  <c r="F534" i="1"/>
  <c r="S533" i="1"/>
  <c r="H533" i="1" s="1"/>
  <c r="Q533" i="1"/>
  <c r="G533" i="1" s="1"/>
  <c r="F533" i="1"/>
  <c r="S532" i="1"/>
  <c r="H532" i="1" s="1"/>
  <c r="Q532" i="1"/>
  <c r="G532" i="1" s="1"/>
  <c r="F532" i="1"/>
  <c r="S531" i="1"/>
  <c r="H531" i="1" s="1"/>
  <c r="Q531" i="1"/>
  <c r="G531" i="1" s="1"/>
  <c r="F531" i="1"/>
  <c r="S530" i="1"/>
  <c r="H530" i="1" s="1"/>
  <c r="Q530" i="1"/>
  <c r="G530" i="1" s="1"/>
  <c r="F530" i="1"/>
  <c r="S529" i="1"/>
  <c r="H529" i="1" s="1"/>
  <c r="Q529" i="1"/>
  <c r="G529" i="1" s="1"/>
  <c r="F529" i="1"/>
  <c r="S528" i="1"/>
  <c r="H528" i="1" s="1"/>
  <c r="Q528" i="1"/>
  <c r="G528" i="1" s="1"/>
  <c r="F528" i="1"/>
  <c r="S527" i="1"/>
  <c r="H527" i="1" s="1"/>
  <c r="Q527" i="1"/>
  <c r="G527" i="1" s="1"/>
  <c r="F527" i="1"/>
  <c r="S526" i="1"/>
  <c r="H526" i="1" s="1"/>
  <c r="Q526" i="1"/>
  <c r="G526" i="1" s="1"/>
  <c r="F526" i="1"/>
  <c r="S525" i="1"/>
  <c r="H525" i="1" s="1"/>
  <c r="Q525" i="1"/>
  <c r="G525" i="1" s="1"/>
  <c r="F525" i="1"/>
  <c r="S524" i="1"/>
  <c r="H524" i="1" s="1"/>
  <c r="Q524" i="1"/>
  <c r="G524" i="1" s="1"/>
  <c r="F524" i="1"/>
  <c r="S523" i="1"/>
  <c r="H523" i="1" s="1"/>
  <c r="Q523" i="1"/>
  <c r="G523" i="1" s="1"/>
  <c r="F523" i="1"/>
  <c r="S522" i="1"/>
  <c r="H522" i="1" s="1"/>
  <c r="Q522" i="1"/>
  <c r="G522" i="1" s="1"/>
  <c r="F522" i="1"/>
  <c r="S521" i="1"/>
  <c r="H521" i="1" s="1"/>
  <c r="Q521" i="1"/>
  <c r="G521" i="1" s="1"/>
  <c r="F521" i="1"/>
  <c r="S520" i="1"/>
  <c r="H520" i="1" s="1"/>
  <c r="Q520" i="1"/>
  <c r="G520" i="1" s="1"/>
  <c r="F520" i="1"/>
  <c r="S519" i="1"/>
  <c r="H519" i="1" s="1"/>
  <c r="Q519" i="1"/>
  <c r="G519" i="1" s="1"/>
  <c r="F519" i="1"/>
  <c r="S518" i="1"/>
  <c r="H518" i="1" s="1"/>
  <c r="Q518" i="1"/>
  <c r="G518" i="1" s="1"/>
  <c r="F518" i="1"/>
  <c r="S517" i="1"/>
  <c r="H517" i="1" s="1"/>
  <c r="Q517" i="1"/>
  <c r="G517" i="1" s="1"/>
  <c r="F517" i="1"/>
  <c r="S516" i="1"/>
  <c r="H516" i="1" s="1"/>
  <c r="Q516" i="1"/>
  <c r="G516" i="1" s="1"/>
  <c r="F516" i="1"/>
  <c r="S515" i="1"/>
  <c r="H515" i="1" s="1"/>
  <c r="Q515" i="1"/>
  <c r="G515" i="1" s="1"/>
  <c r="F515" i="1"/>
  <c r="S514" i="1"/>
  <c r="H514" i="1" s="1"/>
  <c r="Q514" i="1"/>
  <c r="G514" i="1" s="1"/>
  <c r="F514" i="1"/>
  <c r="S513" i="1"/>
  <c r="H513" i="1" s="1"/>
  <c r="Q513" i="1"/>
  <c r="G513" i="1" s="1"/>
  <c r="F513" i="1"/>
  <c r="S512" i="1"/>
  <c r="H512" i="1" s="1"/>
  <c r="Q512" i="1"/>
  <c r="G512" i="1" s="1"/>
  <c r="F512" i="1"/>
  <c r="S511" i="1"/>
  <c r="H511" i="1" s="1"/>
  <c r="Q511" i="1"/>
  <c r="G511" i="1" s="1"/>
  <c r="F511" i="1"/>
  <c r="S510" i="1"/>
  <c r="H510" i="1" s="1"/>
  <c r="Q510" i="1"/>
  <c r="G510" i="1" s="1"/>
  <c r="F510" i="1"/>
  <c r="S509" i="1"/>
  <c r="H509" i="1" s="1"/>
  <c r="Q509" i="1"/>
  <c r="G509" i="1" s="1"/>
  <c r="F509" i="1"/>
  <c r="S508" i="1"/>
  <c r="H508" i="1" s="1"/>
  <c r="Q508" i="1"/>
  <c r="G508" i="1" s="1"/>
  <c r="F508" i="1"/>
  <c r="S507" i="1"/>
  <c r="H507" i="1" s="1"/>
  <c r="Q507" i="1"/>
  <c r="G507" i="1" s="1"/>
  <c r="F507" i="1"/>
  <c r="S506" i="1"/>
  <c r="H506" i="1" s="1"/>
  <c r="Q506" i="1"/>
  <c r="G506" i="1" s="1"/>
  <c r="F506" i="1"/>
  <c r="S505" i="1"/>
  <c r="H505" i="1" s="1"/>
  <c r="Q505" i="1"/>
  <c r="G505" i="1" s="1"/>
  <c r="F505" i="1"/>
  <c r="S504" i="1"/>
  <c r="H504" i="1" s="1"/>
  <c r="Q504" i="1"/>
  <c r="G504" i="1" s="1"/>
  <c r="F504" i="1"/>
  <c r="S503" i="1"/>
  <c r="Q503" i="1"/>
  <c r="G503" i="1" s="1"/>
  <c r="H503" i="1"/>
  <c r="F503" i="1"/>
  <c r="S502" i="1"/>
  <c r="H502" i="1" s="1"/>
  <c r="Q502" i="1"/>
  <c r="G502" i="1" s="1"/>
  <c r="F502" i="1"/>
  <c r="S501" i="1"/>
  <c r="H501" i="1" s="1"/>
  <c r="Q501" i="1"/>
  <c r="G501" i="1" s="1"/>
  <c r="F501" i="1"/>
  <c r="S500" i="1"/>
  <c r="H500" i="1" s="1"/>
  <c r="Q500" i="1"/>
  <c r="G500" i="1"/>
  <c r="F500" i="1"/>
  <c r="S499" i="1"/>
  <c r="H499" i="1" s="1"/>
  <c r="Q499" i="1"/>
  <c r="G499" i="1" s="1"/>
  <c r="F499" i="1"/>
  <c r="S498" i="1"/>
  <c r="H498" i="1" s="1"/>
  <c r="Q498" i="1"/>
  <c r="G498" i="1" s="1"/>
  <c r="F498" i="1"/>
  <c r="S497" i="1"/>
  <c r="H497" i="1" s="1"/>
  <c r="Q497" i="1"/>
  <c r="G497" i="1" s="1"/>
  <c r="F497" i="1"/>
  <c r="S496" i="1"/>
  <c r="H496" i="1" s="1"/>
  <c r="Q496" i="1"/>
  <c r="G496" i="1" s="1"/>
  <c r="F496" i="1"/>
  <c r="S495" i="1"/>
  <c r="H495" i="1" s="1"/>
  <c r="Q495" i="1"/>
  <c r="G495" i="1" s="1"/>
  <c r="F495" i="1"/>
  <c r="S494" i="1"/>
  <c r="H494" i="1" s="1"/>
  <c r="Q494" i="1"/>
  <c r="G494" i="1" s="1"/>
  <c r="F494" i="1"/>
  <c r="S493" i="1"/>
  <c r="H493" i="1" s="1"/>
  <c r="Q493" i="1"/>
  <c r="G493" i="1" s="1"/>
  <c r="F493" i="1"/>
  <c r="S492" i="1"/>
  <c r="H492" i="1" s="1"/>
  <c r="Q492" i="1"/>
  <c r="G492" i="1" s="1"/>
  <c r="F492" i="1"/>
  <c r="S491" i="1"/>
  <c r="H491" i="1" s="1"/>
  <c r="Q491" i="1"/>
  <c r="G491" i="1" s="1"/>
  <c r="F491" i="1"/>
  <c r="S490" i="1"/>
  <c r="H490" i="1" s="1"/>
  <c r="Q490" i="1"/>
  <c r="G490" i="1" s="1"/>
  <c r="F490" i="1"/>
  <c r="S489" i="1"/>
  <c r="H489" i="1" s="1"/>
  <c r="Q489" i="1"/>
  <c r="G489" i="1" s="1"/>
  <c r="F489" i="1"/>
  <c r="S488" i="1"/>
  <c r="H488" i="1" s="1"/>
  <c r="Q488" i="1"/>
  <c r="G488" i="1"/>
  <c r="F488" i="1"/>
  <c r="S487" i="1"/>
  <c r="H487" i="1" s="1"/>
  <c r="Q487" i="1"/>
  <c r="G487" i="1" s="1"/>
  <c r="F487" i="1"/>
  <c r="S486" i="1"/>
  <c r="H486" i="1" s="1"/>
  <c r="Q486" i="1"/>
  <c r="G486" i="1" s="1"/>
  <c r="F486" i="1"/>
  <c r="S485" i="1"/>
  <c r="H485" i="1" s="1"/>
  <c r="Q485" i="1"/>
  <c r="G485" i="1" s="1"/>
  <c r="F485" i="1"/>
  <c r="S484" i="1"/>
  <c r="H484" i="1" s="1"/>
  <c r="Q484" i="1"/>
  <c r="G484" i="1" s="1"/>
  <c r="F484" i="1"/>
  <c r="S483" i="1"/>
  <c r="H483" i="1" s="1"/>
  <c r="Q483" i="1"/>
  <c r="G483" i="1" s="1"/>
  <c r="F483" i="1"/>
  <c r="S482" i="1"/>
  <c r="H482" i="1" s="1"/>
  <c r="Q482" i="1"/>
  <c r="G482" i="1" s="1"/>
  <c r="F482" i="1"/>
  <c r="S481" i="1"/>
  <c r="H481" i="1" s="1"/>
  <c r="Q481" i="1"/>
  <c r="G481" i="1" s="1"/>
  <c r="F481" i="1"/>
  <c r="S480" i="1"/>
  <c r="H480" i="1" s="1"/>
  <c r="Q480" i="1"/>
  <c r="G480" i="1" s="1"/>
  <c r="F480" i="1"/>
  <c r="S479" i="1"/>
  <c r="H479" i="1" s="1"/>
  <c r="Q479" i="1"/>
  <c r="G479" i="1" s="1"/>
  <c r="F479" i="1"/>
  <c r="S478" i="1"/>
  <c r="H478" i="1" s="1"/>
  <c r="Q478" i="1"/>
  <c r="G478" i="1" s="1"/>
  <c r="F478" i="1"/>
  <c r="S477" i="1"/>
  <c r="H477" i="1" s="1"/>
  <c r="Q477" i="1"/>
  <c r="G477" i="1" s="1"/>
  <c r="F477" i="1"/>
  <c r="S476" i="1"/>
  <c r="H476" i="1" s="1"/>
  <c r="Q476" i="1"/>
  <c r="G476" i="1" s="1"/>
  <c r="F476" i="1"/>
  <c r="O475" i="1"/>
  <c r="H475" i="1"/>
  <c r="O474" i="1"/>
  <c r="H474" i="1"/>
  <c r="O473" i="1"/>
  <c r="H473" i="1"/>
  <c r="O472" i="1"/>
  <c r="H472" i="1"/>
  <c r="O471" i="1"/>
  <c r="H471" i="1"/>
  <c r="O470" i="1"/>
  <c r="H470" i="1"/>
  <c r="O469" i="1"/>
  <c r="H469" i="1"/>
  <c r="O468" i="1"/>
  <c r="H468" i="1"/>
  <c r="O467" i="1"/>
  <c r="H467" i="1"/>
  <c r="O466" i="1"/>
  <c r="H466" i="1"/>
  <c r="O465" i="1"/>
  <c r="H465" i="1"/>
  <c r="O464" i="1"/>
  <c r="H464" i="1"/>
  <c r="O463" i="1"/>
  <c r="H463" i="1"/>
  <c r="O462" i="1"/>
  <c r="H462" i="1"/>
  <c r="O461" i="1"/>
  <c r="H461" i="1"/>
  <c r="O460" i="1"/>
  <c r="H460" i="1"/>
  <c r="O459" i="1"/>
  <c r="H459" i="1"/>
  <c r="O458" i="1"/>
  <c r="H458" i="1"/>
  <c r="O457" i="1"/>
  <c r="H457" i="1"/>
  <c r="O456" i="1"/>
  <c r="H456" i="1"/>
  <c r="O455" i="1"/>
  <c r="H455" i="1"/>
  <c r="O454" i="1"/>
  <c r="H454" i="1"/>
  <c r="O453" i="1"/>
  <c r="H453" i="1"/>
  <c r="O452" i="1"/>
  <c r="H452" i="1"/>
  <c r="O451" i="1"/>
  <c r="H451" i="1"/>
  <c r="P450" i="1"/>
  <c r="Q450" i="1" s="1"/>
  <c r="H450" i="1"/>
  <c r="P449" i="1"/>
  <c r="Q449" i="1" s="1"/>
  <c r="H449" i="1"/>
  <c r="P448" i="1"/>
  <c r="Q448" i="1" s="1"/>
  <c r="H448" i="1"/>
  <c r="P447" i="1"/>
  <c r="Q447" i="1" s="1"/>
  <c r="H447" i="1"/>
  <c r="P446" i="1"/>
  <c r="Q446" i="1" s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S369" i="1"/>
  <c r="O369" i="1"/>
  <c r="S368" i="1"/>
  <c r="O368" i="1"/>
  <c r="S367" i="1"/>
  <c r="O367" i="1"/>
  <c r="S366" i="1"/>
  <c r="O366" i="1"/>
  <c r="S365" i="1"/>
  <c r="O365" i="1"/>
  <c r="S364" i="1"/>
  <c r="O364" i="1"/>
  <c r="S363" i="1"/>
  <c r="O363" i="1"/>
  <c r="S362" i="1"/>
  <c r="O362" i="1"/>
  <c r="S361" i="1"/>
  <c r="O361" i="1"/>
  <c r="S360" i="1"/>
  <c r="O360" i="1"/>
  <c r="S359" i="1"/>
  <c r="O359" i="1"/>
  <c r="S358" i="1"/>
  <c r="O358" i="1"/>
  <c r="S357" i="1"/>
  <c r="O357" i="1"/>
  <c r="S356" i="1"/>
  <c r="O356" i="1"/>
  <c r="S355" i="1"/>
  <c r="O355" i="1"/>
  <c r="S354" i="1"/>
  <c r="O354" i="1"/>
  <c r="S353" i="1"/>
  <c r="O353" i="1"/>
  <c r="S352" i="1"/>
  <c r="O352" i="1"/>
  <c r="S351" i="1"/>
  <c r="O351" i="1"/>
  <c r="S350" i="1"/>
  <c r="O350" i="1"/>
  <c r="S349" i="1"/>
  <c r="O349" i="1"/>
  <c r="S348" i="1"/>
  <c r="O348" i="1"/>
  <c r="S347" i="1"/>
  <c r="O347" i="1"/>
  <c r="S346" i="1"/>
  <c r="O346" i="1"/>
  <c r="S345" i="1"/>
  <c r="O345" i="1"/>
  <c r="S344" i="1"/>
  <c r="O344" i="1"/>
  <c r="S343" i="1"/>
  <c r="O343" i="1"/>
  <c r="S342" i="1"/>
  <c r="O342" i="1"/>
  <c r="S341" i="1"/>
  <c r="O341" i="1"/>
  <c r="S340" i="1"/>
  <c r="O340" i="1"/>
  <c r="S339" i="1"/>
  <c r="O339" i="1"/>
  <c r="S338" i="1"/>
  <c r="O338" i="1"/>
  <c r="S337" i="1"/>
  <c r="O337" i="1"/>
  <c r="S336" i="1"/>
  <c r="O336" i="1"/>
  <c r="S335" i="1"/>
  <c r="O335" i="1"/>
  <c r="S334" i="1"/>
  <c r="O334" i="1"/>
  <c r="S333" i="1"/>
  <c r="O333" i="1"/>
  <c r="S332" i="1"/>
  <c r="O332" i="1"/>
  <c r="S331" i="1"/>
  <c r="O331" i="1"/>
  <c r="S330" i="1"/>
  <c r="O330" i="1"/>
  <c r="S329" i="1"/>
  <c r="O329" i="1"/>
  <c r="S328" i="1"/>
  <c r="O328" i="1"/>
  <c r="S327" i="1"/>
  <c r="O327" i="1"/>
  <c r="S326" i="1"/>
  <c r="O326" i="1"/>
  <c r="S325" i="1"/>
  <c r="O325" i="1"/>
  <c r="S324" i="1"/>
  <c r="O324" i="1"/>
  <c r="S323" i="1"/>
  <c r="O323" i="1"/>
  <c r="S322" i="1"/>
  <c r="O322" i="1"/>
  <c r="S321" i="1"/>
  <c r="O321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79" i="1"/>
  <c r="I278" i="1"/>
  <c r="I277" i="1"/>
  <c r="I276" i="1"/>
  <c r="I269" i="1"/>
  <c r="G269" i="1"/>
  <c r="P268" i="1"/>
  <c r="Q268" i="1" s="1"/>
  <c r="P267" i="1"/>
  <c r="Q267" i="1" s="1"/>
  <c r="G266" i="1"/>
  <c r="G264" i="1"/>
  <c r="G263" i="1"/>
  <c r="G262" i="1"/>
  <c r="G261" i="1"/>
  <c r="G260" i="1"/>
  <c r="G258" i="1"/>
  <c r="G256" i="1"/>
  <c r="G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N239" i="1"/>
  <c r="O239" i="1" s="1"/>
  <c r="N238" i="1"/>
  <c r="O238" i="1" s="1"/>
  <c r="N237" i="1"/>
  <c r="O237" i="1" s="1"/>
  <c r="N236" i="1"/>
  <c r="O236" i="1" s="1"/>
  <c r="N235" i="1"/>
  <c r="O235" i="1" s="1"/>
  <c r="N234" i="1"/>
  <c r="O234" i="1" s="1"/>
  <c r="N233" i="1"/>
  <c r="O233" i="1" s="1"/>
  <c r="N232" i="1"/>
  <c r="O232" i="1" s="1"/>
  <c r="N231" i="1"/>
  <c r="O231" i="1" s="1"/>
  <c r="N230" i="1"/>
  <c r="O230" i="1" s="1"/>
  <c r="N229" i="1"/>
  <c r="O229" i="1" s="1"/>
  <c r="N228" i="1"/>
  <c r="O228" i="1" s="1"/>
  <c r="N227" i="1"/>
  <c r="O227" i="1" s="1"/>
  <c r="N226" i="1"/>
  <c r="O226" i="1" s="1"/>
  <c r="N225" i="1"/>
  <c r="O225" i="1" s="1"/>
  <c r="I224" i="1"/>
  <c r="I223" i="1"/>
  <c r="I222" i="1"/>
  <c r="I221" i="1"/>
  <c r="I220" i="1"/>
  <c r="I219" i="1"/>
  <c r="I218" i="1"/>
  <c r="I217" i="1"/>
  <c r="J203" i="1"/>
  <c r="O203" i="1" s="1"/>
  <c r="J202" i="1"/>
  <c r="O202" i="1" s="1"/>
  <c r="J201" i="1"/>
  <c r="O201" i="1" s="1"/>
  <c r="J200" i="1"/>
  <c r="O200" i="1" s="1"/>
  <c r="J199" i="1"/>
  <c r="O199" i="1" s="1"/>
  <c r="J198" i="1"/>
  <c r="O198" i="1" s="1"/>
  <c r="J197" i="1"/>
  <c r="O197" i="1" s="1"/>
  <c r="J196" i="1"/>
  <c r="O196" i="1" s="1"/>
  <c r="J195" i="1"/>
  <c r="O195" i="1" s="1"/>
  <c r="J194" i="1"/>
  <c r="O194" i="1" s="1"/>
  <c r="J193" i="1"/>
  <c r="O193" i="1" s="1"/>
  <c r="J192" i="1"/>
  <c r="O192" i="1" s="1"/>
  <c r="H187" i="1"/>
  <c r="H186" i="1"/>
  <c r="H185" i="1"/>
  <c r="H184" i="1"/>
  <c r="H183" i="1"/>
  <c r="H182" i="1"/>
  <c r="H181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O124" i="1"/>
  <c r="O122" i="1"/>
  <c r="J122" i="1"/>
  <c r="J121" i="1"/>
  <c r="O121" i="1" s="1"/>
  <c r="J120" i="1"/>
  <c r="O120" i="1" s="1"/>
  <c r="J119" i="1"/>
  <c r="O119" i="1" s="1"/>
  <c r="J118" i="1"/>
  <c r="O118" i="1" s="1"/>
  <c r="J117" i="1"/>
  <c r="O117" i="1" s="1"/>
  <c r="J116" i="1"/>
  <c r="O116" i="1" s="1"/>
  <c r="J115" i="1"/>
  <c r="O115" i="1" s="1"/>
  <c r="J114" i="1"/>
  <c r="O114" i="1" s="1"/>
  <c r="J113" i="1"/>
  <c r="O113" i="1" s="1"/>
  <c r="J112" i="1"/>
  <c r="O112" i="1" s="1"/>
  <c r="J111" i="1"/>
  <c r="O111" i="1" s="1"/>
  <c r="J110" i="1"/>
  <c r="O110" i="1" s="1"/>
  <c r="J109" i="1"/>
  <c r="O109" i="1" s="1"/>
  <c r="J108" i="1"/>
  <c r="O108" i="1" s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P98" i="1"/>
  <c r="J98" i="1"/>
  <c r="O98" i="1" s="1"/>
  <c r="Q98" i="1" s="1"/>
  <c r="P97" i="1"/>
  <c r="O97" i="1"/>
  <c r="Q97" i="1" s="1"/>
  <c r="P96" i="1"/>
  <c r="O96" i="1"/>
  <c r="Q96" i="1" s="1"/>
  <c r="P95" i="1"/>
  <c r="O95" i="1"/>
  <c r="Q95" i="1" s="1"/>
  <c r="P94" i="1"/>
  <c r="O94" i="1"/>
  <c r="Q94" i="1" s="1"/>
  <c r="P93" i="1"/>
  <c r="O93" i="1"/>
  <c r="Q93" i="1" s="1"/>
  <c r="P92" i="1"/>
  <c r="O92" i="1"/>
  <c r="Q92" i="1" s="1"/>
  <c r="P91" i="1"/>
  <c r="O91" i="1"/>
  <c r="Q91" i="1" s="1"/>
  <c r="P90" i="1"/>
  <c r="O90" i="1"/>
  <c r="Q90" i="1" s="1"/>
  <c r="P89" i="1"/>
  <c r="O89" i="1"/>
  <c r="Q89" i="1" s="1"/>
  <c r="P88" i="1"/>
  <c r="O88" i="1"/>
  <c r="Q88" i="1" s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P39" i="1"/>
  <c r="J39" i="1"/>
  <c r="O39" i="1" s="1"/>
  <c r="Q39" i="1" s="1"/>
  <c r="P38" i="1"/>
  <c r="J38" i="1"/>
  <c r="O38" i="1" s="1"/>
  <c r="Q38" i="1" s="1"/>
  <c r="P37" i="1"/>
  <c r="J37" i="1"/>
  <c r="O37" i="1" s="1"/>
  <c r="Q37" i="1" s="1"/>
  <c r="P36" i="1"/>
  <c r="J36" i="1"/>
  <c r="O36" i="1" s="1"/>
  <c r="Q36" i="1" s="1"/>
  <c r="P35" i="1"/>
  <c r="J35" i="1"/>
  <c r="O35" i="1" s="1"/>
  <c r="Q35" i="1" s="1"/>
  <c r="P34" i="1"/>
  <c r="J34" i="1"/>
  <c r="O34" i="1" s="1"/>
  <c r="Q34" i="1" s="1"/>
  <c r="P33" i="1"/>
  <c r="J33" i="1"/>
  <c r="O33" i="1" s="1"/>
  <c r="Q33" i="1" s="1"/>
  <c r="P32" i="1"/>
  <c r="J32" i="1"/>
  <c r="O32" i="1" s="1"/>
  <c r="Q32" i="1" s="1"/>
  <c r="P31" i="1"/>
  <c r="J31" i="1"/>
  <c r="O31" i="1" s="1"/>
  <c r="Q31" i="1" s="1"/>
  <c r="P30" i="1"/>
  <c r="J30" i="1"/>
  <c r="O30" i="1" s="1"/>
  <c r="Q30" i="1" s="1"/>
  <c r="P29" i="1"/>
  <c r="J29" i="1"/>
  <c r="O29" i="1" s="1"/>
  <c r="Q29" i="1" s="1"/>
  <c r="P28" i="1"/>
  <c r="J28" i="1"/>
  <c r="O28" i="1" s="1"/>
  <c r="Q28" i="1" s="1"/>
  <c r="P27" i="1"/>
  <c r="J27" i="1"/>
  <c r="O27" i="1" s="1"/>
  <c r="Q27" i="1" s="1"/>
  <c r="P26" i="1"/>
  <c r="O26" i="1"/>
  <c r="Q26" i="1" s="1"/>
  <c r="P25" i="1"/>
  <c r="O25" i="1"/>
  <c r="Q25" i="1" s="1"/>
  <c r="P24" i="1"/>
  <c r="O24" i="1"/>
  <c r="Q24" i="1" s="1"/>
  <c r="P23" i="1"/>
  <c r="O23" i="1"/>
  <c r="Q23" i="1" s="1"/>
  <c r="P22" i="1"/>
  <c r="O22" i="1"/>
  <c r="Q22" i="1" s="1"/>
  <c r="P21" i="1"/>
  <c r="O21" i="1"/>
  <c r="Q21" i="1" s="1"/>
  <c r="P20" i="1"/>
  <c r="O20" i="1"/>
  <c r="Q20" i="1" s="1"/>
  <c r="P19" i="1"/>
  <c r="O19" i="1"/>
  <c r="Q19" i="1" s="1"/>
  <c r="P18" i="1"/>
  <c r="O18" i="1"/>
  <c r="Q18" i="1" s="1"/>
  <c r="P17" i="1"/>
  <c r="O17" i="1"/>
  <c r="Q17" i="1" s="1"/>
  <c r="P16" i="1"/>
  <c r="O16" i="1"/>
  <c r="Q16" i="1" s="1"/>
  <c r="Q15" i="1"/>
  <c r="P15" i="1"/>
  <c r="O15" i="1"/>
  <c r="P14" i="1"/>
  <c r="O14" i="1"/>
  <c r="Q14" i="1" s="1"/>
  <c r="P13" i="1"/>
  <c r="O13" i="1"/>
  <c r="Q13" i="1" s="1"/>
  <c r="P12" i="1"/>
  <c r="O12" i="1"/>
  <c r="Q12" i="1" s="1"/>
  <c r="P11" i="1"/>
  <c r="O11" i="1"/>
  <c r="Q11" i="1" s="1"/>
  <c r="P10" i="1"/>
  <c r="O10" i="1"/>
  <c r="Q10" i="1" s="1"/>
  <c r="P9" i="1"/>
  <c r="O9" i="1"/>
  <c r="Q9" i="1" s="1"/>
  <c r="P8" i="1"/>
  <c r="O8" i="1"/>
  <c r="Q8" i="1" s="1"/>
  <c r="AB7" i="1"/>
  <c r="AG7" i="1" s="1"/>
  <c r="P7" i="1"/>
  <c r="O7" i="1"/>
  <c r="Q7" i="1" s="1"/>
</calcChain>
</file>

<file path=xl/sharedStrings.xml><?xml version="1.0" encoding="utf-8"?>
<sst xmlns="http://schemas.openxmlformats.org/spreadsheetml/2006/main" count="2495" uniqueCount="166">
  <si>
    <t>Mw(g/mol)</t>
  </si>
  <si>
    <t>theoretical results</t>
  </si>
  <si>
    <t>lattice parameter</t>
  </si>
  <si>
    <t>Year</t>
  </si>
  <si>
    <t>Author</t>
  </si>
  <si>
    <t>T</t>
  </si>
  <si>
    <r>
      <t>V</t>
    </r>
    <r>
      <rPr>
        <sz val="11"/>
        <color rgb="FF000000"/>
        <rFont val="Calibri"/>
        <family val="2"/>
        <scheme val="minor"/>
      </rPr>
      <t>m</t>
    </r>
  </si>
  <si>
    <t>ρ</t>
  </si>
  <si>
    <t>Å</t>
  </si>
  <si>
    <r>
      <t>Å</t>
    </r>
    <r>
      <rPr>
        <sz val="9"/>
        <color rgb="FF000000"/>
        <rFont val="Calibri"/>
        <family val="2"/>
        <scheme val="minor"/>
      </rPr>
      <t>3</t>
    </r>
  </si>
  <si>
    <t>Column1</t>
  </si>
  <si>
    <t>uncertainty</t>
  </si>
  <si>
    <t>K</t>
  </si>
  <si>
    <r>
      <t>cm</t>
    </r>
    <r>
      <rPr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/mol</t>
    </r>
  </si>
  <si>
    <r>
      <t>kg/m</t>
    </r>
    <r>
      <rPr>
        <sz val="11"/>
        <color rgb="FF000000"/>
        <rFont val="Calibri"/>
        <family val="2"/>
        <scheme val="minor"/>
      </rPr>
      <t>3</t>
    </r>
  </si>
  <si>
    <r>
      <t>10</t>
    </r>
    <r>
      <rPr>
        <sz val="11"/>
        <color rgb="FF000000"/>
        <rFont val="Calibri"/>
        <family val="2"/>
        <scheme val="minor"/>
      </rPr>
      <t>-10</t>
    </r>
    <r>
      <rPr>
        <sz val="11"/>
        <color rgb="FF000000"/>
        <rFont val="Calibri"/>
        <family val="2"/>
        <scheme val="minor"/>
      </rPr>
      <t xml:space="preserve"> m</t>
    </r>
  </si>
  <si>
    <r>
      <t>10</t>
    </r>
    <r>
      <rPr>
        <sz val="11"/>
        <color rgb="FF000000"/>
        <rFont val="Calibri"/>
        <family val="2"/>
        <scheme val="minor"/>
      </rPr>
      <t>-30</t>
    </r>
    <r>
      <rPr>
        <sz val="11"/>
        <color rgb="FF000000"/>
        <rFont val="Calibri"/>
        <family val="2"/>
        <scheme val="minor"/>
      </rPr>
      <t xml:space="preserve"> m</t>
    </r>
    <r>
      <rPr>
        <sz val="11"/>
        <color rgb="FF000000"/>
        <rFont val="Calibri"/>
        <family val="2"/>
        <scheme val="minor"/>
      </rPr>
      <t>3</t>
    </r>
  </si>
  <si>
    <t>g/cm3</t>
  </si>
  <si>
    <t>Peterson</t>
  </si>
  <si>
    <t>Dobbs</t>
  </si>
  <si>
    <t>Chapter 13 High pressure and the thermodynamics of the rare gas solids, in Rare Gas Solids II, Editor M. L. Klein and J. A. Venables, Academic Press, London, 1977</t>
  </si>
  <si>
    <t>Swenson</t>
  </si>
  <si>
    <t>Schwalbe</t>
  </si>
  <si>
    <t>Chen</t>
  </si>
  <si>
    <t>Xiao</t>
  </si>
  <si>
    <t>Smith</t>
  </si>
  <si>
    <t>Simon</t>
  </si>
  <si>
    <t>extrapolated</t>
  </si>
  <si>
    <t>Barrett</t>
  </si>
  <si>
    <t>Urvas</t>
  </si>
  <si>
    <t>triple point</t>
  </si>
  <si>
    <t>Clusius</t>
  </si>
  <si>
    <t>Keesom</t>
  </si>
  <si>
    <t>delta V/V0</t>
  </si>
  <si>
    <r>
      <rPr>
        <i/>
        <sz val="11"/>
        <color rgb="FF000000"/>
        <rFont val="Calibri"/>
        <family val="2"/>
        <scheme val="minor"/>
      </rPr>
      <t>p</t>
    </r>
    <r>
      <rPr>
        <sz val="11"/>
        <color rgb="FF000000"/>
        <rFont val="Calibri"/>
        <family val="2"/>
        <scheme val="minor"/>
      </rPr>
      <t>/(kg/cm2)</t>
    </r>
  </si>
  <si>
    <t>p/MPa</t>
  </si>
  <si>
    <t>Stewart</t>
  </si>
  <si>
    <t>Barker</t>
  </si>
  <si>
    <t>Beaumont</t>
  </si>
  <si>
    <t>Eatwell</t>
  </si>
  <si>
    <t>Henshaw</t>
  </si>
  <si>
    <t>Bolz, L. H. and Mauer, F. A. unpublished</t>
  </si>
  <si>
    <t>Bolz</t>
  </si>
  <si>
    <t>cited in Pollack, Gerald L. "The solid state of rare gases." Reviews of Modern Physics 36.3 (1964): 748.</t>
  </si>
  <si>
    <t>pmelt</t>
  </si>
  <si>
    <t>T/K</t>
  </si>
  <si>
    <t>melting</t>
  </si>
  <si>
    <t>MPa</t>
  </si>
  <si>
    <t>kbar</t>
  </si>
  <si>
    <t>bar</t>
  </si>
  <si>
    <t>10.1103/PhysRevLett.21.367</t>
  </si>
  <si>
    <t>Crawford</t>
  </si>
  <si>
    <t>Lewis</t>
  </si>
  <si>
    <t>Bronsveld</t>
  </si>
  <si>
    <t>Macrander</t>
  </si>
  <si>
    <t>p</t>
  </si>
  <si>
    <t>katm</t>
  </si>
  <si>
    <t>Lahr</t>
  </si>
  <si>
    <t>delta V</t>
  </si>
  <si>
    <t>V_L</t>
  </si>
  <si>
    <t>p/(kg/cm2)</t>
  </si>
  <si>
    <t>Stishov</t>
  </si>
  <si>
    <t>Liebenberg</t>
  </si>
  <si>
    <t>Witzenburg</t>
  </si>
  <si>
    <t>Cheng</t>
  </si>
  <si>
    <t>from 1975 Stishov</t>
  </si>
  <si>
    <t>https://www.google.com.au/books/edition/Rare_Gas_Solids/U9rvAAAAMAAJ?hl=en</t>
  </si>
  <si>
    <t>R. K. Crawford in Rare Gas Solids, edited by M. L. Klein and J. A Venables, Academic Press, 1976, vol. 2, chapter 11, pp. 663–728</t>
  </si>
  <si>
    <t>Also published in journal papers</t>
  </si>
  <si>
    <t>review data</t>
  </si>
  <si>
    <t>Crawford R K 1975 in Rare gas solids eds M L Klein and J A Venables (London: Academic Press) to be</t>
  </si>
  <si>
    <t>p/kbar</t>
  </si>
  <si>
    <t>p/bar</t>
  </si>
  <si>
    <t>high pressure data</t>
  </si>
  <si>
    <t>may only be valid until 80 K</t>
  </si>
  <si>
    <t>See caption of Figure 5</t>
  </si>
  <si>
    <t>kg/m3</t>
  </si>
  <si>
    <t xml:space="preserve"> van-der-Gulik</t>
  </si>
  <si>
    <t>cm3/g</t>
  </si>
  <si>
    <t>T/C</t>
  </si>
  <si>
    <t>Bridgman</t>
  </si>
  <si>
    <t>Wilkins</t>
  </si>
  <si>
    <t>year</t>
  </si>
  <si>
    <t>author</t>
  </si>
  <si>
    <t>gas</t>
  </si>
  <si>
    <t>Temperature_Kelvin</t>
  </si>
  <si>
    <t>Pressure_atm</t>
  </si>
  <si>
    <t>Alpha_Kelvin^-1</t>
  </si>
  <si>
    <t>krypton</t>
  </si>
  <si>
    <t>Manzhelii</t>
  </si>
  <si>
    <t>xenon</t>
  </si>
  <si>
    <t>Tilford</t>
  </si>
  <si>
    <t>did not consider those pressures in GPa</t>
  </si>
  <si>
    <t>volumetric thermal expansion coefficient</t>
  </si>
  <si>
    <t>BetaT</t>
  </si>
  <si>
    <t>10^11*BetaT</t>
  </si>
  <si>
    <t>BetaS</t>
  </si>
  <si>
    <t>10^11*BetaS</t>
  </si>
  <si>
    <r>
      <t>MPa</t>
    </r>
    <r>
      <rPr>
        <sz val="11"/>
        <color rgb="FF000000"/>
        <rFont val="Calibri"/>
        <family val="2"/>
        <scheme val="minor"/>
      </rPr>
      <t>-1</t>
    </r>
  </si>
  <si>
    <r>
      <t>cm</t>
    </r>
    <r>
      <rPr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/kg *10</t>
    </r>
    <r>
      <rPr>
        <sz val="11"/>
        <color rgb="FF000000"/>
        <rFont val="Calibri"/>
        <family val="2"/>
        <scheme val="minor"/>
      </rPr>
      <t>5</t>
    </r>
  </si>
  <si>
    <t>cm2/dyn</t>
  </si>
  <si>
    <t>cm2/dyn*10^-10</t>
  </si>
  <si>
    <t>c11</t>
  </si>
  <si>
    <t>c12</t>
  </si>
  <si>
    <t>KT</t>
  </si>
  <si>
    <t>dyn/cm2*10^10</t>
  </si>
  <si>
    <t>need to identify c11 are isothermal or adiabatic</t>
  </si>
  <si>
    <t>Moeller</t>
  </si>
  <si>
    <t>u(c11)</t>
  </si>
  <si>
    <t>u(c12)</t>
  </si>
  <si>
    <t>Keeler</t>
  </si>
  <si>
    <t>BT//kbar</t>
  </si>
  <si>
    <t>BT//MPa</t>
  </si>
  <si>
    <t>Anderson</t>
  </si>
  <si>
    <t>Gewurtz</t>
  </si>
  <si>
    <t>Dorner</t>
  </si>
  <si>
    <t>Batchelder</t>
  </si>
  <si>
    <t>Gsänger</t>
  </si>
  <si>
    <t>Lawrence</t>
  </si>
  <si>
    <t>Thermodynamics of Crystals, Duane C. Wallace, John Wiley &amp; Sons, Inc. New York, 1972</t>
  </si>
  <si>
    <t>Wallace</t>
  </si>
  <si>
    <t>Fujii</t>
  </si>
  <si>
    <t>Meixner</t>
  </si>
  <si>
    <t>cp_J/mol/K</t>
  </si>
  <si>
    <t>cp_cal/mol/deg</t>
  </si>
  <si>
    <t>cp_mJ/mol/K</t>
  </si>
  <si>
    <t>cp_Ws/mol/deg</t>
  </si>
  <si>
    <t>Finegold</t>
  </si>
  <si>
    <t>Pressure_Pa</t>
  </si>
  <si>
    <t>Pressure_Torr</t>
  </si>
  <si>
    <t>Pressure_mmHg</t>
  </si>
  <si>
    <t>Pressure_Mpa</t>
  </si>
  <si>
    <t>Pressure_bar</t>
  </si>
  <si>
    <t>Pressure_kbar</t>
  </si>
  <si>
    <t>Pressure_kg/cm2</t>
  </si>
  <si>
    <t>Pressure_katm</t>
  </si>
  <si>
    <t>Pressure_Gpa</t>
  </si>
  <si>
    <t>Michels</t>
  </si>
  <si>
    <t>Stryland</t>
  </si>
  <si>
    <t>neon</t>
  </si>
  <si>
    <t xml:space="preserve"> </t>
  </si>
  <si>
    <t>H_kJ/mol</t>
  </si>
  <si>
    <t>u_kJ/mol</t>
  </si>
  <si>
    <t>H_cal/mol</t>
  </si>
  <si>
    <t>u_cal/mol</t>
  </si>
  <si>
    <t>Leming</t>
  </si>
  <si>
    <t>finish Pollack and the book examination</t>
  </si>
  <si>
    <t>Shakeel</t>
  </si>
  <si>
    <t>Metcalf</t>
  </si>
  <si>
    <t>delta H</t>
  </si>
  <si>
    <t>delta S/R</t>
  </si>
  <si>
    <t>kJ/mol</t>
  </si>
  <si>
    <t>J/g</t>
  </si>
  <si>
    <t>kg cm/gm</t>
  </si>
  <si>
    <t>cal/mol</t>
  </si>
  <si>
    <t>a</t>
  </si>
  <si>
    <t>Bodryakov</t>
  </si>
  <si>
    <t>Trefny</t>
  </si>
  <si>
    <t>Losee</t>
  </si>
  <si>
    <t>Packard</t>
  </si>
  <si>
    <t>Pressure_kbars</t>
  </si>
  <si>
    <t>Vos</t>
  </si>
  <si>
    <t>Fenichel</t>
  </si>
  <si>
    <t>Holste</t>
  </si>
  <si>
    <t>Manzhelli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</si>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</sst>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00"/>
    <numFmt numFmtId="165" formatCode="#,##0.000"/>
    <numFmt numFmtId="166" formatCode="#,##0.000000"/>
    <numFmt numFmtId="167" formatCode="#,##0.0000000"/>
    <numFmt numFmtId="168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6">
    <xf numFmtId="0" fontId="0" fillId="0" borderId="0" xfId="0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/>
    <xf numFmtId="3" fontId="0" fillId="0" borderId="0" xfId="0" applyNumberFormat="1"/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left"/>
    </xf>
    <xf numFmtId="165" fontId="0" fillId="0" borderId="0" xfId="0" applyNumberFormat="1"/>
    <xf numFmtId="165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166" fontId="0" fillId="0" borderId="0" xfId="0" applyNumberFormat="1"/>
    <xf numFmtId="4" fontId="1" fillId="0" borderId="1" xfId="0" applyNumberFormat="1" applyFont="1" applyBorder="1" applyAlignment="1">
      <alignment horizontal="right" wrapText="1"/>
    </xf>
    <xf numFmtId="166" fontId="1" fillId="0" borderId="1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left"/>
    </xf>
    <xf numFmtId="166" fontId="0" fillId="0" borderId="0" xfId="0" applyNumberFormat="1" applyAlignment="1">
      <alignment horizontal="right"/>
    </xf>
    <xf numFmtId="0" fontId="3" fillId="2" borderId="2" xfId="0" applyFont="1" applyFill="1" applyBorder="1" applyAlignment="1">
      <alignment horizontal="left"/>
    </xf>
    <xf numFmtId="167" fontId="2" fillId="0" borderId="1" xfId="0" applyNumberFormat="1" applyFont="1" applyBorder="1" applyAlignment="1">
      <alignment horizontal="right"/>
    </xf>
    <xf numFmtId="167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3" fontId="1" fillId="2" borderId="2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1" fontId="1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1" xfId="0" applyNumberFormat="1" applyFont="1" applyBorder="1" applyAlignment="1">
      <alignment horizontal="right" wrapText="1"/>
    </xf>
    <xf numFmtId="2" fontId="0" fillId="0" borderId="0" xfId="1" applyNumberFormat="1" applyFont="1"/>
    <xf numFmtId="2" fontId="1" fillId="0" borderId="1" xfId="1" applyNumberFormat="1" applyFont="1" applyBorder="1" applyAlignment="1">
      <alignment horizontal="right"/>
    </xf>
    <xf numFmtId="2" fontId="0" fillId="0" borderId="0" xfId="0" applyNumberFormat="1"/>
    <xf numFmtId="168" fontId="0" fillId="0" borderId="0" xfId="1" applyNumberFormat="1" applyFont="1"/>
    <xf numFmtId="168" fontId="1" fillId="0" borderId="1" xfId="1" applyNumberFormat="1" applyFont="1" applyBorder="1" applyAlignment="1">
      <alignment horizontal="right"/>
    </xf>
    <xf numFmtId="168" fontId="0" fillId="0" borderId="0" xfId="0" applyNumberFormat="1"/>
    <xf numFmtId="164" fontId="1" fillId="0" borderId="1" xfId="0" applyNumberFormat="1" applyFont="1" applyBorder="1" applyAlignment="1">
      <alignment horizontal="left"/>
    </xf>
    <xf numFmtId="1" fontId="0" fillId="0" borderId="0" xfId="1" applyNumberFormat="1" applyFont="1" applyAlignment="1">
      <alignment horizontal="right"/>
    </xf>
    <xf numFmtId="1" fontId="1" fillId="0" borderId="1" xfId="1" applyNumberFormat="1" applyFont="1" applyBorder="1" applyAlignment="1">
      <alignment horizontal="right"/>
    </xf>
    <xf numFmtId="0" fontId="0" fillId="0" borderId="1" xfId="0" applyBorder="1"/>
    <xf numFmtId="165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4" fontId="0" fillId="0" borderId="1" xfId="0" applyNumberFormat="1" applyBorder="1" applyAlignment="1">
      <alignment horizontal="right"/>
    </xf>
    <xf numFmtId="4" fontId="1" fillId="0" borderId="0" xfId="0" applyNumberFormat="1" applyFont="1" applyAlignment="1">
      <alignment horizontal="right"/>
    </xf>
    <xf numFmtId="168" fontId="1" fillId="0" borderId="0" xfId="1" applyNumberFormat="1" applyFont="1" applyBorder="1" applyAlignment="1">
      <alignment horizontal="right"/>
    </xf>
    <xf numFmtId="2" fontId="1" fillId="0" borderId="0" xfId="1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1" fillId="0" borderId="0" xfId="0" applyNumberFormat="1" applyFont="1" applyAlignment="1">
      <alignment horizontal="right"/>
    </xf>
    <xf numFmtId="165" fontId="0" fillId="0" borderId="1" xfId="0" applyNumberFormat="1" applyBorder="1"/>
    <xf numFmtId="1" fontId="1" fillId="0" borderId="0" xfId="0" applyNumberFormat="1" applyFont="1" applyAlignment="1">
      <alignment horizontal="right"/>
    </xf>
    <xf numFmtId="164" fontId="0" fillId="0" borderId="1" xfId="0" applyNumberFormat="1" applyBorder="1" applyAlignment="1">
      <alignment horizontal="right"/>
    </xf>
    <xf numFmtId="164" fontId="1" fillId="0" borderId="0" xfId="0" applyNumberFormat="1" applyFont="1" applyAlignment="1">
      <alignment horizontal="right" wrapText="1"/>
    </xf>
    <xf numFmtId="168" fontId="0" fillId="0" borderId="1" xfId="0" applyNumberFormat="1" applyBorder="1"/>
    <xf numFmtId="165" fontId="0" fillId="0" borderId="1" xfId="0" applyNumberFormat="1" applyBorder="1" applyAlignment="1">
      <alignment horizontal="right"/>
    </xf>
    <xf numFmtId="4" fontId="1" fillId="0" borderId="0" xfId="0" applyNumberFormat="1" applyFont="1" applyAlignment="1">
      <alignment horizontal="right" wrapText="1"/>
    </xf>
    <xf numFmtId="168" fontId="0" fillId="0" borderId="1" xfId="1" applyNumberFormat="1" applyFont="1" applyBorder="1"/>
    <xf numFmtId="2" fontId="0" fillId="0" borderId="1" xfId="1" applyNumberFormat="1" applyFont="1" applyBorder="1"/>
  </cellXfs>
  <cellStyles count="2">
    <cellStyle name="Comma" xfId="1" builtinId="3"/>
    <cellStyle name="Normal" xfId="0" builtinId="0"/>
  </cellStyles>
  <dxfs count="43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#,##0.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3" formatCode="#,##0"/>
    </dxf>
    <dxf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left" vertical="bottom" textRotation="0" wrapText="0" indent="0" justifyLastLine="0" shrinkToFit="0" readingOrder="0"/>
    </dxf>
    <dxf>
      <numFmt numFmtId="2" formatCode="0.00"/>
    </dxf>
    <dxf>
      <numFmt numFmtId="168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#,##0.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#,##0.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numFmt numFmtId="4" formatCode="#,##0.00"/>
    </dxf>
    <dxf>
      <numFmt numFmtId="4" formatCode="#,##0.00"/>
    </dxf>
  </dxfs>
  <tableStyles count="0" defaultTableStyle="TableStyleMedium9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2:H142" totalsRowShown="0">
  <autoFilter ref="B2:H142" xr:uid="{00000000-0009-0000-0100-000002000000}"/>
  <sortState xmlns:xlrd2="http://schemas.microsoft.com/office/spreadsheetml/2017/richdata2" ref="B3:H142">
    <sortCondition ref="D2:D142"/>
  </sortState>
  <tableColumns count="7">
    <tableColumn id="1" xr3:uid="{00000000-0010-0000-0000-000001000000}" name="year"/>
    <tableColumn id="2" xr3:uid="{00000000-0010-0000-0000-000002000000}" name="author"/>
    <tableColumn id="3" xr3:uid="{00000000-0010-0000-0000-000003000000}" name="gas"/>
    <tableColumn id="4" xr3:uid="{00000000-0010-0000-0000-000004000000}" name="Temperature_Kelvin"/>
    <tableColumn id="5" xr3:uid="{00000000-0010-0000-0000-000005000000}" name="Pressure_atm"/>
    <tableColumn id="7" xr3:uid="{6AD7BB1D-E8DF-4C31-B52D-95E65B8E0B83}" name="Pressure_kbars" dataDxfId="42"/>
    <tableColumn id="6" xr3:uid="{00000000-0010-0000-0000-000006000000}" name="Alpha_Kelvin^-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64A4E4-30EA-4311-AB3C-495F31C86F8C}" name="Table3" displayName="Table3" ref="B2:I328" totalsRowShown="0" headerRowDxfId="41">
  <autoFilter ref="B2:I328" xr:uid="{9B64A4E4-30EA-4311-AB3C-495F31C86F8C}"/>
  <sortState xmlns:xlrd2="http://schemas.microsoft.com/office/spreadsheetml/2017/richdata2" ref="B3:I328">
    <sortCondition ref="C2:C328"/>
  </sortState>
  <tableColumns count="8">
    <tableColumn id="1" xr3:uid="{ADA89BDD-09E7-4FBC-923B-7B2529EF9C20}" name="year" dataDxfId="40"/>
    <tableColumn id="2" xr3:uid="{EDA39FB0-95E9-4CE2-B2D8-9DC93602B112}" name="author"/>
    <tableColumn id="10" xr3:uid="{51F2B514-4897-4B69-B0D0-4FB8ACDFC86A}" name="gas"/>
    <tableColumn id="3" xr3:uid="{213EF8FE-9B9B-4EF4-984E-59A8F810B9B2}" name="Temperature_Kelvin" dataDxfId="39"/>
    <tableColumn id="4" xr3:uid="{A8D5221D-F01E-467B-A07D-D19AFE95431B}" name="cp_J/mol/K" dataDxfId="38"/>
    <tableColumn id="5" xr3:uid="{58FE0247-AB90-4D44-8AC2-1516EF0525E4}" name="cp_cal/mol/deg" dataDxfId="37"/>
    <tableColumn id="9" xr3:uid="{4BE31C14-AF72-4FE7-AB25-E3A1FDFCCB74}" name="cp_mJ/mol/K" dataDxfId="36" dataCellStyle="Comma"/>
    <tableColumn id="6" xr3:uid="{133225E9-1C49-4C7F-A23A-41E537F9C448}" name="cp_Ws/mol/deg" dataDxfId="35" dataCellStyle="Comm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2:L341" totalsRowShown="0">
  <autoFilter ref="B2:L341" xr:uid="{00000000-0009-0000-0100-000001000000}"/>
  <tableColumns count="11">
    <tableColumn id="1" xr3:uid="{00000000-0010-0000-0100-000001000000}" name="year"/>
    <tableColumn id="2" xr3:uid="{00000000-0010-0000-0100-000002000000}" name="author"/>
    <tableColumn id="3" xr3:uid="{00000000-0010-0000-0100-000003000000}" name="gas"/>
    <tableColumn id="4" xr3:uid="{00000000-0010-0000-0100-000004000000}" name="Temperature_Kelvin"/>
    <tableColumn id="5" xr3:uid="{00000000-0010-0000-0100-000005000000}" name="Pressure_Mpa"/>
    <tableColumn id="6" xr3:uid="{00000000-0010-0000-0100-000006000000}" name="Pressure_atm"/>
    <tableColumn id="7" xr3:uid="{00000000-0010-0000-0100-000007000000}" name="Pressure_bar"/>
    <tableColumn id="8" xr3:uid="{00000000-0010-0000-0100-000008000000}" name="Pressure_kbar"/>
    <tableColumn id="9" xr3:uid="{00000000-0010-0000-0100-000009000000}" name="Pressure_kg/cm2"/>
    <tableColumn id="10" xr3:uid="{00000000-0010-0000-0100-00000A000000}" name="Pressure_katm"/>
    <tableColumn id="11" xr3:uid="{00000000-0010-0000-0100-00000B000000}" name="Pressure_Gpa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066295-A4A4-40D7-BF2C-CA2B8E288CD0}" name="Table6" displayName="Table6" ref="D5:K184" totalsRowShown="0" headerRowDxfId="34" dataDxfId="33">
  <autoFilter ref="D5:K184" xr:uid="{1A066295-A4A4-40D7-BF2C-CA2B8E288CD0}"/>
  <tableColumns count="8">
    <tableColumn id="1" xr3:uid="{2A4D5F66-2AF5-4199-BA55-492629F69B04}" name="Year" dataDxfId="32"/>
    <tableColumn id="2" xr3:uid="{81CD052C-E1AF-4144-B415-6ACA3C181737}" name="Author"/>
    <tableColumn id="3" xr3:uid="{D0872868-52D5-4E51-BCA4-9A9C2F5A4038}" name="T" dataDxfId="31"/>
    <tableColumn id="4" xr3:uid="{41568668-0D07-4E15-A186-6D013C68042D}" name="Vm" dataDxfId="30"/>
    <tableColumn id="5" xr3:uid="{605621B1-6755-45EB-80A8-74FC837F22F7}" name="ρ" dataDxfId="29">
      <calculatedColumnFormula>I6*1000</calculatedColumnFormula>
    </tableColumn>
    <tableColumn id="6" xr3:uid="{4A7752A2-C990-4A02-9E46-1618BC8F9DFB}" name="Å" dataDxfId="28"/>
    <tableColumn id="7" xr3:uid="{87B132C3-ECDB-4187-9B45-39633FD048CF}" name="Å3" dataDxfId="27"/>
    <tableColumn id="8" xr3:uid="{EB26250B-EE60-4E46-BE12-79CF0CF8AA8F}" name="Column1" dataDxfId="2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C63076-A6F0-4523-81B5-B180FAE7366F}" name="Table4" displayName="Table4" ref="B2:G470" totalsRowShown="0" headerRowDxfId="25" dataDxfId="24">
  <autoFilter ref="B2:G470" xr:uid="{47C63076-A6F0-4523-81B5-B180FAE7366F}"/>
  <tableColumns count="6">
    <tableColumn id="1" xr3:uid="{C60740DF-9363-46D4-AB63-DC3A023DE393}" name="year" dataDxfId="23" dataCellStyle="Comma"/>
    <tableColumn id="2" xr3:uid="{75B26CE6-A07F-4C47-8932-4C59833709A6}" name="author"/>
    <tableColumn id="3" xr3:uid="{C7042B74-F201-4123-BE38-85087EA4E344}" name="Temperature_Kelvin" dataDxfId="22">
      <calculatedColumnFormula>1/#REF!</calculatedColumnFormula>
    </tableColumn>
    <tableColumn id="4" xr3:uid="{13959991-BB7C-47C8-805D-2FC9D18C3700}" name="Pressure_Pa" dataDxfId="21">
      <calculatedColumnFormula>F3*133.322</calculatedColumnFormula>
    </tableColumn>
    <tableColumn id="5" xr3:uid="{4C7E9A15-B931-499A-B778-00312EB364B2}" name="Pressure_Torr" dataDxfId="20">
      <calculatedColumnFormula>G3/10^12</calculatedColumnFormula>
    </tableColumn>
    <tableColumn id="6" xr3:uid="{12827782-0B68-4D1F-BAE3-021A01D0AE18}" name="Pressure_mmHg" dataDxfId="1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9F48BF-459B-4A54-84E2-1308BFF7B32E}" name="Table5" displayName="Table5" ref="B2:I29" totalsRowShown="0">
  <autoFilter ref="B2:I29" xr:uid="{659F48BF-459B-4A54-84E2-1308BFF7B32E}"/>
  <tableColumns count="8">
    <tableColumn id="1" xr3:uid="{18C3B7A3-FF13-41FA-9FC1-B3F2CD6D0F2C}" name="year" dataDxfId="18"/>
    <tableColumn id="2" xr3:uid="{AAB5B8CD-0260-41E6-A778-FB2AF9ED3393}" name="author"/>
    <tableColumn id="9" xr3:uid="{1ED0990A-12D6-4586-B8F1-1FB646E4CAE9}" name="gas"/>
    <tableColumn id="3" xr3:uid="{F4763C11-2468-48CB-B320-FF8BCD9A17A1}" name="Temperature_Kelvin" dataDxfId="17"/>
    <tableColumn id="4" xr3:uid="{E0874E51-D21B-46ED-85B5-36315CCBB343}" name="H_kJ/mol" dataDxfId="16">
      <calculatedColumnFormula>H3*4.184/1000</calculatedColumnFormula>
    </tableColumn>
    <tableColumn id="5" xr3:uid="{7621E207-59AD-492B-9DCD-1735072053B8}" name="u_kJ/mol" dataDxfId="15"/>
    <tableColumn id="6" xr3:uid="{6EEF5325-9C15-49F4-BE4F-16FB801D3071}" name="H_cal/mol" dataDxfId="14"/>
    <tableColumn id="7" xr3:uid="{9D6257FF-9F22-4205-AB8A-DE269ADA35E6}" name="u_cal/mol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/>
  </sheetPr>
  <dimension ref="B1:V169"/>
  <sheetViews>
    <sheetView topLeftCell="A17" zoomScaleNormal="100" workbookViewId="0">
      <selection activeCell="F90" sqref="F90"/>
    </sheetView>
  </sheetViews>
  <sheetFormatPr defaultRowHeight="15" x14ac:dyDescent="0.25"/>
  <cols>
    <col min="1" max="1" width="13.5703125" bestFit="1" customWidth="1"/>
    <col min="2" max="2" width="13.5703125" style="1" bestFit="1" customWidth="1"/>
    <col min="3" max="3" width="13.5703125" bestFit="1" customWidth="1"/>
    <col min="4" max="4" width="7.85546875" bestFit="1" customWidth="1"/>
    <col min="5" max="5" width="28.140625" style="9" bestFit="1" customWidth="1"/>
    <col min="6" max="6" width="20.7109375" style="3" bestFit="1" customWidth="1"/>
    <col min="7" max="7" width="22" style="9" bestFit="1" customWidth="1"/>
    <col min="8" max="8" width="29.28515625" bestFit="1" customWidth="1"/>
    <col min="9" max="19" width="13.5703125" bestFit="1" customWidth="1"/>
    <col min="20" max="20" width="8.85546875" bestFit="1" customWidth="1"/>
    <col min="21" max="21" width="13.5703125" bestFit="1" customWidth="1"/>
  </cols>
  <sheetData>
    <row r="1" spans="2:22" ht="18.75" customHeight="1" x14ac:dyDescent="0.25">
      <c r="E1" s="9" t="s">
        <v>165</v>
      </c>
    </row>
    <row r="2" spans="2:22" ht="18.75" customHeight="1" x14ac:dyDescent="0.25">
      <c r="B2" s="1" t="s">
        <v>82</v>
      </c>
      <c r="C2" t="s">
        <v>83</v>
      </c>
      <c r="D2" t="s">
        <v>84</v>
      </c>
      <c r="E2" s="10" t="s">
        <v>85</v>
      </c>
      <c r="F2" s="11" t="s">
        <v>86</v>
      </c>
      <c r="G2" s="11" t="s">
        <v>160</v>
      </c>
      <c r="H2" s="10" t="s">
        <v>87</v>
      </c>
    </row>
    <row r="3" spans="2:22" ht="18.75" customHeight="1" x14ac:dyDescent="0.25">
      <c r="B3" s="6">
        <v>1972</v>
      </c>
      <c r="C3" t="s">
        <v>91</v>
      </c>
      <c r="D3" t="s">
        <v>88</v>
      </c>
      <c r="E3" s="12">
        <v>1</v>
      </c>
      <c r="G3" s="3"/>
      <c r="H3" s="12">
        <v>1.4999999999999999E-7</v>
      </c>
      <c r="S3" s="19"/>
      <c r="V3" s="19"/>
    </row>
    <row r="4" spans="2:22" ht="18.75" customHeight="1" x14ac:dyDescent="0.25">
      <c r="B4" s="6">
        <v>1972</v>
      </c>
      <c r="C4" t="s">
        <v>91</v>
      </c>
      <c r="D4" t="s">
        <v>88</v>
      </c>
      <c r="E4" s="12">
        <v>1.5</v>
      </c>
      <c r="G4" s="3"/>
      <c r="H4" s="12">
        <f>5.17*10^-7</f>
        <v>5.1699999999999998E-7</v>
      </c>
      <c r="S4" s="20"/>
      <c r="V4" s="20"/>
    </row>
    <row r="5" spans="2:22" ht="18.75" customHeight="1" x14ac:dyDescent="0.25">
      <c r="B5" s="6">
        <v>1972</v>
      </c>
      <c r="C5" t="s">
        <v>91</v>
      </c>
      <c r="D5" t="s">
        <v>88</v>
      </c>
      <c r="E5" s="12">
        <v>2</v>
      </c>
      <c r="G5" s="3"/>
      <c r="H5" s="12">
        <v>1.2500000000000001E-6</v>
      </c>
      <c r="S5" s="15"/>
      <c r="U5" s="15"/>
    </row>
    <row r="6" spans="2:22" ht="18.75" customHeight="1" x14ac:dyDescent="0.25">
      <c r="B6" s="6">
        <v>1972</v>
      </c>
      <c r="C6" t="s">
        <v>91</v>
      </c>
      <c r="D6" t="s">
        <v>88</v>
      </c>
      <c r="E6" s="12">
        <v>2.5</v>
      </c>
      <c r="G6" s="3"/>
      <c r="H6" s="12">
        <f>2.51*10^-6</f>
        <v>2.5099999999999997E-6</v>
      </c>
      <c r="S6" s="15"/>
      <c r="U6" s="15"/>
    </row>
    <row r="7" spans="2:22" ht="18.75" customHeight="1" x14ac:dyDescent="0.25">
      <c r="B7" s="6">
        <v>1972</v>
      </c>
      <c r="C7" t="s">
        <v>91</v>
      </c>
      <c r="D7" t="s">
        <v>88</v>
      </c>
      <c r="E7" s="12">
        <v>3</v>
      </c>
      <c r="G7" s="3"/>
      <c r="H7" s="12">
        <f>4.485*10^-6</f>
        <v>4.4850000000000003E-6</v>
      </c>
      <c r="S7" s="15"/>
      <c r="U7" s="15"/>
    </row>
    <row r="8" spans="2:22" ht="18.75" customHeight="1" x14ac:dyDescent="0.25">
      <c r="B8" s="6">
        <v>1972</v>
      </c>
      <c r="C8" t="s">
        <v>91</v>
      </c>
      <c r="D8" t="s">
        <v>88</v>
      </c>
      <c r="E8" s="12">
        <v>3.5</v>
      </c>
      <c r="G8" s="3"/>
      <c r="H8" s="12">
        <f>7.39*10^-6</f>
        <v>7.3899999999999995E-6</v>
      </c>
      <c r="S8" s="15"/>
      <c r="U8" s="15"/>
    </row>
    <row r="9" spans="2:22" ht="18.75" customHeight="1" x14ac:dyDescent="0.25">
      <c r="B9" s="6">
        <v>1972</v>
      </c>
      <c r="C9" t="s">
        <v>91</v>
      </c>
      <c r="D9" t="s">
        <v>88</v>
      </c>
      <c r="E9" s="12">
        <v>4</v>
      </c>
      <c r="G9" s="3"/>
      <c r="H9" s="12">
        <v>1.15E-5</v>
      </c>
      <c r="S9" s="15"/>
      <c r="U9" s="15"/>
    </row>
    <row r="10" spans="2:22" ht="18.75" customHeight="1" x14ac:dyDescent="0.25">
      <c r="B10" s="6">
        <v>1972</v>
      </c>
      <c r="C10" t="s">
        <v>91</v>
      </c>
      <c r="D10" t="s">
        <v>88</v>
      </c>
      <c r="E10" s="12">
        <v>4.5</v>
      </c>
      <c r="G10" s="3"/>
      <c r="H10" s="12">
        <f>1.712*10^-5</f>
        <v>1.7120000000000002E-5</v>
      </c>
      <c r="S10" s="15"/>
      <c r="U10" s="15"/>
    </row>
    <row r="11" spans="2:22" ht="18.75" customHeight="1" x14ac:dyDescent="0.25">
      <c r="B11" s="6">
        <v>1972</v>
      </c>
      <c r="C11" t="s">
        <v>91</v>
      </c>
      <c r="D11" t="s">
        <v>88</v>
      </c>
      <c r="E11" s="12">
        <v>5</v>
      </c>
      <c r="G11" s="3"/>
      <c r="H11" s="12">
        <f>2.438*10^-5</f>
        <v>2.4380000000000004E-5</v>
      </c>
      <c r="S11" s="15"/>
      <c r="U11" s="15"/>
    </row>
    <row r="12" spans="2:22" ht="18.75" customHeight="1" x14ac:dyDescent="0.25">
      <c r="B12" s="6">
        <v>1972</v>
      </c>
      <c r="C12" t="s">
        <v>91</v>
      </c>
      <c r="D12" t="s">
        <v>88</v>
      </c>
      <c r="E12" s="12">
        <v>5.5</v>
      </c>
      <c r="G12" s="3"/>
      <c r="H12" s="12">
        <f>3.328*10^-5</f>
        <v>3.328E-5</v>
      </c>
      <c r="S12" s="15"/>
      <c r="U12" s="15"/>
    </row>
    <row r="13" spans="2:22" ht="18.75" customHeight="1" x14ac:dyDescent="0.25">
      <c r="B13" s="6">
        <v>1972</v>
      </c>
      <c r="C13" t="s">
        <v>91</v>
      </c>
      <c r="D13" t="s">
        <v>88</v>
      </c>
      <c r="E13" s="12">
        <v>6</v>
      </c>
      <c r="F13" s="21"/>
      <c r="G13" s="21"/>
      <c r="H13" s="12">
        <f>4.383*10^-5</f>
        <v>4.3830000000000006E-5</v>
      </c>
      <c r="S13" s="15"/>
      <c r="U13" s="15"/>
    </row>
    <row r="14" spans="2:22" ht="18.75" customHeight="1" x14ac:dyDescent="0.25">
      <c r="B14" s="6">
        <v>1972</v>
      </c>
      <c r="C14" t="s">
        <v>91</v>
      </c>
      <c r="D14" t="s">
        <v>88</v>
      </c>
      <c r="E14" s="12">
        <v>6.5</v>
      </c>
      <c r="G14" s="3"/>
      <c r="H14" s="12">
        <f>5.6*10^-5</f>
        <v>5.5999999999999999E-5</v>
      </c>
      <c r="S14" s="15"/>
      <c r="U14" s="15"/>
    </row>
    <row r="15" spans="2:22" ht="18.75" customHeight="1" x14ac:dyDescent="0.25">
      <c r="B15" s="6">
        <v>1972</v>
      </c>
      <c r="C15" t="s">
        <v>91</v>
      </c>
      <c r="D15" t="s">
        <v>88</v>
      </c>
      <c r="E15" s="12">
        <v>7</v>
      </c>
      <c r="G15" s="3"/>
      <c r="H15" s="12">
        <f>6.96*10^-5</f>
        <v>6.9600000000000011E-5</v>
      </c>
      <c r="S15" s="15"/>
      <c r="U15" s="15"/>
    </row>
    <row r="16" spans="2:22" ht="18.75" customHeight="1" x14ac:dyDescent="0.25">
      <c r="B16" s="6">
        <v>1972</v>
      </c>
      <c r="C16" t="s">
        <v>91</v>
      </c>
      <c r="D16" t="s">
        <v>88</v>
      </c>
      <c r="E16" s="12">
        <v>7.5</v>
      </c>
      <c r="G16" s="3"/>
      <c r="H16" s="12">
        <f>8.46*10^-5</f>
        <v>8.460000000000001E-5</v>
      </c>
      <c r="S16" s="15"/>
      <c r="U16" s="15"/>
    </row>
    <row r="17" spans="2:21" ht="18.75" customHeight="1" x14ac:dyDescent="0.25">
      <c r="B17" s="6">
        <v>1972</v>
      </c>
      <c r="C17" t="s">
        <v>91</v>
      </c>
      <c r="D17" t="s">
        <v>88</v>
      </c>
      <c r="E17" s="12">
        <v>8</v>
      </c>
      <c r="G17" s="3"/>
      <c r="H17" s="12">
        <f>1.005*10^-4</f>
        <v>1.0049999999999999E-4</v>
      </c>
      <c r="S17" s="15"/>
      <c r="U17" s="15"/>
    </row>
    <row r="18" spans="2:21" ht="18.75" customHeight="1" x14ac:dyDescent="0.25">
      <c r="B18" s="6">
        <v>1972</v>
      </c>
      <c r="C18" t="s">
        <v>91</v>
      </c>
      <c r="D18" t="s">
        <v>88</v>
      </c>
      <c r="E18" s="12">
        <v>8.5</v>
      </c>
      <c r="G18" s="3"/>
      <c r="H18" s="12">
        <f>1.172*10^-4</f>
        <v>1.172E-4</v>
      </c>
      <c r="S18" s="15"/>
      <c r="U18" s="15"/>
    </row>
    <row r="19" spans="2:21" ht="18.75" customHeight="1" x14ac:dyDescent="0.25">
      <c r="B19" s="6">
        <v>1972</v>
      </c>
      <c r="C19" t="s">
        <v>91</v>
      </c>
      <c r="D19" t="s">
        <v>88</v>
      </c>
      <c r="E19" s="12">
        <v>9</v>
      </c>
      <c r="G19" s="3"/>
      <c r="H19" s="12">
        <f>1.349*10^-4</f>
        <v>1.349E-4</v>
      </c>
      <c r="S19" s="15"/>
      <c r="U19" s="15"/>
    </row>
    <row r="20" spans="2:21" ht="18.75" customHeight="1" x14ac:dyDescent="0.25">
      <c r="B20" s="6">
        <v>1972</v>
      </c>
      <c r="C20" t="s">
        <v>91</v>
      </c>
      <c r="D20" t="s">
        <v>88</v>
      </c>
      <c r="E20" s="12">
        <v>9.5</v>
      </c>
      <c r="G20" s="3"/>
      <c r="H20" s="12">
        <f>1.527*10^-4</f>
        <v>1.527E-4</v>
      </c>
      <c r="S20" s="15"/>
      <c r="U20" s="15"/>
    </row>
    <row r="21" spans="2:21" ht="18.75" customHeight="1" x14ac:dyDescent="0.25">
      <c r="B21" s="6">
        <v>1972</v>
      </c>
      <c r="C21" t="s">
        <v>91</v>
      </c>
      <c r="D21" t="s">
        <v>88</v>
      </c>
      <c r="E21" s="12">
        <v>10</v>
      </c>
      <c r="G21" s="3"/>
      <c r="H21" s="12">
        <f>1.709*10^-4</f>
        <v>1.7090000000000001E-4</v>
      </c>
      <c r="S21" s="15"/>
      <c r="U21" s="15"/>
    </row>
    <row r="22" spans="2:21" ht="18.75" customHeight="1" x14ac:dyDescent="0.25">
      <c r="B22" s="6">
        <v>1972</v>
      </c>
      <c r="C22" t="s">
        <v>91</v>
      </c>
      <c r="D22" t="s">
        <v>88</v>
      </c>
      <c r="E22" s="12">
        <v>10.5</v>
      </c>
      <c r="G22" s="3"/>
      <c r="H22" s="12">
        <f>1.896*10^-4</f>
        <v>1.896E-4</v>
      </c>
      <c r="S22" s="15"/>
      <c r="U22" s="15"/>
    </row>
    <row r="23" spans="2:21" ht="18.75" customHeight="1" x14ac:dyDescent="0.25">
      <c r="B23" s="6">
        <v>1972</v>
      </c>
      <c r="C23" t="s">
        <v>91</v>
      </c>
      <c r="D23" t="s">
        <v>88</v>
      </c>
      <c r="E23" s="12">
        <v>11</v>
      </c>
      <c r="G23" s="3"/>
      <c r="H23" s="12">
        <f>2.082*10^-4</f>
        <v>2.0819999999999999E-4</v>
      </c>
      <c r="S23" s="15"/>
      <c r="U23" s="15"/>
    </row>
    <row r="24" spans="2:21" ht="18.75" customHeight="1" x14ac:dyDescent="0.25">
      <c r="B24" s="6">
        <v>1972</v>
      </c>
      <c r="C24" t="s">
        <v>91</v>
      </c>
      <c r="D24" t="s">
        <v>88</v>
      </c>
      <c r="E24" s="12">
        <v>12</v>
      </c>
      <c r="G24" s="3"/>
      <c r="H24" s="12">
        <f>2.444*10^-4</f>
        <v>2.4440000000000003E-4</v>
      </c>
      <c r="S24" s="15"/>
      <c r="U24" s="15"/>
    </row>
    <row r="25" spans="2:21" ht="18.75" customHeight="1" x14ac:dyDescent="0.25">
      <c r="B25" s="6">
        <v>1972</v>
      </c>
      <c r="C25" t="s">
        <v>91</v>
      </c>
      <c r="D25" t="s">
        <v>88</v>
      </c>
      <c r="E25" s="12">
        <v>13</v>
      </c>
      <c r="G25" s="3"/>
      <c r="H25" s="12">
        <f>2.796*10^-4</f>
        <v>2.7960000000000002E-4</v>
      </c>
      <c r="S25" s="15"/>
      <c r="U25" s="15"/>
    </row>
    <row r="26" spans="2:21" ht="18.75" customHeight="1" x14ac:dyDescent="0.25">
      <c r="B26" s="6">
        <v>1972</v>
      </c>
      <c r="C26" t="s">
        <v>91</v>
      </c>
      <c r="D26" t="s">
        <v>88</v>
      </c>
      <c r="E26" s="12">
        <v>14</v>
      </c>
      <c r="G26" s="3"/>
      <c r="H26" s="12">
        <f>3.135*10^-4</f>
        <v>3.1349999999999998E-4</v>
      </c>
      <c r="S26" s="15"/>
      <c r="U26" s="15"/>
    </row>
    <row r="27" spans="2:21" ht="18.75" customHeight="1" x14ac:dyDescent="0.25">
      <c r="B27" s="6">
        <v>1972</v>
      </c>
      <c r="C27" t="s">
        <v>91</v>
      </c>
      <c r="D27" t="s">
        <v>88</v>
      </c>
      <c r="E27" s="12">
        <v>15</v>
      </c>
      <c r="G27" s="3"/>
      <c r="H27" s="12">
        <f>3.46*10^-4</f>
        <v>3.4600000000000001E-4</v>
      </c>
      <c r="S27" s="15"/>
      <c r="U27" s="15"/>
    </row>
    <row r="28" spans="2:21" ht="18.75" customHeight="1" x14ac:dyDescent="0.25">
      <c r="B28" s="6">
        <v>1972</v>
      </c>
      <c r="C28" t="s">
        <v>91</v>
      </c>
      <c r="D28" t="s">
        <v>88</v>
      </c>
      <c r="E28" s="12">
        <v>16</v>
      </c>
      <c r="G28" s="3"/>
      <c r="H28" s="12">
        <f>3.767*10^-4</f>
        <v>3.7669999999999999E-4</v>
      </c>
      <c r="S28" s="15"/>
      <c r="U28" s="15"/>
    </row>
    <row r="29" spans="2:21" ht="18.75" customHeight="1" x14ac:dyDescent="0.25">
      <c r="B29" s="6">
        <v>1972</v>
      </c>
      <c r="C29" t="s">
        <v>91</v>
      </c>
      <c r="D29" t="s">
        <v>88</v>
      </c>
      <c r="E29" s="12">
        <v>18</v>
      </c>
      <c r="G29" s="3"/>
      <c r="H29" s="12">
        <f>4.323*10^-4</f>
        <v>4.3230000000000005E-4</v>
      </c>
      <c r="S29" s="15"/>
      <c r="U29" s="15"/>
    </row>
    <row r="30" spans="2:21" ht="18.75" customHeight="1" x14ac:dyDescent="0.25">
      <c r="B30" s="6">
        <v>1972</v>
      </c>
      <c r="C30" t="s">
        <v>91</v>
      </c>
      <c r="D30" t="s">
        <v>88</v>
      </c>
      <c r="E30" s="12">
        <v>20</v>
      </c>
      <c r="G30" s="3"/>
      <c r="H30" s="12">
        <f>4.819*10^-4</f>
        <v>4.819E-4</v>
      </c>
      <c r="S30" s="15"/>
      <c r="U30" s="15"/>
    </row>
    <row r="31" spans="2:21" ht="18.75" customHeight="1" x14ac:dyDescent="0.25">
      <c r="B31" s="6">
        <v>1972</v>
      </c>
      <c r="C31" t="s">
        <v>91</v>
      </c>
      <c r="D31" t="s">
        <v>88</v>
      </c>
      <c r="E31" s="12">
        <v>25</v>
      </c>
      <c r="G31" s="3"/>
      <c r="H31" s="12">
        <f>5.79*10^-4</f>
        <v>5.7899999999999998E-4</v>
      </c>
      <c r="S31" s="15"/>
      <c r="U31" s="15"/>
    </row>
    <row r="32" spans="2:21" ht="18.75" customHeight="1" x14ac:dyDescent="0.25">
      <c r="B32" s="6">
        <v>1972</v>
      </c>
      <c r="C32" t="s">
        <v>91</v>
      </c>
      <c r="D32" t="s">
        <v>88</v>
      </c>
      <c r="E32" s="12">
        <v>30</v>
      </c>
      <c r="G32" s="3"/>
      <c r="H32" s="12">
        <f>6.53*10^-4</f>
        <v>6.5300000000000004E-4</v>
      </c>
      <c r="S32" s="15"/>
      <c r="U32" s="15"/>
    </row>
    <row r="33" spans="2:21" ht="18.75" customHeight="1" x14ac:dyDescent="0.25">
      <c r="B33" s="6">
        <v>1972</v>
      </c>
      <c r="C33" t="s">
        <v>91</v>
      </c>
      <c r="D33" t="s">
        <v>88</v>
      </c>
      <c r="E33" s="12">
        <v>35</v>
      </c>
      <c r="G33" s="3"/>
      <c r="H33" s="12">
        <f>7.08*10^-4</f>
        <v>7.0800000000000008E-4</v>
      </c>
      <c r="S33" s="15"/>
      <c r="U33" s="15"/>
    </row>
    <row r="34" spans="2:21" ht="18.75" customHeight="1" x14ac:dyDescent="0.25">
      <c r="B34" s="6">
        <v>1972</v>
      </c>
      <c r="C34" t="s">
        <v>91</v>
      </c>
      <c r="D34" t="s">
        <v>88</v>
      </c>
      <c r="E34" s="12">
        <v>40</v>
      </c>
      <c r="G34" s="3"/>
      <c r="H34" s="12">
        <f>7.56*10^-4</f>
        <v>7.5599999999999994E-4</v>
      </c>
      <c r="S34" s="15"/>
      <c r="U34" s="15"/>
    </row>
    <row r="35" spans="2:21" ht="18.75" customHeight="1" x14ac:dyDescent="0.25">
      <c r="B35" s="6">
        <v>1972</v>
      </c>
      <c r="C35" t="s">
        <v>91</v>
      </c>
      <c r="D35" t="s">
        <v>88</v>
      </c>
      <c r="E35" s="12">
        <v>45</v>
      </c>
      <c r="G35" s="3"/>
      <c r="H35" s="12">
        <f>7.98*10^-4</f>
        <v>7.980000000000001E-4</v>
      </c>
      <c r="S35" s="15"/>
      <c r="U35" s="15"/>
    </row>
    <row r="36" spans="2:21" ht="18.75" customHeight="1" x14ac:dyDescent="0.25">
      <c r="B36" s="45">
        <v>1967</v>
      </c>
      <c r="C36" t="s">
        <v>164</v>
      </c>
      <c r="D36" t="s">
        <v>88</v>
      </c>
      <c r="E36" s="47">
        <v>12</v>
      </c>
      <c r="G36" s="3"/>
      <c r="H36" s="37">
        <f>2.56*10^-4</f>
        <v>2.5600000000000004E-4</v>
      </c>
      <c r="S36" s="15"/>
      <c r="U36" s="15"/>
    </row>
    <row r="37" spans="2:21" ht="18.75" customHeight="1" x14ac:dyDescent="0.25">
      <c r="B37" s="45">
        <v>1967</v>
      </c>
      <c r="C37" t="s">
        <v>164</v>
      </c>
      <c r="D37" t="s">
        <v>88</v>
      </c>
      <c r="E37" s="47">
        <v>16</v>
      </c>
      <c r="G37" s="3"/>
      <c r="H37" s="37">
        <f>4.08*10^-4</f>
        <v>4.0800000000000005E-4</v>
      </c>
      <c r="S37" s="15"/>
      <c r="U37" s="15"/>
    </row>
    <row r="38" spans="2:21" ht="18.75" customHeight="1" x14ac:dyDescent="0.25">
      <c r="B38" s="45">
        <v>1967</v>
      </c>
      <c r="C38" t="s">
        <v>164</v>
      </c>
      <c r="D38" t="s">
        <v>88</v>
      </c>
      <c r="E38" s="47">
        <v>20</v>
      </c>
      <c r="G38" s="3"/>
      <c r="H38">
        <f>5.08*10^-4</f>
        <v>5.0799999999999999E-4</v>
      </c>
      <c r="S38" s="15"/>
      <c r="U38" s="15"/>
    </row>
    <row r="39" spans="2:21" ht="18.75" customHeight="1" x14ac:dyDescent="0.25">
      <c r="B39" s="45">
        <v>1967</v>
      </c>
      <c r="C39" t="s">
        <v>164</v>
      </c>
      <c r="D39" t="s">
        <v>88</v>
      </c>
      <c r="E39" s="47">
        <v>25</v>
      </c>
      <c r="G39" s="3"/>
      <c r="H39">
        <f>5.8*10^-4</f>
        <v>5.8E-4</v>
      </c>
      <c r="S39" s="15"/>
      <c r="U39" s="15"/>
    </row>
    <row r="40" spans="2:21" ht="18.75" customHeight="1" x14ac:dyDescent="0.25">
      <c r="B40" s="45">
        <v>1967</v>
      </c>
      <c r="C40" t="s">
        <v>164</v>
      </c>
      <c r="D40" t="s">
        <v>88</v>
      </c>
      <c r="E40" s="47">
        <v>30</v>
      </c>
      <c r="G40" s="3"/>
      <c r="H40">
        <f>6.41*10^-4</f>
        <v>6.4100000000000008E-4</v>
      </c>
      <c r="S40" s="15"/>
      <c r="U40" s="15"/>
    </row>
    <row r="41" spans="2:21" ht="18.75" customHeight="1" x14ac:dyDescent="0.25">
      <c r="B41" s="45">
        <v>1967</v>
      </c>
      <c r="C41" t="s">
        <v>164</v>
      </c>
      <c r="D41" t="s">
        <v>88</v>
      </c>
      <c r="E41" s="47">
        <v>35</v>
      </c>
      <c r="G41" s="3"/>
      <c r="H41">
        <f>7*10^-4</f>
        <v>6.9999999999999999E-4</v>
      </c>
      <c r="S41" s="15"/>
      <c r="U41" s="15"/>
    </row>
    <row r="42" spans="2:21" ht="18.75" customHeight="1" x14ac:dyDescent="0.25">
      <c r="B42" s="45">
        <v>1967</v>
      </c>
      <c r="C42" t="s">
        <v>164</v>
      </c>
      <c r="D42" t="s">
        <v>88</v>
      </c>
      <c r="E42" s="47">
        <v>40</v>
      </c>
      <c r="G42" s="3"/>
      <c r="H42">
        <f>7.54*10^-4</f>
        <v>7.54E-4</v>
      </c>
    </row>
    <row r="43" spans="2:21" ht="18.75" customHeight="1" x14ac:dyDescent="0.25">
      <c r="B43" s="45">
        <v>1967</v>
      </c>
      <c r="C43" t="s">
        <v>164</v>
      </c>
      <c r="D43" t="s">
        <v>88</v>
      </c>
      <c r="E43" s="47">
        <v>45</v>
      </c>
      <c r="G43" s="3"/>
      <c r="H43">
        <f>8*10^-4</f>
        <v>8.0000000000000004E-4</v>
      </c>
      <c r="I43" s="15"/>
      <c r="S43" s="15"/>
      <c r="U43" s="15"/>
    </row>
    <row r="44" spans="2:21" ht="18.75" customHeight="1" x14ac:dyDescent="0.25">
      <c r="B44" s="45">
        <v>1967</v>
      </c>
      <c r="C44" t="s">
        <v>164</v>
      </c>
      <c r="D44" t="s">
        <v>88</v>
      </c>
      <c r="E44" s="47">
        <v>50</v>
      </c>
      <c r="G44" s="3"/>
      <c r="H44">
        <f>8.42*10^-4</f>
        <v>8.4200000000000008E-4</v>
      </c>
      <c r="I44" s="15"/>
      <c r="S44" s="15"/>
      <c r="U44" s="15"/>
    </row>
    <row r="45" spans="2:21" ht="18.75" customHeight="1" x14ac:dyDescent="0.25">
      <c r="B45" s="45">
        <v>1967</v>
      </c>
      <c r="C45" t="s">
        <v>164</v>
      </c>
      <c r="D45" t="s">
        <v>88</v>
      </c>
      <c r="E45" s="47">
        <v>55</v>
      </c>
      <c r="G45" s="3"/>
      <c r="H45">
        <f>8.81*10^-4</f>
        <v>8.8100000000000006E-4</v>
      </c>
      <c r="I45" s="15"/>
      <c r="S45" s="15"/>
      <c r="U45" s="15"/>
    </row>
    <row r="46" spans="2:21" ht="18.75" customHeight="1" x14ac:dyDescent="0.25">
      <c r="B46" s="45">
        <v>1967</v>
      </c>
      <c r="C46" t="s">
        <v>164</v>
      </c>
      <c r="D46" t="s">
        <v>88</v>
      </c>
      <c r="E46" s="47">
        <v>60</v>
      </c>
      <c r="G46" s="3"/>
      <c r="H46">
        <f>9.21*10^-4</f>
        <v>9.2100000000000016E-4</v>
      </c>
      <c r="I46" s="15"/>
      <c r="S46" s="15"/>
      <c r="U46" s="15"/>
    </row>
    <row r="47" spans="2:21" ht="18.75" customHeight="1" x14ac:dyDescent="0.25">
      <c r="B47" s="45">
        <v>1967</v>
      </c>
      <c r="C47" t="s">
        <v>164</v>
      </c>
      <c r="D47" t="s">
        <v>88</v>
      </c>
      <c r="E47" s="47">
        <v>65</v>
      </c>
      <c r="G47" s="3"/>
      <c r="H47">
        <f>9.61*10^-4</f>
        <v>9.6099999999999994E-4</v>
      </c>
      <c r="I47" s="15"/>
      <c r="S47" s="15"/>
      <c r="U47" s="15"/>
    </row>
    <row r="48" spans="2:21" ht="18.75" customHeight="1" x14ac:dyDescent="0.25">
      <c r="B48" s="45">
        <v>1967</v>
      </c>
      <c r="C48" t="s">
        <v>164</v>
      </c>
      <c r="D48" t="s">
        <v>88</v>
      </c>
      <c r="E48" s="47">
        <v>69</v>
      </c>
      <c r="G48" s="3"/>
      <c r="H48">
        <f>9.92*10^-4</f>
        <v>9.9200000000000004E-4</v>
      </c>
      <c r="I48" s="15"/>
      <c r="S48" s="15"/>
      <c r="U48" s="15"/>
    </row>
    <row r="49" spans="2:9" ht="18.75" customHeight="1" x14ac:dyDescent="0.25">
      <c r="B49" s="45">
        <v>1973</v>
      </c>
      <c r="C49" t="s">
        <v>163</v>
      </c>
      <c r="D49" t="s">
        <v>139</v>
      </c>
      <c r="E49" s="47">
        <v>5.5643000000000002</v>
      </c>
      <c r="G49" s="3"/>
      <c r="H49">
        <f>6.33*10^5</f>
        <v>633000</v>
      </c>
      <c r="I49" s="15"/>
    </row>
    <row r="50" spans="2:9" ht="18.75" customHeight="1" x14ac:dyDescent="0.25">
      <c r="B50" s="45">
        <v>1973</v>
      </c>
      <c r="C50" t="s">
        <v>163</v>
      </c>
      <c r="D50" t="s">
        <v>139</v>
      </c>
      <c r="E50" s="47">
        <v>6.4953000000000003</v>
      </c>
      <c r="G50" s="3"/>
      <c r="H50">
        <f>10.52*10^5</f>
        <v>1052000</v>
      </c>
      <c r="I50" s="15"/>
    </row>
    <row r="51" spans="2:9" ht="18.75" customHeight="1" x14ac:dyDescent="0.25">
      <c r="B51" s="45">
        <v>1973</v>
      </c>
      <c r="C51" t="s">
        <v>163</v>
      </c>
      <c r="D51" t="s">
        <v>139</v>
      </c>
      <c r="E51" s="47">
        <v>7.4962999999999997</v>
      </c>
      <c r="G51" s="3"/>
      <c r="H51">
        <f>16.29*10^5</f>
        <v>1629000</v>
      </c>
      <c r="I51" s="15"/>
    </row>
    <row r="52" spans="2:9" ht="18.75" customHeight="1" x14ac:dyDescent="0.25">
      <c r="B52" s="1">
        <v>1973</v>
      </c>
      <c r="C52" t="s">
        <v>163</v>
      </c>
      <c r="D52" t="s">
        <v>139</v>
      </c>
      <c r="E52" s="9">
        <v>5.968</v>
      </c>
      <c r="G52" s="3"/>
      <c r="H52">
        <f>7.991*10^5</f>
        <v>799100</v>
      </c>
      <c r="I52" s="15"/>
    </row>
    <row r="53" spans="2:9" ht="18.75" customHeight="1" x14ac:dyDescent="0.25">
      <c r="B53" s="1">
        <v>1973</v>
      </c>
      <c r="C53" t="s">
        <v>163</v>
      </c>
      <c r="D53" t="s">
        <v>139</v>
      </c>
      <c r="E53" s="9">
        <v>6.5986000000000002</v>
      </c>
      <c r="G53" s="3"/>
      <c r="H53">
        <f>11.04*10^5</f>
        <v>1104000</v>
      </c>
      <c r="I53" s="15"/>
    </row>
    <row r="54" spans="2:9" ht="18.75" customHeight="1" x14ac:dyDescent="0.25">
      <c r="B54" s="1">
        <v>1973</v>
      </c>
      <c r="C54" t="s">
        <v>163</v>
      </c>
      <c r="D54" t="s">
        <v>139</v>
      </c>
      <c r="E54" s="9">
        <v>7.2960000000000003</v>
      </c>
      <c r="G54" s="3"/>
      <c r="H54">
        <f>14.98*10^5</f>
        <v>1498000</v>
      </c>
      <c r="I54" s="15"/>
    </row>
    <row r="55" spans="2:9" ht="18.75" customHeight="1" x14ac:dyDescent="0.25">
      <c r="B55" s="1">
        <v>1973</v>
      </c>
      <c r="C55" t="s">
        <v>163</v>
      </c>
      <c r="D55" t="s">
        <v>139</v>
      </c>
      <c r="E55" s="9">
        <v>8.8335000000000008</v>
      </c>
      <c r="G55" s="3"/>
      <c r="H55">
        <f>25.69*10^5</f>
        <v>2569000</v>
      </c>
      <c r="I55" s="15"/>
    </row>
    <row r="56" spans="2:9" ht="18.75" customHeight="1" x14ac:dyDescent="0.25">
      <c r="B56" s="1">
        <v>1973</v>
      </c>
      <c r="C56" t="s">
        <v>163</v>
      </c>
      <c r="D56" t="s">
        <v>139</v>
      </c>
      <c r="E56" s="9">
        <v>9.9263999999999992</v>
      </c>
      <c r="G56" s="3"/>
      <c r="H56">
        <f>34.54*10^5</f>
        <v>3454000</v>
      </c>
      <c r="I56" s="15"/>
    </row>
    <row r="57" spans="2:9" ht="18.75" customHeight="1" x14ac:dyDescent="0.25">
      <c r="B57" s="1">
        <v>1973</v>
      </c>
      <c r="C57" t="s">
        <v>163</v>
      </c>
      <c r="D57" t="s">
        <v>139</v>
      </c>
      <c r="E57" s="9">
        <v>11.0037</v>
      </c>
      <c r="G57" s="3"/>
      <c r="H57">
        <f>43.94*10^5</f>
        <v>4394000</v>
      </c>
      <c r="I57" s="15"/>
    </row>
    <row r="58" spans="2:9" ht="18.75" customHeight="1" x14ac:dyDescent="0.25">
      <c r="B58" s="1">
        <v>1973</v>
      </c>
      <c r="C58" t="s">
        <v>163</v>
      </c>
      <c r="D58" t="s">
        <v>139</v>
      </c>
      <c r="E58" s="9">
        <v>12.0306</v>
      </c>
      <c r="G58" s="3"/>
      <c r="H58">
        <f>53.41*10^5</f>
        <v>5341000</v>
      </c>
      <c r="I58" s="15"/>
    </row>
    <row r="59" spans="2:9" ht="18.75" customHeight="1" x14ac:dyDescent="0.25">
      <c r="B59" s="1">
        <v>1973</v>
      </c>
      <c r="C59" t="s">
        <v>163</v>
      </c>
      <c r="D59" t="s">
        <v>139</v>
      </c>
      <c r="E59" s="9">
        <v>12.9909</v>
      </c>
      <c r="G59" s="3"/>
      <c r="H59">
        <f>62.68*10^5</f>
        <v>6268000</v>
      </c>
      <c r="I59" s="15"/>
    </row>
    <row r="60" spans="2:9" ht="18.75" customHeight="1" x14ac:dyDescent="0.25">
      <c r="B60" s="1">
        <v>1973</v>
      </c>
      <c r="C60" t="s">
        <v>163</v>
      </c>
      <c r="D60" t="s">
        <v>139</v>
      </c>
      <c r="E60" s="9">
        <v>13.9963</v>
      </c>
      <c r="G60" s="3"/>
      <c r="H60">
        <f>72.97*10^5</f>
        <v>7297000</v>
      </c>
      <c r="I60" s="15"/>
    </row>
    <row r="61" spans="2:9" ht="18.75" customHeight="1" x14ac:dyDescent="0.25">
      <c r="B61" s="1">
        <v>1973</v>
      </c>
      <c r="C61" t="s">
        <v>163</v>
      </c>
      <c r="D61" t="s">
        <v>139</v>
      </c>
      <c r="E61" s="9">
        <v>15.007999999999999</v>
      </c>
      <c r="G61" s="3"/>
      <c r="H61">
        <f>83.67*10^5</f>
        <v>8367000</v>
      </c>
      <c r="I61" s="15"/>
    </row>
    <row r="62" spans="2:9" ht="18.75" customHeight="1" x14ac:dyDescent="0.25">
      <c r="B62" s="1">
        <v>1973</v>
      </c>
      <c r="C62" t="s">
        <v>163</v>
      </c>
      <c r="D62" t="s">
        <v>139</v>
      </c>
      <c r="E62" s="9">
        <v>1.6191</v>
      </c>
      <c r="G62" s="3"/>
      <c r="H62">
        <f>0.1172*10^5</f>
        <v>11720</v>
      </c>
      <c r="I62" s="15"/>
    </row>
    <row r="63" spans="2:9" ht="18.75" customHeight="1" x14ac:dyDescent="0.25">
      <c r="B63" s="1">
        <v>1973</v>
      </c>
      <c r="C63" t="s">
        <v>163</v>
      </c>
      <c r="D63" t="s">
        <v>139</v>
      </c>
      <c r="E63" s="9">
        <v>1.8734</v>
      </c>
      <c r="G63" s="3"/>
      <c r="H63">
        <f>0.1833*10^5</f>
        <v>18330</v>
      </c>
      <c r="I63" s="15"/>
    </row>
    <row r="64" spans="2:9" ht="18.75" customHeight="1" x14ac:dyDescent="0.25">
      <c r="B64" s="46">
        <v>1972</v>
      </c>
      <c r="C64" t="s">
        <v>91</v>
      </c>
      <c r="D64" t="s">
        <v>90</v>
      </c>
      <c r="E64" s="40">
        <v>1</v>
      </c>
      <c r="G64" s="3"/>
      <c r="H64" s="40">
        <f>1.51*10^-7</f>
        <v>1.5099999999999999E-7</v>
      </c>
      <c r="I64" s="15"/>
    </row>
    <row r="65" spans="2:9" ht="18.75" customHeight="1" x14ac:dyDescent="0.25">
      <c r="B65" s="46">
        <v>1972</v>
      </c>
      <c r="C65" t="s">
        <v>91</v>
      </c>
      <c r="D65" t="s">
        <v>90</v>
      </c>
      <c r="E65" s="40">
        <v>1.5</v>
      </c>
      <c r="G65" s="3"/>
      <c r="H65" s="40">
        <f>5.29*10^-7</f>
        <v>5.2899999999999993E-7</v>
      </c>
      <c r="I65" s="15"/>
    </row>
    <row r="66" spans="2:9" ht="18.75" customHeight="1" x14ac:dyDescent="0.25">
      <c r="B66" s="46">
        <v>1972</v>
      </c>
      <c r="C66" t="s">
        <v>91</v>
      </c>
      <c r="D66" t="s">
        <v>90</v>
      </c>
      <c r="E66" s="40">
        <v>2</v>
      </c>
      <c r="G66" s="3"/>
      <c r="H66" s="9">
        <f>1.289*10^-6</f>
        <v>1.2889999999999999E-6</v>
      </c>
      <c r="I66" s="15"/>
    </row>
    <row r="67" spans="2:9" ht="18.75" customHeight="1" x14ac:dyDescent="0.25">
      <c r="B67" s="46">
        <v>1972</v>
      </c>
      <c r="C67" t="s">
        <v>91</v>
      </c>
      <c r="D67" t="s">
        <v>90</v>
      </c>
      <c r="E67" s="40">
        <v>2.5</v>
      </c>
      <c r="G67" s="3"/>
      <c r="H67" s="9">
        <f>2.644*10^-6</f>
        <v>2.644E-6</v>
      </c>
      <c r="I67" s="15"/>
    </row>
    <row r="68" spans="2:9" ht="18.75" customHeight="1" x14ac:dyDescent="0.25">
      <c r="B68" s="46">
        <v>1972</v>
      </c>
      <c r="C68" t="s">
        <v>91</v>
      </c>
      <c r="D68" t="s">
        <v>90</v>
      </c>
      <c r="E68" s="40">
        <v>3</v>
      </c>
      <c r="G68" s="3"/>
      <c r="H68" s="9">
        <f>4.8*10^-6</f>
        <v>4.7999999999999998E-6</v>
      </c>
      <c r="I68" s="15"/>
    </row>
    <row r="69" spans="2:9" ht="18.75" customHeight="1" x14ac:dyDescent="0.25">
      <c r="B69" s="46">
        <v>1972</v>
      </c>
      <c r="C69" t="s">
        <v>91</v>
      </c>
      <c r="D69" t="s">
        <v>90</v>
      </c>
      <c r="E69" s="40">
        <v>3.5</v>
      </c>
      <c r="G69" s="3"/>
      <c r="H69" s="9">
        <f>8.06*10^-6</f>
        <v>8.0600000000000008E-6</v>
      </c>
      <c r="I69" s="15"/>
    </row>
    <row r="70" spans="2:9" ht="18.75" customHeight="1" x14ac:dyDescent="0.25">
      <c r="B70" s="46">
        <v>1972</v>
      </c>
      <c r="C70" t="s">
        <v>91</v>
      </c>
      <c r="D70" t="s">
        <v>90</v>
      </c>
      <c r="E70" s="40">
        <v>4</v>
      </c>
      <c r="G70" s="3"/>
      <c r="H70" s="9">
        <f>1.278*10^-5</f>
        <v>1.2780000000000001E-5</v>
      </c>
      <c r="I70" s="15"/>
    </row>
    <row r="71" spans="2:9" ht="18.75" customHeight="1" x14ac:dyDescent="0.25">
      <c r="B71" s="46">
        <v>1972</v>
      </c>
      <c r="C71" t="s">
        <v>91</v>
      </c>
      <c r="D71" t="s">
        <v>90</v>
      </c>
      <c r="E71" s="40">
        <v>4.5</v>
      </c>
      <c r="G71" s="3"/>
      <c r="H71" s="9">
        <f>1.877*10^-5</f>
        <v>1.8770000000000002E-5</v>
      </c>
      <c r="I71" s="15"/>
    </row>
    <row r="72" spans="2:9" ht="18.75" customHeight="1" x14ac:dyDescent="0.25">
      <c r="B72" s="46">
        <v>1972</v>
      </c>
      <c r="C72" t="s">
        <v>91</v>
      </c>
      <c r="D72" t="s">
        <v>90</v>
      </c>
      <c r="E72" s="40">
        <v>5</v>
      </c>
      <c r="G72" s="3"/>
      <c r="H72" s="9">
        <f>2.64*10^-5</f>
        <v>2.6400000000000005E-5</v>
      </c>
      <c r="I72" s="15"/>
    </row>
    <row r="73" spans="2:9" ht="18.75" customHeight="1" x14ac:dyDescent="0.25">
      <c r="B73" s="46">
        <v>1972</v>
      </c>
      <c r="C73" t="s">
        <v>91</v>
      </c>
      <c r="D73" t="s">
        <v>90</v>
      </c>
      <c r="E73" s="40">
        <v>5.5</v>
      </c>
      <c r="G73" s="3"/>
      <c r="H73" s="9">
        <f>3.555*10^-5</f>
        <v>3.5550000000000004E-5</v>
      </c>
      <c r="I73" s="15"/>
    </row>
    <row r="74" spans="2:9" ht="18.75" customHeight="1" x14ac:dyDescent="0.25">
      <c r="B74" s="46">
        <v>1972</v>
      </c>
      <c r="C74" t="s">
        <v>91</v>
      </c>
      <c r="D74" t="s">
        <v>90</v>
      </c>
      <c r="E74" s="40">
        <v>6</v>
      </c>
      <c r="G74" s="3"/>
      <c r="H74" s="9">
        <f>4.614*10^-5</f>
        <v>4.6140000000000002E-5</v>
      </c>
      <c r="I74" s="15"/>
    </row>
    <row r="75" spans="2:9" ht="18.75" customHeight="1" x14ac:dyDescent="0.25">
      <c r="B75" s="46">
        <v>1972</v>
      </c>
      <c r="C75" t="s">
        <v>91</v>
      </c>
      <c r="D75" t="s">
        <v>90</v>
      </c>
      <c r="E75" s="40">
        <v>6.5</v>
      </c>
      <c r="G75" s="3"/>
      <c r="H75" s="9">
        <f>5.8*10^-5</f>
        <v>5.8E-5</v>
      </c>
      <c r="I75" s="15"/>
    </row>
    <row r="76" spans="2:9" ht="18.75" customHeight="1" x14ac:dyDescent="0.25">
      <c r="B76" s="46">
        <v>1972</v>
      </c>
      <c r="C76" t="s">
        <v>91</v>
      </c>
      <c r="D76" t="s">
        <v>90</v>
      </c>
      <c r="E76" s="40">
        <v>7</v>
      </c>
      <c r="G76" s="3"/>
      <c r="H76" s="9">
        <f>7.09*10^-5</f>
        <v>7.0900000000000002E-5</v>
      </c>
      <c r="I76" s="15"/>
    </row>
    <row r="77" spans="2:9" ht="18.75" customHeight="1" x14ac:dyDescent="0.25">
      <c r="B77" s="46">
        <v>1972</v>
      </c>
      <c r="C77" t="s">
        <v>91</v>
      </c>
      <c r="D77" t="s">
        <v>90</v>
      </c>
      <c r="E77" s="40">
        <v>7.5</v>
      </c>
      <c r="G77" s="3"/>
      <c r="H77" s="9">
        <f>8.44*10^-5</f>
        <v>8.4400000000000005E-5</v>
      </c>
      <c r="I77" s="15"/>
    </row>
    <row r="78" spans="2:9" ht="18.75" customHeight="1" x14ac:dyDescent="0.25">
      <c r="B78" s="46">
        <v>1972</v>
      </c>
      <c r="C78" t="s">
        <v>91</v>
      </c>
      <c r="D78" t="s">
        <v>90</v>
      </c>
      <c r="E78" s="40">
        <v>8</v>
      </c>
      <c r="G78" s="3"/>
      <c r="H78" s="9">
        <f>9.86*10^-5</f>
        <v>9.8599999999999998E-5</v>
      </c>
      <c r="I78" s="15"/>
    </row>
    <row r="79" spans="2:9" ht="18.75" customHeight="1" x14ac:dyDescent="0.25">
      <c r="B79" s="46">
        <v>1972</v>
      </c>
      <c r="C79" t="s">
        <v>91</v>
      </c>
      <c r="D79" t="s">
        <v>90</v>
      </c>
      <c r="E79" s="40">
        <v>8.5</v>
      </c>
      <c r="G79" s="3"/>
      <c r="H79" s="9">
        <f>1.134*10^-4</f>
        <v>1.1339999999999999E-4</v>
      </c>
      <c r="I79" s="15"/>
    </row>
    <row r="80" spans="2:9" ht="18.75" customHeight="1" x14ac:dyDescent="0.25">
      <c r="B80" s="46">
        <v>1972</v>
      </c>
      <c r="C80" t="s">
        <v>91</v>
      </c>
      <c r="D80" t="s">
        <v>90</v>
      </c>
      <c r="E80" s="40">
        <v>9</v>
      </c>
      <c r="G80" s="3"/>
      <c r="H80" s="9">
        <f>1.281*10^-4</f>
        <v>1.281E-4</v>
      </c>
      <c r="I80" s="15"/>
    </row>
    <row r="81" spans="2:9" ht="18.75" customHeight="1" x14ac:dyDescent="0.25">
      <c r="B81" s="46">
        <v>1972</v>
      </c>
      <c r="C81" t="s">
        <v>91</v>
      </c>
      <c r="D81" t="s">
        <v>90</v>
      </c>
      <c r="E81" s="40">
        <v>9.5</v>
      </c>
      <c r="G81" s="3"/>
      <c r="H81" s="9">
        <f>1.428*10^-4</f>
        <v>1.428E-4</v>
      </c>
      <c r="I81" s="15"/>
    </row>
    <row r="82" spans="2:9" ht="18.75" customHeight="1" x14ac:dyDescent="0.25">
      <c r="B82" s="46">
        <v>1972</v>
      </c>
      <c r="C82" t="s">
        <v>91</v>
      </c>
      <c r="D82" t="s">
        <v>90</v>
      </c>
      <c r="E82" s="40">
        <v>10</v>
      </c>
      <c r="G82" s="3"/>
      <c r="H82" s="9">
        <f>1.577*10^-4</f>
        <v>1.5770000000000001E-4</v>
      </c>
      <c r="I82" s="15"/>
    </row>
    <row r="83" spans="2:9" ht="18.75" customHeight="1" x14ac:dyDescent="0.25">
      <c r="B83" s="46">
        <v>1972</v>
      </c>
      <c r="C83" t="s">
        <v>91</v>
      </c>
      <c r="D83" t="s">
        <v>90</v>
      </c>
      <c r="E83" s="40">
        <v>10.5</v>
      </c>
      <c r="G83" s="3"/>
      <c r="H83" s="9">
        <f>1.724*10^-4</f>
        <v>1.7240000000000002E-4</v>
      </c>
      <c r="I83" s="15"/>
    </row>
    <row r="84" spans="2:9" ht="18.75" customHeight="1" x14ac:dyDescent="0.25">
      <c r="B84" s="46">
        <v>1972</v>
      </c>
      <c r="C84" t="s">
        <v>91</v>
      </c>
      <c r="D84" t="s">
        <v>90</v>
      </c>
      <c r="E84" s="40">
        <v>11</v>
      </c>
      <c r="G84" s="3"/>
      <c r="H84" s="9">
        <f>1.866*10^-4</f>
        <v>1.8660000000000001E-4</v>
      </c>
      <c r="I84" s="15"/>
    </row>
    <row r="85" spans="2:9" ht="18.75" customHeight="1" x14ac:dyDescent="0.25">
      <c r="B85" s="46">
        <v>1972</v>
      </c>
      <c r="C85" t="s">
        <v>91</v>
      </c>
      <c r="D85" t="s">
        <v>90</v>
      </c>
      <c r="E85" s="40">
        <v>12</v>
      </c>
      <c r="G85" s="3"/>
      <c r="H85" s="9">
        <f>2.139*10^-4</f>
        <v>2.139E-4</v>
      </c>
      <c r="I85" s="15"/>
    </row>
    <row r="86" spans="2:9" ht="18.75" customHeight="1" x14ac:dyDescent="0.25">
      <c r="B86" s="46">
        <v>1972</v>
      </c>
      <c r="C86" t="s">
        <v>91</v>
      </c>
      <c r="D86" t="s">
        <v>90</v>
      </c>
      <c r="E86" s="40">
        <v>13</v>
      </c>
      <c r="G86" s="3"/>
      <c r="H86" s="9">
        <f>2.395*10^-4</f>
        <v>2.3950000000000002E-4</v>
      </c>
      <c r="I86" s="15"/>
    </row>
    <row r="87" spans="2:9" ht="18.75" customHeight="1" x14ac:dyDescent="0.25">
      <c r="B87" s="46">
        <v>1972</v>
      </c>
      <c r="C87" t="s">
        <v>91</v>
      </c>
      <c r="D87" t="s">
        <v>90</v>
      </c>
      <c r="E87" s="40">
        <v>14</v>
      </c>
      <c r="G87" s="3"/>
      <c r="H87" s="9">
        <f>2.636*10^-4</f>
        <v>2.6360000000000001E-4</v>
      </c>
      <c r="I87" s="15"/>
    </row>
    <row r="88" spans="2:9" ht="18.75" customHeight="1" x14ac:dyDescent="0.25">
      <c r="B88" s="46">
        <v>1972</v>
      </c>
      <c r="C88" t="s">
        <v>91</v>
      </c>
      <c r="D88" t="s">
        <v>90</v>
      </c>
      <c r="E88" s="40">
        <v>15</v>
      </c>
      <c r="G88" s="3"/>
      <c r="H88" s="9">
        <f>2.86*10^-4</f>
        <v>2.8600000000000001E-4</v>
      </c>
      <c r="I88" s="15"/>
    </row>
    <row r="89" spans="2:9" ht="18.75" customHeight="1" x14ac:dyDescent="0.25">
      <c r="B89" s="46">
        <v>1972</v>
      </c>
      <c r="C89" t="s">
        <v>91</v>
      </c>
      <c r="D89" t="s">
        <v>90</v>
      </c>
      <c r="E89" s="40">
        <v>16</v>
      </c>
      <c r="G89" s="3"/>
      <c r="H89" s="9">
        <f>3.069*10^-4</f>
        <v>3.0690000000000003E-4</v>
      </c>
      <c r="I89" s="15"/>
    </row>
    <row r="90" spans="2:9" ht="18.75" customHeight="1" x14ac:dyDescent="0.25">
      <c r="B90" s="46">
        <v>1972</v>
      </c>
      <c r="C90" t="s">
        <v>91</v>
      </c>
      <c r="D90" t="s">
        <v>90</v>
      </c>
      <c r="E90" s="40">
        <v>18</v>
      </c>
      <c r="G90" s="3"/>
      <c r="H90" s="9">
        <f>3.438*10^-4</f>
        <v>3.4380000000000001E-4</v>
      </c>
      <c r="I90" s="15"/>
    </row>
    <row r="91" spans="2:9" ht="18.75" customHeight="1" x14ac:dyDescent="0.25">
      <c r="B91" s="46">
        <v>1972</v>
      </c>
      <c r="C91" t="s">
        <v>91</v>
      </c>
      <c r="D91" t="s">
        <v>90</v>
      </c>
      <c r="E91" s="40">
        <v>20</v>
      </c>
      <c r="G91" s="3"/>
      <c r="H91" s="9">
        <f>3.738*10^-4</f>
        <v>3.7380000000000003E-4</v>
      </c>
      <c r="I91" s="15"/>
    </row>
    <row r="92" spans="2:9" ht="18.75" customHeight="1" x14ac:dyDescent="0.25">
      <c r="B92" s="46">
        <v>1972</v>
      </c>
      <c r="C92" t="s">
        <v>91</v>
      </c>
      <c r="D92" t="s">
        <v>90</v>
      </c>
      <c r="E92" s="40">
        <v>25</v>
      </c>
      <c r="G92" s="3"/>
      <c r="H92" s="9">
        <f>4.341*10^-4</f>
        <v>4.3410000000000003E-4</v>
      </c>
      <c r="I92" s="15"/>
    </row>
    <row r="93" spans="2:9" ht="18.75" customHeight="1" x14ac:dyDescent="0.25">
      <c r="B93" s="46">
        <v>1972</v>
      </c>
      <c r="C93" t="s">
        <v>91</v>
      </c>
      <c r="D93" t="s">
        <v>90</v>
      </c>
      <c r="E93" s="40">
        <v>30</v>
      </c>
      <c r="G93" s="3"/>
      <c r="H93" s="9">
        <f>4.749*10^-4</f>
        <v>4.749E-4</v>
      </c>
      <c r="I93" s="15"/>
    </row>
    <row r="94" spans="2:9" ht="18.75" customHeight="1" x14ac:dyDescent="0.25">
      <c r="B94" s="46">
        <v>1972</v>
      </c>
      <c r="C94" t="s">
        <v>91</v>
      </c>
      <c r="D94" t="s">
        <v>90</v>
      </c>
      <c r="E94" s="40">
        <v>35</v>
      </c>
      <c r="G94" s="3"/>
      <c r="H94" s="9">
        <f>5.08*10^-4</f>
        <v>5.0799999999999999E-4</v>
      </c>
      <c r="I94" s="15"/>
    </row>
    <row r="95" spans="2:9" ht="18.75" customHeight="1" x14ac:dyDescent="0.25">
      <c r="B95" s="46">
        <v>1972</v>
      </c>
      <c r="C95" t="s">
        <v>91</v>
      </c>
      <c r="D95" t="s">
        <v>90</v>
      </c>
      <c r="E95" s="40">
        <v>40</v>
      </c>
      <c r="G95" s="3"/>
      <c r="H95" s="9">
        <f>5.34*10^-4</f>
        <v>5.3399999999999997E-4</v>
      </c>
      <c r="I95" s="15"/>
    </row>
    <row r="96" spans="2:9" ht="18.75" customHeight="1" x14ac:dyDescent="0.25">
      <c r="B96" s="46">
        <v>1972</v>
      </c>
      <c r="C96" t="s">
        <v>91</v>
      </c>
      <c r="D96" t="s">
        <v>90</v>
      </c>
      <c r="E96" s="40">
        <v>45</v>
      </c>
      <c r="G96" s="3"/>
      <c r="H96" s="9">
        <f>5.57*10^-4</f>
        <v>5.5700000000000009E-4</v>
      </c>
      <c r="I96" s="15"/>
    </row>
    <row r="97" spans="2:9" ht="18.75" customHeight="1" x14ac:dyDescent="0.25">
      <c r="B97" s="46">
        <v>1972</v>
      </c>
      <c r="C97" t="s">
        <v>91</v>
      </c>
      <c r="D97" t="s">
        <v>90</v>
      </c>
      <c r="E97" s="40">
        <v>50</v>
      </c>
      <c r="G97" s="3"/>
      <c r="H97" s="9">
        <f>5.77*10^-4</f>
        <v>5.7700000000000004E-4</v>
      </c>
      <c r="I97" s="15"/>
    </row>
    <row r="98" spans="2:9" ht="18.75" customHeight="1" x14ac:dyDescent="0.25">
      <c r="B98" s="46">
        <v>1972</v>
      </c>
      <c r="C98" t="s">
        <v>91</v>
      </c>
      <c r="D98" t="s">
        <v>90</v>
      </c>
      <c r="E98" s="40">
        <v>55</v>
      </c>
      <c r="G98" s="3"/>
      <c r="H98" s="9">
        <f>5.96*10^-4</f>
        <v>5.9600000000000007E-4</v>
      </c>
      <c r="I98" s="15"/>
    </row>
    <row r="99" spans="2:9" ht="18.75" customHeight="1" x14ac:dyDescent="0.25">
      <c r="B99" s="46">
        <v>1972</v>
      </c>
      <c r="C99" t="s">
        <v>91</v>
      </c>
      <c r="D99" t="s">
        <v>90</v>
      </c>
      <c r="E99" s="40">
        <v>60</v>
      </c>
      <c r="G99" s="3"/>
      <c r="H99" s="9">
        <f>6.15*10^-4</f>
        <v>6.150000000000001E-4</v>
      </c>
      <c r="I99" s="15"/>
    </row>
    <row r="100" spans="2:9" ht="18.75" customHeight="1" x14ac:dyDescent="0.25">
      <c r="B100" s="46">
        <v>1972</v>
      </c>
      <c r="C100" t="s">
        <v>91</v>
      </c>
      <c r="D100" t="s">
        <v>90</v>
      </c>
      <c r="E100" s="40">
        <v>65</v>
      </c>
      <c r="G100" s="3"/>
      <c r="H100" s="9">
        <f>6.33*10^-4</f>
        <v>6.3299999999999999E-4</v>
      </c>
    </row>
    <row r="101" spans="2:9" ht="18.75" customHeight="1" x14ac:dyDescent="0.25">
      <c r="B101" s="46">
        <v>1972</v>
      </c>
      <c r="C101" t="s">
        <v>91</v>
      </c>
      <c r="D101" t="s">
        <v>90</v>
      </c>
      <c r="E101" s="40">
        <v>70</v>
      </c>
      <c r="G101" s="3"/>
      <c r="H101" s="9">
        <f>6.5*10^-4</f>
        <v>6.5000000000000008E-4</v>
      </c>
    </row>
    <row r="102" spans="2:9" ht="18.75" customHeight="1" x14ac:dyDescent="0.25">
      <c r="B102" s="46">
        <v>1972</v>
      </c>
      <c r="C102" t="s">
        <v>91</v>
      </c>
      <c r="D102" t="s">
        <v>90</v>
      </c>
      <c r="E102" s="40">
        <v>75</v>
      </c>
      <c r="G102" s="3"/>
      <c r="H102" s="9">
        <f>6.66*10^-4</f>
        <v>6.6600000000000003E-4</v>
      </c>
    </row>
    <row r="103" spans="2:9" ht="18.75" customHeight="1" x14ac:dyDescent="0.25">
      <c r="B103" s="46">
        <v>1972</v>
      </c>
      <c r="C103" t="s">
        <v>91</v>
      </c>
      <c r="D103" t="s">
        <v>90</v>
      </c>
      <c r="E103" s="40">
        <v>80</v>
      </c>
      <c r="G103" s="3"/>
      <c r="H103" s="9">
        <f>6.83*10^-4</f>
        <v>6.8300000000000001E-4</v>
      </c>
    </row>
    <row r="104" spans="2:9" ht="18.75" customHeight="1" x14ac:dyDescent="0.25">
      <c r="B104" s="46">
        <v>1972</v>
      </c>
      <c r="C104" t="s">
        <v>91</v>
      </c>
      <c r="D104" t="s">
        <v>90</v>
      </c>
      <c r="E104" s="40">
        <v>85</v>
      </c>
      <c r="G104" s="3"/>
      <c r="H104" s="9">
        <f>7.01*10^-4</f>
        <v>7.0100000000000002E-4</v>
      </c>
    </row>
    <row r="105" spans="2:9" ht="18.75" customHeight="1" x14ac:dyDescent="0.25">
      <c r="B105" s="46">
        <v>1972</v>
      </c>
      <c r="C105" t="s">
        <v>91</v>
      </c>
      <c r="D105" t="s">
        <v>90</v>
      </c>
      <c r="E105" s="40">
        <v>90</v>
      </c>
      <c r="G105" s="3"/>
      <c r="H105" s="9">
        <f>7.2*10^-4</f>
        <v>7.2000000000000005E-4</v>
      </c>
    </row>
    <row r="106" spans="2:9" ht="18.75" customHeight="1" x14ac:dyDescent="0.25">
      <c r="B106" s="46">
        <v>1972</v>
      </c>
      <c r="C106" t="s">
        <v>91</v>
      </c>
      <c r="D106" t="s">
        <v>90</v>
      </c>
      <c r="E106" s="40">
        <v>95</v>
      </c>
      <c r="G106" s="3"/>
      <c r="H106" s="9">
        <f>7.4*10^-4</f>
        <v>7.400000000000001E-4</v>
      </c>
    </row>
    <row r="107" spans="2:9" ht="18.75" customHeight="1" x14ac:dyDescent="0.25">
      <c r="B107" s="46">
        <v>1972</v>
      </c>
      <c r="C107" t="s">
        <v>91</v>
      </c>
      <c r="D107" t="s">
        <v>90</v>
      </c>
      <c r="E107" s="40">
        <v>100</v>
      </c>
      <c r="G107" s="3"/>
      <c r="H107" s="9">
        <f>7.61*10^-4</f>
        <v>7.6100000000000007E-4</v>
      </c>
    </row>
    <row r="108" spans="2:9" ht="18.75" customHeight="1" x14ac:dyDescent="0.25">
      <c r="B108" s="46">
        <v>1972</v>
      </c>
      <c r="C108" t="s">
        <v>91</v>
      </c>
      <c r="D108" t="s">
        <v>90</v>
      </c>
      <c r="E108" s="40">
        <v>105</v>
      </c>
      <c r="G108" s="3"/>
      <c r="H108" s="9">
        <f>7.84*10^-4</f>
        <v>7.8399999999999997E-4</v>
      </c>
    </row>
    <row r="109" spans="2:9" ht="18.75" customHeight="1" x14ac:dyDescent="0.25">
      <c r="B109" s="1">
        <v>1963</v>
      </c>
      <c r="C109" t="s">
        <v>159</v>
      </c>
      <c r="D109" t="s">
        <v>90</v>
      </c>
      <c r="E109" s="9">
        <v>20</v>
      </c>
      <c r="G109" s="3">
        <v>0.1</v>
      </c>
      <c r="H109" s="9">
        <f>2.8*10^-4</f>
        <v>2.7999999999999998E-4</v>
      </c>
    </row>
    <row r="110" spans="2:9" ht="18.75" customHeight="1" x14ac:dyDescent="0.25">
      <c r="B110" s="1">
        <v>1963</v>
      </c>
      <c r="C110" t="s">
        <v>159</v>
      </c>
      <c r="D110" t="s">
        <v>90</v>
      </c>
      <c r="E110" s="9">
        <v>50</v>
      </c>
      <c r="G110" s="3">
        <v>0.65</v>
      </c>
      <c r="H110" s="9">
        <f>6.2*10^-4</f>
        <v>6.2E-4</v>
      </c>
    </row>
    <row r="111" spans="2:9" ht="18.75" customHeight="1" x14ac:dyDescent="0.25">
      <c r="B111" s="1">
        <v>1963</v>
      </c>
      <c r="C111" t="s">
        <v>159</v>
      </c>
      <c r="D111" t="s">
        <v>90</v>
      </c>
      <c r="E111" s="9">
        <v>75</v>
      </c>
      <c r="G111" s="3">
        <v>1.1599999999999999</v>
      </c>
      <c r="H111" s="9">
        <f>7.7*10^-4</f>
        <v>7.7000000000000007E-4</v>
      </c>
    </row>
    <row r="112" spans="2:9" ht="18.75" customHeight="1" x14ac:dyDescent="0.25">
      <c r="B112" s="1">
        <v>1963</v>
      </c>
      <c r="C112" t="s">
        <v>159</v>
      </c>
      <c r="D112" t="s">
        <v>90</v>
      </c>
      <c r="E112" s="9">
        <v>100</v>
      </c>
      <c r="G112" s="3">
        <v>1.65</v>
      </c>
      <c r="H112">
        <f>7*10^-4</f>
        <v>6.9999999999999999E-4</v>
      </c>
    </row>
    <row r="113" spans="2:9" ht="18.75" customHeight="1" x14ac:dyDescent="0.25">
      <c r="B113" s="1">
        <v>1963</v>
      </c>
      <c r="C113" t="s">
        <v>159</v>
      </c>
      <c r="D113" t="s">
        <v>90</v>
      </c>
      <c r="E113" s="9">
        <v>125</v>
      </c>
      <c r="G113" s="3">
        <v>2.06</v>
      </c>
      <c r="H113">
        <v>8.4000000000000003E-4</v>
      </c>
    </row>
    <row r="114" spans="2:9" ht="18.75" customHeight="1" x14ac:dyDescent="0.25">
      <c r="B114" s="1">
        <v>1963</v>
      </c>
      <c r="C114" t="s">
        <v>159</v>
      </c>
      <c r="D114" t="s">
        <v>90</v>
      </c>
      <c r="E114" s="9">
        <v>150</v>
      </c>
      <c r="G114" s="3">
        <v>2.4700000000000002</v>
      </c>
      <c r="H114">
        <v>1.0300000000000001E-3</v>
      </c>
    </row>
    <row r="115" spans="2:9" ht="18.75" customHeight="1" x14ac:dyDescent="0.25">
      <c r="B115" s="1">
        <v>1963</v>
      </c>
      <c r="C115" t="s">
        <v>159</v>
      </c>
      <c r="D115" t="s">
        <v>90</v>
      </c>
      <c r="E115" s="9">
        <v>0</v>
      </c>
      <c r="G115" s="3"/>
      <c r="H115">
        <v>0</v>
      </c>
    </row>
    <row r="116" spans="2:9" ht="18.75" customHeight="1" x14ac:dyDescent="0.25">
      <c r="B116" s="1">
        <v>1963</v>
      </c>
      <c r="C116" t="s">
        <v>159</v>
      </c>
      <c r="D116" t="s">
        <v>90</v>
      </c>
      <c r="E116" s="9">
        <v>20</v>
      </c>
      <c r="G116" s="3"/>
      <c r="H116">
        <f>2.82*10^-4</f>
        <v>2.8200000000000002E-4</v>
      </c>
    </row>
    <row r="117" spans="2:9" ht="18.75" customHeight="1" x14ac:dyDescent="0.25">
      <c r="B117" s="1">
        <v>1963</v>
      </c>
      <c r="C117" t="s">
        <v>159</v>
      </c>
      <c r="D117" t="s">
        <v>90</v>
      </c>
      <c r="E117" s="9">
        <v>50</v>
      </c>
      <c r="G117" s="3"/>
      <c r="H117">
        <f>6.27*10^-4</f>
        <v>6.2699999999999995E-4</v>
      </c>
    </row>
    <row r="118" spans="2:9" ht="18.75" customHeight="1" x14ac:dyDescent="0.25">
      <c r="B118" s="1">
        <v>1963</v>
      </c>
      <c r="C118" t="s">
        <v>159</v>
      </c>
      <c r="D118" t="s">
        <v>90</v>
      </c>
      <c r="E118" s="9">
        <v>75</v>
      </c>
      <c r="G118" s="3"/>
      <c r="H118">
        <f>7.7*10^-4</f>
        <v>7.7000000000000007E-4</v>
      </c>
    </row>
    <row r="119" spans="2:9" ht="18.75" customHeight="1" x14ac:dyDescent="0.25">
      <c r="B119" s="1">
        <v>1963</v>
      </c>
      <c r="C119" t="s">
        <v>159</v>
      </c>
      <c r="D119" t="s">
        <v>90</v>
      </c>
      <c r="E119" s="9">
        <v>100</v>
      </c>
      <c r="G119" s="3"/>
      <c r="H119">
        <f>7*10^-4</f>
        <v>6.9999999999999999E-4</v>
      </c>
    </row>
    <row r="120" spans="2:9" ht="18.75" customHeight="1" x14ac:dyDescent="0.25">
      <c r="B120" s="1">
        <v>1963</v>
      </c>
      <c r="C120" t="s">
        <v>159</v>
      </c>
      <c r="D120" t="s">
        <v>90</v>
      </c>
      <c r="E120" s="9">
        <v>125</v>
      </c>
      <c r="G120" s="3"/>
      <c r="H120">
        <f>8.4*10^-4</f>
        <v>8.4000000000000003E-4</v>
      </c>
    </row>
    <row r="121" spans="2:9" ht="18.75" customHeight="1" x14ac:dyDescent="0.25">
      <c r="B121" s="1">
        <v>1963</v>
      </c>
      <c r="C121" t="s">
        <v>159</v>
      </c>
      <c r="D121" t="s">
        <v>90</v>
      </c>
      <c r="E121" s="9">
        <v>150</v>
      </c>
      <c r="G121" s="3"/>
      <c r="H121">
        <f>10.3*10^-4</f>
        <v>1.0300000000000001E-3</v>
      </c>
    </row>
    <row r="122" spans="2:9" ht="18.75" customHeight="1" x14ac:dyDescent="0.25">
      <c r="B122" s="1">
        <v>1967</v>
      </c>
      <c r="C122" t="s">
        <v>164</v>
      </c>
      <c r="D122" t="s">
        <v>90</v>
      </c>
      <c r="E122" s="9">
        <v>11</v>
      </c>
      <c r="G122" s="3"/>
      <c r="H122">
        <f>1.7*10^-4</f>
        <v>1.7000000000000001E-4</v>
      </c>
    </row>
    <row r="123" spans="2:9" ht="18.75" customHeight="1" x14ac:dyDescent="0.25">
      <c r="B123" s="1">
        <v>1967</v>
      </c>
      <c r="C123" t="s">
        <v>164</v>
      </c>
      <c r="D123" t="s">
        <v>90</v>
      </c>
      <c r="E123" s="9">
        <v>15</v>
      </c>
      <c r="G123" s="3"/>
      <c r="H123">
        <f>2.65*10^-4</f>
        <v>2.6499999999999999E-4</v>
      </c>
      <c r="I123" s="15"/>
    </row>
    <row r="124" spans="2:9" ht="18.75" customHeight="1" x14ac:dyDescent="0.25">
      <c r="B124" s="1">
        <v>1967</v>
      </c>
      <c r="C124" t="s">
        <v>164</v>
      </c>
      <c r="D124" t="s">
        <v>90</v>
      </c>
      <c r="E124" s="9">
        <v>21.5</v>
      </c>
      <c r="G124" s="3"/>
      <c r="H124">
        <f>3.46*10^-4</f>
        <v>3.4600000000000001E-4</v>
      </c>
      <c r="I124" s="15"/>
    </row>
    <row r="125" spans="2:9" ht="18.75" customHeight="1" x14ac:dyDescent="0.25">
      <c r="B125" s="1">
        <v>1967</v>
      </c>
      <c r="C125" t="s">
        <v>164</v>
      </c>
      <c r="D125" t="s">
        <v>90</v>
      </c>
      <c r="E125" s="9">
        <v>25</v>
      </c>
      <c r="G125" s="3"/>
      <c r="H125">
        <f>3.8*10^-4</f>
        <v>3.8000000000000002E-4</v>
      </c>
      <c r="I125" s="15"/>
    </row>
    <row r="126" spans="2:9" ht="18.75" customHeight="1" x14ac:dyDescent="0.25">
      <c r="B126" s="1">
        <v>1967</v>
      </c>
      <c r="C126" t="s">
        <v>164</v>
      </c>
      <c r="D126" t="s">
        <v>90</v>
      </c>
      <c r="E126" s="9">
        <v>30</v>
      </c>
      <c r="G126" s="3"/>
      <c r="H126">
        <f>4.21*10^-4</f>
        <v>4.2100000000000004E-4</v>
      </c>
      <c r="I126" s="15"/>
    </row>
    <row r="127" spans="2:9" ht="18.75" customHeight="1" x14ac:dyDescent="0.25">
      <c r="B127" s="1">
        <v>1967</v>
      </c>
      <c r="C127" t="s">
        <v>164</v>
      </c>
      <c r="D127" t="s">
        <v>90</v>
      </c>
      <c r="E127" s="9">
        <v>35</v>
      </c>
      <c r="G127" s="3"/>
      <c r="H127">
        <f>4.58*10^-4</f>
        <v>4.5800000000000002E-4</v>
      </c>
      <c r="I127" s="15"/>
    </row>
    <row r="128" spans="2:9" ht="18.75" customHeight="1" x14ac:dyDescent="0.25">
      <c r="B128" s="1">
        <v>1967</v>
      </c>
      <c r="C128" t="s">
        <v>164</v>
      </c>
      <c r="D128" t="s">
        <v>90</v>
      </c>
      <c r="E128" s="9">
        <v>40</v>
      </c>
      <c r="G128" s="3"/>
      <c r="H128">
        <f>4.91*10^-4</f>
        <v>4.9100000000000001E-4</v>
      </c>
    </row>
    <row r="129" spans="2:8" ht="18.75" customHeight="1" x14ac:dyDescent="0.25">
      <c r="B129" s="1">
        <v>1967</v>
      </c>
      <c r="C129" t="s">
        <v>164</v>
      </c>
      <c r="D129" t="s">
        <v>90</v>
      </c>
      <c r="E129" s="9">
        <v>45</v>
      </c>
      <c r="G129" s="3"/>
      <c r="H129">
        <f>5.22*10^-4</f>
        <v>5.22E-4</v>
      </c>
    </row>
    <row r="130" spans="2:8" ht="18.75" customHeight="1" x14ac:dyDescent="0.25">
      <c r="B130" s="1">
        <v>1967</v>
      </c>
      <c r="C130" t="s">
        <v>164</v>
      </c>
      <c r="D130" t="s">
        <v>90</v>
      </c>
      <c r="E130" s="9">
        <v>50</v>
      </c>
      <c r="G130" s="3"/>
      <c r="H130">
        <f>5.5*10^-4</f>
        <v>5.5000000000000003E-4</v>
      </c>
    </row>
    <row r="131" spans="2:8" ht="18.75" customHeight="1" x14ac:dyDescent="0.25">
      <c r="B131" s="1">
        <v>1967</v>
      </c>
      <c r="C131" t="s">
        <v>164</v>
      </c>
      <c r="D131" t="s">
        <v>90</v>
      </c>
      <c r="E131" s="9">
        <v>55</v>
      </c>
      <c r="G131" s="3"/>
      <c r="H131">
        <f>5.75*10^-4</f>
        <v>5.7499999999999999E-4</v>
      </c>
    </row>
    <row r="132" spans="2:8" ht="18.75" customHeight="1" x14ac:dyDescent="0.25">
      <c r="B132" s="1">
        <v>1967</v>
      </c>
      <c r="C132" t="s">
        <v>164</v>
      </c>
      <c r="D132" t="s">
        <v>90</v>
      </c>
      <c r="E132" s="9">
        <v>60</v>
      </c>
      <c r="G132" s="3"/>
      <c r="H132">
        <f>6*10^-4</f>
        <v>6.0000000000000006E-4</v>
      </c>
    </row>
    <row r="133" spans="2:8" ht="18.75" customHeight="1" x14ac:dyDescent="0.25">
      <c r="B133" s="1">
        <v>1967</v>
      </c>
      <c r="C133" t="s">
        <v>164</v>
      </c>
      <c r="D133" t="s">
        <v>90</v>
      </c>
      <c r="E133" s="9">
        <v>65</v>
      </c>
      <c r="G133" s="3"/>
      <c r="H133">
        <f>6.22*10^-4</f>
        <v>6.2200000000000005E-4</v>
      </c>
    </row>
    <row r="134" spans="2:8" ht="18.75" customHeight="1" x14ac:dyDescent="0.25">
      <c r="B134" s="1">
        <v>1967</v>
      </c>
      <c r="C134" t="s">
        <v>164</v>
      </c>
      <c r="D134" t="s">
        <v>90</v>
      </c>
      <c r="E134" s="9">
        <v>70</v>
      </c>
      <c r="G134" s="3"/>
      <c r="H134">
        <f>6.44*10^-4</f>
        <v>6.4400000000000004E-4</v>
      </c>
    </row>
    <row r="135" spans="2:8" ht="18.75" customHeight="1" x14ac:dyDescent="0.25">
      <c r="B135" s="1">
        <v>1967</v>
      </c>
      <c r="C135" t="s">
        <v>164</v>
      </c>
      <c r="D135" t="s">
        <v>90</v>
      </c>
      <c r="E135" s="9">
        <v>75</v>
      </c>
      <c r="G135" s="3"/>
      <c r="H135">
        <f>6.65*10^-4</f>
        <v>6.6500000000000012E-4</v>
      </c>
    </row>
    <row r="136" spans="2:8" ht="18.75" customHeight="1" x14ac:dyDescent="0.25">
      <c r="B136" s="1">
        <v>1967</v>
      </c>
      <c r="C136" t="s">
        <v>164</v>
      </c>
      <c r="D136" t="s">
        <v>90</v>
      </c>
      <c r="E136" s="9">
        <v>80</v>
      </c>
      <c r="G136" s="3"/>
      <c r="H136">
        <f>6.83*10^-4</f>
        <v>6.8300000000000001E-4</v>
      </c>
    </row>
    <row r="137" spans="2:8" ht="18.75" customHeight="1" x14ac:dyDescent="0.25">
      <c r="B137" s="1">
        <v>1967</v>
      </c>
      <c r="C137" t="s">
        <v>164</v>
      </c>
      <c r="D137" t="s">
        <v>90</v>
      </c>
      <c r="E137" s="9">
        <v>85</v>
      </c>
      <c r="G137" s="3"/>
      <c r="H137">
        <f>7.02*10^-4</f>
        <v>7.0200000000000004E-4</v>
      </c>
    </row>
    <row r="138" spans="2:8" ht="18.75" customHeight="1" x14ac:dyDescent="0.25">
      <c r="B138" s="1">
        <v>1967</v>
      </c>
      <c r="C138" t="s">
        <v>164</v>
      </c>
      <c r="D138" t="s">
        <v>90</v>
      </c>
      <c r="E138" s="9">
        <v>90</v>
      </c>
      <c r="G138" s="3"/>
      <c r="H138">
        <f>7.19*10^-4</f>
        <v>7.1900000000000002E-4</v>
      </c>
    </row>
    <row r="139" spans="2:8" ht="18.75" customHeight="1" x14ac:dyDescent="0.25">
      <c r="B139" s="1">
        <v>1967</v>
      </c>
      <c r="C139" t="s">
        <v>164</v>
      </c>
      <c r="D139" t="s">
        <v>90</v>
      </c>
      <c r="E139" s="9">
        <v>100</v>
      </c>
      <c r="G139" s="3"/>
      <c r="H139">
        <f>7.5*10^-4</f>
        <v>7.5000000000000002E-4</v>
      </c>
    </row>
    <row r="140" spans="2:8" ht="18.75" customHeight="1" x14ac:dyDescent="0.25">
      <c r="B140" s="1">
        <v>1967</v>
      </c>
      <c r="C140" t="s">
        <v>164</v>
      </c>
      <c r="D140" t="s">
        <v>90</v>
      </c>
      <c r="E140" s="9">
        <v>120</v>
      </c>
      <c r="G140" s="3"/>
      <c r="H140">
        <f>8.12*10^-4</f>
        <v>8.12E-4</v>
      </c>
    </row>
    <row r="141" spans="2:8" ht="18.75" customHeight="1" x14ac:dyDescent="0.25">
      <c r="B141" s="1">
        <v>1967</v>
      </c>
      <c r="C141" t="s">
        <v>164</v>
      </c>
      <c r="D141" t="s">
        <v>90</v>
      </c>
      <c r="E141" s="9">
        <v>140</v>
      </c>
      <c r="G141" s="3"/>
      <c r="H141">
        <f>9.34*10^-4</f>
        <v>9.3400000000000004E-4</v>
      </c>
    </row>
    <row r="142" spans="2:8" ht="18.75" customHeight="1" x14ac:dyDescent="0.25">
      <c r="B142" s="1">
        <v>1967</v>
      </c>
      <c r="C142" t="s">
        <v>164</v>
      </c>
      <c r="D142" t="s">
        <v>90</v>
      </c>
      <c r="E142" s="9">
        <v>160</v>
      </c>
      <c r="G142" s="3"/>
      <c r="H142">
        <f>11.4*10^-4</f>
        <v>1.1400000000000002E-3</v>
      </c>
    </row>
    <row r="143" spans="2:8" ht="18.75" customHeight="1" x14ac:dyDescent="0.25"/>
    <row r="144" spans="2:8" ht="18.75" customHeight="1" x14ac:dyDescent="0.25"/>
    <row r="145" ht="18.75" customHeight="1" x14ac:dyDescent="0.25"/>
    <row r="146" ht="18.75" customHeight="1" x14ac:dyDescent="0.25"/>
    <row r="147" ht="18.75" customHeight="1" x14ac:dyDescent="0.25"/>
    <row r="148" ht="18.75" customHeight="1" x14ac:dyDescent="0.25"/>
    <row r="149" ht="18.75" customHeight="1" x14ac:dyDescent="0.25"/>
    <row r="150" ht="18.75" customHeight="1" x14ac:dyDescent="0.25"/>
    <row r="151" ht="18.75" customHeight="1" x14ac:dyDescent="0.25"/>
    <row r="152" ht="18.75" customHeight="1" x14ac:dyDescent="0.25"/>
    <row r="153" ht="18.75" customHeight="1" x14ac:dyDescent="0.25"/>
    <row r="154" ht="18.75" customHeight="1" x14ac:dyDescent="0.25"/>
    <row r="155" ht="18.75" customHeight="1" x14ac:dyDescent="0.25"/>
    <row r="156" ht="18.75" customHeight="1" x14ac:dyDescent="0.25"/>
    <row r="157" ht="18.75" customHeight="1" x14ac:dyDescent="0.25"/>
    <row r="158" ht="18.75" customHeight="1" x14ac:dyDescent="0.25"/>
    <row r="159" ht="18.75" customHeight="1" x14ac:dyDescent="0.25"/>
    <row r="160" ht="18.75" customHeight="1" x14ac:dyDescent="0.25"/>
    <row r="161" ht="18.75" customHeight="1" x14ac:dyDescent="0.25"/>
    <row r="162" ht="18.75" customHeight="1" x14ac:dyDescent="0.25"/>
    <row r="163" ht="18.75" customHeight="1" x14ac:dyDescent="0.25"/>
    <row r="164" ht="18.75" customHeight="1" x14ac:dyDescent="0.25"/>
    <row r="165" ht="18.75" customHeight="1" x14ac:dyDescent="0.25"/>
    <row r="166" ht="18.75" customHeight="1" x14ac:dyDescent="0.25"/>
    <row r="167" ht="18.75" customHeight="1" x14ac:dyDescent="0.25"/>
    <row r="168" ht="18.75" customHeight="1" x14ac:dyDescent="0.25"/>
    <row r="169" ht="18.75" customHeight="1" x14ac:dyDescent="0.25"/>
  </sheetData>
  <conditionalFormatting sqref="D1:D1048576">
    <cfRule type="cellIs" dxfId="12" priority="1" operator="equal">
      <formula>"neon"</formula>
    </cfRule>
    <cfRule type="cellIs" dxfId="11" priority="2" operator="equal">
      <formula>"xenon"</formula>
    </cfRule>
    <cfRule type="cellIs" dxfId="10" priority="3" operator="equal">
      <formula>"krypton"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/>
  </sheetPr>
  <dimension ref="B1:V373"/>
  <sheetViews>
    <sheetView tabSelected="1" topLeftCell="A316" zoomScale="145" zoomScaleNormal="145" workbookViewId="0">
      <selection activeCell="E323" sqref="E323"/>
    </sheetView>
  </sheetViews>
  <sheetFormatPr defaultRowHeight="15" x14ac:dyDescent="0.25"/>
  <cols>
    <col min="1" max="1" width="13.5703125" bestFit="1" customWidth="1"/>
    <col min="2" max="2" width="8.5703125" style="1" bestFit="1" customWidth="1"/>
    <col min="3" max="3" width="10.7109375" bestFit="1" customWidth="1"/>
    <col min="4" max="4" width="7.85546875" style="2" bestFit="1" customWidth="1"/>
    <col min="5" max="5" width="19.42578125" style="26" bestFit="1" customWidth="1"/>
    <col min="6" max="6" width="14.42578125" style="38" bestFit="1" customWidth="1"/>
    <col min="7" max="7" width="16.85546875" style="3" bestFit="1" customWidth="1"/>
    <col min="8" max="8" width="18.7109375" style="28" bestFit="1" customWidth="1"/>
    <col min="9" max="9" width="17.7109375" style="30" bestFit="1" customWidth="1"/>
    <col min="10" max="10" width="13.5703125" style="3" bestFit="1" customWidth="1"/>
    <col min="11" max="13" width="13.5703125" bestFit="1" customWidth="1"/>
    <col min="14" max="14" width="13.5703125" style="3" bestFit="1" customWidth="1"/>
    <col min="15" max="17" width="13.5703125" bestFit="1" customWidth="1"/>
    <col min="18" max="18" width="13.5703125" style="4" bestFit="1" customWidth="1"/>
    <col min="19" max="19" width="13.5703125" bestFit="1" customWidth="1"/>
    <col min="20" max="20" width="13.5703125" style="4" bestFit="1" customWidth="1"/>
    <col min="21" max="22" width="13.5703125" style="3" bestFit="1" customWidth="1"/>
  </cols>
  <sheetData>
    <row r="1" spans="2:22" ht="18.75" customHeight="1" x14ac:dyDescent="0.25"/>
    <row r="2" spans="2:22" ht="18.75" customHeight="1" x14ac:dyDescent="0.25">
      <c r="B2" s="1" t="s">
        <v>82</v>
      </c>
      <c r="C2" t="s">
        <v>83</v>
      </c>
      <c r="D2" t="s">
        <v>84</v>
      </c>
      <c r="E2" s="26" t="s">
        <v>85</v>
      </c>
      <c r="F2" s="38" t="s">
        <v>123</v>
      </c>
      <c r="G2" s="2" t="s">
        <v>124</v>
      </c>
      <c r="H2" s="28" t="s">
        <v>125</v>
      </c>
      <c r="I2" s="28" t="s">
        <v>126</v>
      </c>
      <c r="J2"/>
      <c r="M2" s="3"/>
      <c r="N2"/>
      <c r="Q2" s="4"/>
      <c r="R2"/>
      <c r="S2" s="4"/>
      <c r="T2" s="3"/>
      <c r="V2"/>
    </row>
    <row r="3" spans="2:22" ht="18.75" customHeight="1" x14ac:dyDescent="0.25">
      <c r="B3" s="25">
        <v>2015</v>
      </c>
      <c r="C3" t="s">
        <v>156</v>
      </c>
      <c r="D3" t="s">
        <v>90</v>
      </c>
      <c r="E3" s="7">
        <v>1</v>
      </c>
      <c r="F3" s="12">
        <v>6.3E-3</v>
      </c>
      <c r="G3" s="41"/>
      <c r="H3" s="43"/>
      <c r="I3" s="44"/>
      <c r="J3"/>
      <c r="M3" s="5"/>
      <c r="N3"/>
      <c r="Q3" s="4"/>
      <c r="R3"/>
      <c r="S3" s="4"/>
      <c r="T3" s="3"/>
      <c r="V3"/>
    </row>
    <row r="4" spans="2:22" ht="18.75" customHeight="1" x14ac:dyDescent="0.25">
      <c r="B4" s="25">
        <v>2015</v>
      </c>
      <c r="C4" t="s">
        <v>156</v>
      </c>
      <c r="D4" t="s">
        <v>90</v>
      </c>
      <c r="E4" s="7">
        <v>2</v>
      </c>
      <c r="F4" s="12">
        <v>6.4500000000000002E-2</v>
      </c>
      <c r="G4" s="41"/>
      <c r="H4" s="43"/>
      <c r="I4" s="44"/>
      <c r="J4"/>
      <c r="M4" s="3"/>
      <c r="N4"/>
      <c r="Q4" s="6"/>
      <c r="R4"/>
      <c r="S4" s="6"/>
      <c r="T4" s="5"/>
      <c r="U4" s="5"/>
      <c r="V4"/>
    </row>
    <row r="5" spans="2:22" ht="18.75" customHeight="1" x14ac:dyDescent="0.25">
      <c r="B5" s="25">
        <v>2015</v>
      </c>
      <c r="C5" t="s">
        <v>156</v>
      </c>
      <c r="D5" t="s">
        <v>90</v>
      </c>
      <c r="E5" s="7">
        <v>3</v>
      </c>
      <c r="F5" s="12">
        <v>0.23799999999999999</v>
      </c>
      <c r="G5" s="41"/>
      <c r="H5" s="43"/>
      <c r="I5" s="44"/>
      <c r="J5"/>
      <c r="M5" s="3"/>
      <c r="N5"/>
      <c r="Q5" s="6"/>
      <c r="R5"/>
      <c r="S5" s="6"/>
      <c r="T5" s="5"/>
      <c r="U5" s="5"/>
      <c r="V5"/>
    </row>
    <row r="6" spans="2:22" ht="18.75" customHeight="1" x14ac:dyDescent="0.25">
      <c r="B6" s="25">
        <v>2015</v>
      </c>
      <c r="C6" t="s">
        <v>156</v>
      </c>
      <c r="D6" t="s">
        <v>90</v>
      </c>
      <c r="E6" s="7">
        <v>4</v>
      </c>
      <c r="F6" s="12">
        <v>0.628</v>
      </c>
      <c r="G6" s="41"/>
      <c r="H6" s="43"/>
      <c r="I6" s="44"/>
      <c r="J6"/>
      <c r="M6" s="3"/>
      <c r="N6"/>
      <c r="Q6" s="6"/>
      <c r="R6"/>
      <c r="S6" s="6"/>
      <c r="T6" s="5"/>
      <c r="U6" s="5"/>
      <c r="V6"/>
    </row>
    <row r="7" spans="2:22" ht="18.75" customHeight="1" x14ac:dyDescent="0.25">
      <c r="B7" s="25">
        <v>2015</v>
      </c>
      <c r="C7" t="s">
        <v>156</v>
      </c>
      <c r="D7" t="s">
        <v>90</v>
      </c>
      <c r="E7" s="7">
        <v>5</v>
      </c>
      <c r="F7" s="12">
        <v>1.35</v>
      </c>
      <c r="G7" s="41"/>
      <c r="H7" s="43"/>
      <c r="I7" s="44"/>
      <c r="J7"/>
      <c r="M7" s="3"/>
      <c r="N7"/>
      <c r="Q7" s="6"/>
      <c r="R7"/>
      <c r="S7" s="6"/>
      <c r="T7" s="5"/>
      <c r="U7" s="5"/>
      <c r="V7"/>
    </row>
    <row r="8" spans="2:22" ht="18.75" customHeight="1" x14ac:dyDescent="0.25">
      <c r="B8" s="25">
        <v>2015</v>
      </c>
      <c r="C8" t="s">
        <v>156</v>
      </c>
      <c r="D8" t="s">
        <v>90</v>
      </c>
      <c r="E8" s="7">
        <v>6</v>
      </c>
      <c r="F8" s="12">
        <v>2.33</v>
      </c>
      <c r="G8" s="41"/>
      <c r="H8" s="43"/>
      <c r="I8" s="44"/>
      <c r="J8"/>
      <c r="M8" s="3"/>
      <c r="N8"/>
      <c r="Q8" s="6"/>
      <c r="R8"/>
      <c r="S8" s="6"/>
      <c r="T8" s="5"/>
      <c r="U8" s="5"/>
      <c r="V8"/>
    </row>
    <row r="9" spans="2:22" ht="18.75" customHeight="1" x14ac:dyDescent="0.25">
      <c r="B9" s="25">
        <v>2015</v>
      </c>
      <c r="C9" t="s">
        <v>156</v>
      </c>
      <c r="D9" t="s">
        <v>90</v>
      </c>
      <c r="E9" s="7">
        <v>7</v>
      </c>
      <c r="F9" s="12">
        <v>3.61</v>
      </c>
      <c r="G9" s="41"/>
      <c r="H9" s="43"/>
      <c r="I9" s="44"/>
      <c r="J9"/>
      <c r="M9" s="3"/>
      <c r="N9"/>
      <c r="Q9" s="6"/>
      <c r="R9"/>
      <c r="S9" s="6"/>
      <c r="T9" s="5"/>
      <c r="U9" s="5"/>
      <c r="V9"/>
    </row>
    <row r="10" spans="2:22" ht="18.75" customHeight="1" x14ac:dyDescent="0.25">
      <c r="B10" s="25">
        <v>2015</v>
      </c>
      <c r="C10" t="s">
        <v>156</v>
      </c>
      <c r="D10" t="s">
        <v>90</v>
      </c>
      <c r="E10" s="7">
        <v>8</v>
      </c>
      <c r="F10" s="12">
        <v>4.99</v>
      </c>
      <c r="G10" s="41"/>
      <c r="H10" s="43"/>
      <c r="I10" s="44"/>
      <c r="J10"/>
      <c r="M10" s="3"/>
      <c r="N10"/>
      <c r="Q10" s="6"/>
      <c r="R10"/>
      <c r="S10" s="6"/>
      <c r="T10" s="5"/>
      <c r="U10" s="5"/>
      <c r="V10"/>
    </row>
    <row r="11" spans="2:22" ht="18.75" customHeight="1" x14ac:dyDescent="0.25">
      <c r="B11" s="25">
        <v>2015</v>
      </c>
      <c r="C11" t="s">
        <v>156</v>
      </c>
      <c r="D11" t="s">
        <v>90</v>
      </c>
      <c r="E11" s="7">
        <v>9</v>
      </c>
      <c r="F11" s="12">
        <v>6.35</v>
      </c>
      <c r="G11" s="41"/>
      <c r="H11" s="43"/>
      <c r="I11" s="44"/>
      <c r="J11"/>
      <c r="M11" s="3"/>
      <c r="N11"/>
      <c r="Q11" s="4"/>
      <c r="R11"/>
      <c r="S11" s="4"/>
      <c r="T11" s="3"/>
      <c r="V11"/>
    </row>
    <row r="12" spans="2:22" ht="18.75" customHeight="1" x14ac:dyDescent="0.25">
      <c r="B12" s="25">
        <v>2015</v>
      </c>
      <c r="C12" t="s">
        <v>156</v>
      </c>
      <c r="D12" t="s">
        <v>90</v>
      </c>
      <c r="E12" s="7">
        <v>10</v>
      </c>
      <c r="F12" s="12">
        <v>7.82</v>
      </c>
      <c r="G12" s="41"/>
      <c r="H12" s="43"/>
      <c r="I12" s="44"/>
      <c r="J12"/>
      <c r="M12" s="3"/>
      <c r="N12"/>
      <c r="Q12" s="4"/>
      <c r="R12"/>
      <c r="S12" s="4"/>
      <c r="T12" s="3"/>
      <c r="V12"/>
    </row>
    <row r="13" spans="2:22" ht="18.75" customHeight="1" x14ac:dyDescent="0.25">
      <c r="B13" s="25">
        <v>2015</v>
      </c>
      <c r="C13" t="s">
        <v>156</v>
      </c>
      <c r="D13" t="s">
        <v>90</v>
      </c>
      <c r="E13" s="7">
        <v>11</v>
      </c>
      <c r="F13" s="12">
        <v>9.32</v>
      </c>
      <c r="G13" s="41"/>
      <c r="H13" s="43"/>
      <c r="I13" s="44"/>
      <c r="J13"/>
      <c r="M13" s="3"/>
      <c r="N13"/>
      <c r="Q13" s="4"/>
      <c r="R13"/>
      <c r="S13" s="4"/>
      <c r="T13" s="3"/>
      <c r="V13"/>
    </row>
    <row r="14" spans="2:22" ht="18.75" customHeight="1" x14ac:dyDescent="0.25">
      <c r="B14" s="25">
        <v>2015</v>
      </c>
      <c r="C14" t="s">
        <v>156</v>
      </c>
      <c r="D14" t="s">
        <v>90</v>
      </c>
      <c r="E14" s="7">
        <v>12</v>
      </c>
      <c r="F14" s="12">
        <v>10.59</v>
      </c>
      <c r="G14" s="41"/>
      <c r="H14" s="43"/>
      <c r="I14" s="44"/>
      <c r="J14"/>
      <c r="M14" s="3"/>
      <c r="N14"/>
      <c r="Q14" s="4"/>
      <c r="R14"/>
      <c r="S14" s="4"/>
      <c r="T14" s="3"/>
      <c r="V14"/>
    </row>
    <row r="15" spans="2:22" ht="18.75" customHeight="1" x14ac:dyDescent="0.25">
      <c r="B15" s="25">
        <v>2015</v>
      </c>
      <c r="C15" t="s">
        <v>156</v>
      </c>
      <c r="D15" t="s">
        <v>90</v>
      </c>
      <c r="E15" s="7">
        <v>13</v>
      </c>
      <c r="F15" s="12">
        <v>11.76</v>
      </c>
      <c r="G15" s="41"/>
      <c r="H15" s="43"/>
      <c r="I15" s="44"/>
      <c r="J15"/>
      <c r="M15" s="3"/>
      <c r="N15"/>
      <c r="Q15" s="4"/>
      <c r="R15"/>
      <c r="S15" s="4"/>
      <c r="T15" s="3"/>
      <c r="V15"/>
    </row>
    <row r="16" spans="2:22" ht="18.75" customHeight="1" x14ac:dyDescent="0.25">
      <c r="B16" s="25">
        <v>2015</v>
      </c>
      <c r="C16" t="s">
        <v>156</v>
      </c>
      <c r="D16" t="s">
        <v>90</v>
      </c>
      <c r="E16" s="7">
        <v>14</v>
      </c>
      <c r="F16" s="12">
        <v>12.82</v>
      </c>
      <c r="G16" s="41"/>
      <c r="H16" s="43"/>
      <c r="I16" s="44"/>
      <c r="J16"/>
      <c r="M16" s="3"/>
      <c r="N16"/>
      <c r="Q16" s="4"/>
      <c r="R16"/>
      <c r="S16" s="4"/>
      <c r="T16" s="3"/>
      <c r="V16"/>
    </row>
    <row r="17" spans="2:22" ht="18.75" customHeight="1" x14ac:dyDescent="0.25">
      <c r="B17" s="25">
        <v>2015</v>
      </c>
      <c r="C17" t="s">
        <v>156</v>
      </c>
      <c r="D17" t="s">
        <v>90</v>
      </c>
      <c r="E17" s="7">
        <v>15</v>
      </c>
      <c r="F17" s="12">
        <v>13.83</v>
      </c>
      <c r="G17" s="41"/>
      <c r="H17" s="43"/>
      <c r="I17" s="44"/>
      <c r="J17"/>
      <c r="M17" s="3"/>
      <c r="N17"/>
      <c r="Q17" s="4"/>
      <c r="R17"/>
      <c r="S17" s="4"/>
      <c r="T17" s="3"/>
      <c r="V17"/>
    </row>
    <row r="18" spans="2:22" ht="18.75" customHeight="1" x14ac:dyDescent="0.25">
      <c r="B18" s="25">
        <v>2015</v>
      </c>
      <c r="C18" t="s">
        <v>156</v>
      </c>
      <c r="D18" t="s">
        <v>90</v>
      </c>
      <c r="E18" s="7">
        <v>16</v>
      </c>
      <c r="F18" s="12">
        <v>14.72</v>
      </c>
      <c r="G18" s="41"/>
      <c r="H18" s="43"/>
      <c r="I18" s="44"/>
      <c r="J18"/>
      <c r="M18" s="3"/>
      <c r="N18"/>
      <c r="Q18" s="4"/>
      <c r="R18"/>
      <c r="S18" s="4"/>
      <c r="T18" s="3"/>
      <c r="V18"/>
    </row>
    <row r="19" spans="2:22" ht="18.75" customHeight="1" x14ac:dyDescent="0.25">
      <c r="B19" s="25">
        <v>2015</v>
      </c>
      <c r="C19" t="s">
        <v>156</v>
      </c>
      <c r="D19" t="s">
        <v>90</v>
      </c>
      <c r="E19" s="7">
        <v>17</v>
      </c>
      <c r="F19" s="12">
        <v>15.51</v>
      </c>
      <c r="G19" s="41"/>
      <c r="H19" s="43"/>
      <c r="I19" s="44"/>
      <c r="J19"/>
      <c r="M19" s="3"/>
      <c r="N19"/>
      <c r="Q19" s="4"/>
      <c r="R19"/>
      <c r="S19" s="4"/>
      <c r="T19" s="3"/>
      <c r="V19"/>
    </row>
    <row r="20" spans="2:22" ht="18.75" customHeight="1" x14ac:dyDescent="0.25">
      <c r="B20" s="25">
        <v>2015</v>
      </c>
      <c r="C20" t="s">
        <v>156</v>
      </c>
      <c r="D20" t="s">
        <v>90</v>
      </c>
      <c r="E20" s="7">
        <v>18</v>
      </c>
      <c r="F20" s="12">
        <v>16.239999999999998</v>
      </c>
      <c r="G20" s="41"/>
      <c r="H20" s="43"/>
      <c r="I20" s="44"/>
      <c r="J20"/>
      <c r="M20" s="3"/>
      <c r="N20"/>
      <c r="Q20" s="4"/>
      <c r="R20"/>
      <c r="S20" s="4"/>
      <c r="T20" s="3"/>
      <c r="V20"/>
    </row>
    <row r="21" spans="2:22" ht="18.75" customHeight="1" x14ac:dyDescent="0.25">
      <c r="B21" s="25">
        <v>2015</v>
      </c>
      <c r="C21" t="s">
        <v>156</v>
      </c>
      <c r="D21" t="s">
        <v>90</v>
      </c>
      <c r="E21" s="7">
        <v>19</v>
      </c>
      <c r="F21" s="12">
        <v>16.86</v>
      </c>
      <c r="G21" s="41"/>
      <c r="H21" s="43"/>
      <c r="I21" s="44"/>
      <c r="J21"/>
      <c r="M21" s="3"/>
      <c r="N21"/>
      <c r="Q21" s="4"/>
      <c r="R21"/>
      <c r="S21" s="4"/>
      <c r="T21" s="3"/>
      <c r="V21"/>
    </row>
    <row r="22" spans="2:22" ht="18.75" customHeight="1" x14ac:dyDescent="0.25">
      <c r="B22" s="25">
        <v>2015</v>
      </c>
      <c r="C22" t="s">
        <v>156</v>
      </c>
      <c r="D22" t="s">
        <v>90</v>
      </c>
      <c r="E22" s="7">
        <v>20</v>
      </c>
      <c r="F22" s="12">
        <v>17.45</v>
      </c>
      <c r="G22" s="41"/>
      <c r="H22" s="43"/>
      <c r="I22" s="44"/>
      <c r="J22"/>
      <c r="M22" s="3"/>
      <c r="N22"/>
      <c r="Q22" s="4"/>
      <c r="R22"/>
      <c r="S22" s="4"/>
      <c r="T22" s="3"/>
      <c r="V22"/>
    </row>
    <row r="23" spans="2:22" ht="18.75" customHeight="1" x14ac:dyDescent="0.25">
      <c r="B23" s="25">
        <v>2015</v>
      </c>
      <c r="C23" t="s">
        <v>156</v>
      </c>
      <c r="D23" t="s">
        <v>90</v>
      </c>
      <c r="E23" s="7">
        <v>22</v>
      </c>
      <c r="F23" s="12">
        <v>18.59</v>
      </c>
      <c r="G23" s="41"/>
      <c r="H23" s="43"/>
      <c r="I23" s="44"/>
      <c r="J23"/>
      <c r="M23" s="3"/>
      <c r="N23"/>
      <c r="Q23" s="4"/>
      <c r="R23"/>
      <c r="S23" s="4"/>
      <c r="T23" s="3"/>
      <c r="V23"/>
    </row>
    <row r="24" spans="2:22" ht="18.75" customHeight="1" x14ac:dyDescent="0.25">
      <c r="B24" s="25">
        <v>2015</v>
      </c>
      <c r="C24" t="s">
        <v>156</v>
      </c>
      <c r="D24" t="s">
        <v>90</v>
      </c>
      <c r="E24" s="7">
        <v>24</v>
      </c>
      <c r="F24" s="12">
        <v>19.47</v>
      </c>
      <c r="G24" s="41"/>
      <c r="H24" s="43"/>
      <c r="I24" s="44"/>
      <c r="J24"/>
      <c r="M24" s="3"/>
      <c r="N24"/>
      <c r="Q24" s="4"/>
      <c r="R24"/>
      <c r="S24" s="4"/>
      <c r="T24" s="3"/>
      <c r="V24"/>
    </row>
    <row r="25" spans="2:22" ht="18.75" customHeight="1" x14ac:dyDescent="0.25">
      <c r="B25" s="25">
        <v>2015</v>
      </c>
      <c r="C25" t="s">
        <v>156</v>
      </c>
      <c r="D25" t="s">
        <v>90</v>
      </c>
      <c r="E25" s="7">
        <v>26</v>
      </c>
      <c r="F25" s="12">
        <v>20.28</v>
      </c>
      <c r="G25" s="41"/>
      <c r="H25" s="43"/>
      <c r="I25" s="44"/>
      <c r="J25"/>
      <c r="M25" s="3"/>
      <c r="N25"/>
      <c r="Q25" s="4"/>
      <c r="R25"/>
      <c r="S25" s="4"/>
      <c r="T25" s="3"/>
      <c r="V25"/>
    </row>
    <row r="26" spans="2:22" ht="18.75" customHeight="1" x14ac:dyDescent="0.25">
      <c r="B26" s="25">
        <v>2015</v>
      </c>
      <c r="C26" t="s">
        <v>156</v>
      </c>
      <c r="D26" t="s">
        <v>90</v>
      </c>
      <c r="E26" s="7">
        <v>28</v>
      </c>
      <c r="F26" s="12">
        <v>20.89</v>
      </c>
      <c r="G26" s="2"/>
      <c r="H26" s="32"/>
      <c r="I26" s="29"/>
      <c r="J26"/>
      <c r="M26" s="3"/>
      <c r="N26"/>
      <c r="Q26" s="4"/>
      <c r="R26"/>
      <c r="S26" s="4"/>
      <c r="T26" s="3"/>
      <c r="V26"/>
    </row>
    <row r="27" spans="2:22" ht="18.75" customHeight="1" x14ac:dyDescent="0.25">
      <c r="B27" s="25">
        <v>2015</v>
      </c>
      <c r="C27" t="s">
        <v>156</v>
      </c>
      <c r="D27" t="s">
        <v>90</v>
      </c>
      <c r="E27" s="7">
        <v>30</v>
      </c>
      <c r="F27" s="12">
        <v>21.46</v>
      </c>
      <c r="G27" s="2"/>
      <c r="H27" s="32"/>
      <c r="I27" s="29"/>
      <c r="J27"/>
      <c r="M27" s="3"/>
      <c r="N27"/>
      <c r="Q27" s="4"/>
      <c r="R27"/>
      <c r="S27" s="4"/>
      <c r="T27" s="3"/>
      <c r="V27"/>
    </row>
    <row r="28" spans="2:22" ht="18.75" customHeight="1" x14ac:dyDescent="0.25">
      <c r="B28" s="25">
        <v>2015</v>
      </c>
      <c r="C28" t="s">
        <v>156</v>
      </c>
      <c r="D28" t="s">
        <v>90</v>
      </c>
      <c r="E28" s="7">
        <v>35</v>
      </c>
      <c r="F28" s="12">
        <v>22.65</v>
      </c>
      <c r="G28" s="2"/>
      <c r="H28" s="32"/>
      <c r="I28" s="29"/>
      <c r="J28"/>
      <c r="M28" s="3"/>
      <c r="N28"/>
      <c r="Q28" s="4"/>
      <c r="R28"/>
      <c r="S28" s="4"/>
      <c r="T28" s="3"/>
      <c r="V28"/>
    </row>
    <row r="29" spans="2:22" ht="18.75" customHeight="1" x14ac:dyDescent="0.25">
      <c r="B29" s="25">
        <v>2015</v>
      </c>
      <c r="C29" t="s">
        <v>156</v>
      </c>
      <c r="D29" t="s">
        <v>90</v>
      </c>
      <c r="E29" s="7">
        <v>40</v>
      </c>
      <c r="F29" s="12">
        <v>23.58</v>
      </c>
      <c r="G29" s="2"/>
      <c r="H29" s="43"/>
      <c r="I29" s="44"/>
      <c r="J29"/>
      <c r="M29" s="3"/>
      <c r="N29"/>
      <c r="Q29" s="4"/>
      <c r="R29"/>
      <c r="S29" s="4"/>
      <c r="T29" s="3"/>
      <c r="V29"/>
    </row>
    <row r="30" spans="2:22" ht="18.75" customHeight="1" x14ac:dyDescent="0.25">
      <c r="B30" s="25">
        <v>2015</v>
      </c>
      <c r="C30" t="s">
        <v>156</v>
      </c>
      <c r="D30" t="s">
        <v>90</v>
      </c>
      <c r="E30" s="7">
        <v>45</v>
      </c>
      <c r="F30" s="12">
        <v>24.27</v>
      </c>
      <c r="G30" s="2"/>
      <c r="H30" s="43"/>
      <c r="I30" s="44"/>
      <c r="J30"/>
      <c r="M30" s="3"/>
      <c r="N30"/>
      <c r="Q30" s="4"/>
      <c r="R30"/>
      <c r="S30" s="4"/>
      <c r="T30" s="3"/>
      <c r="V30"/>
    </row>
    <row r="31" spans="2:22" ht="18.75" customHeight="1" x14ac:dyDescent="0.25">
      <c r="B31" s="25">
        <v>2015</v>
      </c>
      <c r="C31" t="s">
        <v>156</v>
      </c>
      <c r="D31" t="s">
        <v>90</v>
      </c>
      <c r="E31" s="7">
        <v>50</v>
      </c>
      <c r="F31" s="12">
        <v>24.84</v>
      </c>
      <c r="G31" s="2"/>
      <c r="H31" s="43"/>
      <c r="I31" s="44"/>
      <c r="J31"/>
      <c r="M31" s="3"/>
      <c r="N31"/>
      <c r="Q31" s="4"/>
      <c r="R31"/>
      <c r="S31" s="4"/>
      <c r="T31" s="3"/>
      <c r="V31"/>
    </row>
    <row r="32" spans="2:22" ht="18.75" customHeight="1" x14ac:dyDescent="0.25">
      <c r="B32" s="25">
        <v>2015</v>
      </c>
      <c r="C32" t="s">
        <v>156</v>
      </c>
      <c r="D32" t="s">
        <v>90</v>
      </c>
      <c r="E32" s="7">
        <v>55</v>
      </c>
      <c r="F32" s="12">
        <v>25.24</v>
      </c>
      <c r="G32" s="2"/>
      <c r="H32" s="43"/>
      <c r="I32" s="44"/>
      <c r="J32"/>
      <c r="M32" s="3"/>
      <c r="N32"/>
      <c r="Q32" s="4"/>
      <c r="R32"/>
      <c r="S32" s="4"/>
      <c r="T32" s="3"/>
      <c r="V32"/>
    </row>
    <row r="33" spans="2:22" ht="18.75" customHeight="1" x14ac:dyDescent="0.25">
      <c r="B33" s="25">
        <v>2015</v>
      </c>
      <c r="C33" t="s">
        <v>156</v>
      </c>
      <c r="D33" t="s">
        <v>90</v>
      </c>
      <c r="E33" s="7">
        <v>60</v>
      </c>
      <c r="F33" s="12">
        <v>25.61</v>
      </c>
      <c r="G33" s="2"/>
      <c r="H33" s="43"/>
      <c r="I33" s="44"/>
      <c r="J33"/>
      <c r="M33" s="3"/>
      <c r="N33"/>
      <c r="Q33" s="4"/>
      <c r="R33"/>
      <c r="S33" s="4"/>
      <c r="T33" s="3"/>
      <c r="V33"/>
    </row>
    <row r="34" spans="2:22" ht="18.75" customHeight="1" x14ac:dyDescent="0.25">
      <c r="B34" s="25">
        <v>2015</v>
      </c>
      <c r="C34" t="s">
        <v>156</v>
      </c>
      <c r="D34" t="s">
        <v>90</v>
      </c>
      <c r="E34" s="7">
        <v>65</v>
      </c>
      <c r="F34" s="12">
        <v>25.93</v>
      </c>
      <c r="G34" s="2"/>
      <c r="H34" s="43"/>
      <c r="I34" s="44"/>
      <c r="J34"/>
      <c r="M34" s="3"/>
      <c r="N34"/>
      <c r="Q34" s="4"/>
      <c r="R34"/>
      <c r="S34" s="4"/>
      <c r="T34" s="3"/>
      <c r="V34"/>
    </row>
    <row r="35" spans="2:22" ht="18.75" customHeight="1" x14ac:dyDescent="0.25">
      <c r="B35" s="25">
        <v>2015</v>
      </c>
      <c r="C35" t="s">
        <v>156</v>
      </c>
      <c r="D35" t="s">
        <v>90</v>
      </c>
      <c r="E35" s="7">
        <v>70</v>
      </c>
      <c r="F35" s="12">
        <v>26.26</v>
      </c>
      <c r="G35" s="2"/>
      <c r="H35" s="43"/>
      <c r="I35" s="44"/>
      <c r="J35"/>
      <c r="M35" s="3"/>
      <c r="N35"/>
      <c r="Q35" s="4"/>
      <c r="R35"/>
      <c r="S35" s="4"/>
      <c r="T35" s="3"/>
      <c r="V35"/>
    </row>
    <row r="36" spans="2:22" ht="18.75" customHeight="1" x14ac:dyDescent="0.25">
      <c r="B36" s="25">
        <v>2015</v>
      </c>
      <c r="C36" t="s">
        <v>156</v>
      </c>
      <c r="D36" t="s">
        <v>90</v>
      </c>
      <c r="E36" s="7">
        <v>75</v>
      </c>
      <c r="F36" s="12">
        <v>26.51</v>
      </c>
      <c r="G36" s="2"/>
      <c r="H36" s="43"/>
      <c r="I36" s="44"/>
      <c r="J36"/>
      <c r="M36" s="3"/>
      <c r="N36"/>
      <c r="Q36" s="4"/>
      <c r="R36"/>
      <c r="S36" s="4"/>
      <c r="T36" s="3"/>
      <c r="V36"/>
    </row>
    <row r="37" spans="2:22" ht="18.75" customHeight="1" x14ac:dyDescent="0.25">
      <c r="B37" s="25">
        <v>2015</v>
      </c>
      <c r="C37" t="s">
        <v>156</v>
      </c>
      <c r="D37" t="s">
        <v>90</v>
      </c>
      <c r="E37" s="7">
        <v>80</v>
      </c>
      <c r="F37" s="12">
        <v>26.86</v>
      </c>
      <c r="G37" s="2"/>
      <c r="H37" s="43"/>
      <c r="I37" s="44"/>
      <c r="J37"/>
      <c r="M37" s="3"/>
      <c r="N37"/>
      <c r="Q37" s="4"/>
      <c r="R37"/>
      <c r="S37" s="4"/>
      <c r="T37" s="3"/>
      <c r="V37"/>
    </row>
    <row r="38" spans="2:22" ht="18.75" customHeight="1" x14ac:dyDescent="0.25">
      <c r="B38" s="25">
        <v>2015</v>
      </c>
      <c r="C38" t="s">
        <v>156</v>
      </c>
      <c r="D38" t="s">
        <v>90</v>
      </c>
      <c r="E38" s="7">
        <v>85</v>
      </c>
      <c r="F38" s="12">
        <v>27.19</v>
      </c>
      <c r="G38" s="2"/>
      <c r="H38" s="43"/>
      <c r="I38" s="44"/>
      <c r="J38"/>
      <c r="M38" s="3"/>
      <c r="N38"/>
      <c r="Q38" s="4"/>
      <c r="R38"/>
      <c r="S38" s="4"/>
      <c r="T38" s="3"/>
      <c r="V38"/>
    </row>
    <row r="39" spans="2:22" ht="18.75" customHeight="1" x14ac:dyDescent="0.25">
      <c r="B39" s="25">
        <v>2015</v>
      </c>
      <c r="C39" t="s">
        <v>156</v>
      </c>
      <c r="D39" t="s">
        <v>90</v>
      </c>
      <c r="E39" s="7">
        <v>90</v>
      </c>
      <c r="F39" s="12">
        <v>27.49</v>
      </c>
      <c r="G39" s="2"/>
      <c r="H39" s="43"/>
      <c r="I39" s="44"/>
      <c r="J39"/>
      <c r="M39" s="3"/>
      <c r="N39"/>
      <c r="Q39" s="4"/>
      <c r="R39"/>
      <c r="S39" s="4"/>
      <c r="T39" s="3"/>
      <c r="V39"/>
    </row>
    <row r="40" spans="2:22" ht="18.75" customHeight="1" x14ac:dyDescent="0.25">
      <c r="B40" s="25">
        <v>2015</v>
      </c>
      <c r="C40" t="s">
        <v>156</v>
      </c>
      <c r="D40" t="s">
        <v>90</v>
      </c>
      <c r="E40" s="7">
        <v>95</v>
      </c>
      <c r="F40" s="12">
        <v>27.78</v>
      </c>
      <c r="G40" s="2"/>
      <c r="H40" s="43"/>
      <c r="I40" s="44"/>
      <c r="J40"/>
      <c r="M40" s="3"/>
      <c r="N40"/>
      <c r="Q40" s="4"/>
      <c r="R40"/>
      <c r="S40" s="4"/>
      <c r="T40" s="3"/>
      <c r="V40"/>
    </row>
    <row r="41" spans="2:22" ht="18.75" customHeight="1" x14ac:dyDescent="0.25">
      <c r="B41" s="25">
        <v>2015</v>
      </c>
      <c r="C41" t="s">
        <v>156</v>
      </c>
      <c r="D41" t="s">
        <v>90</v>
      </c>
      <c r="E41" s="7">
        <v>100</v>
      </c>
      <c r="F41" s="12">
        <v>28.19</v>
      </c>
      <c r="G41" s="2"/>
      <c r="H41" s="43"/>
      <c r="I41" s="44"/>
      <c r="J41"/>
      <c r="M41" s="3"/>
      <c r="N41"/>
      <c r="Q41" s="4"/>
      <c r="R41"/>
      <c r="S41" s="4"/>
      <c r="T41" s="3"/>
      <c r="V41"/>
    </row>
    <row r="42" spans="2:22" ht="18.75" customHeight="1" x14ac:dyDescent="0.25">
      <c r="B42" s="25">
        <v>2015</v>
      </c>
      <c r="C42" t="s">
        <v>156</v>
      </c>
      <c r="D42" t="s">
        <v>90</v>
      </c>
      <c r="E42" s="7">
        <v>105</v>
      </c>
      <c r="F42" s="12">
        <v>28.59</v>
      </c>
      <c r="G42" s="2"/>
      <c r="H42" s="43"/>
      <c r="I42" s="44"/>
      <c r="J42"/>
      <c r="M42" s="3"/>
      <c r="N42"/>
      <c r="Q42" s="4"/>
      <c r="R42"/>
      <c r="S42" s="4"/>
      <c r="T42" s="3"/>
      <c r="V42"/>
    </row>
    <row r="43" spans="2:22" ht="18.75" customHeight="1" x14ac:dyDescent="0.25">
      <c r="B43" s="25">
        <v>2015</v>
      </c>
      <c r="C43" t="s">
        <v>156</v>
      </c>
      <c r="D43" t="s">
        <v>90</v>
      </c>
      <c r="E43" s="7">
        <v>110</v>
      </c>
      <c r="F43" s="12">
        <v>28.95</v>
      </c>
      <c r="G43" s="2"/>
      <c r="H43" s="43"/>
      <c r="I43" s="44"/>
      <c r="J43"/>
      <c r="M43" s="3"/>
      <c r="N43"/>
      <c r="Q43" s="4"/>
      <c r="R43"/>
      <c r="S43" s="4"/>
      <c r="T43" s="3"/>
      <c r="V43"/>
    </row>
    <row r="44" spans="2:22" ht="18.75" customHeight="1" x14ac:dyDescent="0.25">
      <c r="B44" s="25">
        <v>2015</v>
      </c>
      <c r="C44" t="s">
        <v>156</v>
      </c>
      <c r="D44" t="s">
        <v>90</v>
      </c>
      <c r="E44" s="7">
        <v>115</v>
      </c>
      <c r="F44" s="12">
        <v>29.42</v>
      </c>
      <c r="G44" s="2"/>
      <c r="H44" s="43"/>
      <c r="I44" s="44"/>
      <c r="J44"/>
      <c r="M44" s="3"/>
      <c r="N44"/>
      <c r="Q44" s="4"/>
      <c r="R44"/>
      <c r="S44" s="4"/>
      <c r="T44" s="3"/>
      <c r="V44"/>
    </row>
    <row r="45" spans="2:22" ht="18.75" customHeight="1" x14ac:dyDescent="0.25">
      <c r="B45" s="25">
        <v>2015</v>
      </c>
      <c r="C45" t="s">
        <v>156</v>
      </c>
      <c r="D45" t="s">
        <v>90</v>
      </c>
      <c r="E45" s="7">
        <v>120</v>
      </c>
      <c r="F45" s="12">
        <v>29.93</v>
      </c>
      <c r="G45" s="2"/>
      <c r="H45" s="43"/>
      <c r="I45" s="44"/>
      <c r="J45"/>
      <c r="M45" s="3"/>
      <c r="N45"/>
      <c r="Q45" s="4"/>
      <c r="R45"/>
      <c r="S45" s="4"/>
      <c r="T45" s="3"/>
      <c r="V45"/>
    </row>
    <row r="46" spans="2:22" ht="18.75" customHeight="1" x14ac:dyDescent="0.25">
      <c r="B46" s="25">
        <v>2015</v>
      </c>
      <c r="C46" t="s">
        <v>156</v>
      </c>
      <c r="D46" t="s">
        <v>90</v>
      </c>
      <c r="E46" s="7">
        <v>125</v>
      </c>
      <c r="F46" s="12">
        <v>30.52</v>
      </c>
      <c r="G46" s="2"/>
      <c r="H46" s="43"/>
      <c r="I46" s="44"/>
      <c r="J46"/>
      <c r="M46" s="3"/>
      <c r="N46"/>
      <c r="Q46" s="4"/>
      <c r="R46"/>
      <c r="S46" s="4"/>
      <c r="T46" s="3"/>
      <c r="V46"/>
    </row>
    <row r="47" spans="2:22" ht="18.75" customHeight="1" x14ac:dyDescent="0.25">
      <c r="B47" s="25">
        <v>2015</v>
      </c>
      <c r="C47" t="s">
        <v>156</v>
      </c>
      <c r="D47" t="s">
        <v>90</v>
      </c>
      <c r="E47" s="7">
        <v>130</v>
      </c>
      <c r="F47" s="12">
        <v>31.07</v>
      </c>
      <c r="G47" s="2"/>
      <c r="H47" s="43"/>
      <c r="I47" s="44"/>
      <c r="J47"/>
      <c r="M47" s="3"/>
      <c r="N47"/>
      <c r="Q47" s="4"/>
      <c r="R47"/>
      <c r="S47" s="4"/>
      <c r="T47" s="3"/>
      <c r="V47"/>
    </row>
    <row r="48" spans="2:22" ht="18.75" customHeight="1" x14ac:dyDescent="0.25">
      <c r="B48" s="25">
        <v>2015</v>
      </c>
      <c r="C48" t="s">
        <v>156</v>
      </c>
      <c r="D48" t="s">
        <v>90</v>
      </c>
      <c r="E48" s="7">
        <v>135</v>
      </c>
      <c r="F48" s="12">
        <v>31.72</v>
      </c>
      <c r="G48" s="2"/>
      <c r="H48" s="43"/>
      <c r="I48" s="44"/>
      <c r="J48"/>
      <c r="M48" s="3"/>
      <c r="N48"/>
      <c r="Q48" s="4"/>
      <c r="R48"/>
      <c r="S48" s="4"/>
      <c r="T48" s="3"/>
      <c r="V48"/>
    </row>
    <row r="49" spans="2:22" ht="18.75" customHeight="1" x14ac:dyDescent="0.25">
      <c r="B49" s="25">
        <v>2015</v>
      </c>
      <c r="C49" t="s">
        <v>156</v>
      </c>
      <c r="D49" t="s">
        <v>90</v>
      </c>
      <c r="E49" s="7">
        <v>140</v>
      </c>
      <c r="F49" s="12">
        <v>32.369999999999997</v>
      </c>
      <c r="G49" s="2"/>
      <c r="H49" s="43"/>
      <c r="I49" s="44"/>
      <c r="J49"/>
      <c r="M49" s="3"/>
      <c r="N49"/>
      <c r="Q49" s="4"/>
      <c r="R49"/>
      <c r="S49" s="4"/>
      <c r="T49" s="3"/>
      <c r="V49"/>
    </row>
    <row r="50" spans="2:22" ht="18.75" customHeight="1" x14ac:dyDescent="0.25">
      <c r="B50" s="25">
        <v>2015</v>
      </c>
      <c r="C50" t="s">
        <v>156</v>
      </c>
      <c r="D50" t="s">
        <v>90</v>
      </c>
      <c r="E50" s="7">
        <v>145</v>
      </c>
      <c r="F50" s="12">
        <v>33.07</v>
      </c>
      <c r="G50" s="2"/>
      <c r="H50" s="43"/>
      <c r="I50" s="44"/>
      <c r="J50"/>
      <c r="M50" s="3"/>
      <c r="N50"/>
      <c r="Q50" s="4"/>
      <c r="R50"/>
      <c r="S50" s="4"/>
      <c r="T50" s="3"/>
      <c r="V50"/>
    </row>
    <row r="51" spans="2:22" ht="18.75" customHeight="1" x14ac:dyDescent="0.25">
      <c r="B51" s="25">
        <v>2015</v>
      </c>
      <c r="C51" t="s">
        <v>156</v>
      </c>
      <c r="D51" t="s">
        <v>90</v>
      </c>
      <c r="E51" s="7">
        <v>150</v>
      </c>
      <c r="F51" s="12">
        <v>33.840000000000003</v>
      </c>
      <c r="G51" s="2"/>
      <c r="H51" s="43"/>
      <c r="I51" s="44"/>
      <c r="J51"/>
      <c r="M51" s="3"/>
      <c r="N51"/>
      <c r="Q51" s="4"/>
      <c r="R51"/>
      <c r="S51" s="4"/>
      <c r="T51" s="3"/>
      <c r="V51"/>
    </row>
    <row r="52" spans="2:22" ht="18.75" customHeight="1" x14ac:dyDescent="0.25">
      <c r="B52" s="25">
        <v>2015</v>
      </c>
      <c r="C52" t="s">
        <v>156</v>
      </c>
      <c r="D52" t="s">
        <v>90</v>
      </c>
      <c r="E52" s="7">
        <v>155</v>
      </c>
      <c r="F52" s="12">
        <v>34.76</v>
      </c>
      <c r="G52" s="2"/>
      <c r="H52" s="43"/>
      <c r="I52" s="44"/>
      <c r="J52"/>
      <c r="M52" s="3"/>
      <c r="N52"/>
      <c r="Q52" s="4"/>
      <c r="R52"/>
      <c r="S52" s="4"/>
      <c r="T52" s="3"/>
      <c r="V52"/>
    </row>
    <row r="53" spans="2:22" ht="18.75" customHeight="1" x14ac:dyDescent="0.25">
      <c r="B53" s="25">
        <v>2015</v>
      </c>
      <c r="C53" t="s">
        <v>156</v>
      </c>
      <c r="D53" t="s">
        <v>90</v>
      </c>
      <c r="E53" s="7">
        <v>160</v>
      </c>
      <c r="F53" s="12">
        <v>36.119999999999997</v>
      </c>
      <c r="G53" s="2"/>
      <c r="H53" s="43"/>
      <c r="I53" s="44"/>
      <c r="J53"/>
      <c r="M53" s="3"/>
      <c r="N53"/>
      <c r="Q53" s="4"/>
      <c r="R53"/>
      <c r="S53" s="4"/>
      <c r="T53" s="3"/>
      <c r="V53"/>
    </row>
    <row r="54" spans="2:22" ht="18.75" customHeight="1" x14ac:dyDescent="0.25">
      <c r="B54" s="6">
        <v>1936</v>
      </c>
      <c r="C54" t="s">
        <v>31</v>
      </c>
      <c r="D54" t="s">
        <v>88</v>
      </c>
      <c r="E54" s="7">
        <v>10.53</v>
      </c>
      <c r="F54" s="12"/>
      <c r="G54" s="2">
        <v>1.57</v>
      </c>
      <c r="H54" s="31"/>
      <c r="I54" s="28"/>
      <c r="J54"/>
      <c r="M54" s="3"/>
      <c r="N54"/>
      <c r="Q54" s="4"/>
      <c r="R54"/>
      <c r="S54" s="4"/>
      <c r="T54" s="3"/>
      <c r="V54"/>
    </row>
    <row r="55" spans="2:22" ht="18.75" customHeight="1" x14ac:dyDescent="0.25">
      <c r="B55" s="6">
        <v>1936</v>
      </c>
      <c r="C55" t="s">
        <v>31</v>
      </c>
      <c r="D55" t="s">
        <v>88</v>
      </c>
      <c r="E55" s="7">
        <v>11.46</v>
      </c>
      <c r="F55" s="12"/>
      <c r="G55" s="2">
        <v>1.905</v>
      </c>
      <c r="H55" s="31"/>
      <c r="I55" s="28"/>
      <c r="J55"/>
      <c r="M55" s="3"/>
      <c r="N55"/>
      <c r="Q55" s="4"/>
      <c r="R55"/>
      <c r="S55" s="4"/>
      <c r="T55" s="3"/>
      <c r="V55"/>
    </row>
    <row r="56" spans="2:22" ht="18.75" customHeight="1" x14ac:dyDescent="0.25">
      <c r="B56" s="6">
        <v>1936</v>
      </c>
      <c r="C56" t="s">
        <v>31</v>
      </c>
      <c r="D56" t="s">
        <v>88</v>
      </c>
      <c r="E56" s="7">
        <v>12.36</v>
      </c>
      <c r="F56" s="12"/>
      <c r="G56" s="2">
        <v>2.16</v>
      </c>
      <c r="H56" s="31"/>
      <c r="I56" s="28"/>
      <c r="J56"/>
      <c r="M56" s="3"/>
      <c r="N56"/>
      <c r="Q56" s="4"/>
      <c r="R56"/>
      <c r="S56" s="4"/>
      <c r="T56" s="3"/>
      <c r="V56"/>
    </row>
    <row r="57" spans="2:22" ht="18.75" customHeight="1" x14ac:dyDescent="0.25">
      <c r="B57" s="6">
        <v>1936</v>
      </c>
      <c r="C57" t="s">
        <v>31</v>
      </c>
      <c r="D57" t="s">
        <v>88</v>
      </c>
      <c r="E57" s="7">
        <v>12.69</v>
      </c>
      <c r="F57" s="12"/>
      <c r="G57" s="2">
        <v>2.29</v>
      </c>
      <c r="H57" s="31"/>
      <c r="I57" s="28"/>
      <c r="J57"/>
      <c r="M57" s="3"/>
      <c r="N57"/>
      <c r="Q57" s="4"/>
      <c r="R57"/>
      <c r="S57" s="4"/>
      <c r="T57" s="3"/>
      <c r="V57"/>
    </row>
    <row r="58" spans="2:22" ht="18.75" customHeight="1" x14ac:dyDescent="0.25">
      <c r="B58" s="6">
        <v>1936</v>
      </c>
      <c r="C58" t="s">
        <v>31</v>
      </c>
      <c r="D58" t="s">
        <v>88</v>
      </c>
      <c r="E58" s="7">
        <v>13.51</v>
      </c>
      <c r="F58" s="12"/>
      <c r="G58" s="2">
        <v>2.4700000000000002</v>
      </c>
      <c r="H58" s="31"/>
      <c r="I58" s="28"/>
      <c r="J58"/>
      <c r="M58" s="3"/>
      <c r="N58"/>
      <c r="Q58" s="4"/>
      <c r="R58"/>
      <c r="S58" s="4"/>
      <c r="T58" s="3"/>
      <c r="V58"/>
    </row>
    <row r="59" spans="2:22" ht="18.75" customHeight="1" x14ac:dyDescent="0.25">
      <c r="B59" s="6">
        <v>1936</v>
      </c>
      <c r="C59" t="s">
        <v>31</v>
      </c>
      <c r="D59" t="s">
        <v>88</v>
      </c>
      <c r="E59" s="7">
        <v>14.21</v>
      </c>
      <c r="F59" s="12"/>
      <c r="G59" s="2">
        <v>2.62</v>
      </c>
      <c r="H59" s="31"/>
      <c r="I59" s="28"/>
      <c r="J59"/>
      <c r="M59" s="3"/>
      <c r="N59"/>
      <c r="Q59" s="4"/>
      <c r="R59"/>
      <c r="S59" s="4"/>
      <c r="T59" s="3"/>
      <c r="V59"/>
    </row>
    <row r="60" spans="2:22" ht="18.75" customHeight="1" x14ac:dyDescent="0.25">
      <c r="B60" s="6">
        <v>1936</v>
      </c>
      <c r="C60" t="s">
        <v>31</v>
      </c>
      <c r="D60" t="s">
        <v>88</v>
      </c>
      <c r="E60" s="7">
        <v>15.04</v>
      </c>
      <c r="F60" s="12"/>
      <c r="G60" s="2">
        <v>2.88</v>
      </c>
      <c r="H60" s="31"/>
      <c r="I60" s="28"/>
      <c r="J60"/>
      <c r="M60" s="3"/>
      <c r="N60"/>
      <c r="Q60" s="4"/>
      <c r="R60"/>
      <c r="S60" s="4"/>
      <c r="T60" s="3"/>
      <c r="V60"/>
    </row>
    <row r="61" spans="2:22" ht="18.75" customHeight="1" x14ac:dyDescent="0.25">
      <c r="B61" s="6">
        <v>1936</v>
      </c>
      <c r="C61" t="s">
        <v>31</v>
      </c>
      <c r="D61" t="s">
        <v>88</v>
      </c>
      <c r="E61" s="7">
        <v>16.21</v>
      </c>
      <c r="F61" s="12"/>
      <c r="G61" s="2">
        <v>3.02</v>
      </c>
      <c r="H61" s="31"/>
      <c r="I61" s="28"/>
      <c r="J61"/>
      <c r="M61" s="3"/>
      <c r="N61"/>
      <c r="Q61" s="4"/>
      <c r="R61"/>
      <c r="S61" s="4"/>
      <c r="T61" s="3"/>
      <c r="V61"/>
    </row>
    <row r="62" spans="2:22" ht="18.75" customHeight="1" x14ac:dyDescent="0.25">
      <c r="B62" s="6">
        <v>1936</v>
      </c>
      <c r="C62" t="s">
        <v>31</v>
      </c>
      <c r="D62" t="s">
        <v>88</v>
      </c>
      <c r="E62" s="7">
        <v>16.989999999999998</v>
      </c>
      <c r="F62" s="12"/>
      <c r="G62" s="2">
        <v>3.13</v>
      </c>
      <c r="H62" s="31"/>
      <c r="I62" s="28"/>
      <c r="J62"/>
      <c r="M62" s="3"/>
      <c r="N62"/>
      <c r="Q62" s="4"/>
      <c r="R62"/>
      <c r="S62" s="4"/>
      <c r="T62" s="3"/>
      <c r="V62"/>
    </row>
    <row r="63" spans="2:22" ht="18.75" customHeight="1" x14ac:dyDescent="0.25">
      <c r="B63" s="6">
        <v>1936</v>
      </c>
      <c r="C63" t="s">
        <v>31</v>
      </c>
      <c r="D63" t="s">
        <v>88</v>
      </c>
      <c r="E63" s="7">
        <v>19.149999999999999</v>
      </c>
      <c r="F63" s="12"/>
      <c r="G63" s="2">
        <v>3.53</v>
      </c>
      <c r="H63" s="31"/>
      <c r="I63" s="28"/>
      <c r="J63"/>
      <c r="M63" s="3"/>
      <c r="N63"/>
      <c r="Q63" s="4"/>
      <c r="R63"/>
      <c r="S63" s="4"/>
      <c r="T63" s="3"/>
      <c r="V63"/>
    </row>
    <row r="64" spans="2:22" ht="18.75" customHeight="1" x14ac:dyDescent="0.25">
      <c r="B64" s="6">
        <v>1936</v>
      </c>
      <c r="C64" t="s">
        <v>31</v>
      </c>
      <c r="D64" t="s">
        <v>88</v>
      </c>
      <c r="E64" s="7">
        <v>19.47</v>
      </c>
      <c r="F64" s="12"/>
      <c r="G64" s="2">
        <v>3.6</v>
      </c>
      <c r="H64" s="31"/>
      <c r="I64" s="28"/>
      <c r="J64"/>
      <c r="M64" s="3"/>
      <c r="N64"/>
      <c r="Q64" s="4"/>
      <c r="R64"/>
      <c r="S64" s="4"/>
      <c r="T64" s="3"/>
      <c r="V64"/>
    </row>
    <row r="65" spans="2:22" ht="18.75" customHeight="1" x14ac:dyDescent="0.25">
      <c r="B65" s="6">
        <v>1936</v>
      </c>
      <c r="C65" t="s">
        <v>31</v>
      </c>
      <c r="D65" t="s">
        <v>88</v>
      </c>
      <c r="E65" s="7">
        <v>19.7</v>
      </c>
      <c r="F65" s="12"/>
      <c r="G65" s="2">
        <v>3.63</v>
      </c>
      <c r="H65" s="31"/>
      <c r="I65" s="28"/>
      <c r="J65"/>
      <c r="M65" s="3"/>
      <c r="N65"/>
      <c r="Q65" s="4"/>
      <c r="R65"/>
      <c r="S65" s="4"/>
      <c r="T65" s="3"/>
      <c r="V65"/>
    </row>
    <row r="66" spans="2:22" ht="18.75" customHeight="1" x14ac:dyDescent="0.25">
      <c r="B66" s="6">
        <v>1936</v>
      </c>
      <c r="C66" t="s">
        <v>31</v>
      </c>
      <c r="D66" t="s">
        <v>88</v>
      </c>
      <c r="E66" s="7">
        <v>22.28</v>
      </c>
      <c r="F66" s="12"/>
      <c r="G66" s="2">
        <v>4.05</v>
      </c>
      <c r="H66" s="31"/>
      <c r="I66" s="28"/>
      <c r="J66"/>
      <c r="M66" s="3"/>
      <c r="N66"/>
      <c r="Q66" s="4"/>
      <c r="R66"/>
      <c r="S66" s="4"/>
      <c r="T66" s="3"/>
      <c r="V66"/>
    </row>
    <row r="67" spans="2:22" ht="18.75" customHeight="1" x14ac:dyDescent="0.25">
      <c r="B67" s="6">
        <v>1936</v>
      </c>
      <c r="C67" t="s">
        <v>31</v>
      </c>
      <c r="D67" t="s">
        <v>88</v>
      </c>
      <c r="E67" s="7">
        <v>22.32</v>
      </c>
      <c r="F67" s="12"/>
      <c r="G67" s="40">
        <v>4.0599999999999996</v>
      </c>
      <c r="H67" s="31"/>
      <c r="I67" s="28"/>
      <c r="J67"/>
      <c r="M67" s="3"/>
      <c r="N67"/>
      <c r="Q67" s="4"/>
      <c r="R67"/>
      <c r="S67" s="4"/>
      <c r="T67" s="3"/>
      <c r="V67"/>
    </row>
    <row r="68" spans="2:22" ht="18.75" customHeight="1" x14ac:dyDescent="0.25">
      <c r="B68" s="6">
        <v>1936</v>
      </c>
      <c r="C68" t="s">
        <v>31</v>
      </c>
      <c r="D68" t="s">
        <v>88</v>
      </c>
      <c r="E68" s="7">
        <v>22.65</v>
      </c>
      <c r="F68" s="12"/>
      <c r="G68" s="42">
        <v>4.12</v>
      </c>
      <c r="H68" s="31"/>
      <c r="I68" s="28"/>
      <c r="J68"/>
      <c r="M68" s="3"/>
      <c r="N68"/>
      <c r="Q68" s="4"/>
      <c r="R68"/>
      <c r="S68" s="4"/>
      <c r="T68" s="3"/>
      <c r="V68"/>
    </row>
    <row r="69" spans="2:22" ht="18.75" customHeight="1" x14ac:dyDescent="0.25">
      <c r="B69" s="6">
        <v>1936</v>
      </c>
      <c r="C69" t="s">
        <v>31</v>
      </c>
      <c r="D69" t="s">
        <v>88</v>
      </c>
      <c r="E69" s="7">
        <v>25.6</v>
      </c>
      <c r="F69" s="12"/>
      <c r="G69" s="42">
        <v>4.51</v>
      </c>
      <c r="H69" s="31"/>
      <c r="I69" s="28"/>
      <c r="J69"/>
      <c r="M69" s="3"/>
      <c r="N69"/>
      <c r="Q69" s="4"/>
      <c r="R69"/>
      <c r="S69" s="4"/>
      <c r="T69" s="3"/>
      <c r="V69"/>
    </row>
    <row r="70" spans="2:22" ht="18.75" customHeight="1" x14ac:dyDescent="0.25">
      <c r="B70" s="6">
        <v>1936</v>
      </c>
      <c r="C70" t="s">
        <v>31</v>
      </c>
      <c r="D70" t="s">
        <v>88</v>
      </c>
      <c r="E70" s="7">
        <v>29.65</v>
      </c>
      <c r="F70" s="12"/>
      <c r="G70" s="42">
        <v>4.9800000000000004</v>
      </c>
      <c r="H70" s="31"/>
      <c r="I70" s="28"/>
      <c r="J70"/>
      <c r="M70" s="3"/>
      <c r="N70"/>
      <c r="Q70" s="4"/>
      <c r="R70"/>
      <c r="S70" s="4"/>
      <c r="T70" s="3"/>
      <c r="V70"/>
    </row>
    <row r="71" spans="2:22" ht="18.75" customHeight="1" x14ac:dyDescent="0.25">
      <c r="B71" s="6">
        <v>1936</v>
      </c>
      <c r="C71" t="s">
        <v>31</v>
      </c>
      <c r="D71" t="s">
        <v>88</v>
      </c>
      <c r="E71" s="7">
        <v>34</v>
      </c>
      <c r="F71" s="12"/>
      <c r="G71" s="42">
        <v>5.33</v>
      </c>
      <c r="H71" s="31"/>
      <c r="I71" s="28"/>
      <c r="J71"/>
      <c r="M71" s="3"/>
      <c r="N71"/>
      <c r="Q71" s="4"/>
      <c r="R71"/>
      <c r="S71" s="4"/>
      <c r="T71" s="3"/>
      <c r="V71"/>
    </row>
    <row r="72" spans="2:22" ht="18.75" customHeight="1" x14ac:dyDescent="0.25">
      <c r="B72" s="6">
        <v>1936</v>
      </c>
      <c r="C72" t="s">
        <v>31</v>
      </c>
      <c r="D72" t="s">
        <v>88</v>
      </c>
      <c r="E72" s="7">
        <v>38.1</v>
      </c>
      <c r="F72" s="12"/>
      <c r="G72" s="42">
        <v>5.58</v>
      </c>
      <c r="H72" s="31"/>
      <c r="I72" s="28"/>
      <c r="J72"/>
      <c r="M72" s="3"/>
      <c r="N72"/>
      <c r="Q72" s="4"/>
      <c r="R72"/>
      <c r="S72" s="4"/>
      <c r="T72" s="3"/>
      <c r="V72"/>
    </row>
    <row r="73" spans="2:22" ht="18.75" customHeight="1" x14ac:dyDescent="0.25">
      <c r="B73" s="6">
        <v>1936</v>
      </c>
      <c r="C73" t="s">
        <v>31</v>
      </c>
      <c r="D73" t="s">
        <v>88</v>
      </c>
      <c r="E73" s="7">
        <v>41.8</v>
      </c>
      <c r="F73" s="12"/>
      <c r="G73" s="42">
        <v>5.74</v>
      </c>
      <c r="H73" s="31"/>
      <c r="I73" s="28"/>
      <c r="J73"/>
      <c r="M73" s="3"/>
      <c r="N73"/>
      <c r="Q73" s="4"/>
      <c r="R73"/>
      <c r="S73" s="4"/>
      <c r="T73" s="3"/>
      <c r="V73"/>
    </row>
    <row r="74" spans="2:22" ht="18.75" customHeight="1" x14ac:dyDescent="0.25">
      <c r="B74" s="6">
        <v>1936</v>
      </c>
      <c r="C74" t="s">
        <v>31</v>
      </c>
      <c r="D74" t="s">
        <v>88</v>
      </c>
      <c r="E74" s="7">
        <v>45.6</v>
      </c>
      <c r="F74" s="12"/>
      <c r="G74" s="42">
        <v>5.87</v>
      </c>
      <c r="H74" s="31"/>
      <c r="I74" s="28"/>
      <c r="J74"/>
      <c r="M74" s="3"/>
      <c r="N74"/>
      <c r="Q74" s="4"/>
      <c r="R74"/>
      <c r="S74" s="4"/>
      <c r="T74" s="3"/>
      <c r="V74"/>
    </row>
    <row r="75" spans="2:22" ht="18.75" customHeight="1" x14ac:dyDescent="0.25">
      <c r="B75" s="6">
        <v>1936</v>
      </c>
      <c r="C75" t="s">
        <v>31</v>
      </c>
      <c r="D75" t="s">
        <v>88</v>
      </c>
      <c r="E75" s="7">
        <v>49.4</v>
      </c>
      <c r="F75" s="12"/>
      <c r="G75" s="42">
        <v>6.01</v>
      </c>
      <c r="H75" s="31"/>
      <c r="I75" s="28"/>
      <c r="J75"/>
      <c r="M75" s="3"/>
      <c r="N75"/>
      <c r="Q75" s="4"/>
      <c r="R75"/>
      <c r="S75" s="4"/>
      <c r="T75" s="3"/>
      <c r="V75"/>
    </row>
    <row r="76" spans="2:22" ht="18.75" customHeight="1" x14ac:dyDescent="0.25">
      <c r="B76" s="6">
        <v>1936</v>
      </c>
      <c r="C76" t="s">
        <v>31</v>
      </c>
      <c r="D76" t="s">
        <v>88</v>
      </c>
      <c r="E76" s="7">
        <v>53.3</v>
      </c>
      <c r="F76" s="12"/>
      <c r="G76" s="42">
        <v>6.13</v>
      </c>
      <c r="H76" s="31"/>
      <c r="I76" s="28"/>
      <c r="J76"/>
      <c r="M76" s="3"/>
      <c r="N76"/>
      <c r="Q76" s="4"/>
      <c r="R76"/>
      <c r="S76" s="4"/>
      <c r="T76" s="3"/>
      <c r="V76"/>
    </row>
    <row r="77" spans="2:22" ht="18.75" customHeight="1" x14ac:dyDescent="0.25">
      <c r="B77" s="6">
        <v>1936</v>
      </c>
      <c r="C77" t="s">
        <v>31</v>
      </c>
      <c r="D77" t="s">
        <v>88</v>
      </c>
      <c r="E77" s="7">
        <v>57.1</v>
      </c>
      <c r="F77" s="12"/>
      <c r="G77" s="42">
        <v>6.22</v>
      </c>
      <c r="H77" s="31"/>
      <c r="I77" s="28"/>
      <c r="J77"/>
      <c r="M77" s="3"/>
      <c r="N77"/>
      <c r="Q77" s="4"/>
      <c r="R77"/>
      <c r="S77" s="4"/>
      <c r="T77" s="3"/>
      <c r="V77"/>
    </row>
    <row r="78" spans="2:22" ht="18.75" customHeight="1" x14ac:dyDescent="0.25">
      <c r="B78" s="6">
        <v>1936</v>
      </c>
      <c r="C78" t="s">
        <v>31</v>
      </c>
      <c r="D78" t="s">
        <v>88</v>
      </c>
      <c r="E78" s="7">
        <v>61</v>
      </c>
      <c r="F78" s="12"/>
      <c r="G78" s="42">
        <v>6.31</v>
      </c>
      <c r="H78" s="31"/>
      <c r="I78" s="28"/>
      <c r="J78"/>
      <c r="M78" s="3"/>
      <c r="N78"/>
      <c r="Q78" s="4"/>
      <c r="R78"/>
      <c r="S78" s="4"/>
      <c r="T78" s="3"/>
      <c r="V78"/>
    </row>
    <row r="79" spans="2:22" ht="18.75" customHeight="1" x14ac:dyDescent="0.25">
      <c r="B79" s="6">
        <v>1936</v>
      </c>
      <c r="C79" t="s">
        <v>31</v>
      </c>
      <c r="D79" t="s">
        <v>88</v>
      </c>
      <c r="E79" s="7">
        <v>64.8</v>
      </c>
      <c r="F79" s="12"/>
      <c r="G79" s="42">
        <v>6.4349999999999996</v>
      </c>
      <c r="H79" s="31"/>
      <c r="I79" s="28"/>
      <c r="J79"/>
      <c r="M79" s="3"/>
      <c r="N79"/>
      <c r="Q79" s="4"/>
      <c r="R79"/>
      <c r="S79" s="4"/>
      <c r="T79" s="3"/>
      <c r="V79"/>
    </row>
    <row r="80" spans="2:22" ht="18.75" customHeight="1" x14ac:dyDescent="0.25">
      <c r="B80" s="6">
        <v>1936</v>
      </c>
      <c r="C80" t="s">
        <v>31</v>
      </c>
      <c r="D80" t="s">
        <v>88</v>
      </c>
      <c r="E80" s="7">
        <v>68.400000000000006</v>
      </c>
      <c r="F80" s="12"/>
      <c r="G80" s="42">
        <v>6.55</v>
      </c>
      <c r="H80" s="31"/>
      <c r="I80" s="28"/>
      <c r="J80"/>
      <c r="M80" s="3"/>
      <c r="N80"/>
      <c r="Q80" s="4"/>
      <c r="R80"/>
      <c r="S80" s="4"/>
      <c r="T80" s="3"/>
      <c r="V80"/>
    </row>
    <row r="81" spans="2:22" ht="18.75" customHeight="1" x14ac:dyDescent="0.25">
      <c r="B81" s="6">
        <v>1936</v>
      </c>
      <c r="C81" t="s">
        <v>31</v>
      </c>
      <c r="D81" t="s">
        <v>88</v>
      </c>
      <c r="E81" s="7">
        <v>72.099999999999994</v>
      </c>
      <c r="F81" s="12"/>
      <c r="G81" s="42">
        <v>6.6050000000000004</v>
      </c>
      <c r="H81" s="31"/>
      <c r="I81" s="28"/>
      <c r="J81"/>
      <c r="M81" s="3"/>
      <c r="N81"/>
      <c r="Q81" s="4"/>
      <c r="R81"/>
      <c r="S81" s="4"/>
      <c r="T81" s="3"/>
      <c r="V81"/>
    </row>
    <row r="82" spans="2:22" ht="18.75" customHeight="1" x14ac:dyDescent="0.25">
      <c r="B82" s="6">
        <v>1936</v>
      </c>
      <c r="C82" t="s">
        <v>31</v>
      </c>
      <c r="D82" t="s">
        <v>88</v>
      </c>
      <c r="E82" s="7">
        <v>75.900000000000006</v>
      </c>
      <c r="F82" s="12"/>
      <c r="G82" s="42">
        <v>6.71</v>
      </c>
      <c r="H82" s="54"/>
      <c r="I82" s="55"/>
      <c r="J82"/>
      <c r="M82" s="3"/>
      <c r="N82"/>
      <c r="Q82" s="4"/>
      <c r="R82"/>
      <c r="S82" s="4"/>
      <c r="T82" s="3"/>
      <c r="V82"/>
    </row>
    <row r="83" spans="2:22" ht="18.75" customHeight="1" x14ac:dyDescent="0.25">
      <c r="B83" s="6">
        <v>1936</v>
      </c>
      <c r="C83" t="s">
        <v>31</v>
      </c>
      <c r="D83" t="s">
        <v>88</v>
      </c>
      <c r="E83" s="7">
        <v>93.5</v>
      </c>
      <c r="F83" s="12"/>
      <c r="G83" s="42">
        <v>7.26</v>
      </c>
      <c r="H83" s="54"/>
      <c r="I83" s="55"/>
      <c r="J83"/>
      <c r="M83" s="3"/>
      <c r="N83"/>
      <c r="Q83" s="4"/>
      <c r="R83"/>
      <c r="S83" s="4"/>
      <c r="T83" s="3"/>
      <c r="V83"/>
    </row>
    <row r="84" spans="2:22" ht="18.75" customHeight="1" x14ac:dyDescent="0.25">
      <c r="B84" s="6">
        <v>1936</v>
      </c>
      <c r="C84" t="s">
        <v>31</v>
      </c>
      <c r="D84" t="s">
        <v>88</v>
      </c>
      <c r="E84" s="7">
        <v>98.2</v>
      </c>
      <c r="F84" s="12"/>
      <c r="G84" s="42">
        <v>7.43</v>
      </c>
      <c r="H84" s="54"/>
      <c r="I84" s="55"/>
      <c r="J84"/>
      <c r="M84" s="3"/>
      <c r="N84"/>
      <c r="Q84" s="4"/>
      <c r="R84"/>
      <c r="S84" s="4"/>
      <c r="T84" s="3"/>
      <c r="V84"/>
    </row>
    <row r="85" spans="2:22" ht="18.75" customHeight="1" x14ac:dyDescent="0.25">
      <c r="B85" s="6">
        <v>1936</v>
      </c>
      <c r="C85" t="s">
        <v>31</v>
      </c>
      <c r="D85" t="s">
        <v>88</v>
      </c>
      <c r="E85" s="7">
        <v>103</v>
      </c>
      <c r="F85" s="12"/>
      <c r="G85" s="42">
        <v>7.58</v>
      </c>
      <c r="H85" s="54"/>
      <c r="I85" s="55"/>
      <c r="J85"/>
      <c r="M85" s="3"/>
      <c r="N85"/>
      <c r="Q85" s="4"/>
      <c r="R85"/>
      <c r="S85" s="4"/>
      <c r="T85" s="3"/>
      <c r="V85"/>
    </row>
    <row r="86" spans="2:22" ht="18.75" customHeight="1" x14ac:dyDescent="0.25">
      <c r="B86" s="6">
        <v>1936</v>
      </c>
      <c r="C86" t="s">
        <v>31</v>
      </c>
      <c r="D86" t="s">
        <v>88</v>
      </c>
      <c r="E86" s="7">
        <v>103.3</v>
      </c>
      <c r="F86" s="12"/>
      <c r="G86" s="42">
        <v>7.72</v>
      </c>
      <c r="H86" s="54"/>
      <c r="I86" s="55"/>
      <c r="J86"/>
      <c r="M86" s="3"/>
      <c r="N86"/>
      <c r="Q86" s="4"/>
      <c r="R86"/>
      <c r="S86" s="4"/>
      <c r="T86" s="3"/>
      <c r="V86"/>
    </row>
    <row r="87" spans="2:22" ht="18.75" customHeight="1" x14ac:dyDescent="0.25">
      <c r="B87" s="6">
        <v>1936</v>
      </c>
      <c r="C87" t="s">
        <v>31</v>
      </c>
      <c r="D87" t="s">
        <v>88</v>
      </c>
      <c r="E87" s="7">
        <v>107.9</v>
      </c>
      <c r="F87" s="12"/>
      <c r="G87" s="42">
        <v>7.97</v>
      </c>
      <c r="H87" s="54"/>
      <c r="I87" s="55"/>
      <c r="J87"/>
      <c r="M87" s="3"/>
      <c r="N87"/>
      <c r="Q87" s="4"/>
      <c r="R87"/>
      <c r="S87" s="4"/>
      <c r="T87" s="3"/>
      <c r="V87"/>
    </row>
    <row r="88" spans="2:22" ht="18.75" customHeight="1" x14ac:dyDescent="0.25">
      <c r="B88" s="6">
        <v>1936</v>
      </c>
      <c r="C88" t="s">
        <v>31</v>
      </c>
      <c r="D88" t="s">
        <v>88</v>
      </c>
      <c r="E88" s="39">
        <v>108</v>
      </c>
      <c r="F88" s="12"/>
      <c r="G88" s="42">
        <v>7.95</v>
      </c>
      <c r="H88" s="54"/>
      <c r="I88" s="28"/>
      <c r="J88"/>
      <c r="M88" s="3"/>
      <c r="N88"/>
      <c r="Q88" s="4"/>
      <c r="R88"/>
      <c r="S88" s="4"/>
      <c r="T88" s="3"/>
      <c r="V88"/>
    </row>
    <row r="89" spans="2:22" ht="18.75" customHeight="1" x14ac:dyDescent="0.25">
      <c r="B89" s="6">
        <v>1936</v>
      </c>
      <c r="C89" t="s">
        <v>31</v>
      </c>
      <c r="D89" t="s">
        <v>88</v>
      </c>
      <c r="E89" s="39">
        <v>112.4</v>
      </c>
      <c r="F89" s="12"/>
      <c r="G89" s="42">
        <v>8.2899999999999991</v>
      </c>
      <c r="H89" s="54"/>
      <c r="I89" s="28"/>
      <c r="J89"/>
      <c r="M89" s="3"/>
      <c r="N89"/>
      <c r="Q89" s="4"/>
      <c r="R89"/>
      <c r="S89" s="4"/>
      <c r="T89" s="3"/>
      <c r="V89"/>
    </row>
    <row r="90" spans="2:22" ht="18.75" customHeight="1" x14ac:dyDescent="0.25">
      <c r="B90" s="6">
        <v>1936</v>
      </c>
      <c r="C90" t="s">
        <v>31</v>
      </c>
      <c r="D90" t="s">
        <v>88</v>
      </c>
      <c r="E90" s="39">
        <v>112.5</v>
      </c>
      <c r="F90" s="12"/>
      <c r="G90" s="42">
        <v>8.31</v>
      </c>
      <c r="H90" s="54"/>
      <c r="I90" s="28"/>
      <c r="J90"/>
      <c r="M90" s="3"/>
      <c r="N90"/>
      <c r="Q90" s="4"/>
      <c r="R90"/>
      <c r="S90" s="4"/>
      <c r="T90" s="3"/>
      <c r="V90"/>
    </row>
    <row r="91" spans="2:22" ht="18.75" customHeight="1" x14ac:dyDescent="0.25">
      <c r="B91" s="6">
        <v>1936</v>
      </c>
      <c r="C91" t="s">
        <v>31</v>
      </c>
      <c r="D91" t="s">
        <v>139</v>
      </c>
      <c r="E91" s="39">
        <v>12.3</v>
      </c>
      <c r="F91" s="12"/>
      <c r="G91" s="42">
        <v>2.0760000000000001</v>
      </c>
      <c r="H91" s="54"/>
      <c r="I91" s="28"/>
      <c r="J91"/>
      <c r="M91" s="3"/>
      <c r="N91"/>
      <c r="Q91" s="4"/>
      <c r="R91"/>
      <c r="S91" s="4"/>
      <c r="T91" s="3"/>
      <c r="V91"/>
    </row>
    <row r="92" spans="2:22" ht="18.75" customHeight="1" x14ac:dyDescent="0.25">
      <c r="B92" s="6">
        <v>1936</v>
      </c>
      <c r="C92" t="s">
        <v>31</v>
      </c>
      <c r="D92" t="s">
        <v>139</v>
      </c>
      <c r="E92" s="39">
        <v>13.1</v>
      </c>
      <c r="F92" s="12"/>
      <c r="G92" s="42">
        <v>2.327</v>
      </c>
      <c r="H92" s="54"/>
      <c r="I92" s="28"/>
      <c r="J92"/>
      <c r="M92" s="3"/>
      <c r="N92"/>
      <c r="Q92" s="4"/>
      <c r="R92"/>
      <c r="S92" s="4"/>
      <c r="T92" s="3"/>
      <c r="V92"/>
    </row>
    <row r="93" spans="2:22" ht="18.75" customHeight="1" x14ac:dyDescent="0.25">
      <c r="B93" s="6">
        <v>1936</v>
      </c>
      <c r="C93" t="s">
        <v>31</v>
      </c>
      <c r="D93" t="s">
        <v>139</v>
      </c>
      <c r="E93" s="39">
        <v>14.71</v>
      </c>
      <c r="F93" s="12"/>
      <c r="G93" s="42">
        <v>2.7850000000000001</v>
      </c>
      <c r="H93" s="54"/>
      <c r="I93" s="28"/>
      <c r="J93"/>
      <c r="M93" s="3"/>
      <c r="N93"/>
      <c r="Q93" s="4"/>
      <c r="R93"/>
      <c r="S93" s="4"/>
      <c r="T93" s="3"/>
      <c r="V93"/>
    </row>
    <row r="94" spans="2:22" ht="18.75" customHeight="1" x14ac:dyDescent="0.25">
      <c r="B94" s="6">
        <v>1936</v>
      </c>
      <c r="C94" t="s">
        <v>31</v>
      </c>
      <c r="D94" t="s">
        <v>139</v>
      </c>
      <c r="E94" s="39">
        <v>16.63</v>
      </c>
      <c r="F94" s="12"/>
      <c r="G94" s="42">
        <v>3.3519999999999999</v>
      </c>
      <c r="H94" s="54"/>
      <c r="I94" s="28"/>
      <c r="J94"/>
      <c r="M94" s="3"/>
      <c r="N94"/>
      <c r="Q94" s="4"/>
      <c r="R94"/>
      <c r="S94" s="4"/>
      <c r="T94" s="3"/>
      <c r="V94"/>
    </row>
    <row r="95" spans="2:22" ht="18.75" customHeight="1" x14ac:dyDescent="0.25">
      <c r="B95" s="6">
        <v>1936</v>
      </c>
      <c r="C95" t="s">
        <v>31</v>
      </c>
      <c r="D95" t="s">
        <v>139</v>
      </c>
      <c r="E95" s="39">
        <v>18.54</v>
      </c>
      <c r="F95" s="12"/>
      <c r="G95" s="42">
        <v>3.8380000000000001</v>
      </c>
      <c r="H95" s="54"/>
      <c r="I95" s="28"/>
      <c r="J95"/>
      <c r="M95" s="3"/>
      <c r="N95"/>
      <c r="Q95" s="4"/>
      <c r="R95"/>
      <c r="S95" s="4"/>
      <c r="T95" s="3"/>
      <c r="V95"/>
    </row>
    <row r="96" spans="2:22" ht="18.75" customHeight="1" x14ac:dyDescent="0.25">
      <c r="B96" s="6">
        <v>1936</v>
      </c>
      <c r="C96" t="s">
        <v>31</v>
      </c>
      <c r="D96" t="s">
        <v>139</v>
      </c>
      <c r="E96" s="39">
        <v>18.850000000000001</v>
      </c>
      <c r="F96" s="12"/>
      <c r="G96" s="42">
        <v>3.97</v>
      </c>
      <c r="H96" s="54"/>
      <c r="I96" s="28"/>
      <c r="J96"/>
      <c r="M96" s="3"/>
      <c r="N96"/>
      <c r="Q96" s="4"/>
      <c r="R96"/>
      <c r="S96" s="4"/>
      <c r="T96" s="3"/>
      <c r="V96"/>
    </row>
    <row r="97" spans="2:22" ht="18.75" customHeight="1" x14ac:dyDescent="0.25">
      <c r="B97" s="6">
        <v>1936</v>
      </c>
      <c r="C97" t="s">
        <v>31</v>
      </c>
      <c r="D97" t="s">
        <v>139</v>
      </c>
      <c r="E97" s="39">
        <v>20</v>
      </c>
      <c r="F97" s="12"/>
      <c r="G97" s="42">
        <v>4.2699999999999996</v>
      </c>
      <c r="H97" s="54"/>
      <c r="I97" s="28"/>
      <c r="J97"/>
      <c r="M97" s="3"/>
      <c r="N97"/>
      <c r="Q97" s="4"/>
      <c r="R97"/>
      <c r="S97" s="4"/>
      <c r="T97" s="3"/>
      <c r="V97"/>
    </row>
    <row r="98" spans="2:22" ht="18.75" customHeight="1" x14ac:dyDescent="0.25">
      <c r="B98" s="6">
        <v>1936</v>
      </c>
      <c r="C98" t="s">
        <v>31</v>
      </c>
      <c r="D98" t="s">
        <v>139</v>
      </c>
      <c r="E98" s="39">
        <v>20.85</v>
      </c>
      <c r="F98" s="12"/>
      <c r="G98" s="42">
        <v>4.5880000000000001</v>
      </c>
      <c r="H98" s="54"/>
      <c r="I98" s="28"/>
      <c r="J98"/>
      <c r="M98" s="3"/>
      <c r="N98"/>
      <c r="Q98" s="4"/>
      <c r="R98"/>
      <c r="S98" s="4"/>
      <c r="T98" s="3"/>
      <c r="V98"/>
    </row>
    <row r="99" spans="2:22" ht="18.75" customHeight="1" x14ac:dyDescent="0.25">
      <c r="B99" s="6">
        <v>1936</v>
      </c>
      <c r="C99" t="s">
        <v>31</v>
      </c>
      <c r="D99" t="s">
        <v>139</v>
      </c>
      <c r="E99" s="39">
        <v>20.9</v>
      </c>
      <c r="F99" s="12"/>
      <c r="G99" s="42">
        <v>4.593</v>
      </c>
      <c r="H99" s="54"/>
      <c r="I99" s="28"/>
      <c r="J99"/>
      <c r="M99" s="3"/>
      <c r="N99"/>
      <c r="Q99" s="4"/>
      <c r="R99"/>
      <c r="S99" s="4"/>
      <c r="T99" s="3"/>
      <c r="V99"/>
    </row>
    <row r="100" spans="2:22" ht="18.75" customHeight="1" x14ac:dyDescent="0.25">
      <c r="B100" s="6">
        <v>1936</v>
      </c>
      <c r="C100" t="s">
        <v>31</v>
      </c>
      <c r="D100" t="s">
        <v>139</v>
      </c>
      <c r="E100" s="39">
        <v>22.1</v>
      </c>
      <c r="F100" s="12"/>
      <c r="G100" s="42">
        <v>5.0330000000000004</v>
      </c>
      <c r="H100" s="54"/>
      <c r="I100" s="28"/>
      <c r="J100"/>
      <c r="M100" s="3"/>
      <c r="N100"/>
      <c r="Q100" s="4"/>
      <c r="R100"/>
      <c r="S100" s="4"/>
      <c r="T100" s="3"/>
      <c r="V100"/>
    </row>
    <row r="101" spans="2:22" ht="18.75" customHeight="1" x14ac:dyDescent="0.25">
      <c r="B101" s="6">
        <v>1936</v>
      </c>
      <c r="C101" t="s">
        <v>31</v>
      </c>
      <c r="D101" t="s">
        <v>139</v>
      </c>
      <c r="E101" s="39">
        <v>22.7</v>
      </c>
      <c r="F101" s="12"/>
      <c r="G101" s="42">
        <v>5.2990000000000004</v>
      </c>
      <c r="H101" s="54"/>
      <c r="I101" s="28"/>
      <c r="J101"/>
      <c r="M101" s="3"/>
      <c r="N101"/>
      <c r="Q101" s="4"/>
      <c r="R101"/>
      <c r="S101" s="4"/>
      <c r="T101" s="3"/>
      <c r="V101"/>
    </row>
    <row r="102" spans="2:22" ht="18.75" customHeight="1" x14ac:dyDescent="0.25">
      <c r="B102" s="6">
        <v>1936</v>
      </c>
      <c r="C102" t="s">
        <v>31</v>
      </c>
      <c r="D102" t="s">
        <v>139</v>
      </c>
      <c r="E102" s="39">
        <v>22.85</v>
      </c>
      <c r="F102" s="12"/>
      <c r="G102" s="42">
        <v>5.4119999999999999</v>
      </c>
      <c r="H102" s="54"/>
      <c r="I102" s="28"/>
      <c r="J102"/>
      <c r="M102" s="3"/>
      <c r="N102"/>
      <c r="Q102" s="4"/>
      <c r="R102"/>
      <c r="S102" s="4"/>
      <c r="T102" s="3"/>
      <c r="V102"/>
    </row>
    <row r="103" spans="2:22" ht="18.75" customHeight="1" x14ac:dyDescent="0.25">
      <c r="B103" s="6">
        <v>1936</v>
      </c>
      <c r="C103" t="s">
        <v>31</v>
      </c>
      <c r="D103" t="s">
        <v>139</v>
      </c>
      <c r="E103" s="39">
        <v>23.5</v>
      </c>
      <c r="F103" s="12"/>
      <c r="G103" s="42">
        <v>5.8179999999999996</v>
      </c>
      <c r="H103" s="54"/>
      <c r="I103" s="28"/>
      <c r="J103"/>
      <c r="M103" s="3"/>
      <c r="N103"/>
      <c r="Q103" s="4"/>
      <c r="R103"/>
      <c r="S103" s="4"/>
      <c r="T103" s="3"/>
      <c r="V103"/>
    </row>
    <row r="104" spans="2:22" ht="18.75" customHeight="1" x14ac:dyDescent="0.25">
      <c r="B104" s="6">
        <v>1966</v>
      </c>
      <c r="C104" t="s">
        <v>162</v>
      </c>
      <c r="D104" t="s">
        <v>139</v>
      </c>
      <c r="E104" s="39">
        <v>1</v>
      </c>
      <c r="F104" s="12">
        <v>4.0000000000000001E-3</v>
      </c>
      <c r="G104" s="42"/>
      <c r="H104" s="54"/>
      <c r="I104" s="28"/>
      <c r="J104"/>
      <c r="M104" s="3"/>
      <c r="N104"/>
      <c r="Q104" s="4"/>
      <c r="R104"/>
      <c r="S104" s="4"/>
      <c r="T104" s="3"/>
      <c r="V104"/>
    </row>
    <row r="105" spans="2:22" ht="18.75" customHeight="1" x14ac:dyDescent="0.25">
      <c r="B105" s="6">
        <v>1966</v>
      </c>
      <c r="C105" t="s">
        <v>162</v>
      </c>
      <c r="D105" t="s">
        <v>139</v>
      </c>
      <c r="E105" s="39">
        <v>2</v>
      </c>
      <c r="F105" s="12">
        <v>3.9E-2</v>
      </c>
      <c r="G105" s="2"/>
      <c r="H105" s="54"/>
      <c r="I105" s="28"/>
      <c r="J105"/>
      <c r="M105" s="3"/>
      <c r="N105"/>
      <c r="Q105" s="4"/>
      <c r="R105"/>
      <c r="S105" s="4"/>
      <c r="T105" s="3"/>
      <c r="V105"/>
    </row>
    <row r="106" spans="2:22" ht="18.75" customHeight="1" x14ac:dyDescent="0.25">
      <c r="B106" s="6">
        <v>1966</v>
      </c>
      <c r="C106" t="s">
        <v>162</v>
      </c>
      <c r="D106" t="s">
        <v>139</v>
      </c>
      <c r="E106" s="39">
        <v>3</v>
      </c>
      <c r="F106" s="12">
        <v>0.13400000000000001</v>
      </c>
      <c r="G106" s="2"/>
      <c r="H106" s="54"/>
      <c r="I106" s="55"/>
      <c r="J106"/>
      <c r="M106" s="3"/>
      <c r="N106"/>
      <c r="Q106" s="4"/>
      <c r="R106"/>
      <c r="S106" s="4"/>
      <c r="T106" s="3"/>
      <c r="V106"/>
    </row>
    <row r="107" spans="2:22" ht="18.75" customHeight="1" x14ac:dyDescent="0.25">
      <c r="B107" s="6">
        <v>1966</v>
      </c>
      <c r="C107" t="s">
        <v>162</v>
      </c>
      <c r="D107" t="s">
        <v>139</v>
      </c>
      <c r="E107" s="7">
        <v>4</v>
      </c>
      <c r="F107" s="12">
        <v>0.34499999999999997</v>
      </c>
      <c r="G107" s="2"/>
      <c r="H107" s="54"/>
      <c r="I107" s="55"/>
      <c r="J107"/>
      <c r="M107" s="3"/>
      <c r="N107"/>
      <c r="Q107" s="4"/>
      <c r="R107"/>
      <c r="S107" s="4"/>
      <c r="T107" s="3"/>
      <c r="V107"/>
    </row>
    <row r="108" spans="2:22" ht="18.75" customHeight="1" x14ac:dyDescent="0.25">
      <c r="B108" s="6">
        <v>1966</v>
      </c>
      <c r="C108" t="s">
        <v>162</v>
      </c>
      <c r="D108" t="s">
        <v>139</v>
      </c>
      <c r="E108" s="7">
        <v>5</v>
      </c>
      <c r="F108" s="12">
        <v>0.76</v>
      </c>
      <c r="G108" s="2"/>
      <c r="H108" s="54"/>
      <c r="I108" s="55"/>
      <c r="J108"/>
      <c r="M108" s="3"/>
      <c r="N108"/>
      <c r="Q108" s="4"/>
      <c r="R108"/>
      <c r="S108" s="4"/>
      <c r="T108" s="3"/>
      <c r="V108"/>
    </row>
    <row r="109" spans="2:22" ht="18.75" customHeight="1" x14ac:dyDescent="0.25">
      <c r="B109" s="6">
        <v>1966</v>
      </c>
      <c r="C109" t="s">
        <v>162</v>
      </c>
      <c r="D109" t="s">
        <v>139</v>
      </c>
      <c r="E109" s="7">
        <v>6</v>
      </c>
      <c r="F109" s="12">
        <v>1.36</v>
      </c>
      <c r="G109" s="2"/>
      <c r="H109" s="54"/>
      <c r="I109" s="55"/>
      <c r="J109"/>
      <c r="M109" s="3"/>
      <c r="N109"/>
      <c r="Q109" s="4"/>
      <c r="R109"/>
      <c r="S109" s="4"/>
      <c r="T109" s="3"/>
      <c r="V109"/>
    </row>
    <row r="110" spans="2:22" ht="18.75" customHeight="1" x14ac:dyDescent="0.25">
      <c r="B110" s="6">
        <v>1966</v>
      </c>
      <c r="C110" t="s">
        <v>162</v>
      </c>
      <c r="D110" t="s">
        <v>139</v>
      </c>
      <c r="E110" s="7">
        <v>7</v>
      </c>
      <c r="F110" s="12">
        <v>2.13</v>
      </c>
      <c r="G110" s="2"/>
      <c r="H110" s="54"/>
      <c r="I110" s="55"/>
      <c r="J110"/>
      <c r="M110" s="3"/>
      <c r="N110"/>
      <c r="Q110" s="4"/>
      <c r="R110"/>
      <c r="S110" s="4"/>
      <c r="T110" s="3"/>
      <c r="V110"/>
    </row>
    <row r="111" spans="2:22" ht="18.75" customHeight="1" x14ac:dyDescent="0.25">
      <c r="B111" s="6">
        <v>1966</v>
      </c>
      <c r="C111" t="s">
        <v>162</v>
      </c>
      <c r="D111" t="s">
        <v>139</v>
      </c>
      <c r="E111" s="7">
        <v>8</v>
      </c>
      <c r="F111" s="12">
        <v>3.1</v>
      </c>
      <c r="G111" s="2"/>
      <c r="H111" s="54"/>
      <c r="I111" s="55"/>
      <c r="J111"/>
      <c r="M111" s="3"/>
      <c r="N111"/>
      <c r="Q111" s="4"/>
      <c r="R111"/>
      <c r="S111" s="4"/>
      <c r="T111" s="3"/>
      <c r="V111"/>
    </row>
    <row r="112" spans="2:22" ht="18.75" customHeight="1" x14ac:dyDescent="0.25">
      <c r="B112" s="6">
        <v>1966</v>
      </c>
      <c r="C112" t="s">
        <v>162</v>
      </c>
      <c r="D112" t="s">
        <v>139</v>
      </c>
      <c r="E112" s="7">
        <v>9</v>
      </c>
      <c r="F112" s="12">
        <v>4.1900000000000004</v>
      </c>
      <c r="G112" s="2"/>
      <c r="H112" s="54"/>
      <c r="I112" s="55"/>
      <c r="J112"/>
      <c r="M112" s="3"/>
      <c r="N112"/>
      <c r="Q112" s="4"/>
      <c r="R112"/>
      <c r="S112" s="4"/>
      <c r="T112" s="3"/>
      <c r="V112"/>
    </row>
    <row r="113" spans="2:22" ht="18.75" customHeight="1" x14ac:dyDescent="0.25">
      <c r="B113" s="6">
        <v>1966</v>
      </c>
      <c r="C113" t="s">
        <v>162</v>
      </c>
      <c r="D113" t="s">
        <v>139</v>
      </c>
      <c r="E113" s="7">
        <v>10</v>
      </c>
      <c r="F113" s="12">
        <v>5.42</v>
      </c>
      <c r="G113" s="2"/>
      <c r="H113" s="54"/>
      <c r="I113" s="55"/>
      <c r="J113"/>
      <c r="M113" s="3"/>
      <c r="N113"/>
      <c r="Q113" s="4"/>
      <c r="R113"/>
      <c r="S113" s="4"/>
      <c r="T113" s="3"/>
      <c r="V113"/>
    </row>
    <row r="114" spans="2:22" ht="18.75" customHeight="1" x14ac:dyDescent="0.25">
      <c r="B114" s="6">
        <v>1966</v>
      </c>
      <c r="C114" t="s">
        <v>162</v>
      </c>
      <c r="D114" t="s">
        <v>139</v>
      </c>
      <c r="E114" s="7">
        <v>11</v>
      </c>
      <c r="F114" s="12">
        <v>6.82</v>
      </c>
      <c r="G114" s="2"/>
      <c r="H114" s="54"/>
      <c r="I114" s="55"/>
      <c r="J114"/>
      <c r="M114" s="3"/>
      <c r="N114"/>
      <c r="Q114" s="4"/>
      <c r="R114"/>
      <c r="S114" s="4"/>
      <c r="T114" s="3"/>
      <c r="V114"/>
    </row>
    <row r="115" spans="2:22" ht="18.75" customHeight="1" x14ac:dyDescent="0.25">
      <c r="B115" s="6">
        <v>1966</v>
      </c>
      <c r="C115" t="s">
        <v>162</v>
      </c>
      <c r="D115" t="s">
        <v>139</v>
      </c>
      <c r="E115" s="7">
        <v>12</v>
      </c>
      <c r="F115" s="12">
        <v>8.2799999999999994</v>
      </c>
      <c r="G115" s="2"/>
      <c r="H115" s="54"/>
      <c r="I115" s="55"/>
      <c r="J115"/>
      <c r="M115" s="3"/>
      <c r="N115"/>
      <c r="Q115" s="4"/>
      <c r="R115"/>
      <c r="S115" s="4"/>
      <c r="T115" s="3"/>
      <c r="V115"/>
    </row>
    <row r="116" spans="2:22" ht="18.75" customHeight="1" x14ac:dyDescent="0.25">
      <c r="B116" s="6">
        <v>1966</v>
      </c>
      <c r="C116" t="s">
        <v>162</v>
      </c>
      <c r="D116" t="s">
        <v>139</v>
      </c>
      <c r="E116" s="7">
        <v>13</v>
      </c>
      <c r="F116" s="12">
        <v>9.74</v>
      </c>
      <c r="G116" s="2"/>
      <c r="H116" s="54"/>
      <c r="I116" s="55"/>
      <c r="J116"/>
      <c r="M116" s="3"/>
      <c r="N116"/>
      <c r="Q116" s="4"/>
      <c r="R116"/>
      <c r="S116" s="4"/>
      <c r="T116" s="3"/>
      <c r="V116"/>
    </row>
    <row r="117" spans="2:22" ht="18.75" customHeight="1" x14ac:dyDescent="0.25">
      <c r="B117" s="6">
        <v>1966</v>
      </c>
      <c r="C117" t="s">
        <v>162</v>
      </c>
      <c r="D117" t="s">
        <v>139</v>
      </c>
      <c r="E117" s="7">
        <v>14</v>
      </c>
      <c r="F117" s="12">
        <v>11.09</v>
      </c>
      <c r="G117" s="2"/>
      <c r="H117" s="54"/>
      <c r="I117" s="55"/>
      <c r="J117"/>
      <c r="M117" s="3"/>
      <c r="N117"/>
      <c r="Q117" s="4"/>
      <c r="R117"/>
      <c r="S117" s="4"/>
      <c r="T117" s="3"/>
      <c r="V117"/>
    </row>
    <row r="118" spans="2:22" ht="18.75" customHeight="1" x14ac:dyDescent="0.25">
      <c r="B118" s="6">
        <v>1966</v>
      </c>
      <c r="C118" t="s">
        <v>162</v>
      </c>
      <c r="D118" t="s">
        <v>139</v>
      </c>
      <c r="E118" s="7">
        <v>15</v>
      </c>
      <c r="F118" s="12">
        <v>12.42</v>
      </c>
      <c r="G118" s="2"/>
      <c r="H118" s="54"/>
      <c r="I118" s="55"/>
      <c r="J118"/>
      <c r="M118" s="3"/>
      <c r="N118"/>
      <c r="Q118" s="4"/>
      <c r="R118"/>
      <c r="S118" s="4"/>
      <c r="T118" s="3"/>
      <c r="V118"/>
    </row>
    <row r="119" spans="2:22" ht="18.75" customHeight="1" x14ac:dyDescent="0.25">
      <c r="B119" s="6">
        <v>1966</v>
      </c>
      <c r="C119" t="s">
        <v>162</v>
      </c>
      <c r="D119" t="s">
        <v>139</v>
      </c>
      <c r="E119" s="7">
        <v>16</v>
      </c>
      <c r="F119" s="12">
        <v>13.71</v>
      </c>
      <c r="G119" s="2"/>
      <c r="H119" s="54"/>
      <c r="I119" s="55"/>
      <c r="J119"/>
      <c r="M119" s="3"/>
      <c r="N119"/>
      <c r="Q119" s="4"/>
      <c r="R119"/>
      <c r="S119" s="4"/>
      <c r="T119" s="3"/>
      <c r="V119"/>
    </row>
    <row r="120" spans="2:22" ht="18.75" customHeight="1" x14ac:dyDescent="0.25">
      <c r="B120" s="6">
        <v>1966</v>
      </c>
      <c r="C120" t="s">
        <v>162</v>
      </c>
      <c r="D120" t="s">
        <v>139</v>
      </c>
      <c r="E120" s="7">
        <v>17</v>
      </c>
      <c r="F120" s="12">
        <v>15.01</v>
      </c>
      <c r="G120" s="2"/>
      <c r="H120" s="54"/>
      <c r="I120" s="55"/>
      <c r="J120"/>
      <c r="M120" s="3"/>
      <c r="N120"/>
      <c r="Q120" s="4"/>
      <c r="R120"/>
      <c r="S120" s="4"/>
      <c r="T120" s="3"/>
      <c r="V120"/>
    </row>
    <row r="121" spans="2:22" ht="18.75" customHeight="1" x14ac:dyDescent="0.25">
      <c r="B121" s="6">
        <v>1966</v>
      </c>
      <c r="C121" t="s">
        <v>162</v>
      </c>
      <c r="D121" t="s">
        <v>139</v>
      </c>
      <c r="E121" s="7">
        <v>18</v>
      </c>
      <c r="F121" s="12">
        <v>16.350000000000001</v>
      </c>
      <c r="G121" s="2"/>
      <c r="H121" s="54"/>
      <c r="I121" s="55"/>
      <c r="J121"/>
      <c r="M121" s="3"/>
      <c r="N121"/>
      <c r="Q121" s="4"/>
      <c r="R121"/>
      <c r="S121" s="4"/>
      <c r="T121" s="3"/>
      <c r="V121"/>
    </row>
    <row r="122" spans="2:22" ht="18.75" customHeight="1" x14ac:dyDescent="0.25">
      <c r="B122" s="6">
        <v>1966</v>
      </c>
      <c r="C122" t="s">
        <v>162</v>
      </c>
      <c r="D122" t="s">
        <v>139</v>
      </c>
      <c r="E122" s="7">
        <v>19</v>
      </c>
      <c r="F122" s="12">
        <v>17.73</v>
      </c>
      <c r="G122" s="2"/>
      <c r="H122" s="54"/>
      <c r="I122" s="55"/>
      <c r="J122"/>
      <c r="M122" s="3"/>
      <c r="N122"/>
      <c r="Q122" s="4"/>
      <c r="R122"/>
      <c r="S122" s="4"/>
      <c r="T122" s="3"/>
      <c r="V122"/>
    </row>
    <row r="123" spans="2:22" ht="18.75" customHeight="1" x14ac:dyDescent="0.25">
      <c r="B123" s="6">
        <v>1966</v>
      </c>
      <c r="C123" t="s">
        <v>162</v>
      </c>
      <c r="D123" t="s">
        <v>139</v>
      </c>
      <c r="E123" s="7">
        <v>20</v>
      </c>
      <c r="F123" s="12">
        <v>19.14</v>
      </c>
      <c r="G123" s="2"/>
      <c r="H123" s="54"/>
      <c r="I123" s="55"/>
      <c r="J123"/>
      <c r="M123" s="3"/>
      <c r="N123"/>
      <c r="Q123" s="4"/>
      <c r="R123"/>
      <c r="S123" s="4"/>
      <c r="T123" s="3"/>
      <c r="V123"/>
    </row>
    <row r="124" spans="2:22" ht="18.75" customHeight="1" x14ac:dyDescent="0.25">
      <c r="B124" s="6">
        <v>1966</v>
      </c>
      <c r="C124" t="s">
        <v>162</v>
      </c>
      <c r="D124" t="s">
        <v>139</v>
      </c>
      <c r="E124" s="7">
        <v>21</v>
      </c>
      <c r="F124" s="12">
        <v>20.84</v>
      </c>
      <c r="G124" s="2"/>
      <c r="H124" s="54"/>
      <c r="I124" s="55"/>
      <c r="J124"/>
      <c r="M124" s="3"/>
      <c r="N124"/>
      <c r="Q124" s="4"/>
      <c r="R124"/>
      <c r="S124" s="4"/>
      <c r="T124" s="3"/>
      <c r="V124"/>
    </row>
    <row r="125" spans="2:22" ht="18.75" customHeight="1" x14ac:dyDescent="0.25">
      <c r="B125" s="6">
        <v>1966</v>
      </c>
      <c r="C125" t="s">
        <v>162</v>
      </c>
      <c r="D125" t="s">
        <v>139</v>
      </c>
      <c r="E125" s="7">
        <v>22</v>
      </c>
      <c r="F125" s="12">
        <v>22.72</v>
      </c>
      <c r="G125" s="2"/>
      <c r="H125" s="54"/>
      <c r="I125" s="55"/>
      <c r="J125"/>
      <c r="M125" s="3"/>
      <c r="N125"/>
      <c r="Q125" s="4"/>
      <c r="R125"/>
      <c r="S125" s="4"/>
      <c r="T125" s="3"/>
      <c r="V125"/>
    </row>
    <row r="126" spans="2:22" ht="18.75" customHeight="1" x14ac:dyDescent="0.25">
      <c r="B126" s="6">
        <v>1966</v>
      </c>
      <c r="C126" t="s">
        <v>162</v>
      </c>
      <c r="D126" t="s">
        <v>139</v>
      </c>
      <c r="E126" s="7">
        <v>23</v>
      </c>
      <c r="F126" s="12">
        <v>24.63</v>
      </c>
      <c r="G126" s="2"/>
      <c r="H126" s="54"/>
      <c r="I126" s="55"/>
      <c r="J126"/>
      <c r="M126" s="3"/>
      <c r="N126"/>
      <c r="Q126" s="4"/>
      <c r="R126"/>
      <c r="S126" s="4"/>
      <c r="T126" s="3"/>
      <c r="V126"/>
    </row>
    <row r="127" spans="2:22" ht="18.75" customHeight="1" x14ac:dyDescent="0.25">
      <c r="B127" s="6">
        <v>1966</v>
      </c>
      <c r="C127" t="s">
        <v>162</v>
      </c>
      <c r="D127" t="s">
        <v>139</v>
      </c>
      <c r="E127" s="7">
        <v>24</v>
      </c>
      <c r="F127" s="12">
        <v>26.48</v>
      </c>
      <c r="G127" s="2"/>
      <c r="H127" s="54"/>
      <c r="I127" s="55"/>
      <c r="J127"/>
      <c r="M127" s="3"/>
      <c r="N127"/>
      <c r="Q127" s="4"/>
      <c r="R127"/>
      <c r="S127" s="4"/>
      <c r="T127" s="3"/>
      <c r="V127"/>
    </row>
    <row r="128" spans="2:22" ht="18.75" customHeight="1" x14ac:dyDescent="0.25">
      <c r="B128" s="6">
        <v>1966</v>
      </c>
      <c r="C128" t="s">
        <v>162</v>
      </c>
      <c r="D128" t="s">
        <v>90</v>
      </c>
      <c r="E128" s="7">
        <v>1</v>
      </c>
      <c r="F128" s="12">
        <v>4.0000000000000001E-3</v>
      </c>
      <c r="G128" s="2"/>
      <c r="H128" s="54"/>
      <c r="I128" s="55"/>
      <c r="J128"/>
      <c r="M128" s="3"/>
      <c r="N128"/>
      <c r="Q128" s="4"/>
      <c r="R128"/>
      <c r="S128" s="4"/>
      <c r="T128" s="3"/>
      <c r="V128"/>
    </row>
    <row r="129" spans="2:22" ht="18.75" customHeight="1" x14ac:dyDescent="0.25">
      <c r="B129" s="6">
        <v>1966</v>
      </c>
      <c r="C129" t="s">
        <v>162</v>
      </c>
      <c r="D129" t="s">
        <v>90</v>
      </c>
      <c r="E129" s="7">
        <v>2</v>
      </c>
      <c r="F129" s="12">
        <v>6.5000000000000002E-2</v>
      </c>
      <c r="G129" s="2"/>
      <c r="H129" s="54"/>
      <c r="I129" s="55"/>
      <c r="J129"/>
      <c r="M129" s="3"/>
      <c r="N129"/>
      <c r="Q129" s="4"/>
      <c r="R129"/>
      <c r="S129" s="4"/>
      <c r="T129" s="3"/>
      <c r="V129"/>
    </row>
    <row r="130" spans="2:22" ht="18.75" customHeight="1" x14ac:dyDescent="0.25">
      <c r="B130" s="6">
        <v>1966</v>
      </c>
      <c r="C130" t="s">
        <v>162</v>
      </c>
      <c r="D130" t="s">
        <v>90</v>
      </c>
      <c r="E130" s="7">
        <v>3</v>
      </c>
      <c r="F130" s="12">
        <v>0.23799999999999999</v>
      </c>
      <c r="G130" s="2"/>
      <c r="H130" s="54"/>
      <c r="I130" s="55"/>
      <c r="J130"/>
      <c r="M130" s="3"/>
      <c r="N130"/>
      <c r="Q130" s="4"/>
      <c r="R130"/>
      <c r="S130" s="4"/>
      <c r="T130" s="3"/>
      <c r="V130"/>
    </row>
    <row r="131" spans="2:22" ht="18.75" customHeight="1" x14ac:dyDescent="0.25">
      <c r="B131" s="6">
        <v>1966</v>
      </c>
      <c r="C131" t="s">
        <v>162</v>
      </c>
      <c r="D131" t="s">
        <v>90</v>
      </c>
      <c r="E131" s="7">
        <v>4</v>
      </c>
      <c r="F131" s="12">
        <v>0.63200000000000001</v>
      </c>
      <c r="G131" s="2"/>
      <c r="H131" s="54"/>
      <c r="I131" s="55"/>
      <c r="J131"/>
      <c r="M131" s="3"/>
      <c r="N131"/>
      <c r="Q131" s="4"/>
      <c r="R131"/>
      <c r="S131" s="4"/>
      <c r="T131" s="3"/>
      <c r="V131"/>
    </row>
    <row r="132" spans="2:22" ht="18.75" customHeight="1" x14ac:dyDescent="0.25">
      <c r="B132" s="6">
        <v>1966</v>
      </c>
      <c r="C132" t="s">
        <v>162</v>
      </c>
      <c r="D132" t="s">
        <v>90</v>
      </c>
      <c r="E132" s="7">
        <v>5</v>
      </c>
      <c r="F132" s="12">
        <v>1.35</v>
      </c>
      <c r="G132" s="2"/>
      <c r="H132" s="54"/>
      <c r="I132" s="55"/>
      <c r="J132"/>
      <c r="M132" s="3"/>
      <c r="N132"/>
      <c r="Q132" s="4"/>
      <c r="R132"/>
      <c r="S132" s="4"/>
      <c r="T132" s="3"/>
      <c r="V132"/>
    </row>
    <row r="133" spans="2:22" ht="18.75" customHeight="1" x14ac:dyDescent="0.25">
      <c r="B133" s="6">
        <v>1966</v>
      </c>
      <c r="C133" t="s">
        <v>162</v>
      </c>
      <c r="D133" t="s">
        <v>90</v>
      </c>
      <c r="E133" s="7">
        <v>6</v>
      </c>
      <c r="F133" s="12">
        <v>2.3199999999999998</v>
      </c>
      <c r="G133" s="2"/>
      <c r="H133" s="54"/>
      <c r="I133" s="55"/>
      <c r="J133"/>
      <c r="M133" s="3"/>
      <c r="N133"/>
      <c r="Q133" s="4"/>
      <c r="R133"/>
      <c r="S133" s="4"/>
      <c r="T133" s="3"/>
      <c r="V133"/>
    </row>
    <row r="134" spans="2:22" ht="18.75" customHeight="1" x14ac:dyDescent="0.25">
      <c r="B134" s="6">
        <v>1966</v>
      </c>
      <c r="C134" t="s">
        <v>162</v>
      </c>
      <c r="D134" t="s">
        <v>90</v>
      </c>
      <c r="E134" s="7">
        <v>7</v>
      </c>
      <c r="F134" s="12">
        <v>3.54</v>
      </c>
      <c r="G134" s="2"/>
      <c r="H134" s="54"/>
      <c r="I134" s="55"/>
      <c r="J134"/>
      <c r="M134" s="3"/>
      <c r="N134"/>
      <c r="Q134" s="4"/>
      <c r="R134"/>
      <c r="S134" s="4"/>
      <c r="T134" s="3"/>
      <c r="V134"/>
    </row>
    <row r="135" spans="2:22" ht="18.75" customHeight="1" x14ac:dyDescent="0.25">
      <c r="B135" s="6">
        <v>1966</v>
      </c>
      <c r="C135" t="s">
        <v>162</v>
      </c>
      <c r="D135" t="s">
        <v>90</v>
      </c>
      <c r="E135" s="7">
        <v>8</v>
      </c>
      <c r="F135" s="12">
        <v>4.9400000000000004</v>
      </c>
      <c r="G135" s="2"/>
      <c r="H135" s="54"/>
      <c r="I135" s="55"/>
      <c r="J135"/>
      <c r="M135" s="3"/>
      <c r="N135"/>
      <c r="Q135" s="4"/>
      <c r="R135"/>
      <c r="S135" s="4"/>
      <c r="T135" s="3"/>
      <c r="V135"/>
    </row>
    <row r="136" spans="2:22" ht="18.75" customHeight="1" x14ac:dyDescent="0.25">
      <c r="B136" s="6">
        <v>1966</v>
      </c>
      <c r="C136" t="s">
        <v>162</v>
      </c>
      <c r="D136" t="s">
        <v>90</v>
      </c>
      <c r="E136" s="7">
        <v>9</v>
      </c>
      <c r="F136" s="12">
        <v>6.4</v>
      </c>
      <c r="G136" s="2"/>
      <c r="H136" s="54"/>
      <c r="I136" s="55"/>
      <c r="J136"/>
      <c r="M136" s="3"/>
      <c r="N136"/>
      <c r="Q136" s="4"/>
      <c r="R136"/>
      <c r="S136" s="4"/>
      <c r="T136" s="3"/>
      <c r="V136"/>
    </row>
    <row r="137" spans="2:22" ht="18.75" customHeight="1" x14ac:dyDescent="0.25">
      <c r="B137" s="6">
        <v>1966</v>
      </c>
      <c r="C137" t="s">
        <v>162</v>
      </c>
      <c r="D137" t="s">
        <v>90</v>
      </c>
      <c r="E137" s="7">
        <v>10</v>
      </c>
      <c r="F137" s="12">
        <v>7.84</v>
      </c>
      <c r="G137" s="2"/>
      <c r="H137" s="54"/>
      <c r="I137" s="55"/>
      <c r="J137"/>
      <c r="M137" s="3"/>
      <c r="N137"/>
      <c r="Q137" s="4"/>
      <c r="R137"/>
      <c r="S137" s="4"/>
      <c r="T137" s="3"/>
      <c r="V137"/>
    </row>
    <row r="138" spans="2:22" ht="18.75" customHeight="1" x14ac:dyDescent="0.25">
      <c r="B138" s="6">
        <v>1966</v>
      </c>
      <c r="C138" t="s">
        <v>162</v>
      </c>
      <c r="D138" t="s">
        <v>90</v>
      </c>
      <c r="E138" s="7">
        <v>11</v>
      </c>
      <c r="F138" s="12">
        <v>9.2799999999999994</v>
      </c>
      <c r="G138" s="2"/>
      <c r="H138" s="54"/>
      <c r="I138" s="55"/>
      <c r="J138"/>
      <c r="M138" s="3"/>
      <c r="N138"/>
      <c r="Q138" s="4"/>
      <c r="R138"/>
      <c r="S138" s="4"/>
      <c r="T138" s="3"/>
      <c r="V138"/>
    </row>
    <row r="139" spans="2:22" ht="18.75" customHeight="1" x14ac:dyDescent="0.25">
      <c r="B139" s="6">
        <v>1966</v>
      </c>
      <c r="C139" t="s">
        <v>162</v>
      </c>
      <c r="D139" t="s">
        <v>90</v>
      </c>
      <c r="E139" s="7">
        <v>12</v>
      </c>
      <c r="F139" s="12">
        <v>10.62</v>
      </c>
      <c r="G139" s="2"/>
      <c r="H139" s="54"/>
      <c r="I139" s="55"/>
      <c r="J139"/>
      <c r="M139" s="3"/>
      <c r="N139"/>
      <c r="Q139" s="4"/>
      <c r="R139"/>
      <c r="S139" s="4"/>
      <c r="T139" s="3"/>
      <c r="V139"/>
    </row>
    <row r="140" spans="2:22" ht="18.75" customHeight="1" x14ac:dyDescent="0.25">
      <c r="B140" s="6">
        <v>1966</v>
      </c>
      <c r="C140" t="s">
        <v>162</v>
      </c>
      <c r="D140" t="s">
        <v>90</v>
      </c>
      <c r="E140" s="7">
        <v>13</v>
      </c>
      <c r="F140" s="12">
        <v>11.83</v>
      </c>
      <c r="G140" s="2"/>
      <c r="H140" s="54"/>
      <c r="I140" s="55"/>
      <c r="J140"/>
      <c r="M140" s="3"/>
      <c r="N140"/>
      <c r="Q140" s="4"/>
      <c r="R140"/>
      <c r="S140" s="4"/>
      <c r="T140" s="3"/>
      <c r="V140"/>
    </row>
    <row r="141" spans="2:22" ht="18.75" customHeight="1" x14ac:dyDescent="0.25">
      <c r="B141" s="6">
        <v>1966</v>
      </c>
      <c r="C141" t="s">
        <v>162</v>
      </c>
      <c r="D141" t="s">
        <v>90</v>
      </c>
      <c r="E141" s="7">
        <v>14</v>
      </c>
      <c r="F141" s="12">
        <v>12.98</v>
      </c>
      <c r="G141" s="2"/>
      <c r="H141" s="54"/>
      <c r="I141" s="55"/>
      <c r="J141"/>
      <c r="M141" s="3"/>
      <c r="N141"/>
      <c r="Q141" s="4"/>
      <c r="R141"/>
      <c r="S141" s="4"/>
      <c r="T141" s="3"/>
      <c r="V141"/>
    </row>
    <row r="142" spans="2:22" ht="18.75" customHeight="1" x14ac:dyDescent="0.25">
      <c r="B142" s="6">
        <v>1966</v>
      </c>
      <c r="C142" t="s">
        <v>162</v>
      </c>
      <c r="D142" t="s">
        <v>90</v>
      </c>
      <c r="E142" s="7">
        <v>15</v>
      </c>
      <c r="F142" s="12">
        <v>14.01</v>
      </c>
      <c r="G142" s="2"/>
      <c r="H142" s="54"/>
      <c r="I142" s="55"/>
      <c r="J142"/>
      <c r="M142" s="3"/>
      <c r="N142"/>
      <c r="Q142" s="4"/>
      <c r="R142"/>
      <c r="S142" s="4"/>
      <c r="T142" s="3"/>
      <c r="V142"/>
    </row>
    <row r="143" spans="2:22" ht="18.75" customHeight="1" x14ac:dyDescent="0.25">
      <c r="B143" s="6">
        <v>1966</v>
      </c>
      <c r="C143" t="s">
        <v>162</v>
      </c>
      <c r="D143" t="s">
        <v>90</v>
      </c>
      <c r="E143" s="7">
        <v>16</v>
      </c>
      <c r="F143" s="12">
        <v>14.9</v>
      </c>
      <c r="G143" s="2"/>
      <c r="H143" s="54"/>
      <c r="I143" s="55"/>
      <c r="J143"/>
      <c r="M143" s="3"/>
      <c r="N143"/>
      <c r="Q143" s="4"/>
      <c r="R143"/>
      <c r="S143" s="4"/>
      <c r="T143" s="3"/>
      <c r="V143"/>
    </row>
    <row r="144" spans="2:22" ht="18.75" customHeight="1" x14ac:dyDescent="0.25">
      <c r="B144" s="6">
        <v>1966</v>
      </c>
      <c r="C144" t="s">
        <v>162</v>
      </c>
      <c r="D144" t="s">
        <v>90</v>
      </c>
      <c r="E144" s="7">
        <v>17</v>
      </c>
      <c r="F144" s="12">
        <v>15.66</v>
      </c>
      <c r="G144" s="2"/>
      <c r="H144" s="54"/>
      <c r="I144" s="55"/>
      <c r="J144"/>
      <c r="M144" s="3"/>
      <c r="N144"/>
      <c r="Q144" s="4"/>
      <c r="R144"/>
      <c r="S144" s="4"/>
      <c r="T144" s="3"/>
      <c r="V144"/>
    </row>
    <row r="145" spans="2:22" ht="18.75" customHeight="1" x14ac:dyDescent="0.25">
      <c r="B145" s="6">
        <v>1966</v>
      </c>
      <c r="C145" t="s">
        <v>162</v>
      </c>
      <c r="D145" t="s">
        <v>90</v>
      </c>
      <c r="E145" s="7">
        <v>18</v>
      </c>
      <c r="F145" s="12">
        <v>16.36</v>
      </c>
      <c r="G145" s="2"/>
      <c r="H145" s="54"/>
      <c r="I145" s="55"/>
      <c r="J145"/>
      <c r="M145" s="3"/>
      <c r="N145"/>
      <c r="Q145" s="4"/>
      <c r="R145"/>
      <c r="S145" s="4"/>
      <c r="T145" s="3"/>
      <c r="V145"/>
    </row>
    <row r="146" spans="2:22" ht="18.75" customHeight="1" x14ac:dyDescent="0.25">
      <c r="B146" s="6">
        <v>1966</v>
      </c>
      <c r="C146" t="s">
        <v>162</v>
      </c>
      <c r="D146" t="s">
        <v>90</v>
      </c>
      <c r="E146" s="7">
        <v>19</v>
      </c>
      <c r="F146" s="40">
        <v>17.03</v>
      </c>
      <c r="G146" s="2"/>
      <c r="H146" s="54"/>
      <c r="I146" s="55"/>
      <c r="J146"/>
      <c r="M146" s="3"/>
      <c r="N146"/>
      <c r="Q146" s="4"/>
      <c r="R146"/>
      <c r="S146" s="4"/>
      <c r="T146" s="3"/>
      <c r="V146"/>
    </row>
    <row r="147" spans="2:22" ht="18.75" customHeight="1" x14ac:dyDescent="0.25">
      <c r="B147" s="6">
        <v>1966</v>
      </c>
      <c r="C147" t="s">
        <v>162</v>
      </c>
      <c r="D147" t="s">
        <v>90</v>
      </c>
      <c r="E147" s="7">
        <v>20</v>
      </c>
      <c r="F147" s="12">
        <v>17.68</v>
      </c>
      <c r="G147" s="2"/>
      <c r="H147" s="54"/>
      <c r="I147" s="55"/>
      <c r="J147"/>
      <c r="M147" s="3"/>
      <c r="N147"/>
      <c r="Q147" s="4"/>
      <c r="R147"/>
      <c r="S147" s="4"/>
      <c r="T147" s="3"/>
      <c r="V147"/>
    </row>
    <row r="148" spans="2:22" ht="18.75" customHeight="1" x14ac:dyDescent="0.25">
      <c r="B148" s="6">
        <v>1966</v>
      </c>
      <c r="C148" t="s">
        <v>162</v>
      </c>
      <c r="D148" t="s">
        <v>90</v>
      </c>
      <c r="E148" s="7">
        <v>21</v>
      </c>
      <c r="F148" s="12">
        <v>18.3</v>
      </c>
      <c r="G148" s="2"/>
      <c r="H148" s="54"/>
      <c r="I148" s="55"/>
      <c r="J148"/>
      <c r="M148" s="3"/>
      <c r="N148"/>
      <c r="Q148" s="4"/>
      <c r="R148"/>
      <c r="S148" s="4"/>
      <c r="T148" s="3"/>
      <c r="V148"/>
    </row>
    <row r="149" spans="2:22" ht="18.75" customHeight="1" x14ac:dyDescent="0.25">
      <c r="B149" s="6">
        <v>1966</v>
      </c>
      <c r="C149" t="s">
        <v>162</v>
      </c>
      <c r="D149" t="s">
        <v>90</v>
      </c>
      <c r="E149" s="7">
        <v>22</v>
      </c>
      <c r="F149" s="12">
        <v>18.850000000000001</v>
      </c>
      <c r="G149" s="2"/>
      <c r="H149" s="54"/>
      <c r="I149" s="55"/>
      <c r="J149"/>
      <c r="M149" s="3"/>
      <c r="N149"/>
      <c r="Q149" s="4"/>
      <c r="R149"/>
      <c r="S149" s="4"/>
      <c r="T149" s="3"/>
      <c r="V149"/>
    </row>
    <row r="150" spans="2:22" ht="18.75" customHeight="1" x14ac:dyDescent="0.25">
      <c r="B150" s="6">
        <v>1966</v>
      </c>
      <c r="C150" t="s">
        <v>162</v>
      </c>
      <c r="D150" t="s">
        <v>90</v>
      </c>
      <c r="E150" s="7">
        <v>23</v>
      </c>
      <c r="F150" s="12">
        <v>19.28</v>
      </c>
      <c r="G150" s="2"/>
      <c r="H150" s="54"/>
      <c r="I150" s="55"/>
      <c r="J150"/>
      <c r="M150" s="3"/>
      <c r="N150"/>
      <c r="Q150" s="4"/>
      <c r="R150"/>
      <c r="S150" s="4"/>
      <c r="T150" s="3"/>
      <c r="V150"/>
    </row>
    <row r="151" spans="2:22" ht="18.75" customHeight="1" x14ac:dyDescent="0.25">
      <c r="B151" s="6">
        <v>1966</v>
      </c>
      <c r="C151" t="s">
        <v>162</v>
      </c>
      <c r="D151" t="s">
        <v>90</v>
      </c>
      <c r="E151" s="7">
        <v>24</v>
      </c>
      <c r="F151" s="12">
        <v>19.670000000000002</v>
      </c>
      <c r="G151" s="2"/>
      <c r="H151" s="54"/>
      <c r="I151" s="55"/>
      <c r="J151"/>
      <c r="M151" s="3"/>
      <c r="N151"/>
      <c r="Q151" s="4"/>
      <c r="R151"/>
      <c r="S151" s="4"/>
      <c r="T151" s="3"/>
      <c r="V151"/>
    </row>
    <row r="152" spans="2:22" ht="18.75" customHeight="1" x14ac:dyDescent="0.25">
      <c r="B152" s="25">
        <v>1969</v>
      </c>
      <c r="C152" t="s">
        <v>127</v>
      </c>
      <c r="D152" t="s">
        <v>88</v>
      </c>
      <c r="E152" s="7">
        <v>4.6496000000000004</v>
      </c>
      <c r="F152" s="12"/>
      <c r="G152" s="42"/>
      <c r="H152" s="54">
        <v>688.7</v>
      </c>
      <c r="I152" s="55"/>
      <c r="J152"/>
      <c r="M152" s="3"/>
      <c r="N152"/>
      <c r="Q152" s="4"/>
      <c r="R152"/>
      <c r="S152" s="4"/>
      <c r="T152" s="3"/>
      <c r="V152"/>
    </row>
    <row r="153" spans="2:22" ht="18.75" customHeight="1" x14ac:dyDescent="0.25">
      <c r="B153" s="25">
        <v>1969</v>
      </c>
      <c r="C153" t="s">
        <v>127</v>
      </c>
      <c r="D153" t="s">
        <v>88</v>
      </c>
      <c r="E153" s="7">
        <v>5.1109999999999998</v>
      </c>
      <c r="F153" s="12"/>
      <c r="G153" s="42"/>
      <c r="H153" s="54">
        <v>942.5</v>
      </c>
      <c r="I153" s="55"/>
      <c r="J153"/>
      <c r="M153" s="3"/>
      <c r="N153"/>
      <c r="Q153" s="4"/>
      <c r="R153"/>
      <c r="S153" s="4"/>
      <c r="T153" s="3"/>
      <c r="V153"/>
    </row>
    <row r="154" spans="2:22" ht="18.75" customHeight="1" x14ac:dyDescent="0.25">
      <c r="B154" s="25">
        <v>1969</v>
      </c>
      <c r="C154" t="s">
        <v>127</v>
      </c>
      <c r="D154" t="s">
        <v>88</v>
      </c>
      <c r="E154" s="7">
        <v>5.5990000000000002</v>
      </c>
      <c r="F154" s="12"/>
      <c r="G154" s="42"/>
      <c r="H154" s="54">
        <v>1263</v>
      </c>
      <c r="I154" s="55"/>
      <c r="J154"/>
      <c r="M154" s="3"/>
      <c r="N154"/>
      <c r="Q154" s="4"/>
      <c r="R154"/>
      <c r="S154" s="4"/>
      <c r="T154" s="3"/>
      <c r="V154"/>
    </row>
    <row r="155" spans="2:22" ht="18.75" customHeight="1" x14ac:dyDescent="0.25">
      <c r="B155" s="25">
        <v>1969</v>
      </c>
      <c r="C155" t="s">
        <v>127</v>
      </c>
      <c r="D155" t="s">
        <v>88</v>
      </c>
      <c r="E155" s="7">
        <v>5.9839000000000002</v>
      </c>
      <c r="F155" s="12"/>
      <c r="G155" s="42"/>
      <c r="H155" s="54">
        <v>1552</v>
      </c>
      <c r="I155" s="55"/>
      <c r="J155"/>
      <c r="M155" s="3"/>
      <c r="N155"/>
      <c r="Q155" s="4"/>
      <c r="R155"/>
      <c r="S155" s="4"/>
      <c r="T155" s="3"/>
      <c r="V155"/>
    </row>
    <row r="156" spans="2:22" ht="18.75" customHeight="1" x14ac:dyDescent="0.25">
      <c r="B156" s="25">
        <v>1969</v>
      </c>
      <c r="C156" t="s">
        <v>127</v>
      </c>
      <c r="D156" t="s">
        <v>88</v>
      </c>
      <c r="E156" s="7">
        <v>6.2565999999999997</v>
      </c>
      <c r="F156" s="12"/>
      <c r="G156" s="42"/>
      <c r="H156" s="54">
        <v>1775</v>
      </c>
      <c r="I156" s="55"/>
      <c r="J156"/>
      <c r="M156" s="3"/>
      <c r="N156"/>
      <c r="Q156" s="4"/>
      <c r="R156"/>
      <c r="S156" s="4"/>
      <c r="T156" s="3"/>
      <c r="V156"/>
    </row>
    <row r="157" spans="2:22" ht="18.75" customHeight="1" x14ac:dyDescent="0.25">
      <c r="B157" s="25">
        <v>1969</v>
      </c>
      <c r="C157" t="s">
        <v>127</v>
      </c>
      <c r="D157" t="s">
        <v>88</v>
      </c>
      <c r="E157" s="7">
        <v>6.5435999999999996</v>
      </c>
      <c r="F157" s="12"/>
      <c r="G157" s="42"/>
      <c r="H157" s="54">
        <v>2017</v>
      </c>
      <c r="I157" s="55"/>
      <c r="J157"/>
      <c r="M157" s="3"/>
      <c r="N157"/>
      <c r="Q157" s="4"/>
      <c r="R157"/>
      <c r="S157" s="4"/>
      <c r="T157" s="3"/>
      <c r="V157"/>
    </row>
    <row r="158" spans="2:22" ht="18.75" customHeight="1" x14ac:dyDescent="0.25">
      <c r="B158" s="25">
        <v>1969</v>
      </c>
      <c r="C158" t="s">
        <v>127</v>
      </c>
      <c r="D158" t="s">
        <v>88</v>
      </c>
      <c r="E158" s="7">
        <v>6.8929999999999998</v>
      </c>
      <c r="F158" s="12"/>
      <c r="G158" s="42"/>
      <c r="H158" s="54">
        <v>2361</v>
      </c>
      <c r="I158" s="55"/>
      <c r="J158"/>
      <c r="M158" s="3"/>
      <c r="N158"/>
      <c r="Q158" s="4"/>
      <c r="R158"/>
      <c r="S158" s="4"/>
      <c r="T158" s="3"/>
      <c r="V158"/>
    </row>
    <row r="159" spans="2:22" ht="18.75" customHeight="1" x14ac:dyDescent="0.25">
      <c r="B159" s="25">
        <v>1969</v>
      </c>
      <c r="C159" t="s">
        <v>127</v>
      </c>
      <c r="D159" t="s">
        <v>88</v>
      </c>
      <c r="E159" s="7">
        <v>7.2668999999999997</v>
      </c>
      <c r="F159" s="12"/>
      <c r="G159" s="42"/>
      <c r="H159" s="54">
        <v>2726</v>
      </c>
      <c r="I159" s="55"/>
      <c r="J159"/>
      <c r="M159" s="3"/>
      <c r="N159"/>
      <c r="Q159" s="4"/>
      <c r="R159"/>
      <c r="S159" s="4"/>
      <c r="T159" s="3"/>
      <c r="V159"/>
    </row>
    <row r="160" spans="2:22" ht="18.75" customHeight="1" x14ac:dyDescent="0.25">
      <c r="B160" s="25">
        <v>1969</v>
      </c>
      <c r="C160" t="s">
        <v>127</v>
      </c>
      <c r="D160" t="s">
        <v>88</v>
      </c>
      <c r="E160" s="7">
        <v>7.6585999999999999</v>
      </c>
      <c r="F160" s="12"/>
      <c r="G160" s="42"/>
      <c r="H160" s="54">
        <v>3143</v>
      </c>
      <c r="I160" s="55"/>
      <c r="J160"/>
      <c r="M160" s="3"/>
      <c r="N160"/>
      <c r="Q160" s="4"/>
      <c r="R160"/>
      <c r="S160" s="4"/>
      <c r="T160" s="3"/>
      <c r="V160"/>
    </row>
    <row r="161" spans="2:22" ht="18.75" customHeight="1" x14ac:dyDescent="0.25">
      <c r="B161" s="25">
        <v>1969</v>
      </c>
      <c r="C161" t="s">
        <v>127</v>
      </c>
      <c r="D161" t="s">
        <v>88</v>
      </c>
      <c r="E161" s="7">
        <v>8.1046999999999993</v>
      </c>
      <c r="F161" s="12"/>
      <c r="G161" s="42"/>
      <c r="H161" s="54">
        <v>3648</v>
      </c>
      <c r="I161" s="55"/>
      <c r="J161"/>
      <c r="M161" s="3"/>
      <c r="N161"/>
      <c r="Q161" s="4"/>
      <c r="R161"/>
      <c r="S161" s="4"/>
      <c r="T161" s="3"/>
      <c r="V161"/>
    </row>
    <row r="162" spans="2:22" ht="18.75" customHeight="1" x14ac:dyDescent="0.25">
      <c r="B162" s="25">
        <v>1969</v>
      </c>
      <c r="C162" t="s">
        <v>127</v>
      </c>
      <c r="D162" t="s">
        <v>88</v>
      </c>
      <c r="E162" s="7">
        <v>8.6887000000000008</v>
      </c>
      <c r="F162" s="12"/>
      <c r="G162" s="42"/>
      <c r="H162" s="54">
        <v>4334</v>
      </c>
      <c r="I162" s="55"/>
      <c r="J162"/>
      <c r="M162" s="3"/>
      <c r="N162"/>
      <c r="Q162" s="4"/>
      <c r="R162"/>
      <c r="S162" s="4"/>
      <c r="T162" s="3"/>
      <c r="V162"/>
    </row>
    <row r="163" spans="2:22" ht="18.75" customHeight="1" x14ac:dyDescent="0.25">
      <c r="B163" s="25">
        <v>1969</v>
      </c>
      <c r="C163" t="s">
        <v>127</v>
      </c>
      <c r="D163" t="s">
        <v>88</v>
      </c>
      <c r="E163" s="7">
        <v>9.3576999999999995</v>
      </c>
      <c r="F163" s="12"/>
      <c r="G163" s="42"/>
      <c r="H163" s="54">
        <v>5105</v>
      </c>
      <c r="I163" s="55"/>
      <c r="J163"/>
      <c r="M163" s="3"/>
      <c r="N163"/>
      <c r="Q163" s="4"/>
      <c r="R163"/>
      <c r="S163" s="4"/>
      <c r="T163" s="3"/>
      <c r="V163"/>
    </row>
    <row r="164" spans="2:22" ht="18.75" customHeight="1" x14ac:dyDescent="0.25">
      <c r="B164" s="25">
        <v>1969</v>
      </c>
      <c r="C164" t="s">
        <v>127</v>
      </c>
      <c r="D164" t="s">
        <v>88</v>
      </c>
      <c r="E164" s="7">
        <v>10.143700000000001</v>
      </c>
      <c r="F164" s="12"/>
      <c r="G164" s="42"/>
      <c r="H164" s="54">
        <v>6088</v>
      </c>
      <c r="I164" s="55"/>
      <c r="J164"/>
      <c r="M164" s="3"/>
      <c r="N164"/>
      <c r="Q164" s="4"/>
      <c r="R164"/>
      <c r="S164" s="4"/>
      <c r="T164" s="3"/>
      <c r="V164"/>
    </row>
    <row r="165" spans="2:22" ht="18.75" customHeight="1" x14ac:dyDescent="0.25">
      <c r="B165" s="25">
        <v>1969</v>
      </c>
      <c r="C165" t="s">
        <v>127</v>
      </c>
      <c r="D165" t="s">
        <v>88</v>
      </c>
      <c r="E165" s="7">
        <v>12.279</v>
      </c>
      <c r="F165" s="12"/>
      <c r="G165" s="42"/>
      <c r="H165" s="54">
        <v>8738</v>
      </c>
      <c r="I165" s="55"/>
      <c r="J165"/>
      <c r="M165" s="3"/>
      <c r="N165"/>
      <c r="Q165" s="4"/>
      <c r="R165"/>
      <c r="S165" s="4"/>
      <c r="T165" s="3"/>
      <c r="V165"/>
    </row>
    <row r="166" spans="2:22" ht="18.75" customHeight="1" x14ac:dyDescent="0.25">
      <c r="B166" s="25">
        <v>1969</v>
      </c>
      <c r="C166" t="s">
        <v>127</v>
      </c>
      <c r="D166" t="s">
        <v>88</v>
      </c>
      <c r="E166" s="7">
        <v>11.085100000000001</v>
      </c>
      <c r="F166" s="12"/>
      <c r="G166" s="42"/>
      <c r="H166" s="54">
        <v>7270</v>
      </c>
      <c r="I166" s="55"/>
      <c r="J166"/>
      <c r="M166" s="3"/>
      <c r="N166"/>
      <c r="Q166" s="4"/>
      <c r="R166"/>
      <c r="S166" s="4"/>
      <c r="T166" s="3"/>
      <c r="V166"/>
    </row>
    <row r="167" spans="2:22" ht="18.75" customHeight="1" x14ac:dyDescent="0.25">
      <c r="B167" s="25">
        <v>1969</v>
      </c>
      <c r="C167" t="s">
        <v>127</v>
      </c>
      <c r="D167" t="s">
        <v>88</v>
      </c>
      <c r="E167" s="7">
        <v>1.2403999999999999</v>
      </c>
      <c r="F167" s="12"/>
      <c r="G167" s="42"/>
      <c r="H167" s="54">
        <v>10.11</v>
      </c>
      <c r="I167" s="55"/>
      <c r="J167"/>
      <c r="M167" s="3"/>
      <c r="N167"/>
      <c r="Q167" s="4"/>
      <c r="R167"/>
      <c r="S167" s="4"/>
      <c r="T167" s="3"/>
      <c r="V167"/>
    </row>
    <row r="168" spans="2:22" ht="18.75" customHeight="1" x14ac:dyDescent="0.25">
      <c r="B168" s="25">
        <v>1969</v>
      </c>
      <c r="C168" t="s">
        <v>127</v>
      </c>
      <c r="D168" t="s">
        <v>88</v>
      </c>
      <c r="E168" s="7">
        <v>1.3379000000000001</v>
      </c>
      <c r="F168" s="12"/>
      <c r="G168" s="42"/>
      <c r="H168" s="54">
        <v>12.67</v>
      </c>
      <c r="I168" s="55"/>
      <c r="J168"/>
      <c r="M168" s="3"/>
      <c r="N168"/>
      <c r="Q168" s="4"/>
      <c r="R168"/>
      <c r="S168" s="4"/>
      <c r="T168" s="3"/>
      <c r="V168"/>
    </row>
    <row r="169" spans="2:22" ht="18.75" customHeight="1" x14ac:dyDescent="0.25">
      <c r="B169" s="25">
        <v>1969</v>
      </c>
      <c r="C169" t="s">
        <v>127</v>
      </c>
      <c r="D169" t="s">
        <v>88</v>
      </c>
      <c r="E169" s="7">
        <v>1.4466000000000001</v>
      </c>
      <c r="F169" s="12"/>
      <c r="G169" s="42"/>
      <c r="H169" s="54">
        <v>16.14</v>
      </c>
      <c r="I169" s="55"/>
      <c r="J169"/>
      <c r="M169" s="3"/>
      <c r="N169"/>
      <c r="Q169" s="4"/>
      <c r="R169"/>
      <c r="S169" s="4"/>
      <c r="T169" s="3"/>
      <c r="V169"/>
    </row>
    <row r="170" spans="2:22" ht="18.75" customHeight="1" x14ac:dyDescent="0.25">
      <c r="B170" s="25">
        <v>1969</v>
      </c>
      <c r="C170" t="s">
        <v>127</v>
      </c>
      <c r="D170" t="s">
        <v>88</v>
      </c>
      <c r="E170" s="7">
        <v>1.5449999999999999</v>
      </c>
      <c r="F170" s="12"/>
      <c r="G170" s="42"/>
      <c r="H170" s="54">
        <v>19.690000000000001</v>
      </c>
      <c r="I170" s="55"/>
      <c r="J170"/>
      <c r="M170" s="3"/>
      <c r="N170"/>
      <c r="Q170" s="4"/>
      <c r="R170"/>
      <c r="S170" s="4"/>
      <c r="T170" s="3"/>
      <c r="V170"/>
    </row>
    <row r="171" spans="2:22" ht="18.75" customHeight="1" x14ac:dyDescent="0.25">
      <c r="B171" s="25">
        <v>1969</v>
      </c>
      <c r="C171" t="s">
        <v>127</v>
      </c>
      <c r="D171" t="s">
        <v>88</v>
      </c>
      <c r="E171" s="7">
        <v>1.6552</v>
      </c>
      <c r="F171" s="12"/>
      <c r="G171" s="42"/>
      <c r="H171" s="54">
        <v>24.39</v>
      </c>
      <c r="I171" s="55"/>
      <c r="J171"/>
      <c r="M171" s="3"/>
      <c r="N171"/>
      <c r="Q171" s="4"/>
      <c r="R171"/>
      <c r="S171" s="4"/>
      <c r="T171" s="3"/>
      <c r="V171"/>
    </row>
    <row r="172" spans="2:22" ht="18.75" customHeight="1" x14ac:dyDescent="0.25">
      <c r="B172" s="25">
        <v>1969</v>
      </c>
      <c r="C172" t="s">
        <v>127</v>
      </c>
      <c r="D172" t="s">
        <v>88</v>
      </c>
      <c r="E172" s="7">
        <v>1.7767999999999999</v>
      </c>
      <c r="F172" s="12"/>
      <c r="G172" s="42"/>
      <c r="H172" s="54">
        <v>30.39</v>
      </c>
      <c r="I172" s="55"/>
      <c r="J172"/>
      <c r="M172" s="3"/>
      <c r="N172"/>
      <c r="Q172" s="4"/>
      <c r="R172"/>
      <c r="S172" s="4"/>
      <c r="T172" s="3"/>
      <c r="V172"/>
    </row>
    <row r="173" spans="2:22" ht="18.75" customHeight="1" x14ac:dyDescent="0.25">
      <c r="B173" s="25">
        <v>1969</v>
      </c>
      <c r="C173" t="s">
        <v>127</v>
      </c>
      <c r="D173" t="s">
        <v>88</v>
      </c>
      <c r="E173" s="7">
        <v>1.8960999999999999</v>
      </c>
      <c r="F173" s="12"/>
      <c r="G173" s="42"/>
      <c r="H173" s="54">
        <v>36.79</v>
      </c>
      <c r="I173" s="55"/>
      <c r="J173"/>
      <c r="M173" s="3"/>
      <c r="N173"/>
      <c r="Q173" s="4"/>
      <c r="R173"/>
      <c r="S173" s="4"/>
      <c r="T173" s="3"/>
      <c r="V173"/>
    </row>
    <row r="174" spans="2:22" ht="18.75" customHeight="1" x14ac:dyDescent="0.25">
      <c r="B174" s="25">
        <v>1969</v>
      </c>
      <c r="C174" t="s">
        <v>127</v>
      </c>
      <c r="D174" t="s">
        <v>88</v>
      </c>
      <c r="E174" s="7">
        <v>2.0211999999999999</v>
      </c>
      <c r="F174" s="12"/>
      <c r="G174" s="42"/>
      <c r="H174" s="54">
        <v>45.13</v>
      </c>
      <c r="I174" s="55"/>
      <c r="J174"/>
      <c r="M174" s="3"/>
      <c r="N174"/>
      <c r="Q174" s="4"/>
      <c r="R174"/>
      <c r="S174" s="4"/>
      <c r="T174" s="3"/>
      <c r="V174"/>
    </row>
    <row r="175" spans="2:22" ht="18.75" customHeight="1" x14ac:dyDescent="0.25">
      <c r="B175" s="25">
        <v>1969</v>
      </c>
      <c r="C175" t="s">
        <v>127</v>
      </c>
      <c r="D175" t="s">
        <v>88</v>
      </c>
      <c r="E175" s="7">
        <v>2.1616</v>
      </c>
      <c r="F175" s="12"/>
      <c r="G175" s="2"/>
      <c r="H175" s="32">
        <v>55.42</v>
      </c>
      <c r="I175" s="29"/>
      <c r="J175"/>
      <c r="M175" s="3"/>
      <c r="N175"/>
      <c r="Q175" s="4"/>
      <c r="R175"/>
      <c r="S175" s="4"/>
      <c r="T175" s="3"/>
      <c r="V175"/>
    </row>
    <row r="176" spans="2:22" ht="18.75" customHeight="1" x14ac:dyDescent="0.25">
      <c r="B176" s="25">
        <v>1969</v>
      </c>
      <c r="C176" t="s">
        <v>127</v>
      </c>
      <c r="D176" t="s">
        <v>88</v>
      </c>
      <c r="E176" s="7">
        <v>2.3144</v>
      </c>
      <c r="F176" s="12"/>
      <c r="G176" s="2"/>
      <c r="H176" s="32">
        <v>68.84</v>
      </c>
      <c r="I176" s="29"/>
      <c r="J176"/>
      <c r="M176" s="3"/>
      <c r="N176"/>
      <c r="Q176" s="4"/>
      <c r="R176"/>
      <c r="S176" s="4"/>
      <c r="T176" s="3"/>
      <c r="V176"/>
    </row>
    <row r="177" spans="2:22" ht="18.75" customHeight="1" x14ac:dyDescent="0.25">
      <c r="B177" s="25">
        <v>1969</v>
      </c>
      <c r="C177" t="s">
        <v>127</v>
      </c>
      <c r="D177" t="s">
        <v>88</v>
      </c>
      <c r="E177" s="7">
        <v>2.492</v>
      </c>
      <c r="F177" s="12"/>
      <c r="G177" s="2"/>
      <c r="H177" s="32">
        <v>86.53</v>
      </c>
      <c r="I177" s="29"/>
      <c r="J177"/>
      <c r="M177" s="3"/>
      <c r="N177"/>
      <c r="Q177" s="4"/>
      <c r="R177"/>
      <c r="S177" s="4"/>
      <c r="T177" s="3"/>
      <c r="V177"/>
    </row>
    <row r="178" spans="2:22" ht="18.75" customHeight="1" x14ac:dyDescent="0.25">
      <c r="B178" s="25">
        <v>1969</v>
      </c>
      <c r="C178" t="s">
        <v>127</v>
      </c>
      <c r="D178" t="s">
        <v>88</v>
      </c>
      <c r="E178" s="7">
        <v>2.7118000000000002</v>
      </c>
      <c r="F178" s="12"/>
      <c r="G178" s="2"/>
      <c r="H178" s="51">
        <v>113.5</v>
      </c>
      <c r="I178" s="55"/>
      <c r="J178"/>
      <c r="M178" s="3"/>
      <c r="N178"/>
      <c r="Q178" s="4"/>
      <c r="R178"/>
      <c r="S178" s="4"/>
      <c r="T178" s="3"/>
      <c r="V178"/>
    </row>
    <row r="179" spans="2:22" ht="18.75" customHeight="1" x14ac:dyDescent="0.25">
      <c r="B179" s="25">
        <v>1969</v>
      </c>
      <c r="C179" t="s">
        <v>127</v>
      </c>
      <c r="D179" t="s">
        <v>88</v>
      </c>
      <c r="E179" s="7">
        <v>2.9379</v>
      </c>
      <c r="F179" s="12"/>
      <c r="G179" s="2"/>
      <c r="H179" s="51">
        <v>147.1</v>
      </c>
      <c r="I179" s="55"/>
      <c r="J179"/>
      <c r="M179" s="3"/>
      <c r="N179"/>
      <c r="Q179" s="4"/>
      <c r="R179"/>
      <c r="S179" s="4"/>
      <c r="T179" s="3"/>
      <c r="V179"/>
    </row>
    <row r="180" spans="2:22" ht="18.75" customHeight="1" x14ac:dyDescent="0.25">
      <c r="B180" s="25">
        <v>1969</v>
      </c>
      <c r="C180" t="s">
        <v>127</v>
      </c>
      <c r="D180" t="s">
        <v>88</v>
      </c>
      <c r="E180" s="7">
        <v>3.1875</v>
      </c>
      <c r="F180" s="12"/>
      <c r="G180" s="2"/>
      <c r="H180" s="51">
        <v>193.2</v>
      </c>
      <c r="I180" s="55"/>
      <c r="J180"/>
      <c r="M180" s="3"/>
      <c r="N180"/>
      <c r="Q180" s="4"/>
      <c r="R180"/>
      <c r="S180" s="4"/>
      <c r="T180" s="3"/>
      <c r="V180"/>
    </row>
    <row r="181" spans="2:22" ht="18.75" customHeight="1" x14ac:dyDescent="0.25">
      <c r="B181" s="25">
        <v>1969</v>
      </c>
      <c r="C181" t="s">
        <v>127</v>
      </c>
      <c r="D181" t="s">
        <v>88</v>
      </c>
      <c r="E181" s="7">
        <v>3.4782000000000002</v>
      </c>
      <c r="F181" s="12"/>
      <c r="G181" s="2"/>
      <c r="H181" s="51">
        <v>258.5</v>
      </c>
      <c r="I181" s="55"/>
      <c r="J181"/>
      <c r="M181" s="3"/>
      <c r="N181"/>
      <c r="Q181" s="4"/>
      <c r="R181"/>
      <c r="S181" s="4"/>
      <c r="T181" s="3"/>
      <c r="V181"/>
    </row>
    <row r="182" spans="2:22" ht="18.75" customHeight="1" x14ac:dyDescent="0.25">
      <c r="B182" s="25">
        <v>1969</v>
      </c>
      <c r="C182" t="s">
        <v>127</v>
      </c>
      <c r="D182" t="s">
        <v>88</v>
      </c>
      <c r="E182" s="7">
        <v>3.8039999999999998</v>
      </c>
      <c r="F182" s="12"/>
      <c r="G182" s="2"/>
      <c r="H182" s="51">
        <v>348.5</v>
      </c>
      <c r="I182" s="55"/>
      <c r="J182"/>
      <c r="M182" s="3"/>
      <c r="N182"/>
      <c r="Q182" s="4"/>
      <c r="R182"/>
      <c r="S182" s="4"/>
      <c r="T182" s="3"/>
      <c r="V182"/>
    </row>
    <row r="183" spans="2:22" ht="18.75" customHeight="1" x14ac:dyDescent="0.25">
      <c r="B183" s="25">
        <v>1969</v>
      </c>
      <c r="C183" t="s">
        <v>127</v>
      </c>
      <c r="D183" t="s">
        <v>88</v>
      </c>
      <c r="E183" s="7">
        <v>4.1726000000000001</v>
      </c>
      <c r="F183" s="12"/>
      <c r="G183" s="2"/>
      <c r="H183" s="51">
        <v>479.3</v>
      </c>
      <c r="I183" s="55"/>
      <c r="J183"/>
      <c r="M183" s="3"/>
      <c r="N183"/>
      <c r="Q183" s="4"/>
      <c r="R183"/>
      <c r="S183" s="4"/>
      <c r="T183" s="3"/>
      <c r="V183"/>
    </row>
    <row r="184" spans="2:22" ht="18.75" customHeight="1" x14ac:dyDescent="0.25">
      <c r="B184" s="25">
        <v>1969</v>
      </c>
      <c r="C184" t="s">
        <v>127</v>
      </c>
      <c r="D184" t="s">
        <v>88</v>
      </c>
      <c r="E184" s="7">
        <v>4.5926</v>
      </c>
      <c r="F184" s="12"/>
      <c r="G184" s="2"/>
      <c r="H184" s="51">
        <v>658.3</v>
      </c>
      <c r="I184" s="55"/>
      <c r="J184"/>
      <c r="M184" s="3"/>
      <c r="N184"/>
      <c r="Q184" s="4"/>
      <c r="R184"/>
      <c r="S184" s="4"/>
      <c r="T184" s="3"/>
      <c r="V184"/>
    </row>
    <row r="185" spans="2:22" ht="18.75" customHeight="1" x14ac:dyDescent="0.25">
      <c r="B185" s="25">
        <v>1969</v>
      </c>
      <c r="C185" t="s">
        <v>127</v>
      </c>
      <c r="D185" t="s">
        <v>88</v>
      </c>
      <c r="E185" s="7">
        <v>5.0651999999999999</v>
      </c>
      <c r="F185" s="12"/>
      <c r="G185" s="2"/>
      <c r="H185" s="51">
        <v>913</v>
      </c>
      <c r="I185" s="55"/>
      <c r="J185"/>
      <c r="M185" s="3"/>
      <c r="N185"/>
      <c r="Q185" s="4"/>
      <c r="R185"/>
      <c r="S185" s="4"/>
      <c r="T185" s="3"/>
      <c r="V185"/>
    </row>
    <row r="186" spans="2:22" ht="18.75" customHeight="1" x14ac:dyDescent="0.25">
      <c r="B186" s="25">
        <v>1969</v>
      </c>
      <c r="C186" t="s">
        <v>127</v>
      </c>
      <c r="D186" t="s">
        <v>88</v>
      </c>
      <c r="E186" s="7">
        <v>0.36840000000000001</v>
      </c>
      <c r="F186" s="12"/>
      <c r="G186" s="2"/>
      <c r="H186" s="51">
        <v>0.254</v>
      </c>
      <c r="I186" s="55"/>
      <c r="J186"/>
      <c r="M186" s="3"/>
      <c r="N186"/>
      <c r="Q186" s="4"/>
      <c r="R186"/>
      <c r="S186" s="4"/>
      <c r="T186" s="3"/>
      <c r="V186"/>
    </row>
    <row r="187" spans="2:22" ht="18.75" customHeight="1" x14ac:dyDescent="0.25">
      <c r="B187" s="25">
        <v>1969</v>
      </c>
      <c r="C187" t="s">
        <v>127</v>
      </c>
      <c r="D187" t="s">
        <v>88</v>
      </c>
      <c r="E187" s="7">
        <v>0.41139999999999999</v>
      </c>
      <c r="F187" s="12"/>
      <c r="G187" s="41"/>
      <c r="H187" s="31">
        <v>0.36830000000000002</v>
      </c>
      <c r="I187" s="28"/>
      <c r="J187"/>
      <c r="M187" s="3"/>
      <c r="N187"/>
      <c r="Q187" s="4"/>
      <c r="R187"/>
      <c r="S187" s="4"/>
      <c r="T187" s="3"/>
      <c r="V187"/>
    </row>
    <row r="188" spans="2:22" ht="18.75" customHeight="1" x14ac:dyDescent="0.25">
      <c r="B188" s="25">
        <v>1969</v>
      </c>
      <c r="C188" t="s">
        <v>127</v>
      </c>
      <c r="D188" t="s">
        <v>88</v>
      </c>
      <c r="E188" s="7">
        <v>0.45810000000000001</v>
      </c>
      <c r="F188" s="12"/>
      <c r="G188" s="41"/>
      <c r="H188" s="31">
        <v>0.51749999999999996</v>
      </c>
      <c r="I188" s="28"/>
      <c r="J188"/>
      <c r="M188" s="3"/>
      <c r="N188"/>
      <c r="Q188" s="4"/>
      <c r="R188"/>
      <c r="S188" s="4"/>
      <c r="T188" s="3"/>
      <c r="V188"/>
    </row>
    <row r="189" spans="2:22" ht="18.75" customHeight="1" x14ac:dyDescent="0.25">
      <c r="B189" s="25">
        <v>1969</v>
      </c>
      <c r="C189" t="s">
        <v>127</v>
      </c>
      <c r="D189" t="s">
        <v>88</v>
      </c>
      <c r="E189" s="7">
        <v>0.49940000000000001</v>
      </c>
      <c r="F189" s="12"/>
      <c r="G189" s="41"/>
      <c r="H189" s="31">
        <v>0.63470000000000004</v>
      </c>
      <c r="I189" s="28"/>
      <c r="J189"/>
      <c r="M189" s="3"/>
      <c r="N189"/>
      <c r="Q189" s="4"/>
      <c r="R189"/>
      <c r="S189" s="4"/>
      <c r="T189" s="3"/>
      <c r="V189"/>
    </row>
    <row r="190" spans="2:22" ht="18.75" customHeight="1" x14ac:dyDescent="0.25">
      <c r="B190" s="25">
        <v>1969</v>
      </c>
      <c r="C190" t="s">
        <v>127</v>
      </c>
      <c r="D190" t="s">
        <v>88</v>
      </c>
      <c r="E190" s="7">
        <v>0.54520000000000002</v>
      </c>
      <c r="F190" s="12"/>
      <c r="G190" s="41"/>
      <c r="H190" s="31">
        <v>0.82650000000000001</v>
      </c>
      <c r="I190" s="28"/>
      <c r="J190"/>
      <c r="M190" s="3"/>
      <c r="N190"/>
      <c r="Q190" s="4"/>
      <c r="R190"/>
      <c r="S190" s="4"/>
      <c r="T190" s="3"/>
      <c r="V190"/>
    </row>
    <row r="191" spans="2:22" ht="18.75" customHeight="1" x14ac:dyDescent="0.25">
      <c r="B191" s="25">
        <v>1969</v>
      </c>
      <c r="C191" t="s">
        <v>127</v>
      </c>
      <c r="D191" t="s">
        <v>88</v>
      </c>
      <c r="E191" s="7">
        <v>0.59589999999999999</v>
      </c>
      <c r="F191" s="12"/>
      <c r="G191" s="41"/>
      <c r="H191" s="31">
        <v>1.1000000000000001</v>
      </c>
      <c r="I191" s="28"/>
      <c r="J191"/>
      <c r="M191" s="3"/>
      <c r="N191"/>
      <c r="Q191" s="4"/>
      <c r="R191"/>
      <c r="S191" s="4"/>
      <c r="T191" s="3"/>
      <c r="V191"/>
    </row>
    <row r="192" spans="2:22" ht="18.75" customHeight="1" x14ac:dyDescent="0.25">
      <c r="B192" s="25">
        <v>1969</v>
      </c>
      <c r="C192" t="s">
        <v>127</v>
      </c>
      <c r="D192" t="s">
        <v>88</v>
      </c>
      <c r="E192" s="7">
        <v>0.65659999999999996</v>
      </c>
      <c r="F192" s="12"/>
      <c r="G192" s="41"/>
      <c r="H192" s="31">
        <v>1.48</v>
      </c>
      <c r="I192" s="28"/>
      <c r="J192"/>
      <c r="M192" s="3"/>
      <c r="N192"/>
      <c r="Q192" s="4"/>
      <c r="R192"/>
      <c r="S192" s="4"/>
      <c r="T192" s="3"/>
      <c r="V192"/>
    </row>
    <row r="193" spans="2:22" ht="18.75" customHeight="1" x14ac:dyDescent="0.25">
      <c r="B193" s="25">
        <v>1969</v>
      </c>
      <c r="C193" t="s">
        <v>127</v>
      </c>
      <c r="D193" t="s">
        <v>88</v>
      </c>
      <c r="E193" s="7">
        <v>0.71060000000000001</v>
      </c>
      <c r="F193" s="12"/>
      <c r="G193" s="41"/>
      <c r="H193" s="31">
        <v>1.883</v>
      </c>
      <c r="I193" s="28"/>
      <c r="J193"/>
      <c r="M193" s="3"/>
      <c r="N193"/>
      <c r="Q193" s="4"/>
      <c r="R193"/>
      <c r="S193" s="4"/>
      <c r="T193" s="3"/>
      <c r="V193"/>
    </row>
    <row r="194" spans="2:22" ht="18.75" customHeight="1" x14ac:dyDescent="0.25">
      <c r="B194" s="25">
        <v>1969</v>
      </c>
      <c r="C194" t="s">
        <v>127</v>
      </c>
      <c r="D194" t="s">
        <v>88</v>
      </c>
      <c r="E194" s="7">
        <v>0.77159999999999995</v>
      </c>
      <c r="F194" s="12"/>
      <c r="G194" s="41"/>
      <c r="H194" s="31">
        <v>2.4140000000000001</v>
      </c>
      <c r="I194" s="28"/>
      <c r="J194"/>
      <c r="M194" s="3"/>
      <c r="N194"/>
      <c r="Q194" s="4"/>
      <c r="R194"/>
      <c r="S194" s="4"/>
      <c r="T194" s="3"/>
      <c r="V194"/>
    </row>
    <row r="195" spans="2:22" ht="18.75" customHeight="1" x14ac:dyDescent="0.25">
      <c r="B195" s="25">
        <v>1969</v>
      </c>
      <c r="C195" t="s">
        <v>127</v>
      </c>
      <c r="D195" t="s">
        <v>88</v>
      </c>
      <c r="E195" s="7">
        <v>0.84799999999999998</v>
      </c>
      <c r="F195" s="12"/>
      <c r="G195" s="41"/>
      <c r="H195" s="33">
        <v>3.2189999999999999</v>
      </c>
      <c r="I195" s="28"/>
      <c r="J195"/>
      <c r="M195" s="3"/>
      <c r="N195"/>
      <c r="Q195" s="4"/>
      <c r="R195"/>
      <c r="S195" s="4"/>
      <c r="T195" s="3"/>
      <c r="V195"/>
    </row>
    <row r="196" spans="2:22" ht="18.75" customHeight="1" x14ac:dyDescent="0.25">
      <c r="B196" s="25">
        <v>1969</v>
      </c>
      <c r="C196" t="s">
        <v>127</v>
      </c>
      <c r="D196" t="s">
        <v>88</v>
      </c>
      <c r="E196" s="7">
        <v>0.93679999999999997</v>
      </c>
      <c r="F196" s="12"/>
      <c r="G196" s="41"/>
      <c r="H196" s="33">
        <v>4.3250000000000002</v>
      </c>
      <c r="I196" s="28"/>
      <c r="J196"/>
      <c r="M196" s="3"/>
      <c r="N196"/>
      <c r="Q196" s="4"/>
      <c r="R196"/>
      <c r="S196" s="4"/>
      <c r="T196" s="3"/>
      <c r="V196"/>
    </row>
    <row r="197" spans="2:22" ht="18.75" customHeight="1" x14ac:dyDescent="0.25">
      <c r="B197" s="25">
        <v>1969</v>
      </c>
      <c r="C197" t="s">
        <v>127</v>
      </c>
      <c r="D197" t="s">
        <v>88</v>
      </c>
      <c r="E197" s="7">
        <v>1.0076000000000001</v>
      </c>
      <c r="F197" s="12"/>
      <c r="G197" s="41"/>
      <c r="H197" s="33">
        <v>5.4119999999999999</v>
      </c>
      <c r="I197" s="28"/>
      <c r="J197"/>
      <c r="M197" s="3"/>
      <c r="N197"/>
      <c r="Q197" s="4"/>
      <c r="R197"/>
      <c r="S197" s="4"/>
      <c r="T197" s="3"/>
      <c r="V197"/>
    </row>
    <row r="198" spans="2:22" ht="18.75" customHeight="1" x14ac:dyDescent="0.25">
      <c r="B198" s="25">
        <v>1969</v>
      </c>
      <c r="C198" t="s">
        <v>127</v>
      </c>
      <c r="D198" t="s">
        <v>88</v>
      </c>
      <c r="E198" s="7">
        <v>1.1048</v>
      </c>
      <c r="F198" s="12"/>
      <c r="G198" s="41"/>
      <c r="H198" s="33">
        <v>7.0910000000000002</v>
      </c>
      <c r="I198" s="28"/>
      <c r="J198"/>
      <c r="M198" s="3"/>
      <c r="N198"/>
      <c r="Q198" s="4"/>
      <c r="R198"/>
      <c r="S198" s="4"/>
      <c r="T198" s="3"/>
      <c r="V198"/>
    </row>
    <row r="199" spans="2:22" ht="18.75" customHeight="1" x14ac:dyDescent="0.25">
      <c r="B199" s="25">
        <v>1969</v>
      </c>
      <c r="C199" t="s">
        <v>127</v>
      </c>
      <c r="D199" t="s">
        <v>88</v>
      </c>
      <c r="E199" s="7">
        <v>1.1996</v>
      </c>
      <c r="F199" s="12"/>
      <c r="G199" s="41"/>
      <c r="H199" s="33">
        <v>9.14</v>
      </c>
      <c r="I199" s="28"/>
      <c r="J199"/>
      <c r="M199" s="3"/>
      <c r="N199"/>
      <c r="Q199" s="4"/>
      <c r="R199"/>
      <c r="S199" s="4"/>
      <c r="T199" s="3"/>
      <c r="V199"/>
    </row>
    <row r="200" spans="2:22" ht="18.75" customHeight="1" x14ac:dyDescent="0.25">
      <c r="B200" s="25">
        <v>1969</v>
      </c>
      <c r="C200" t="s">
        <v>127</v>
      </c>
      <c r="D200" t="s">
        <v>88</v>
      </c>
      <c r="E200" s="7">
        <v>1.2906</v>
      </c>
      <c r="F200" s="12"/>
      <c r="G200" s="41"/>
      <c r="H200" s="33">
        <v>11.31</v>
      </c>
      <c r="I200" s="28"/>
      <c r="J200"/>
      <c r="M200" s="3"/>
      <c r="N200"/>
      <c r="Q200" s="4"/>
      <c r="R200"/>
      <c r="S200" s="4"/>
      <c r="T200" s="3"/>
      <c r="V200"/>
    </row>
    <row r="201" spans="2:22" ht="18.75" customHeight="1" x14ac:dyDescent="0.25">
      <c r="B201" s="25">
        <v>1969</v>
      </c>
      <c r="C201" t="s">
        <v>127</v>
      </c>
      <c r="D201" t="s">
        <v>88</v>
      </c>
      <c r="E201" s="7">
        <v>1.4011</v>
      </c>
      <c r="F201" s="12"/>
      <c r="G201" s="41"/>
      <c r="H201" s="33">
        <v>14.58</v>
      </c>
      <c r="I201" s="28"/>
      <c r="J201"/>
      <c r="M201" s="3"/>
      <c r="N201"/>
      <c r="Q201" s="4"/>
      <c r="R201"/>
      <c r="S201" s="4"/>
      <c r="T201" s="3"/>
      <c r="V201"/>
    </row>
    <row r="202" spans="2:22" ht="18.75" customHeight="1" x14ac:dyDescent="0.25">
      <c r="B202" s="25">
        <v>1969</v>
      </c>
      <c r="C202" t="s">
        <v>127</v>
      </c>
      <c r="D202" t="s">
        <v>88</v>
      </c>
      <c r="E202" s="39">
        <v>1.5133000000000001</v>
      </c>
      <c r="F202" s="12"/>
      <c r="G202" s="41"/>
      <c r="H202" s="33">
        <v>18.399999999999999</v>
      </c>
      <c r="I202" s="28"/>
      <c r="J202"/>
      <c r="M202" s="3"/>
      <c r="N202"/>
      <c r="Q202" s="4"/>
      <c r="R202"/>
      <c r="S202" s="4"/>
      <c r="T202" s="3"/>
      <c r="V202"/>
    </row>
    <row r="203" spans="2:22" ht="18.75" customHeight="1" x14ac:dyDescent="0.25">
      <c r="B203" s="25">
        <v>1969</v>
      </c>
      <c r="C203" t="s">
        <v>127</v>
      </c>
      <c r="D203" t="s">
        <v>88</v>
      </c>
      <c r="E203" s="7">
        <v>1.6322000000000001</v>
      </c>
      <c r="F203" s="12"/>
      <c r="G203" s="41"/>
      <c r="H203" s="33">
        <v>23.33</v>
      </c>
      <c r="I203" s="28"/>
      <c r="J203"/>
      <c r="M203" s="3"/>
      <c r="N203"/>
      <c r="Q203" s="4"/>
      <c r="R203"/>
      <c r="S203" s="4"/>
      <c r="T203" s="3"/>
      <c r="V203"/>
    </row>
    <row r="204" spans="2:22" ht="18.75" customHeight="1" x14ac:dyDescent="0.25">
      <c r="B204" s="25">
        <v>1969</v>
      </c>
      <c r="C204" t="s">
        <v>127</v>
      </c>
      <c r="D204" t="s">
        <v>88</v>
      </c>
      <c r="E204" s="7">
        <v>0.50890000000000002</v>
      </c>
      <c r="F204" s="12"/>
      <c r="G204" s="41"/>
      <c r="H204" s="33">
        <v>0.67959999999999998</v>
      </c>
      <c r="I204" s="28"/>
      <c r="J204"/>
      <c r="M204" s="3"/>
      <c r="N204"/>
      <c r="Q204" s="4"/>
      <c r="R204"/>
      <c r="S204" s="4"/>
      <c r="T204" s="3"/>
      <c r="V204"/>
    </row>
    <row r="205" spans="2:22" ht="18.75" customHeight="1" x14ac:dyDescent="0.25">
      <c r="B205" s="25">
        <v>1969</v>
      </c>
      <c r="C205" t="s">
        <v>127</v>
      </c>
      <c r="D205" t="s">
        <v>88</v>
      </c>
      <c r="E205" s="7">
        <v>0.56020000000000003</v>
      </c>
      <c r="F205" s="12"/>
      <c r="G205" s="41"/>
      <c r="H205" s="31">
        <v>0.9173</v>
      </c>
      <c r="I205" s="28"/>
      <c r="J205"/>
      <c r="M205" s="3"/>
      <c r="N205"/>
      <c r="Q205" s="4"/>
      <c r="R205"/>
      <c r="S205" s="4"/>
      <c r="T205" s="3"/>
      <c r="V205"/>
    </row>
    <row r="206" spans="2:22" ht="18.75" customHeight="1" x14ac:dyDescent="0.25">
      <c r="B206" s="25">
        <v>1969</v>
      </c>
      <c r="C206" t="s">
        <v>127</v>
      </c>
      <c r="D206" t="s">
        <v>88</v>
      </c>
      <c r="E206" s="7">
        <v>0.61329999999999996</v>
      </c>
      <c r="F206" s="12"/>
      <c r="G206" s="41"/>
      <c r="H206" s="31">
        <v>1.206</v>
      </c>
      <c r="I206" s="28"/>
      <c r="J206"/>
      <c r="M206" s="3"/>
      <c r="N206"/>
      <c r="Q206" s="4"/>
      <c r="R206"/>
      <c r="S206" s="4"/>
      <c r="T206" s="3"/>
      <c r="V206"/>
    </row>
    <row r="207" spans="2:22" ht="18.75" customHeight="1" x14ac:dyDescent="0.25">
      <c r="B207" s="25">
        <v>1969</v>
      </c>
      <c r="C207" t="s">
        <v>127</v>
      </c>
      <c r="D207" t="s">
        <v>88</v>
      </c>
      <c r="E207" s="7">
        <v>0.67210000000000003</v>
      </c>
      <c r="F207" s="12"/>
      <c r="G207" s="41"/>
      <c r="H207" s="31">
        <v>1.5760000000000001</v>
      </c>
      <c r="I207" s="28"/>
      <c r="J207"/>
      <c r="M207" s="3"/>
      <c r="N207"/>
      <c r="Q207" s="4"/>
      <c r="R207"/>
      <c r="S207" s="4"/>
      <c r="T207" s="3"/>
      <c r="V207"/>
    </row>
    <row r="208" spans="2:22" ht="18.75" customHeight="1" x14ac:dyDescent="0.25">
      <c r="B208" s="25">
        <v>1969</v>
      </c>
      <c r="C208" t="s">
        <v>127</v>
      </c>
      <c r="D208" t="s">
        <v>88</v>
      </c>
      <c r="E208" s="7">
        <v>0.36</v>
      </c>
      <c r="F208" s="12"/>
      <c r="G208" s="41"/>
      <c r="H208" s="31">
        <v>0.23899999999999999</v>
      </c>
      <c r="I208" s="28"/>
      <c r="J208"/>
      <c r="M208" s="3"/>
      <c r="N208"/>
      <c r="Q208" s="4"/>
      <c r="R208"/>
      <c r="S208" s="4"/>
      <c r="T208" s="3"/>
      <c r="V208"/>
    </row>
    <row r="209" spans="2:22" ht="18.75" customHeight="1" x14ac:dyDescent="0.25">
      <c r="B209" s="25">
        <v>1969</v>
      </c>
      <c r="C209" t="s">
        <v>127</v>
      </c>
      <c r="D209" t="s">
        <v>88</v>
      </c>
      <c r="E209" s="7">
        <v>0.38719999999999999</v>
      </c>
      <c r="F209" s="12"/>
      <c r="G209" s="41"/>
      <c r="H209" s="31">
        <v>0.29699999999999999</v>
      </c>
      <c r="I209" s="28"/>
      <c r="J209"/>
      <c r="M209" s="3"/>
      <c r="N209"/>
      <c r="Q209" s="4"/>
      <c r="R209"/>
      <c r="S209" s="4"/>
      <c r="T209" s="3"/>
      <c r="V209"/>
    </row>
    <row r="210" spans="2:22" ht="18.75" customHeight="1" x14ac:dyDescent="0.25">
      <c r="B210" s="25">
        <v>1969</v>
      </c>
      <c r="C210" t="s">
        <v>127</v>
      </c>
      <c r="D210" t="s">
        <v>88</v>
      </c>
      <c r="E210" s="7">
        <v>0.41980000000000001</v>
      </c>
      <c r="F210" s="12"/>
      <c r="G210" s="41"/>
      <c r="H210" s="31">
        <v>0.3826</v>
      </c>
      <c r="I210" s="28"/>
      <c r="J210"/>
      <c r="M210" s="3"/>
      <c r="N210"/>
      <c r="Q210" s="4"/>
      <c r="R210"/>
      <c r="S210" s="4"/>
      <c r="T210" s="3"/>
      <c r="V210"/>
    </row>
    <row r="211" spans="2:22" ht="18.75" customHeight="1" x14ac:dyDescent="0.25">
      <c r="B211" s="25">
        <v>1969</v>
      </c>
      <c r="C211" t="s">
        <v>127</v>
      </c>
      <c r="D211" t="s">
        <v>88</v>
      </c>
      <c r="E211" s="7">
        <v>0.48170000000000002</v>
      </c>
      <c r="F211" s="12"/>
      <c r="G211" s="41"/>
      <c r="H211" s="31">
        <v>0.59040000000000004</v>
      </c>
      <c r="I211" s="28"/>
      <c r="J211"/>
      <c r="M211" s="3"/>
      <c r="N211"/>
      <c r="Q211" s="4"/>
      <c r="R211"/>
      <c r="S211" s="4"/>
      <c r="T211" s="3"/>
      <c r="V211"/>
    </row>
    <row r="212" spans="2:22" ht="18.75" customHeight="1" x14ac:dyDescent="0.25">
      <c r="B212" s="25">
        <v>1969</v>
      </c>
      <c r="C212" t="s">
        <v>127</v>
      </c>
      <c r="D212" t="s">
        <v>88</v>
      </c>
      <c r="E212" s="7">
        <v>0.52690000000000003</v>
      </c>
      <c r="F212" s="12"/>
      <c r="G212" s="41"/>
      <c r="H212" s="31">
        <v>0.77959999999999996</v>
      </c>
      <c r="I212" s="28"/>
      <c r="J212"/>
      <c r="M212" s="3"/>
      <c r="N212"/>
      <c r="Q212" s="4"/>
      <c r="R212"/>
      <c r="S212" s="4"/>
      <c r="T212" s="3"/>
      <c r="V212"/>
    </row>
    <row r="213" spans="2:22" ht="18.75" customHeight="1" x14ac:dyDescent="0.25">
      <c r="B213" s="25">
        <v>1969</v>
      </c>
      <c r="C213" t="s">
        <v>127</v>
      </c>
      <c r="D213" t="s">
        <v>88</v>
      </c>
      <c r="E213" s="7">
        <v>0.58030000000000004</v>
      </c>
      <c r="F213" s="12"/>
      <c r="G213" s="41"/>
      <c r="H213">
        <v>1.0469999999999999</v>
      </c>
      <c r="I213" s="28"/>
      <c r="J213"/>
      <c r="M213" s="3"/>
      <c r="N213"/>
      <c r="Q213" s="4"/>
      <c r="R213"/>
      <c r="S213" s="4"/>
      <c r="T213" s="3"/>
      <c r="V213"/>
    </row>
    <row r="214" spans="2:22" ht="18.75" customHeight="1" x14ac:dyDescent="0.25">
      <c r="B214" s="25">
        <v>1969</v>
      </c>
      <c r="C214" t="s">
        <v>127</v>
      </c>
      <c r="D214" t="s">
        <v>88</v>
      </c>
      <c r="E214" s="7">
        <v>0.64170000000000005</v>
      </c>
      <c r="F214" s="12"/>
      <c r="G214" s="41"/>
      <c r="H214">
        <v>1.4159999999999999</v>
      </c>
      <c r="I214" s="28"/>
      <c r="J214"/>
      <c r="M214" s="3"/>
      <c r="N214"/>
      <c r="Q214" s="4"/>
      <c r="R214"/>
      <c r="S214" s="4"/>
      <c r="T214" s="3"/>
      <c r="V214"/>
    </row>
    <row r="215" spans="2:22" ht="18.75" customHeight="1" x14ac:dyDescent="0.25">
      <c r="B215" s="25">
        <v>1969</v>
      </c>
      <c r="C215" t="s">
        <v>127</v>
      </c>
      <c r="D215" t="s">
        <v>88</v>
      </c>
      <c r="E215" s="7">
        <v>0.69099999999999995</v>
      </c>
      <c r="F215" s="12"/>
      <c r="G215" s="41"/>
      <c r="H215">
        <v>1.7569999999999999</v>
      </c>
      <c r="I215" s="28"/>
      <c r="J215"/>
      <c r="M215" s="3"/>
      <c r="N215"/>
      <c r="Q215" s="4"/>
      <c r="R215"/>
      <c r="S215" s="4"/>
      <c r="T215" s="3"/>
      <c r="V215"/>
    </row>
    <row r="216" spans="2:22" ht="18.75" customHeight="1" x14ac:dyDescent="0.25">
      <c r="B216" s="25">
        <v>1969</v>
      </c>
      <c r="C216" t="s">
        <v>127</v>
      </c>
      <c r="D216" t="s">
        <v>88</v>
      </c>
      <c r="E216" s="7">
        <v>0.75649999999999995</v>
      </c>
      <c r="F216" s="12"/>
      <c r="G216" s="41"/>
      <c r="H216">
        <v>2.2949999999999999</v>
      </c>
      <c r="I216" s="28"/>
      <c r="J216"/>
      <c r="M216" s="3"/>
      <c r="N216"/>
      <c r="Q216" s="4"/>
      <c r="R216"/>
      <c r="S216" s="4"/>
      <c r="T216" s="3"/>
      <c r="V216"/>
    </row>
    <row r="217" spans="2:22" ht="18.75" customHeight="1" x14ac:dyDescent="0.25">
      <c r="B217" s="25">
        <v>1969</v>
      </c>
      <c r="C217" t="s">
        <v>127</v>
      </c>
      <c r="D217" t="s">
        <v>88</v>
      </c>
      <c r="E217" s="7">
        <v>0.83499999999999996</v>
      </c>
      <c r="F217" s="12"/>
      <c r="G217" s="41"/>
      <c r="H217">
        <v>3.1150000000000002</v>
      </c>
      <c r="I217" s="28"/>
      <c r="J217"/>
      <c r="M217" s="3"/>
      <c r="N217"/>
      <c r="Q217" s="4"/>
      <c r="R217"/>
      <c r="S217" s="4"/>
      <c r="T217" s="3"/>
      <c r="V217"/>
    </row>
    <row r="218" spans="2:22" ht="18.75" customHeight="1" x14ac:dyDescent="0.25">
      <c r="B218" s="25">
        <v>1969</v>
      </c>
      <c r="C218" t="s">
        <v>127</v>
      </c>
      <c r="D218" t="s">
        <v>88</v>
      </c>
      <c r="E218" s="7">
        <v>0.91549999999999998</v>
      </c>
      <c r="F218" s="12"/>
      <c r="G218" s="41"/>
      <c r="H218">
        <v>4.0469999999999997</v>
      </c>
      <c r="I218" s="28"/>
      <c r="J218"/>
      <c r="M218" s="3"/>
      <c r="N218"/>
      <c r="Q218" s="4"/>
      <c r="R218"/>
      <c r="S218" s="4"/>
      <c r="T218" s="3"/>
      <c r="V218"/>
    </row>
    <row r="219" spans="2:22" ht="18.75" customHeight="1" x14ac:dyDescent="0.25">
      <c r="B219" s="25">
        <v>1969</v>
      </c>
      <c r="C219" t="s">
        <v>127</v>
      </c>
      <c r="D219" t="s">
        <v>88</v>
      </c>
      <c r="E219" s="7">
        <v>1.0065999999999999</v>
      </c>
      <c r="F219" s="12"/>
      <c r="G219" s="41"/>
      <c r="H219">
        <v>5.4409999999999998</v>
      </c>
      <c r="I219" s="28"/>
      <c r="J219"/>
      <c r="M219" s="3"/>
      <c r="N219"/>
      <c r="Q219" s="4"/>
      <c r="R219"/>
      <c r="S219" s="4"/>
      <c r="T219" s="3"/>
      <c r="V219"/>
    </row>
    <row r="220" spans="2:22" ht="18.75" customHeight="1" x14ac:dyDescent="0.25">
      <c r="B220" s="25">
        <v>1969</v>
      </c>
      <c r="C220" t="s">
        <v>127</v>
      </c>
      <c r="D220" t="s">
        <v>88</v>
      </c>
      <c r="E220" s="7">
        <v>1.1086</v>
      </c>
      <c r="F220" s="12"/>
      <c r="G220" s="41"/>
      <c r="H220">
        <v>7.24</v>
      </c>
      <c r="I220" s="28"/>
      <c r="J220"/>
      <c r="M220" s="3"/>
      <c r="N220"/>
      <c r="Q220" s="4"/>
      <c r="R220"/>
      <c r="S220" s="4"/>
      <c r="T220" s="3"/>
      <c r="V220"/>
    </row>
    <row r="221" spans="2:22" ht="18.75" customHeight="1" x14ac:dyDescent="0.25">
      <c r="B221" s="25">
        <v>1969</v>
      </c>
      <c r="C221" t="s">
        <v>127</v>
      </c>
      <c r="D221" t="s">
        <v>88</v>
      </c>
      <c r="E221" s="7">
        <v>1.2068000000000001</v>
      </c>
      <c r="F221" s="12"/>
      <c r="G221" s="41"/>
      <c r="H221">
        <v>9.3160000000000007</v>
      </c>
      <c r="I221" s="28"/>
      <c r="J221"/>
      <c r="M221" s="3"/>
      <c r="N221"/>
      <c r="Q221" s="4"/>
      <c r="R221"/>
      <c r="S221" s="4"/>
      <c r="T221" s="3"/>
      <c r="V221"/>
    </row>
    <row r="222" spans="2:22" ht="18.75" customHeight="1" x14ac:dyDescent="0.25">
      <c r="B222" s="25">
        <v>1969</v>
      </c>
      <c r="C222" t="s">
        <v>127</v>
      </c>
      <c r="D222" t="s">
        <v>88</v>
      </c>
      <c r="E222" s="7">
        <v>1.3168</v>
      </c>
      <c r="F222" s="12"/>
      <c r="G222" s="41"/>
      <c r="H222">
        <v>12.09</v>
      </c>
      <c r="I222" s="28"/>
      <c r="J222"/>
      <c r="M222" s="3"/>
      <c r="N222"/>
      <c r="Q222" s="4"/>
      <c r="R222"/>
      <c r="S222" s="4"/>
      <c r="T222" s="3"/>
      <c r="V222"/>
    </row>
    <row r="223" spans="2:22" ht="18.75" customHeight="1" x14ac:dyDescent="0.25">
      <c r="B223" s="25">
        <v>1969</v>
      </c>
      <c r="C223" t="s">
        <v>127</v>
      </c>
      <c r="D223" t="s">
        <v>88</v>
      </c>
      <c r="E223" s="7">
        <v>1.4259999999999999</v>
      </c>
      <c r="F223" s="12"/>
      <c r="G223" s="41"/>
      <c r="H223">
        <v>15.44</v>
      </c>
      <c r="I223" s="28"/>
      <c r="J223"/>
      <c r="M223" s="3"/>
      <c r="N223"/>
      <c r="Q223" s="4"/>
      <c r="R223"/>
      <c r="S223" s="4"/>
      <c r="T223" s="3"/>
      <c r="V223"/>
    </row>
    <row r="224" spans="2:22" ht="18.75" customHeight="1" x14ac:dyDescent="0.25">
      <c r="B224" s="25">
        <v>1969</v>
      </c>
      <c r="C224" t="s">
        <v>127</v>
      </c>
      <c r="D224" t="s">
        <v>88</v>
      </c>
      <c r="E224" s="7">
        <v>1.5257000000000001</v>
      </c>
      <c r="F224" s="12"/>
      <c r="G224" s="41"/>
      <c r="H224">
        <v>18.97</v>
      </c>
      <c r="I224" s="28"/>
      <c r="J224"/>
      <c r="M224" s="3"/>
      <c r="N224"/>
      <c r="Q224" s="4"/>
      <c r="R224"/>
      <c r="S224" s="4"/>
      <c r="T224" s="3"/>
      <c r="V224"/>
    </row>
    <row r="225" spans="2:22" ht="18.75" customHeight="1" x14ac:dyDescent="0.25">
      <c r="B225" s="25">
        <v>1969</v>
      </c>
      <c r="C225" t="s">
        <v>127</v>
      </c>
      <c r="D225" t="s">
        <v>88</v>
      </c>
      <c r="E225" s="7">
        <v>1.6066</v>
      </c>
      <c r="F225" s="12"/>
      <c r="G225" s="41"/>
      <c r="H225">
        <v>22.31</v>
      </c>
      <c r="I225" s="28"/>
      <c r="J225"/>
      <c r="M225" s="3"/>
      <c r="N225"/>
      <c r="Q225" s="4"/>
      <c r="R225"/>
      <c r="S225" s="4"/>
      <c r="T225" s="3"/>
      <c r="V225"/>
    </row>
    <row r="226" spans="2:22" ht="18.75" customHeight="1" x14ac:dyDescent="0.25">
      <c r="B226" s="25">
        <v>1969</v>
      </c>
      <c r="C226" t="s">
        <v>127</v>
      </c>
      <c r="D226" t="s">
        <v>88</v>
      </c>
      <c r="E226" s="7">
        <v>1.7650999999999999</v>
      </c>
      <c r="F226" s="12"/>
      <c r="G226" s="41"/>
      <c r="H226">
        <v>29.79</v>
      </c>
      <c r="I226" s="28"/>
      <c r="J226"/>
      <c r="M226" s="3"/>
      <c r="N226"/>
      <c r="Q226" s="4"/>
      <c r="R226"/>
      <c r="S226" s="4"/>
      <c r="T226" s="3"/>
      <c r="V226"/>
    </row>
    <row r="227" spans="2:22" ht="18.75" customHeight="1" x14ac:dyDescent="0.25">
      <c r="B227" s="25">
        <v>1969</v>
      </c>
      <c r="C227" t="s">
        <v>127</v>
      </c>
      <c r="D227" t="s">
        <v>88</v>
      </c>
      <c r="E227" s="7">
        <v>1.9367000000000001</v>
      </c>
      <c r="F227" s="12"/>
      <c r="G227" s="41"/>
      <c r="H227">
        <v>39.64</v>
      </c>
      <c r="I227" s="28"/>
      <c r="J227"/>
      <c r="M227" s="3"/>
      <c r="N227"/>
      <c r="Q227" s="4"/>
      <c r="R227"/>
      <c r="S227" s="4"/>
      <c r="T227" s="3"/>
      <c r="V227"/>
    </row>
    <row r="228" spans="2:22" ht="18.75" customHeight="1" x14ac:dyDescent="0.25">
      <c r="B228" s="25">
        <v>1969</v>
      </c>
      <c r="C228" t="s">
        <v>127</v>
      </c>
      <c r="D228" t="s">
        <v>88</v>
      </c>
      <c r="E228" s="7">
        <v>2.1092</v>
      </c>
      <c r="F228" s="12"/>
      <c r="G228" s="41"/>
      <c r="H228">
        <v>51.81</v>
      </c>
      <c r="I228" s="28"/>
      <c r="J228"/>
      <c r="M228" s="3"/>
      <c r="N228"/>
      <c r="Q228" s="4"/>
      <c r="R228"/>
      <c r="S228" s="4"/>
      <c r="T228" s="3"/>
      <c r="V228"/>
    </row>
    <row r="229" spans="2:22" ht="18.75" customHeight="1" x14ac:dyDescent="0.25">
      <c r="B229" s="25">
        <v>1969</v>
      </c>
      <c r="C229" t="s">
        <v>127</v>
      </c>
      <c r="D229" t="s">
        <v>88</v>
      </c>
      <c r="E229" s="7">
        <v>2.3028</v>
      </c>
      <c r="F229" s="12"/>
      <c r="G229" s="41"/>
      <c r="H229">
        <v>68.209999999999994</v>
      </c>
      <c r="I229" s="28"/>
      <c r="J229"/>
      <c r="M229" s="3"/>
      <c r="N229"/>
      <c r="Q229" s="4"/>
      <c r="R229"/>
      <c r="S229" s="4"/>
      <c r="T229" s="3"/>
      <c r="V229"/>
    </row>
    <row r="230" spans="2:22" ht="18.75" customHeight="1" x14ac:dyDescent="0.25">
      <c r="B230" s="25">
        <v>1969</v>
      </c>
      <c r="C230" t="s">
        <v>127</v>
      </c>
      <c r="D230" t="s">
        <v>88</v>
      </c>
      <c r="E230" s="7">
        <v>2.5354000000000001</v>
      </c>
      <c r="F230" s="12"/>
      <c r="G230" s="41"/>
      <c r="H230">
        <v>92.28</v>
      </c>
      <c r="I230" s="28"/>
      <c r="J230"/>
      <c r="M230" s="3"/>
      <c r="N230"/>
      <c r="Q230" s="4"/>
      <c r="R230"/>
      <c r="S230" s="4"/>
      <c r="T230" s="3"/>
      <c r="V230"/>
    </row>
    <row r="231" spans="2:22" ht="18.75" customHeight="1" x14ac:dyDescent="0.25">
      <c r="B231" s="25">
        <v>1969</v>
      </c>
      <c r="C231" t="s">
        <v>127</v>
      </c>
      <c r="D231" t="s">
        <v>88</v>
      </c>
      <c r="E231" s="7">
        <v>2.8180000000000001</v>
      </c>
      <c r="F231" s="12"/>
      <c r="G231" s="41"/>
      <c r="H231" s="43">
        <v>129.19999999999999</v>
      </c>
      <c r="I231" s="44"/>
      <c r="J231"/>
      <c r="M231" s="3"/>
      <c r="N231"/>
      <c r="Q231" s="4"/>
      <c r="R231"/>
      <c r="S231" s="4"/>
      <c r="T231" s="3"/>
      <c r="V231"/>
    </row>
    <row r="232" spans="2:22" ht="18.75" customHeight="1" x14ac:dyDescent="0.25">
      <c r="B232" s="25">
        <v>1969</v>
      </c>
      <c r="C232" t="s">
        <v>127</v>
      </c>
      <c r="D232" t="s">
        <v>88</v>
      </c>
      <c r="E232" s="7">
        <v>3.1263000000000001</v>
      </c>
      <c r="F232" s="12"/>
      <c r="G232" s="41"/>
      <c r="H232" s="43">
        <v>182.5</v>
      </c>
      <c r="I232" s="44"/>
      <c r="J232"/>
      <c r="M232" s="3"/>
      <c r="N232"/>
      <c r="Q232" s="4"/>
      <c r="R232"/>
      <c r="S232" s="4"/>
      <c r="T232" s="3"/>
      <c r="V232"/>
    </row>
    <row r="233" spans="2:22" ht="18.75" customHeight="1" x14ac:dyDescent="0.25">
      <c r="B233" s="25">
        <v>1969</v>
      </c>
      <c r="C233" t="s">
        <v>127</v>
      </c>
      <c r="D233" t="s">
        <v>88</v>
      </c>
      <c r="E233" s="7">
        <v>3.4622000000000002</v>
      </c>
      <c r="F233" s="12"/>
      <c r="G233" s="41"/>
      <c r="H233" s="43">
        <v>256.5</v>
      </c>
      <c r="I233" s="44"/>
      <c r="J233"/>
      <c r="M233" s="3"/>
      <c r="N233"/>
      <c r="Q233" s="4"/>
      <c r="R233"/>
      <c r="S233" s="4"/>
      <c r="T233" s="3"/>
      <c r="V233"/>
    </row>
    <row r="234" spans="2:22" ht="18.75" customHeight="1" x14ac:dyDescent="0.25">
      <c r="B234" s="25">
        <v>1969</v>
      </c>
      <c r="C234" t="s">
        <v>127</v>
      </c>
      <c r="D234" t="s">
        <v>88</v>
      </c>
      <c r="E234" s="7">
        <v>3.8311000000000002</v>
      </c>
      <c r="F234" s="12"/>
      <c r="G234" s="41"/>
      <c r="H234" s="43">
        <v>357.9</v>
      </c>
      <c r="I234" s="44"/>
      <c r="J234"/>
      <c r="M234" s="3"/>
      <c r="N234"/>
      <c r="Q234" s="4"/>
      <c r="R234"/>
      <c r="S234" s="4"/>
      <c r="T234" s="3"/>
      <c r="V234"/>
    </row>
    <row r="235" spans="2:22" ht="18.75" customHeight="1" x14ac:dyDescent="0.25">
      <c r="B235" s="25">
        <v>1969</v>
      </c>
      <c r="C235" t="s">
        <v>127</v>
      </c>
      <c r="D235" t="s">
        <v>88</v>
      </c>
      <c r="E235" s="7">
        <v>4.2416</v>
      </c>
      <c r="F235" s="12"/>
      <c r="G235" s="41"/>
      <c r="H235" s="43">
        <v>505.7</v>
      </c>
      <c r="I235" s="44"/>
      <c r="J235"/>
      <c r="M235" s="3"/>
      <c r="N235"/>
      <c r="Q235" s="4"/>
      <c r="R235"/>
      <c r="S235" s="4"/>
      <c r="T235" s="3"/>
      <c r="V235"/>
    </row>
    <row r="236" spans="2:22" ht="18.75" customHeight="1" x14ac:dyDescent="0.25">
      <c r="B236" s="25">
        <v>1969</v>
      </c>
      <c r="C236" t="s">
        <v>127</v>
      </c>
      <c r="D236" t="s">
        <v>88</v>
      </c>
      <c r="E236" s="7">
        <v>4.7103000000000002</v>
      </c>
      <c r="F236" s="12"/>
      <c r="G236" s="41"/>
      <c r="H236" s="43">
        <v>723.7</v>
      </c>
      <c r="I236" s="44"/>
      <c r="J236"/>
      <c r="M236" s="3"/>
      <c r="N236"/>
      <c r="Q236" s="4"/>
      <c r="R236"/>
      <c r="S236" s="4"/>
      <c r="T236" s="3"/>
      <c r="V236"/>
    </row>
    <row r="237" spans="2:22" ht="18.75" customHeight="1" x14ac:dyDescent="0.25">
      <c r="B237" s="25">
        <v>1968</v>
      </c>
      <c r="C237" t="s">
        <v>158</v>
      </c>
      <c r="D237" t="s">
        <v>88</v>
      </c>
      <c r="E237" s="27">
        <v>4</v>
      </c>
      <c r="F237" s="12">
        <v>0.40300000000000002</v>
      </c>
      <c r="G237" s="14"/>
      <c r="H237" s="31"/>
      <c r="I237" s="28"/>
      <c r="J237"/>
      <c r="M237" s="3"/>
      <c r="N237"/>
      <c r="Q237" s="4"/>
      <c r="R237"/>
      <c r="S237" s="4"/>
      <c r="T237" s="3"/>
      <c r="V237"/>
    </row>
    <row r="238" spans="2:22" ht="18.75" customHeight="1" x14ac:dyDescent="0.25">
      <c r="B238" s="48">
        <v>1968</v>
      </c>
      <c r="C238" t="s">
        <v>158</v>
      </c>
      <c r="D238" t="s">
        <v>88</v>
      </c>
      <c r="E238" s="50">
        <v>6</v>
      </c>
      <c r="F238" s="12">
        <v>1.5569999999999999</v>
      </c>
      <c r="G238" s="14"/>
      <c r="H238" s="31"/>
      <c r="I238" s="28"/>
      <c r="J238"/>
      <c r="M238" s="3"/>
      <c r="N238"/>
      <c r="Q238" s="4"/>
      <c r="R238"/>
      <c r="S238" s="4"/>
      <c r="T238" s="3"/>
      <c r="V238"/>
    </row>
    <row r="239" spans="2:22" ht="18.75" customHeight="1" x14ac:dyDescent="0.25">
      <c r="B239" s="48">
        <v>1968</v>
      </c>
      <c r="C239" t="s">
        <v>158</v>
      </c>
      <c r="D239" t="s">
        <v>88</v>
      </c>
      <c r="E239" s="50">
        <v>8</v>
      </c>
      <c r="F239" s="12">
        <v>3.5870000000000002</v>
      </c>
      <c r="G239" s="14"/>
      <c r="H239" s="31"/>
      <c r="I239" s="28"/>
      <c r="J239"/>
      <c r="M239" s="3"/>
      <c r="N239"/>
      <c r="Q239" s="4"/>
      <c r="R239"/>
      <c r="S239" s="4"/>
      <c r="T239" s="3"/>
      <c r="V239"/>
    </row>
    <row r="240" spans="2:22" ht="18.75" customHeight="1" x14ac:dyDescent="0.25">
      <c r="B240" s="48">
        <v>1968</v>
      </c>
      <c r="C240" t="s">
        <v>158</v>
      </c>
      <c r="D240" t="s">
        <v>88</v>
      </c>
      <c r="E240" s="50">
        <v>10</v>
      </c>
      <c r="F240" s="12">
        <v>5.9329999999999998</v>
      </c>
      <c r="G240" s="14"/>
      <c r="H240" s="31"/>
      <c r="I240" s="28"/>
      <c r="J240"/>
      <c r="M240" s="3"/>
      <c r="N240"/>
      <c r="Q240" s="4"/>
      <c r="R240"/>
      <c r="S240" s="4"/>
      <c r="T240" s="3"/>
      <c r="V240"/>
    </row>
    <row r="241" spans="2:22" ht="18.75" customHeight="1" x14ac:dyDescent="0.25">
      <c r="B241" s="48">
        <v>1968</v>
      </c>
      <c r="C241" t="s">
        <v>158</v>
      </c>
      <c r="D241" t="s">
        <v>88</v>
      </c>
      <c r="E241" s="50">
        <v>15</v>
      </c>
      <c r="F241" s="12">
        <v>11.7</v>
      </c>
      <c r="G241" s="14"/>
      <c r="H241" s="31"/>
      <c r="I241" s="28"/>
      <c r="J241"/>
      <c r="M241" s="3"/>
      <c r="N241"/>
      <c r="Q241" s="4"/>
      <c r="R241"/>
      <c r="S241" s="4"/>
      <c r="T241" s="3"/>
      <c r="V241"/>
    </row>
    <row r="242" spans="2:22" ht="18.75" customHeight="1" x14ac:dyDescent="0.25">
      <c r="B242" s="48">
        <v>1968</v>
      </c>
      <c r="C242" t="s">
        <v>158</v>
      </c>
      <c r="D242" t="s">
        <v>88</v>
      </c>
      <c r="E242" s="50">
        <v>20</v>
      </c>
      <c r="F242" s="12">
        <v>15.95</v>
      </c>
      <c r="G242" s="14"/>
      <c r="H242" s="31"/>
      <c r="I242" s="28"/>
      <c r="J242"/>
      <c r="M242" s="3"/>
      <c r="N242"/>
      <c r="Q242" s="4"/>
      <c r="R242"/>
      <c r="S242" s="4"/>
      <c r="T242" s="3"/>
      <c r="V242"/>
    </row>
    <row r="243" spans="2:22" ht="18.75" customHeight="1" x14ac:dyDescent="0.25">
      <c r="B243" s="48">
        <v>1968</v>
      </c>
      <c r="C243" t="s">
        <v>158</v>
      </c>
      <c r="D243" t="s">
        <v>88</v>
      </c>
      <c r="E243" s="50">
        <v>25</v>
      </c>
      <c r="F243" s="12">
        <v>18.89</v>
      </c>
      <c r="G243" s="14"/>
      <c r="H243" s="31"/>
      <c r="I243" s="28"/>
      <c r="J243"/>
      <c r="M243" s="3"/>
      <c r="N243"/>
      <c r="Q243" s="4"/>
      <c r="R243"/>
      <c r="S243" s="4"/>
      <c r="T243" s="3"/>
      <c r="V243"/>
    </row>
    <row r="244" spans="2:22" ht="18.75" customHeight="1" x14ac:dyDescent="0.25">
      <c r="B244" s="25">
        <v>1968</v>
      </c>
      <c r="C244" t="s">
        <v>158</v>
      </c>
      <c r="D244" t="s">
        <v>88</v>
      </c>
      <c r="E244" s="27">
        <v>30</v>
      </c>
      <c r="F244" s="12">
        <v>20.88</v>
      </c>
      <c r="G244" s="14"/>
      <c r="H244" s="31"/>
      <c r="I244" s="28"/>
      <c r="J244"/>
      <c r="M244" s="3"/>
      <c r="N244"/>
      <c r="Q244" s="4"/>
      <c r="R244"/>
      <c r="S244" s="4"/>
      <c r="T244" s="3"/>
      <c r="V244"/>
    </row>
    <row r="245" spans="2:22" ht="18.75" customHeight="1" x14ac:dyDescent="0.25">
      <c r="B245" s="25">
        <v>1968</v>
      </c>
      <c r="C245" t="s">
        <v>158</v>
      </c>
      <c r="D245" t="s">
        <v>88</v>
      </c>
      <c r="E245" s="27">
        <v>35</v>
      </c>
      <c r="F245" s="12">
        <v>22.36</v>
      </c>
      <c r="G245" s="53"/>
      <c r="H245" s="31"/>
      <c r="I245" s="28"/>
      <c r="J245"/>
      <c r="M245" s="3"/>
      <c r="N245"/>
      <c r="Q245" s="4"/>
      <c r="R245"/>
      <c r="S245" s="4"/>
      <c r="T245" s="3"/>
      <c r="V245"/>
    </row>
    <row r="246" spans="2:22" ht="18.75" customHeight="1" x14ac:dyDescent="0.25">
      <c r="B246" s="25">
        <v>1968</v>
      </c>
      <c r="C246" t="s">
        <v>158</v>
      </c>
      <c r="D246" t="s">
        <v>88</v>
      </c>
      <c r="E246" s="27">
        <v>40</v>
      </c>
      <c r="F246" s="12">
        <v>23.48</v>
      </c>
      <c r="G246" s="53"/>
      <c r="H246" s="31"/>
      <c r="I246" s="28"/>
      <c r="J246"/>
      <c r="M246" s="3"/>
      <c r="N246"/>
      <c r="Q246" s="4"/>
      <c r="R246"/>
      <c r="S246" s="4"/>
      <c r="T246" s="3"/>
      <c r="V246"/>
    </row>
    <row r="247" spans="2:22" ht="18.75" customHeight="1" x14ac:dyDescent="0.25">
      <c r="B247" s="25">
        <v>1968</v>
      </c>
      <c r="C247" t="s">
        <v>158</v>
      </c>
      <c r="D247" t="s">
        <v>88</v>
      </c>
      <c r="E247" s="27">
        <v>45</v>
      </c>
      <c r="F247" s="12">
        <v>24.28</v>
      </c>
      <c r="G247" s="53"/>
      <c r="H247" s="31"/>
      <c r="I247" s="28"/>
      <c r="J247"/>
      <c r="M247" s="3"/>
      <c r="N247"/>
      <c r="Q247" s="4"/>
      <c r="R247"/>
      <c r="S247" s="4"/>
      <c r="T247" s="3"/>
      <c r="V247"/>
    </row>
    <row r="248" spans="2:22" ht="18.75" customHeight="1" x14ac:dyDescent="0.25">
      <c r="B248" s="25">
        <v>1968</v>
      </c>
      <c r="C248" t="s">
        <v>158</v>
      </c>
      <c r="D248" t="s">
        <v>88</v>
      </c>
      <c r="E248" s="49">
        <v>50</v>
      </c>
      <c r="F248" s="52">
        <v>25.01</v>
      </c>
      <c r="G248" s="2"/>
      <c r="H248" s="31"/>
      <c r="I248" s="28"/>
      <c r="J248"/>
      <c r="M248" s="3"/>
      <c r="N248"/>
      <c r="Q248" s="4"/>
      <c r="R248"/>
      <c r="S248" s="4"/>
      <c r="T248" s="3"/>
      <c r="V248"/>
    </row>
    <row r="249" spans="2:22" ht="18.75" customHeight="1" x14ac:dyDescent="0.25">
      <c r="B249" s="25">
        <v>1968</v>
      </c>
      <c r="C249" t="s">
        <v>158</v>
      </c>
      <c r="D249" t="s">
        <v>88</v>
      </c>
      <c r="E249" s="49">
        <v>55</v>
      </c>
      <c r="F249" s="52">
        <v>25.69</v>
      </c>
      <c r="G249" s="2"/>
      <c r="H249" s="31"/>
      <c r="I249" s="28"/>
      <c r="J249"/>
      <c r="M249" s="3"/>
      <c r="N249"/>
      <c r="Q249" s="4"/>
      <c r="R249"/>
      <c r="S249" s="4"/>
      <c r="T249" s="3"/>
      <c r="V249"/>
    </row>
    <row r="250" spans="2:22" ht="18.75" customHeight="1" x14ac:dyDescent="0.25">
      <c r="B250" s="25">
        <v>1968</v>
      </c>
      <c r="C250" t="s">
        <v>158</v>
      </c>
      <c r="D250" t="s">
        <v>88</v>
      </c>
      <c r="E250" s="49">
        <v>60</v>
      </c>
      <c r="F250" s="52">
        <v>26.35</v>
      </c>
      <c r="G250" s="2"/>
      <c r="H250" s="31"/>
      <c r="I250" s="28"/>
      <c r="J250"/>
      <c r="M250" s="3"/>
      <c r="N250"/>
      <c r="Q250" s="4"/>
      <c r="R250"/>
      <c r="S250" s="4"/>
      <c r="T250" s="3"/>
      <c r="V250"/>
    </row>
    <row r="251" spans="2:22" ht="18.75" customHeight="1" x14ac:dyDescent="0.25">
      <c r="B251" s="25">
        <v>1968</v>
      </c>
      <c r="C251" t="s">
        <v>158</v>
      </c>
      <c r="D251" t="s">
        <v>88</v>
      </c>
      <c r="E251" s="49">
        <v>65</v>
      </c>
      <c r="F251" s="52">
        <v>26.95</v>
      </c>
      <c r="G251" s="2"/>
      <c r="H251" s="31"/>
      <c r="I251" s="28"/>
      <c r="J251"/>
      <c r="M251" s="3"/>
      <c r="N251"/>
      <c r="Q251" s="4"/>
      <c r="R251"/>
      <c r="S251" s="4"/>
      <c r="T251" s="3"/>
      <c r="V251"/>
    </row>
    <row r="252" spans="2:22" ht="18.75" customHeight="1" x14ac:dyDescent="0.25">
      <c r="B252" s="25">
        <v>1968</v>
      </c>
      <c r="C252" t="s">
        <v>158</v>
      </c>
      <c r="D252" t="s">
        <v>88</v>
      </c>
      <c r="E252" s="49">
        <v>70</v>
      </c>
      <c r="F252" s="52">
        <v>27.51</v>
      </c>
      <c r="G252" s="2"/>
      <c r="H252" s="31"/>
      <c r="I252" s="28"/>
      <c r="J252"/>
      <c r="M252" s="3"/>
      <c r="N252"/>
      <c r="Q252" s="4"/>
      <c r="R252"/>
      <c r="S252" s="4"/>
      <c r="T252" s="3"/>
      <c r="V252"/>
    </row>
    <row r="253" spans="2:22" ht="18.75" customHeight="1" x14ac:dyDescent="0.25">
      <c r="B253" s="25">
        <v>1968</v>
      </c>
      <c r="C253" t="s">
        <v>158</v>
      </c>
      <c r="D253" t="s">
        <v>88</v>
      </c>
      <c r="E253" s="7">
        <v>75</v>
      </c>
      <c r="F253" s="12">
        <v>28.03</v>
      </c>
      <c r="G253" s="2"/>
      <c r="H253" s="31"/>
      <c r="I253" s="28"/>
      <c r="J253"/>
      <c r="M253" s="3"/>
      <c r="N253"/>
      <c r="Q253" s="4"/>
      <c r="R253"/>
      <c r="S253" s="4"/>
      <c r="T253" s="3"/>
      <c r="V253"/>
    </row>
    <row r="254" spans="2:22" ht="18.75" customHeight="1" x14ac:dyDescent="0.25">
      <c r="B254" s="25">
        <v>1968</v>
      </c>
      <c r="C254" t="s">
        <v>158</v>
      </c>
      <c r="D254" t="s">
        <v>88</v>
      </c>
      <c r="E254" s="7">
        <v>80</v>
      </c>
      <c r="F254" s="12">
        <v>28.56</v>
      </c>
      <c r="G254" s="2"/>
      <c r="H254" s="31"/>
      <c r="I254" s="28"/>
      <c r="J254"/>
      <c r="M254" s="3"/>
      <c r="N254"/>
      <c r="Q254" s="4"/>
      <c r="R254"/>
      <c r="S254" s="4"/>
      <c r="T254" s="3"/>
      <c r="V254"/>
    </row>
    <row r="255" spans="2:22" ht="18.75" customHeight="1" x14ac:dyDescent="0.25">
      <c r="B255" s="25">
        <v>1968</v>
      </c>
      <c r="C255" t="s">
        <v>158</v>
      </c>
      <c r="D255" t="s">
        <v>88</v>
      </c>
      <c r="E255" s="7">
        <v>85</v>
      </c>
      <c r="F255" s="12">
        <v>29.19</v>
      </c>
      <c r="G255" s="2"/>
      <c r="H255" s="31"/>
      <c r="I255" s="28"/>
      <c r="J255"/>
      <c r="M255" s="3"/>
      <c r="N255"/>
      <c r="Q255" s="4"/>
      <c r="R255"/>
      <c r="S255" s="4"/>
      <c r="T255" s="3"/>
      <c r="V255"/>
    </row>
    <row r="256" spans="2:22" ht="18.75" customHeight="1" x14ac:dyDescent="0.25">
      <c r="B256" s="25">
        <v>1968</v>
      </c>
      <c r="C256" t="s">
        <v>158</v>
      </c>
      <c r="D256" t="s">
        <v>88</v>
      </c>
      <c r="E256" s="7">
        <v>90</v>
      </c>
      <c r="F256" s="12">
        <v>29.9</v>
      </c>
      <c r="G256" s="2"/>
      <c r="H256" s="31"/>
      <c r="I256" s="28"/>
      <c r="J256"/>
      <c r="M256" s="3"/>
      <c r="N256"/>
      <c r="Q256" s="4"/>
      <c r="R256"/>
      <c r="S256" s="4"/>
      <c r="T256" s="3"/>
      <c r="V256"/>
    </row>
    <row r="257" spans="2:22" ht="18.75" customHeight="1" x14ac:dyDescent="0.25">
      <c r="B257" s="25">
        <v>1968</v>
      </c>
      <c r="C257" t="s">
        <v>158</v>
      </c>
      <c r="D257" t="s">
        <v>88</v>
      </c>
      <c r="E257" s="7">
        <v>95</v>
      </c>
      <c r="F257" s="12">
        <v>30.74</v>
      </c>
      <c r="G257" s="2"/>
      <c r="H257" s="31"/>
      <c r="I257" s="28"/>
      <c r="J257"/>
      <c r="M257" s="3"/>
      <c r="N257"/>
      <c r="Q257" s="4"/>
      <c r="R257"/>
      <c r="S257" s="4"/>
      <c r="T257" s="3"/>
      <c r="V257"/>
    </row>
    <row r="258" spans="2:22" ht="18.75" customHeight="1" x14ac:dyDescent="0.25">
      <c r="B258" s="25">
        <v>1968</v>
      </c>
      <c r="C258" t="s">
        <v>158</v>
      </c>
      <c r="D258" t="s">
        <v>88</v>
      </c>
      <c r="E258" s="7">
        <v>100</v>
      </c>
      <c r="F258" s="12">
        <v>31.71</v>
      </c>
      <c r="G258" s="2"/>
      <c r="H258" s="31"/>
      <c r="I258" s="28"/>
      <c r="J258"/>
      <c r="M258" s="3"/>
      <c r="N258"/>
      <c r="Q258" s="4"/>
      <c r="R258"/>
      <c r="S258" s="4"/>
      <c r="T258" s="3"/>
      <c r="V258"/>
    </row>
    <row r="259" spans="2:22" ht="18.75" customHeight="1" x14ac:dyDescent="0.25">
      <c r="B259" s="25">
        <v>1968</v>
      </c>
      <c r="C259" t="s">
        <v>158</v>
      </c>
      <c r="D259" t="s">
        <v>88</v>
      </c>
      <c r="E259" s="7">
        <v>105</v>
      </c>
      <c r="F259" s="12">
        <v>32.81</v>
      </c>
      <c r="G259" s="2"/>
      <c r="H259" s="31"/>
      <c r="I259" s="28"/>
      <c r="J259"/>
      <c r="M259" s="3"/>
      <c r="N259"/>
      <c r="Q259" s="4"/>
      <c r="R259"/>
      <c r="S259" s="4"/>
      <c r="T259" s="3"/>
      <c r="V259"/>
    </row>
    <row r="260" spans="2:22" ht="18.75" customHeight="1" x14ac:dyDescent="0.25">
      <c r="B260" s="25">
        <v>1968</v>
      </c>
      <c r="C260" t="s">
        <v>158</v>
      </c>
      <c r="D260" t="s">
        <v>88</v>
      </c>
      <c r="E260" s="7">
        <v>110</v>
      </c>
      <c r="F260" s="12">
        <v>34.049999999999997</v>
      </c>
      <c r="G260" s="46"/>
      <c r="H260" s="31"/>
      <c r="I260" s="28"/>
      <c r="J260"/>
      <c r="M260" s="3"/>
      <c r="N260"/>
      <c r="Q260" s="4"/>
      <c r="R260"/>
      <c r="S260" s="4"/>
      <c r="T260" s="3"/>
      <c r="V260"/>
    </row>
    <row r="261" spans="2:22" ht="18.75" customHeight="1" x14ac:dyDescent="0.25">
      <c r="B261" s="25">
        <v>1968</v>
      </c>
      <c r="C261" t="s">
        <v>158</v>
      </c>
      <c r="D261" t="s">
        <v>88</v>
      </c>
      <c r="E261" s="7">
        <v>115</v>
      </c>
      <c r="F261" s="12">
        <v>35.79</v>
      </c>
      <c r="G261" s="42"/>
      <c r="H261" s="31"/>
      <c r="I261" s="28"/>
      <c r="J261"/>
      <c r="M261" s="3"/>
      <c r="N261"/>
      <c r="Q261" s="4"/>
      <c r="R261"/>
      <c r="S261" s="4"/>
      <c r="T261" s="3"/>
      <c r="V261"/>
    </row>
    <row r="262" spans="2:22" ht="18.75" customHeight="1" x14ac:dyDescent="0.25">
      <c r="B262" s="25">
        <v>1967</v>
      </c>
      <c r="C262" t="s">
        <v>89</v>
      </c>
      <c r="D262" t="s">
        <v>90</v>
      </c>
      <c r="E262" s="37">
        <v>0</v>
      </c>
      <c r="F262" s="12"/>
      <c r="G262">
        <v>0</v>
      </c>
      <c r="H262" s="43"/>
      <c r="I262" s="44"/>
      <c r="J262"/>
      <c r="M262" s="3"/>
      <c r="N262"/>
      <c r="Q262" s="4"/>
      <c r="R262"/>
      <c r="S262" s="4"/>
      <c r="T262" s="3"/>
      <c r="V262"/>
    </row>
    <row r="263" spans="2:22" ht="18.75" customHeight="1" x14ac:dyDescent="0.25">
      <c r="B263" s="25">
        <v>1967</v>
      </c>
      <c r="C263" t="s">
        <v>89</v>
      </c>
      <c r="D263" t="s">
        <v>90</v>
      </c>
      <c r="E263" s="37">
        <v>11</v>
      </c>
      <c r="F263" s="12"/>
      <c r="G263">
        <v>2.2200000000000002</v>
      </c>
      <c r="H263" s="43"/>
      <c r="I263" s="44"/>
      <c r="J263"/>
      <c r="M263" s="3"/>
      <c r="N263"/>
      <c r="Q263" s="4"/>
      <c r="R263"/>
      <c r="S263" s="4"/>
      <c r="T263" s="3"/>
      <c r="V263"/>
    </row>
    <row r="264" spans="2:22" ht="18.75" customHeight="1" x14ac:dyDescent="0.25">
      <c r="B264" s="25">
        <v>1967</v>
      </c>
      <c r="C264" t="s">
        <v>89</v>
      </c>
      <c r="D264" t="s">
        <v>90</v>
      </c>
      <c r="E264" s="37">
        <v>15</v>
      </c>
      <c r="F264" s="12"/>
      <c r="G264">
        <v>3.35</v>
      </c>
      <c r="H264" s="43"/>
      <c r="I264" s="44"/>
      <c r="J264"/>
      <c r="M264" s="3"/>
      <c r="N264"/>
      <c r="Q264" s="4"/>
      <c r="R264"/>
      <c r="S264" s="4"/>
      <c r="T264" s="3"/>
      <c r="V264"/>
    </row>
    <row r="265" spans="2:22" ht="18.75" customHeight="1" x14ac:dyDescent="0.25">
      <c r="B265" s="25">
        <v>1967</v>
      </c>
      <c r="C265" t="s">
        <v>89</v>
      </c>
      <c r="D265" t="s">
        <v>90</v>
      </c>
      <c r="E265" s="37">
        <v>21.5</v>
      </c>
      <c r="F265" s="12"/>
      <c r="G265">
        <v>4.4400000000000004</v>
      </c>
      <c r="H265" s="43"/>
      <c r="I265" s="44"/>
      <c r="J265"/>
      <c r="M265" s="3"/>
      <c r="N265"/>
      <c r="Q265" s="4"/>
      <c r="R265"/>
      <c r="S265" s="4"/>
      <c r="T265" s="3"/>
      <c r="V265"/>
    </row>
    <row r="266" spans="2:22" ht="18.75" customHeight="1" x14ac:dyDescent="0.25">
      <c r="B266" s="25">
        <v>1967</v>
      </c>
      <c r="C266" t="s">
        <v>89</v>
      </c>
      <c r="D266" t="s">
        <v>90</v>
      </c>
      <c r="E266" s="37">
        <v>25</v>
      </c>
      <c r="F266" s="12"/>
      <c r="G266">
        <v>4.7699999999999996</v>
      </c>
      <c r="H266" s="43"/>
      <c r="I266" s="44"/>
      <c r="J266"/>
      <c r="M266" s="3"/>
      <c r="N266"/>
      <c r="Q266" s="4"/>
      <c r="R266"/>
      <c r="S266" s="4"/>
      <c r="T266" s="3"/>
      <c r="V266"/>
    </row>
    <row r="267" spans="2:22" ht="18.75" customHeight="1" x14ac:dyDescent="0.25">
      <c r="B267" s="25">
        <v>1967</v>
      </c>
      <c r="C267" t="s">
        <v>89</v>
      </c>
      <c r="D267" t="s">
        <v>90</v>
      </c>
      <c r="E267" s="37">
        <v>30</v>
      </c>
      <c r="F267" s="12"/>
      <c r="G267">
        <v>5.19</v>
      </c>
      <c r="H267" s="43"/>
      <c r="I267" s="44"/>
      <c r="J267"/>
      <c r="M267" s="3"/>
      <c r="N267"/>
      <c r="Q267" s="4"/>
      <c r="R267"/>
      <c r="S267" s="4"/>
      <c r="T267" s="3"/>
      <c r="V267"/>
    </row>
    <row r="268" spans="2:22" ht="18.75" customHeight="1" x14ac:dyDescent="0.25">
      <c r="B268" s="25">
        <v>1967</v>
      </c>
      <c r="C268" t="s">
        <v>89</v>
      </c>
      <c r="D268" t="s">
        <v>90</v>
      </c>
      <c r="E268" s="37">
        <v>35</v>
      </c>
      <c r="F268" s="12"/>
      <c r="G268">
        <v>5.48</v>
      </c>
      <c r="H268" s="43"/>
      <c r="I268" s="44"/>
      <c r="J268"/>
      <c r="M268" s="3"/>
      <c r="N268"/>
      <c r="Q268" s="4"/>
      <c r="R268"/>
      <c r="S268" s="4"/>
      <c r="T268" s="3"/>
      <c r="V268"/>
    </row>
    <row r="269" spans="2:22" ht="18.75" customHeight="1" x14ac:dyDescent="0.25">
      <c r="B269" s="25">
        <v>1967</v>
      </c>
      <c r="C269" t="s">
        <v>89</v>
      </c>
      <c r="D269" t="s">
        <v>90</v>
      </c>
      <c r="E269" s="37">
        <v>40</v>
      </c>
      <c r="F269" s="12"/>
      <c r="G269">
        <v>5.7</v>
      </c>
      <c r="H269" s="43"/>
      <c r="I269" s="44"/>
      <c r="J269"/>
      <c r="M269" s="3"/>
      <c r="N269"/>
      <c r="Q269" s="4"/>
      <c r="R269"/>
      <c r="S269" s="4"/>
      <c r="T269" s="3"/>
      <c r="V269"/>
    </row>
    <row r="270" spans="2:22" ht="18.75" customHeight="1" x14ac:dyDescent="0.25">
      <c r="B270" s="25">
        <v>1967</v>
      </c>
      <c r="C270" t="s">
        <v>89</v>
      </c>
      <c r="D270" t="s">
        <v>90</v>
      </c>
      <c r="E270" s="37">
        <v>45</v>
      </c>
      <c r="F270" s="12"/>
      <c r="G270">
        <v>5.87</v>
      </c>
      <c r="H270" s="43"/>
      <c r="I270" s="44"/>
      <c r="J270"/>
      <c r="M270" s="3"/>
      <c r="N270"/>
      <c r="Q270" s="4"/>
      <c r="R270"/>
      <c r="S270" s="4"/>
      <c r="T270" s="3"/>
      <c r="V270"/>
    </row>
    <row r="271" spans="2:22" ht="18.75" customHeight="1" x14ac:dyDescent="0.25">
      <c r="B271" s="25">
        <v>1967</v>
      </c>
      <c r="C271" t="s">
        <v>89</v>
      </c>
      <c r="D271" t="s">
        <v>90</v>
      </c>
      <c r="E271" s="37">
        <v>50</v>
      </c>
      <c r="F271" s="12"/>
      <c r="G271">
        <v>5.99</v>
      </c>
      <c r="H271" s="43"/>
      <c r="I271" s="44"/>
      <c r="J271"/>
      <c r="M271" s="3"/>
      <c r="N271"/>
      <c r="Q271" s="4"/>
      <c r="R271"/>
      <c r="S271" s="4"/>
      <c r="T271" s="3"/>
      <c r="V271"/>
    </row>
    <row r="272" spans="2:22" ht="18.75" customHeight="1" x14ac:dyDescent="0.25">
      <c r="B272" s="25">
        <v>1967</v>
      </c>
      <c r="C272" t="s">
        <v>89</v>
      </c>
      <c r="D272" t="s">
        <v>90</v>
      </c>
      <c r="E272" s="37">
        <v>55</v>
      </c>
      <c r="F272" s="12"/>
      <c r="G272">
        <v>6.1</v>
      </c>
      <c r="H272" s="43"/>
      <c r="I272" s="44"/>
      <c r="J272"/>
      <c r="M272" s="3"/>
      <c r="N272"/>
      <c r="Q272" s="4"/>
      <c r="R272"/>
      <c r="S272" s="4"/>
      <c r="T272" s="3"/>
      <c r="V272"/>
    </row>
    <row r="273" spans="2:22" ht="18.75" customHeight="1" x14ac:dyDescent="0.25">
      <c r="B273" s="25">
        <v>1967</v>
      </c>
      <c r="C273" t="s">
        <v>89</v>
      </c>
      <c r="D273" t="s">
        <v>90</v>
      </c>
      <c r="E273" s="37">
        <v>60</v>
      </c>
      <c r="F273" s="12"/>
      <c r="G273">
        <v>6.18</v>
      </c>
      <c r="H273" s="43"/>
      <c r="I273" s="44"/>
      <c r="J273"/>
      <c r="M273" s="3"/>
      <c r="N273"/>
      <c r="Q273" s="4"/>
      <c r="R273"/>
      <c r="S273" s="4"/>
      <c r="T273" s="3"/>
      <c r="V273"/>
    </row>
    <row r="274" spans="2:22" ht="18.75" customHeight="1" x14ac:dyDescent="0.25">
      <c r="B274" s="25">
        <v>1967</v>
      </c>
      <c r="C274" t="s">
        <v>89</v>
      </c>
      <c r="D274" t="s">
        <v>90</v>
      </c>
      <c r="E274" s="37">
        <v>65</v>
      </c>
      <c r="F274" s="12"/>
      <c r="G274">
        <v>6.25</v>
      </c>
      <c r="H274" s="43"/>
      <c r="I274" s="44"/>
      <c r="J274"/>
      <c r="M274" s="3"/>
      <c r="N274"/>
      <c r="Q274" s="4"/>
      <c r="R274"/>
      <c r="S274" s="4"/>
      <c r="T274" s="3"/>
      <c r="V274"/>
    </row>
    <row r="275" spans="2:22" ht="18.75" customHeight="1" x14ac:dyDescent="0.25">
      <c r="B275" s="25">
        <v>1967</v>
      </c>
      <c r="C275" t="s">
        <v>89</v>
      </c>
      <c r="D275" t="s">
        <v>90</v>
      </c>
      <c r="E275" s="37">
        <v>70</v>
      </c>
      <c r="F275" s="12"/>
      <c r="G275">
        <v>6.31</v>
      </c>
      <c r="H275" s="43"/>
      <c r="I275" s="44"/>
      <c r="J275"/>
      <c r="M275" s="3"/>
      <c r="N275"/>
      <c r="Q275" s="4"/>
      <c r="R275"/>
      <c r="S275" s="4"/>
      <c r="T275" s="3"/>
      <c r="V275"/>
    </row>
    <row r="276" spans="2:22" ht="18.75" customHeight="1" x14ac:dyDescent="0.25">
      <c r="B276" s="25">
        <v>1967</v>
      </c>
      <c r="C276" t="s">
        <v>89</v>
      </c>
      <c r="D276" t="s">
        <v>90</v>
      </c>
      <c r="E276" s="37">
        <v>75</v>
      </c>
      <c r="F276" s="12"/>
      <c r="G276">
        <v>6.36</v>
      </c>
      <c r="H276" s="43"/>
      <c r="I276" s="44"/>
      <c r="J276"/>
      <c r="M276" s="3"/>
      <c r="N276"/>
      <c r="Q276" s="4"/>
      <c r="R276"/>
      <c r="S276" s="4"/>
      <c r="T276" s="3"/>
      <c r="V276"/>
    </row>
    <row r="277" spans="2:22" ht="18.75" customHeight="1" x14ac:dyDescent="0.25">
      <c r="B277" s="25">
        <v>1967</v>
      </c>
      <c r="C277" t="s">
        <v>89</v>
      </c>
      <c r="D277" t="s">
        <v>90</v>
      </c>
      <c r="E277" s="37">
        <v>80</v>
      </c>
      <c r="F277" s="12"/>
      <c r="G277">
        <v>6.42</v>
      </c>
      <c r="H277" s="43"/>
      <c r="I277" s="44"/>
      <c r="J277"/>
      <c r="M277" s="3"/>
      <c r="N277"/>
      <c r="Q277" s="4"/>
      <c r="R277"/>
      <c r="S277" s="4"/>
      <c r="T277" s="3"/>
      <c r="V277"/>
    </row>
    <row r="278" spans="2:22" ht="18.75" customHeight="1" x14ac:dyDescent="0.25">
      <c r="B278" s="25">
        <v>1967</v>
      </c>
      <c r="C278" t="s">
        <v>89</v>
      </c>
      <c r="D278" t="s">
        <v>90</v>
      </c>
      <c r="E278" s="37">
        <v>85</v>
      </c>
      <c r="F278" s="12"/>
      <c r="G278">
        <v>6.49</v>
      </c>
      <c r="H278" s="43"/>
      <c r="I278" s="44"/>
      <c r="J278"/>
      <c r="M278" s="3"/>
      <c r="N278"/>
      <c r="Q278" s="4"/>
      <c r="R278"/>
      <c r="S278" s="4"/>
      <c r="T278" s="3"/>
      <c r="V278"/>
    </row>
    <row r="279" spans="2:22" ht="18.75" customHeight="1" x14ac:dyDescent="0.25">
      <c r="B279" s="25">
        <v>1967</v>
      </c>
      <c r="C279" t="s">
        <v>89</v>
      </c>
      <c r="D279" t="s">
        <v>90</v>
      </c>
      <c r="E279" s="37">
        <v>90</v>
      </c>
      <c r="F279" s="12"/>
      <c r="G279">
        <v>6.58</v>
      </c>
      <c r="H279" s="43"/>
      <c r="I279" s="44"/>
      <c r="J279"/>
      <c r="M279" s="3"/>
      <c r="N279"/>
      <c r="Q279" s="4"/>
      <c r="R279"/>
      <c r="S279" s="4"/>
      <c r="T279" s="3"/>
      <c r="V279"/>
    </row>
    <row r="280" spans="2:22" ht="18.75" customHeight="1" x14ac:dyDescent="0.25">
      <c r="B280" s="25">
        <v>1967</v>
      </c>
      <c r="C280" t="s">
        <v>89</v>
      </c>
      <c r="D280" t="s">
        <v>90</v>
      </c>
      <c r="E280" s="37">
        <v>100</v>
      </c>
      <c r="F280" s="12"/>
      <c r="G280">
        <v>6.77</v>
      </c>
      <c r="H280" s="43"/>
      <c r="I280" s="44"/>
      <c r="J280"/>
      <c r="M280" s="3"/>
      <c r="N280"/>
      <c r="Q280" s="4"/>
      <c r="R280"/>
      <c r="S280" s="4"/>
      <c r="T280" s="3"/>
      <c r="V280"/>
    </row>
    <row r="281" spans="2:22" ht="18.75" customHeight="1" x14ac:dyDescent="0.25">
      <c r="B281" s="25">
        <v>1967</v>
      </c>
      <c r="C281" t="s">
        <v>89</v>
      </c>
      <c r="D281" t="s">
        <v>90</v>
      </c>
      <c r="E281" s="37">
        <v>120</v>
      </c>
      <c r="F281" s="12"/>
      <c r="G281">
        <v>7.2</v>
      </c>
      <c r="H281" s="43"/>
      <c r="I281" s="44"/>
      <c r="J281"/>
      <c r="M281" s="3"/>
      <c r="N281"/>
      <c r="Q281" s="4"/>
      <c r="R281"/>
      <c r="S281" s="4"/>
      <c r="T281" s="3"/>
      <c r="V281"/>
    </row>
    <row r="282" spans="2:22" ht="18.75" customHeight="1" x14ac:dyDescent="0.25">
      <c r="B282" s="25">
        <v>1967</v>
      </c>
      <c r="C282" t="s">
        <v>89</v>
      </c>
      <c r="D282" t="s">
        <v>90</v>
      </c>
      <c r="E282" s="37">
        <v>140</v>
      </c>
      <c r="F282" s="12"/>
      <c r="G282">
        <v>7.7</v>
      </c>
      <c r="H282" s="43"/>
      <c r="I282" s="44"/>
      <c r="J282"/>
      <c r="M282" s="3"/>
      <c r="N282"/>
      <c r="Q282" s="4"/>
      <c r="R282"/>
      <c r="S282" s="4"/>
      <c r="T282" s="3"/>
      <c r="V282"/>
    </row>
    <row r="283" spans="2:22" ht="18.75" customHeight="1" x14ac:dyDescent="0.25">
      <c r="B283" s="45">
        <v>1963</v>
      </c>
      <c r="C283" t="s">
        <v>159</v>
      </c>
      <c r="D283" t="s">
        <v>90</v>
      </c>
      <c r="E283" s="47">
        <v>20</v>
      </c>
      <c r="F283" s="12"/>
      <c r="G283" s="42">
        <v>4.07</v>
      </c>
      <c r="H283" s="31"/>
      <c r="I283" s="28"/>
      <c r="J283"/>
      <c r="M283" s="3"/>
      <c r="N283"/>
      <c r="Q283" s="4"/>
      <c r="R283"/>
      <c r="S283" s="4"/>
      <c r="T283" s="3"/>
      <c r="V283"/>
    </row>
    <row r="284" spans="2:22" ht="18.75" customHeight="1" x14ac:dyDescent="0.25">
      <c r="B284" s="45">
        <v>1963</v>
      </c>
      <c r="C284" t="s">
        <v>159</v>
      </c>
      <c r="D284" t="s">
        <v>90</v>
      </c>
      <c r="E284" s="47">
        <v>50</v>
      </c>
      <c r="F284" s="12"/>
      <c r="G284" s="42">
        <v>6</v>
      </c>
      <c r="H284" s="31"/>
      <c r="I284" s="28"/>
      <c r="J284"/>
      <c r="M284" s="3"/>
      <c r="N284"/>
      <c r="Q284" s="4"/>
      <c r="R284"/>
      <c r="S284" s="4"/>
      <c r="T284" s="3"/>
      <c r="V284"/>
    </row>
    <row r="285" spans="2:22" ht="18.75" customHeight="1" x14ac:dyDescent="0.25">
      <c r="B285" s="45">
        <v>1963</v>
      </c>
      <c r="C285" t="s">
        <v>159</v>
      </c>
      <c r="D285" t="s">
        <v>90</v>
      </c>
      <c r="E285" s="47">
        <v>75</v>
      </c>
      <c r="F285" s="12"/>
      <c r="G285" s="42">
        <v>6.39</v>
      </c>
      <c r="H285" s="31"/>
      <c r="I285" s="28"/>
      <c r="J285"/>
      <c r="M285" s="3"/>
      <c r="N285"/>
      <c r="Q285" s="4"/>
      <c r="R285"/>
      <c r="S285" s="4"/>
      <c r="T285" s="3"/>
      <c r="V285"/>
    </row>
    <row r="286" spans="2:22" ht="18.75" customHeight="1" x14ac:dyDescent="0.25">
      <c r="B286" s="45">
        <v>1963</v>
      </c>
      <c r="C286" t="s">
        <v>159</v>
      </c>
      <c r="D286" t="s">
        <v>90</v>
      </c>
      <c r="E286" s="47">
        <v>100</v>
      </c>
      <c r="F286" s="12"/>
      <c r="G286" s="42">
        <v>6.74</v>
      </c>
      <c r="H286" s="31"/>
      <c r="I286" s="28"/>
      <c r="J286"/>
      <c r="M286" s="3"/>
      <c r="N286"/>
      <c r="Q286" s="4"/>
      <c r="R286"/>
      <c r="S286" s="4"/>
      <c r="T286" s="3"/>
      <c r="V286"/>
    </row>
    <row r="287" spans="2:22" ht="18.75" customHeight="1" x14ac:dyDescent="0.25">
      <c r="B287" s="45">
        <v>1963</v>
      </c>
      <c r="C287" t="s">
        <v>159</v>
      </c>
      <c r="D287" t="s">
        <v>90</v>
      </c>
      <c r="E287" s="47">
        <v>125</v>
      </c>
      <c r="F287" s="12"/>
      <c r="G287" s="42">
        <v>7.3</v>
      </c>
      <c r="H287" s="31"/>
      <c r="I287" s="28"/>
      <c r="J287"/>
      <c r="M287" s="3"/>
      <c r="N287"/>
      <c r="Q287" s="4"/>
      <c r="R287"/>
      <c r="S287" s="4"/>
      <c r="T287" s="3"/>
      <c r="V287"/>
    </row>
    <row r="288" spans="2:22" ht="18.75" customHeight="1" x14ac:dyDescent="0.25">
      <c r="B288" s="45">
        <v>1963</v>
      </c>
      <c r="C288" t="s">
        <v>159</v>
      </c>
      <c r="D288" t="s">
        <v>90</v>
      </c>
      <c r="E288" s="47">
        <v>150</v>
      </c>
      <c r="F288" s="12"/>
      <c r="G288" s="42">
        <v>8.02</v>
      </c>
      <c r="H288" s="31"/>
      <c r="I288" s="28"/>
      <c r="J288"/>
      <c r="M288" s="3"/>
      <c r="N288"/>
      <c r="Q288" s="4"/>
      <c r="R288"/>
      <c r="S288" s="4"/>
      <c r="T288" s="3"/>
      <c r="V288"/>
    </row>
    <row r="289" spans="2:22" ht="18.75" customHeight="1" x14ac:dyDescent="0.25">
      <c r="B289" s="25">
        <v>1969</v>
      </c>
      <c r="C289" t="s">
        <v>157</v>
      </c>
      <c r="D289" t="s">
        <v>90</v>
      </c>
      <c r="E289" s="7">
        <v>4</v>
      </c>
      <c r="F289" s="12">
        <v>0.63</v>
      </c>
      <c r="G289" s="2"/>
      <c r="H289" s="43"/>
      <c r="I289" s="44"/>
      <c r="J289"/>
      <c r="M289" s="3"/>
      <c r="N289"/>
      <c r="Q289" s="4"/>
      <c r="R289"/>
      <c r="S289" s="4"/>
      <c r="T289" s="3"/>
      <c r="V289"/>
    </row>
    <row r="290" spans="2:22" ht="18.75" customHeight="1" x14ac:dyDescent="0.25">
      <c r="B290" s="25">
        <v>1969</v>
      </c>
      <c r="C290" t="s">
        <v>157</v>
      </c>
      <c r="D290" t="s">
        <v>90</v>
      </c>
      <c r="E290" s="7">
        <v>8</v>
      </c>
      <c r="F290" s="12">
        <v>5</v>
      </c>
      <c r="G290" s="2"/>
      <c r="H290" s="43"/>
      <c r="I290" s="44"/>
      <c r="J290"/>
      <c r="M290" s="3"/>
      <c r="N290"/>
      <c r="Q290" s="4"/>
      <c r="R290"/>
      <c r="S290" s="4"/>
      <c r="T290" s="3"/>
      <c r="V290"/>
    </row>
    <row r="291" spans="2:22" ht="18.75" customHeight="1" x14ac:dyDescent="0.25">
      <c r="B291" s="25">
        <v>1969</v>
      </c>
      <c r="C291" t="s">
        <v>157</v>
      </c>
      <c r="D291" t="s">
        <v>90</v>
      </c>
      <c r="E291" s="7">
        <v>12</v>
      </c>
      <c r="F291" s="12">
        <v>10.5</v>
      </c>
      <c r="G291" s="2"/>
      <c r="H291" s="43"/>
      <c r="I291" s="44"/>
      <c r="J291"/>
      <c r="M291" s="3"/>
      <c r="N291"/>
      <c r="Q291" s="4"/>
      <c r="R291"/>
      <c r="S291" s="4"/>
      <c r="T291" s="3"/>
      <c r="V291"/>
    </row>
    <row r="292" spans="2:22" ht="18.75" customHeight="1" x14ac:dyDescent="0.25">
      <c r="B292" s="25">
        <v>1969</v>
      </c>
      <c r="C292" t="s">
        <v>157</v>
      </c>
      <c r="D292" t="s">
        <v>90</v>
      </c>
      <c r="E292" s="7">
        <v>16</v>
      </c>
      <c r="F292" s="40">
        <v>14.7</v>
      </c>
      <c r="G292" s="41"/>
      <c r="H292" s="43"/>
      <c r="I292" s="44"/>
      <c r="J292"/>
      <c r="M292" s="3"/>
      <c r="N292"/>
      <c r="Q292" s="4"/>
      <c r="R292"/>
      <c r="S292" s="4"/>
      <c r="T292" s="3"/>
      <c r="V292"/>
    </row>
    <row r="293" spans="2:22" ht="18.75" customHeight="1" x14ac:dyDescent="0.25">
      <c r="B293" s="25">
        <v>1969</v>
      </c>
      <c r="C293" t="s">
        <v>157</v>
      </c>
      <c r="D293" t="s">
        <v>90</v>
      </c>
      <c r="E293" s="7">
        <v>20</v>
      </c>
      <c r="F293" s="12">
        <v>17.5</v>
      </c>
      <c r="G293" s="41"/>
      <c r="H293" s="43"/>
      <c r="I293" s="44"/>
      <c r="J293"/>
      <c r="M293" s="3"/>
      <c r="N293"/>
      <c r="Q293" s="4"/>
      <c r="R293"/>
      <c r="S293" s="4"/>
      <c r="T293" s="3"/>
      <c r="V293"/>
    </row>
    <row r="294" spans="2:22" ht="18.75" customHeight="1" x14ac:dyDescent="0.25">
      <c r="B294" s="25">
        <v>1969</v>
      </c>
      <c r="C294" t="s">
        <v>157</v>
      </c>
      <c r="D294" t="s">
        <v>90</v>
      </c>
      <c r="E294" s="7">
        <v>24</v>
      </c>
      <c r="F294" s="12">
        <v>19.399999999999999</v>
      </c>
      <c r="G294" s="41"/>
      <c r="H294" s="43"/>
      <c r="I294" s="44"/>
      <c r="J294"/>
      <c r="M294" s="3"/>
      <c r="N294"/>
      <c r="Q294" s="4"/>
      <c r="R294"/>
      <c r="S294" s="4"/>
      <c r="T294" s="3"/>
      <c r="V294"/>
    </row>
    <row r="295" spans="2:22" ht="18.75" customHeight="1" x14ac:dyDescent="0.25">
      <c r="B295" s="25">
        <v>1969</v>
      </c>
      <c r="C295" t="s">
        <v>157</v>
      </c>
      <c r="D295" t="s">
        <v>90</v>
      </c>
      <c r="E295" s="7">
        <v>28</v>
      </c>
      <c r="F295" s="12">
        <v>20.7</v>
      </c>
      <c r="G295" s="41"/>
      <c r="H295" s="43"/>
      <c r="I295" s="44"/>
      <c r="J295"/>
      <c r="M295" s="3"/>
      <c r="N295"/>
      <c r="Q295" s="4"/>
      <c r="R295"/>
      <c r="S295" s="4"/>
      <c r="T295" s="3"/>
      <c r="V295"/>
    </row>
    <row r="296" spans="2:22" ht="18.75" customHeight="1" x14ac:dyDescent="0.25">
      <c r="B296" s="25">
        <v>1969</v>
      </c>
      <c r="C296" t="s">
        <v>157</v>
      </c>
      <c r="D296" t="s">
        <v>90</v>
      </c>
      <c r="E296" s="7">
        <v>32</v>
      </c>
      <c r="F296" s="12">
        <v>21.7</v>
      </c>
      <c r="G296" s="41"/>
      <c r="H296" s="43"/>
      <c r="I296" s="44"/>
      <c r="J296"/>
      <c r="M296" s="3"/>
      <c r="N296"/>
      <c r="Q296" s="4"/>
      <c r="R296"/>
      <c r="S296" s="4"/>
      <c r="T296" s="3"/>
      <c r="V296"/>
    </row>
    <row r="297" spans="2:22" ht="18.75" customHeight="1" x14ac:dyDescent="0.25">
      <c r="B297" s="25">
        <v>1969</v>
      </c>
      <c r="C297" t="s">
        <v>157</v>
      </c>
      <c r="D297" t="s">
        <v>90</v>
      </c>
      <c r="E297" s="7">
        <v>36</v>
      </c>
      <c r="F297" s="12">
        <v>22.5</v>
      </c>
      <c r="G297" s="41"/>
      <c r="H297" s="43"/>
      <c r="I297" s="44"/>
      <c r="J297"/>
      <c r="M297" s="3"/>
      <c r="N297"/>
      <c r="Q297" s="4"/>
      <c r="R297"/>
      <c r="S297" s="4"/>
      <c r="T297" s="3"/>
      <c r="V297"/>
    </row>
    <row r="298" spans="2:22" ht="18.75" customHeight="1" x14ac:dyDescent="0.25">
      <c r="B298" s="25">
        <v>1969</v>
      </c>
      <c r="C298" t="s">
        <v>157</v>
      </c>
      <c r="D298" t="s">
        <v>90</v>
      </c>
      <c r="E298" s="7">
        <v>40</v>
      </c>
      <c r="F298" s="12">
        <v>23.2</v>
      </c>
      <c r="G298" s="41"/>
      <c r="H298" s="43"/>
      <c r="I298" s="44"/>
      <c r="J298"/>
      <c r="M298" s="3"/>
      <c r="N298"/>
      <c r="Q298" s="4"/>
      <c r="R298"/>
      <c r="S298" s="4"/>
      <c r="T298" s="3"/>
      <c r="V298"/>
    </row>
    <row r="299" spans="2:22" ht="18.75" customHeight="1" x14ac:dyDescent="0.25">
      <c r="B299" s="25">
        <v>1969</v>
      </c>
      <c r="C299" t="s">
        <v>157</v>
      </c>
      <c r="D299" t="s">
        <v>90</v>
      </c>
      <c r="E299" s="7">
        <v>44</v>
      </c>
      <c r="F299" s="12">
        <v>23.8</v>
      </c>
      <c r="G299" s="41"/>
      <c r="H299" s="43"/>
      <c r="I299" s="44"/>
      <c r="J299"/>
      <c r="M299" s="3"/>
      <c r="N299"/>
      <c r="Q299" s="4"/>
      <c r="R299"/>
      <c r="S299" s="4"/>
      <c r="T299" s="3"/>
      <c r="V299"/>
    </row>
    <row r="300" spans="2:22" ht="18.75" customHeight="1" x14ac:dyDescent="0.25">
      <c r="B300" s="25">
        <v>1969</v>
      </c>
      <c r="C300" t="s">
        <v>157</v>
      </c>
      <c r="D300" t="s">
        <v>90</v>
      </c>
      <c r="E300" s="7">
        <v>48</v>
      </c>
      <c r="F300" s="12">
        <v>24.3</v>
      </c>
      <c r="G300" s="41"/>
      <c r="H300" s="43"/>
      <c r="I300" s="44"/>
      <c r="J300"/>
      <c r="M300" s="3"/>
      <c r="N300"/>
      <c r="Q300" s="4"/>
      <c r="R300"/>
      <c r="S300" s="4"/>
      <c r="T300" s="3"/>
      <c r="V300"/>
    </row>
    <row r="301" spans="2:22" ht="18.75" customHeight="1" x14ac:dyDescent="0.25">
      <c r="B301" s="25">
        <v>1969</v>
      </c>
      <c r="C301" t="s">
        <v>157</v>
      </c>
      <c r="D301" t="s">
        <v>90</v>
      </c>
      <c r="E301" s="7">
        <v>52</v>
      </c>
      <c r="F301" s="12">
        <v>24.7</v>
      </c>
      <c r="G301" s="41"/>
      <c r="H301" s="43"/>
      <c r="I301" s="44"/>
      <c r="J301"/>
      <c r="M301" s="3"/>
      <c r="N301"/>
      <c r="Q301" s="4"/>
      <c r="R301"/>
      <c r="S301" s="4"/>
      <c r="T301" s="3"/>
      <c r="V301"/>
    </row>
    <row r="302" spans="2:22" ht="18.75" customHeight="1" x14ac:dyDescent="0.25">
      <c r="B302" s="25">
        <v>1969</v>
      </c>
      <c r="C302" t="s">
        <v>157</v>
      </c>
      <c r="D302" t="s">
        <v>90</v>
      </c>
      <c r="E302" s="7">
        <v>56</v>
      </c>
      <c r="F302" s="12">
        <v>25.1</v>
      </c>
      <c r="G302" s="41"/>
      <c r="H302" s="43"/>
      <c r="I302" s="44"/>
      <c r="J302"/>
      <c r="M302" s="3"/>
      <c r="N302"/>
      <c r="Q302" s="4"/>
      <c r="R302"/>
      <c r="S302" s="4"/>
      <c r="T302" s="3"/>
      <c r="V302"/>
    </row>
    <row r="303" spans="2:22" ht="18.75" customHeight="1" x14ac:dyDescent="0.25">
      <c r="B303" s="25">
        <v>1969</v>
      </c>
      <c r="C303" t="s">
        <v>157</v>
      </c>
      <c r="D303" t="s">
        <v>90</v>
      </c>
      <c r="E303" s="7">
        <v>60</v>
      </c>
      <c r="F303" s="12">
        <v>25.5</v>
      </c>
      <c r="G303" s="41"/>
      <c r="H303" s="43"/>
      <c r="I303" s="44"/>
      <c r="J303"/>
      <c r="M303" s="3"/>
      <c r="N303"/>
      <c r="Q303" s="4"/>
      <c r="R303"/>
      <c r="S303" s="4"/>
      <c r="T303" s="3"/>
      <c r="V303"/>
    </row>
    <row r="304" spans="2:22" ht="18.75" customHeight="1" x14ac:dyDescent="0.25">
      <c r="B304" s="25">
        <v>1969</v>
      </c>
      <c r="C304" t="s">
        <v>157</v>
      </c>
      <c r="D304" t="s">
        <v>90</v>
      </c>
      <c r="E304" s="7">
        <v>64</v>
      </c>
      <c r="F304" s="12">
        <v>25.8</v>
      </c>
      <c r="G304" s="41"/>
      <c r="H304" s="43"/>
      <c r="I304" s="44"/>
      <c r="J304"/>
      <c r="M304" s="3"/>
      <c r="N304"/>
      <c r="Q304" s="4"/>
      <c r="R304"/>
      <c r="S304" s="4"/>
      <c r="T304" s="3"/>
      <c r="V304"/>
    </row>
    <row r="305" spans="2:22" ht="18.75" customHeight="1" x14ac:dyDescent="0.25">
      <c r="B305" s="25">
        <v>1969</v>
      </c>
      <c r="C305" t="s">
        <v>157</v>
      </c>
      <c r="D305" t="s">
        <v>90</v>
      </c>
      <c r="E305" s="7">
        <v>68</v>
      </c>
      <c r="F305" s="12">
        <v>26.1</v>
      </c>
      <c r="G305" s="41"/>
      <c r="H305" s="43"/>
      <c r="I305" s="44"/>
      <c r="J305"/>
      <c r="M305" s="3"/>
      <c r="N305"/>
      <c r="Q305" s="4"/>
      <c r="R305"/>
      <c r="S305" s="4"/>
      <c r="T305" s="3"/>
      <c r="V305"/>
    </row>
    <row r="306" spans="2:22" ht="18.75" customHeight="1" x14ac:dyDescent="0.25">
      <c r="B306" s="25">
        <v>1969</v>
      </c>
      <c r="C306" t="s">
        <v>157</v>
      </c>
      <c r="D306" t="s">
        <v>90</v>
      </c>
      <c r="E306" s="7">
        <v>72</v>
      </c>
      <c r="F306" s="12">
        <v>26.5</v>
      </c>
      <c r="G306" s="41"/>
      <c r="H306" s="43"/>
      <c r="I306" s="44"/>
      <c r="J306"/>
      <c r="M306" s="3"/>
      <c r="N306"/>
      <c r="Q306" s="4"/>
      <c r="R306"/>
      <c r="S306" s="4"/>
      <c r="T306" s="3"/>
      <c r="V306"/>
    </row>
    <row r="307" spans="2:22" ht="18.75" customHeight="1" x14ac:dyDescent="0.25">
      <c r="B307" s="25">
        <v>1969</v>
      </c>
      <c r="C307" t="s">
        <v>157</v>
      </c>
      <c r="D307" t="s">
        <v>90</v>
      </c>
      <c r="E307" s="7">
        <v>76</v>
      </c>
      <c r="F307" s="12">
        <v>26.7</v>
      </c>
      <c r="G307" s="41"/>
      <c r="H307" s="43"/>
      <c r="I307" s="44"/>
      <c r="J307"/>
      <c r="M307" s="3"/>
      <c r="N307"/>
      <c r="Q307" s="4"/>
      <c r="R307"/>
      <c r="S307" s="4"/>
      <c r="T307" s="3"/>
      <c r="V307"/>
    </row>
    <row r="308" spans="2:22" ht="18.75" customHeight="1" x14ac:dyDescent="0.25">
      <c r="B308" s="25">
        <v>1969</v>
      </c>
      <c r="C308" t="s">
        <v>157</v>
      </c>
      <c r="D308" t="s">
        <v>90</v>
      </c>
      <c r="E308" s="7">
        <v>80</v>
      </c>
      <c r="F308" s="12">
        <v>27</v>
      </c>
      <c r="G308" s="41"/>
      <c r="H308" s="43"/>
      <c r="I308" s="44"/>
      <c r="J308"/>
      <c r="M308" s="3"/>
      <c r="N308"/>
      <c r="Q308" s="4"/>
      <c r="R308"/>
      <c r="S308" s="4"/>
      <c r="T308" s="3"/>
      <c r="V308"/>
    </row>
    <row r="309" spans="2:22" ht="18.75" customHeight="1" x14ac:dyDescent="0.25">
      <c r="B309" s="25">
        <v>1969</v>
      </c>
      <c r="C309" t="s">
        <v>157</v>
      </c>
      <c r="D309" t="s">
        <v>90</v>
      </c>
      <c r="E309" s="7">
        <v>84</v>
      </c>
      <c r="F309" s="12">
        <v>27.2</v>
      </c>
      <c r="G309" s="41"/>
      <c r="H309" s="43"/>
      <c r="I309" s="44"/>
      <c r="J309"/>
      <c r="M309" s="3"/>
      <c r="N309"/>
      <c r="Q309" s="4"/>
      <c r="R309"/>
      <c r="S309" s="4"/>
      <c r="T309" s="3"/>
      <c r="V309"/>
    </row>
    <row r="310" spans="2:22" ht="18.75" customHeight="1" x14ac:dyDescent="0.25">
      <c r="B310" s="25">
        <v>1969</v>
      </c>
      <c r="C310" t="s">
        <v>157</v>
      </c>
      <c r="D310" t="s">
        <v>90</v>
      </c>
      <c r="E310" s="7">
        <v>88</v>
      </c>
      <c r="F310" s="12">
        <v>27.5</v>
      </c>
      <c r="G310" s="41"/>
      <c r="H310" s="43"/>
      <c r="I310" s="44"/>
      <c r="J310"/>
      <c r="M310" s="3"/>
      <c r="N310"/>
      <c r="Q310" s="4"/>
      <c r="R310"/>
      <c r="S310" s="4"/>
      <c r="T310" s="3"/>
      <c r="V310"/>
    </row>
    <row r="311" spans="2:22" ht="18.75" customHeight="1" x14ac:dyDescent="0.25">
      <c r="B311" s="25">
        <v>1969</v>
      </c>
      <c r="C311" t="s">
        <v>157</v>
      </c>
      <c r="D311" t="s">
        <v>90</v>
      </c>
      <c r="E311" s="7">
        <v>92</v>
      </c>
      <c r="F311" s="12">
        <v>27.7</v>
      </c>
      <c r="G311" s="41"/>
      <c r="H311" s="43"/>
      <c r="I311" s="44"/>
      <c r="J311"/>
      <c r="M311" s="3"/>
      <c r="N311"/>
      <c r="Q311" s="4"/>
      <c r="R311"/>
      <c r="S311" s="4"/>
      <c r="T311" s="3"/>
      <c r="V311"/>
    </row>
    <row r="312" spans="2:22" ht="18.75" customHeight="1" x14ac:dyDescent="0.25">
      <c r="B312" s="25">
        <v>1969</v>
      </c>
      <c r="C312" t="s">
        <v>157</v>
      </c>
      <c r="D312" t="s">
        <v>90</v>
      </c>
      <c r="E312" s="7">
        <v>96</v>
      </c>
      <c r="F312" s="12">
        <v>28</v>
      </c>
      <c r="G312" s="41"/>
      <c r="H312" s="43"/>
      <c r="I312" s="44"/>
      <c r="J312"/>
      <c r="M312" s="3"/>
      <c r="N312"/>
      <c r="Q312" s="4"/>
      <c r="R312"/>
      <c r="S312" s="4"/>
      <c r="T312" s="3"/>
      <c r="V312"/>
    </row>
    <row r="313" spans="2:22" ht="18.75" customHeight="1" x14ac:dyDescent="0.25">
      <c r="B313" s="25">
        <v>1969</v>
      </c>
      <c r="C313" t="s">
        <v>157</v>
      </c>
      <c r="D313" t="s">
        <v>90</v>
      </c>
      <c r="E313" s="7">
        <v>100</v>
      </c>
      <c r="F313" s="12">
        <v>28.2</v>
      </c>
      <c r="G313" s="41"/>
      <c r="H313" s="43"/>
      <c r="I313" s="44"/>
      <c r="J313"/>
      <c r="M313" s="3"/>
      <c r="N313"/>
      <c r="Q313" s="4"/>
      <c r="R313"/>
      <c r="S313" s="4"/>
      <c r="T313" s="3"/>
      <c r="V313"/>
    </row>
    <row r="314" spans="2:22" ht="18.75" customHeight="1" x14ac:dyDescent="0.25">
      <c r="B314" s="25">
        <v>1969</v>
      </c>
      <c r="C314" t="s">
        <v>157</v>
      </c>
      <c r="D314" t="s">
        <v>90</v>
      </c>
      <c r="E314" s="7">
        <v>104</v>
      </c>
      <c r="F314" s="12">
        <v>28.5</v>
      </c>
      <c r="G314" s="41"/>
      <c r="H314" s="43"/>
      <c r="I314" s="44"/>
      <c r="J314"/>
      <c r="M314" s="3"/>
      <c r="N314"/>
      <c r="Q314" s="4"/>
      <c r="R314"/>
      <c r="S314" s="4"/>
      <c r="T314" s="3"/>
      <c r="V314"/>
    </row>
    <row r="315" spans="2:22" ht="18.75" customHeight="1" x14ac:dyDescent="0.25">
      <c r="B315" s="25">
        <v>1969</v>
      </c>
      <c r="C315" t="s">
        <v>157</v>
      </c>
      <c r="D315" t="s">
        <v>90</v>
      </c>
      <c r="E315" s="7">
        <v>108</v>
      </c>
      <c r="F315" s="12">
        <v>28.7</v>
      </c>
      <c r="G315" s="41"/>
      <c r="H315" s="43"/>
      <c r="I315" s="44"/>
      <c r="J315"/>
      <c r="M315" s="3"/>
      <c r="N315"/>
      <c r="Q315" s="4"/>
      <c r="R315"/>
      <c r="S315" s="4"/>
      <c r="T315" s="3"/>
      <c r="V315"/>
    </row>
    <row r="316" spans="2:22" ht="18.75" customHeight="1" x14ac:dyDescent="0.25">
      <c r="B316" s="25">
        <v>1969</v>
      </c>
      <c r="C316" t="s">
        <v>157</v>
      </c>
      <c r="D316" t="s">
        <v>90</v>
      </c>
      <c r="E316" s="7">
        <v>112</v>
      </c>
      <c r="F316" s="12">
        <v>29</v>
      </c>
      <c r="G316" s="41"/>
      <c r="H316" s="43"/>
      <c r="I316" s="44"/>
      <c r="J316"/>
      <c r="M316" s="3"/>
      <c r="N316"/>
      <c r="Q316" s="4"/>
      <c r="R316"/>
      <c r="S316" s="4"/>
      <c r="T316" s="3"/>
      <c r="V316"/>
    </row>
    <row r="317" spans="2:22" ht="18.75" customHeight="1" x14ac:dyDescent="0.25">
      <c r="B317" s="25">
        <v>1969</v>
      </c>
      <c r="C317" t="s">
        <v>157</v>
      </c>
      <c r="D317" t="s">
        <v>90</v>
      </c>
      <c r="E317" s="7">
        <v>116</v>
      </c>
      <c r="F317" s="12">
        <v>29.3</v>
      </c>
      <c r="G317" s="41"/>
      <c r="H317" s="43"/>
      <c r="I317" s="44"/>
      <c r="J317"/>
      <c r="M317" s="3"/>
      <c r="N317"/>
      <c r="Q317" s="4"/>
      <c r="R317"/>
      <c r="S317" s="4"/>
      <c r="T317" s="3"/>
      <c r="V317"/>
    </row>
    <row r="318" spans="2:22" ht="18.75" customHeight="1" x14ac:dyDescent="0.25">
      <c r="B318" s="25">
        <v>1969</v>
      </c>
      <c r="C318" t="s">
        <v>157</v>
      </c>
      <c r="D318" t="s">
        <v>90</v>
      </c>
      <c r="E318" s="7">
        <v>120</v>
      </c>
      <c r="F318" s="12">
        <v>29.7</v>
      </c>
      <c r="G318" s="5"/>
      <c r="H318" s="31"/>
      <c r="I318" s="28"/>
      <c r="J318"/>
      <c r="M318" s="3"/>
      <c r="N318"/>
      <c r="Q318" s="4"/>
      <c r="R318"/>
      <c r="S318" s="4"/>
      <c r="T318" s="3"/>
      <c r="V318"/>
    </row>
    <row r="319" spans="2:22" ht="18.75" customHeight="1" x14ac:dyDescent="0.25">
      <c r="B319" s="25">
        <v>1969</v>
      </c>
      <c r="C319" t="s">
        <v>157</v>
      </c>
      <c r="D319" t="s">
        <v>90</v>
      </c>
      <c r="E319" s="7">
        <v>124</v>
      </c>
      <c r="F319" s="12">
        <v>30</v>
      </c>
      <c r="G319" s="5"/>
      <c r="H319" s="31"/>
      <c r="I319" s="28"/>
      <c r="J319"/>
      <c r="M319" s="3"/>
      <c r="N319"/>
      <c r="Q319" s="4"/>
      <c r="R319"/>
      <c r="S319" s="4"/>
      <c r="T319" s="3"/>
      <c r="V319"/>
    </row>
    <row r="320" spans="2:22" ht="18.75" customHeight="1" x14ac:dyDescent="0.25">
      <c r="B320" s="25">
        <v>1969</v>
      </c>
      <c r="C320" t="s">
        <v>157</v>
      </c>
      <c r="D320" t="s">
        <v>90</v>
      </c>
      <c r="E320" s="7">
        <v>128</v>
      </c>
      <c r="F320" s="12">
        <v>30.45</v>
      </c>
      <c r="G320" s="5"/>
      <c r="H320" s="31"/>
      <c r="I320" s="28"/>
      <c r="J320"/>
      <c r="M320" s="3"/>
      <c r="N320"/>
      <c r="Q320" s="4"/>
      <c r="R320"/>
      <c r="S320" s="4"/>
      <c r="T320" s="3"/>
      <c r="V320"/>
    </row>
    <row r="321" spans="2:22" ht="18.75" customHeight="1" x14ac:dyDescent="0.25">
      <c r="B321" s="25">
        <v>1969</v>
      </c>
      <c r="C321" t="s">
        <v>157</v>
      </c>
      <c r="D321" t="s">
        <v>90</v>
      </c>
      <c r="E321" s="39">
        <v>132</v>
      </c>
      <c r="F321" s="40">
        <v>30.9</v>
      </c>
      <c r="G321" s="42"/>
      <c r="H321" s="31"/>
      <c r="I321" s="28"/>
      <c r="J321"/>
      <c r="M321" s="3"/>
      <c r="N321"/>
      <c r="Q321" s="4"/>
      <c r="R321"/>
      <c r="S321" s="4"/>
      <c r="T321" s="3"/>
      <c r="V321"/>
    </row>
    <row r="322" spans="2:22" ht="18.75" customHeight="1" x14ac:dyDescent="0.25">
      <c r="B322" s="25">
        <v>1969</v>
      </c>
      <c r="C322" t="s">
        <v>157</v>
      </c>
      <c r="D322" t="s">
        <v>90</v>
      </c>
      <c r="E322" s="39">
        <v>136</v>
      </c>
      <c r="F322" s="40">
        <v>31.4</v>
      </c>
      <c r="G322" s="42"/>
      <c r="H322" s="31"/>
      <c r="I322" s="28"/>
      <c r="J322"/>
      <c r="M322" s="3"/>
      <c r="N322"/>
      <c r="Q322" s="4"/>
      <c r="R322"/>
      <c r="S322" s="4"/>
      <c r="T322" s="3"/>
      <c r="V322"/>
    </row>
    <row r="323" spans="2:22" ht="18.75" customHeight="1" x14ac:dyDescent="0.25">
      <c r="B323" s="25">
        <v>1969</v>
      </c>
      <c r="C323" t="s">
        <v>157</v>
      </c>
      <c r="D323" t="s">
        <v>90</v>
      </c>
      <c r="E323" s="39">
        <v>140</v>
      </c>
      <c r="F323" s="40">
        <v>32</v>
      </c>
      <c r="G323" s="42"/>
      <c r="H323" s="31"/>
      <c r="I323" s="28"/>
      <c r="J323"/>
      <c r="M323" s="3"/>
      <c r="N323"/>
      <c r="Q323" s="4"/>
      <c r="R323"/>
      <c r="S323" s="4"/>
      <c r="T323" s="3"/>
      <c r="V323"/>
    </row>
    <row r="324" spans="2:22" ht="18.75" customHeight="1" x14ac:dyDescent="0.25">
      <c r="B324" s="25">
        <v>1969</v>
      </c>
      <c r="C324" t="s">
        <v>157</v>
      </c>
      <c r="D324" t="s">
        <v>90</v>
      </c>
      <c r="E324" s="39">
        <v>144</v>
      </c>
      <c r="F324" s="40">
        <v>32.6</v>
      </c>
      <c r="G324" s="42"/>
      <c r="H324" s="31"/>
      <c r="I324" s="28"/>
      <c r="J324"/>
      <c r="M324" s="3"/>
      <c r="N324"/>
      <c r="Q324" s="4"/>
      <c r="R324"/>
      <c r="S324" s="4"/>
      <c r="T324" s="3"/>
      <c r="V324"/>
    </row>
    <row r="325" spans="2:22" ht="18.75" customHeight="1" x14ac:dyDescent="0.25">
      <c r="B325" s="25">
        <v>1969</v>
      </c>
      <c r="C325" t="s">
        <v>157</v>
      </c>
      <c r="D325" t="s">
        <v>90</v>
      </c>
      <c r="E325" s="39">
        <v>148</v>
      </c>
      <c r="F325" s="40">
        <v>33.299999999999997</v>
      </c>
      <c r="G325" s="42"/>
      <c r="H325" s="31"/>
      <c r="I325" s="28"/>
      <c r="J325"/>
      <c r="M325" s="3"/>
      <c r="N325"/>
      <c r="Q325" s="4"/>
      <c r="R325"/>
      <c r="S325" s="4"/>
      <c r="T325" s="3"/>
      <c r="V325"/>
    </row>
    <row r="326" spans="2:22" ht="18.75" customHeight="1" x14ac:dyDescent="0.25">
      <c r="B326" s="25">
        <v>1969</v>
      </c>
      <c r="C326" t="s">
        <v>157</v>
      </c>
      <c r="D326" t="s">
        <v>90</v>
      </c>
      <c r="E326" s="39">
        <v>152</v>
      </c>
      <c r="F326" s="40">
        <v>34.1</v>
      </c>
      <c r="G326" s="42"/>
      <c r="H326" s="31"/>
      <c r="I326" s="28"/>
      <c r="J326"/>
      <c r="M326" s="3"/>
      <c r="N326"/>
      <c r="Q326" s="4"/>
      <c r="R326"/>
      <c r="S326" s="4"/>
      <c r="T326" s="3"/>
      <c r="V326"/>
    </row>
    <row r="327" spans="2:22" ht="18.75" customHeight="1" x14ac:dyDescent="0.25">
      <c r="B327" s="25">
        <v>1969</v>
      </c>
      <c r="C327" t="s">
        <v>157</v>
      </c>
      <c r="D327" t="s">
        <v>90</v>
      </c>
      <c r="E327" s="39">
        <v>156</v>
      </c>
      <c r="F327" s="40">
        <v>35.1</v>
      </c>
      <c r="G327" s="42"/>
      <c r="H327" s="31"/>
      <c r="I327" s="28"/>
      <c r="J327"/>
      <c r="M327" s="3"/>
      <c r="N327"/>
      <c r="Q327" s="4"/>
      <c r="R327"/>
      <c r="S327" s="4"/>
      <c r="T327" s="3"/>
      <c r="V327"/>
    </row>
    <row r="328" spans="2:22" ht="18.75" customHeight="1" x14ac:dyDescent="0.25">
      <c r="B328" s="25">
        <v>1969</v>
      </c>
      <c r="C328" t="s">
        <v>157</v>
      </c>
      <c r="D328" t="s">
        <v>90</v>
      </c>
      <c r="E328" s="39">
        <v>160</v>
      </c>
      <c r="F328" s="40">
        <v>41</v>
      </c>
      <c r="G328" s="42"/>
      <c r="H328" s="31"/>
      <c r="I328" s="28"/>
      <c r="J328"/>
      <c r="M328" s="3"/>
      <c r="N328"/>
      <c r="Q328" s="4"/>
      <c r="R328"/>
      <c r="S328" s="4"/>
      <c r="T328" s="3"/>
      <c r="V328"/>
    </row>
    <row r="329" spans="2:22" ht="18.75" customHeight="1" x14ac:dyDescent="0.25">
      <c r="J329"/>
      <c r="M329" s="3"/>
      <c r="N329"/>
      <c r="Q329" s="4"/>
      <c r="R329"/>
      <c r="S329" s="4"/>
      <c r="T329" s="3"/>
      <c r="V329"/>
    </row>
    <row r="330" spans="2:22" ht="18.75" customHeight="1" x14ac:dyDescent="0.25">
      <c r="J330"/>
      <c r="M330" s="3"/>
      <c r="N330"/>
      <c r="Q330" s="4"/>
      <c r="R330"/>
      <c r="S330" s="4"/>
      <c r="T330" s="3"/>
      <c r="V330"/>
    </row>
    <row r="331" spans="2:22" ht="18.75" customHeight="1" x14ac:dyDescent="0.25">
      <c r="J331"/>
      <c r="M331" s="3"/>
      <c r="N331"/>
      <c r="Q331" s="4"/>
      <c r="R331"/>
      <c r="S331" s="4"/>
      <c r="T331" s="3"/>
      <c r="V331"/>
    </row>
    <row r="332" spans="2:22" ht="18.75" customHeight="1" x14ac:dyDescent="0.25">
      <c r="J332"/>
      <c r="M332" s="3"/>
      <c r="N332"/>
      <c r="Q332" s="4"/>
      <c r="R332"/>
      <c r="S332" s="4"/>
      <c r="T332" s="3"/>
      <c r="V332"/>
    </row>
    <row r="333" spans="2:22" ht="18.75" customHeight="1" x14ac:dyDescent="0.25">
      <c r="J333"/>
      <c r="M333" s="3"/>
      <c r="N333"/>
      <c r="Q333" s="4"/>
      <c r="R333"/>
      <c r="S333" s="4"/>
      <c r="T333" s="3"/>
      <c r="V333"/>
    </row>
    <row r="334" spans="2:22" ht="18.75" customHeight="1" x14ac:dyDescent="0.25">
      <c r="J334"/>
      <c r="M334" s="3"/>
      <c r="N334"/>
      <c r="Q334" s="4"/>
      <c r="R334"/>
      <c r="S334" s="4"/>
      <c r="T334" s="3"/>
      <c r="V334"/>
    </row>
    <row r="335" spans="2:22" ht="18.75" customHeight="1" x14ac:dyDescent="0.25">
      <c r="J335"/>
      <c r="M335" s="3"/>
      <c r="N335"/>
      <c r="Q335" s="4"/>
      <c r="R335"/>
      <c r="S335" s="4"/>
      <c r="T335" s="3"/>
      <c r="V335"/>
    </row>
    <row r="336" spans="2:22" ht="18.75" customHeight="1" x14ac:dyDescent="0.25">
      <c r="J336"/>
      <c r="M336" s="3"/>
      <c r="N336"/>
      <c r="Q336" s="4"/>
      <c r="R336"/>
      <c r="S336" s="4"/>
      <c r="T336" s="3"/>
      <c r="V336"/>
    </row>
    <row r="337" spans="10:22" ht="18.75" customHeight="1" x14ac:dyDescent="0.25">
      <c r="J337"/>
      <c r="M337" s="3"/>
      <c r="N337"/>
      <c r="Q337" s="4"/>
      <c r="R337"/>
      <c r="S337" s="4"/>
      <c r="T337" s="3"/>
      <c r="V337"/>
    </row>
    <row r="338" spans="10:22" ht="18.75" customHeight="1" x14ac:dyDescent="0.25">
      <c r="J338"/>
      <c r="M338" s="3"/>
      <c r="N338"/>
      <c r="Q338" s="4"/>
      <c r="R338"/>
      <c r="S338" s="4"/>
      <c r="T338" s="3"/>
      <c r="V338"/>
    </row>
    <row r="339" spans="10:22" ht="18.75" customHeight="1" x14ac:dyDescent="0.25">
      <c r="J339"/>
      <c r="M339" s="3"/>
      <c r="N339"/>
      <c r="Q339" s="4"/>
      <c r="R339"/>
      <c r="S339" s="4"/>
      <c r="T339" s="3"/>
      <c r="V339"/>
    </row>
    <row r="340" spans="10:22" ht="18.75" customHeight="1" x14ac:dyDescent="0.25">
      <c r="J340"/>
      <c r="M340" s="3"/>
      <c r="N340"/>
      <c r="Q340" s="4"/>
      <c r="R340"/>
      <c r="S340" s="4"/>
      <c r="T340" s="3"/>
      <c r="V340"/>
    </row>
    <row r="341" spans="10:22" ht="18.75" customHeight="1" x14ac:dyDescent="0.25">
      <c r="J341"/>
      <c r="M341" s="3"/>
      <c r="N341"/>
      <c r="Q341" s="4"/>
      <c r="R341"/>
      <c r="S341" s="4"/>
      <c r="T341" s="3"/>
      <c r="V341"/>
    </row>
    <row r="342" spans="10:22" ht="18.75" customHeight="1" x14ac:dyDescent="0.25">
      <c r="J342"/>
      <c r="M342" s="3"/>
      <c r="N342"/>
      <c r="Q342" s="4"/>
      <c r="R342"/>
      <c r="S342" s="4"/>
      <c r="T342" s="3"/>
      <c r="V342"/>
    </row>
    <row r="343" spans="10:22" ht="18.75" customHeight="1" x14ac:dyDescent="0.25">
      <c r="J343"/>
      <c r="M343" s="3"/>
      <c r="N343"/>
      <c r="Q343" s="4"/>
      <c r="R343"/>
      <c r="S343" s="4"/>
      <c r="T343" s="3"/>
      <c r="V343"/>
    </row>
    <row r="344" spans="10:22" ht="18.75" customHeight="1" x14ac:dyDescent="0.25">
      <c r="J344"/>
      <c r="M344" s="3"/>
      <c r="N344"/>
      <c r="Q344" s="4"/>
      <c r="R344"/>
      <c r="S344" s="4"/>
      <c r="T344" s="3"/>
      <c r="V344"/>
    </row>
    <row r="345" spans="10:22" ht="18.75" customHeight="1" x14ac:dyDescent="0.25">
      <c r="J345"/>
      <c r="M345" s="3"/>
      <c r="N345"/>
      <c r="Q345" s="4"/>
      <c r="R345"/>
      <c r="S345" s="4"/>
      <c r="T345" s="3"/>
      <c r="V345"/>
    </row>
    <row r="346" spans="10:22" ht="18.75" customHeight="1" x14ac:dyDescent="0.25">
      <c r="J346"/>
      <c r="M346" s="3"/>
      <c r="N346"/>
      <c r="Q346" s="4"/>
      <c r="R346"/>
      <c r="S346" s="4"/>
      <c r="T346" s="3"/>
      <c r="V346"/>
    </row>
    <row r="347" spans="10:22" ht="18.75" customHeight="1" x14ac:dyDescent="0.25">
      <c r="J347"/>
      <c r="M347" s="3"/>
      <c r="N347"/>
      <c r="Q347" s="4"/>
      <c r="R347"/>
      <c r="S347" s="4"/>
      <c r="T347" s="3"/>
      <c r="V347"/>
    </row>
    <row r="348" spans="10:22" ht="18.75" customHeight="1" x14ac:dyDescent="0.25">
      <c r="J348"/>
      <c r="M348" s="3"/>
      <c r="N348"/>
      <c r="Q348" s="4"/>
      <c r="R348"/>
      <c r="S348" s="4"/>
      <c r="T348" s="3"/>
      <c r="V348"/>
    </row>
    <row r="349" spans="10:22" ht="18.75" customHeight="1" x14ac:dyDescent="0.25">
      <c r="J349"/>
      <c r="M349" s="3"/>
      <c r="N349"/>
      <c r="Q349" s="4"/>
      <c r="R349"/>
      <c r="S349" s="4"/>
      <c r="T349" s="3"/>
      <c r="V349"/>
    </row>
    <row r="350" spans="10:22" ht="18.75" customHeight="1" x14ac:dyDescent="0.25">
      <c r="J350"/>
      <c r="M350" s="3"/>
      <c r="N350"/>
      <c r="Q350" s="4"/>
      <c r="R350"/>
      <c r="S350" s="4"/>
      <c r="T350" s="3"/>
      <c r="V350"/>
    </row>
    <row r="351" spans="10:22" ht="18.75" customHeight="1" x14ac:dyDescent="0.25">
      <c r="J351"/>
      <c r="M351" s="3"/>
      <c r="N351"/>
      <c r="Q351" s="4"/>
      <c r="R351"/>
      <c r="S351" s="4"/>
      <c r="T351" s="3"/>
      <c r="V351"/>
    </row>
    <row r="352" spans="10:22" ht="18.75" customHeight="1" x14ac:dyDescent="0.25">
      <c r="J352"/>
      <c r="M352" s="3"/>
      <c r="N352"/>
      <c r="Q352" s="4"/>
      <c r="R352"/>
      <c r="S352" s="4"/>
      <c r="T352" s="3"/>
      <c r="V352"/>
    </row>
    <row r="353" spans="10:22" ht="18.75" customHeight="1" x14ac:dyDescent="0.25">
      <c r="J353"/>
      <c r="M353" s="3"/>
      <c r="N353"/>
      <c r="Q353" s="4"/>
      <c r="R353"/>
      <c r="S353" s="4"/>
      <c r="T353" s="3"/>
      <c r="V353"/>
    </row>
    <row r="354" spans="10:22" ht="18.75" customHeight="1" x14ac:dyDescent="0.25">
      <c r="J354"/>
      <c r="M354" s="3"/>
      <c r="N354"/>
      <c r="Q354" s="4"/>
      <c r="R354"/>
      <c r="S354" s="4"/>
      <c r="T354" s="3"/>
      <c r="V354"/>
    </row>
    <row r="355" spans="10:22" ht="18.75" customHeight="1" x14ac:dyDescent="0.25">
      <c r="J355"/>
      <c r="M355" s="3"/>
      <c r="N355"/>
      <c r="Q355" s="4"/>
      <c r="R355"/>
      <c r="S355" s="4"/>
      <c r="T355" s="3"/>
      <c r="V355"/>
    </row>
    <row r="356" spans="10:22" ht="18.75" customHeight="1" x14ac:dyDescent="0.25">
      <c r="J356"/>
      <c r="M356" s="3"/>
      <c r="N356"/>
      <c r="Q356" s="4"/>
      <c r="R356"/>
      <c r="S356" s="4"/>
      <c r="T356" s="3"/>
      <c r="V356"/>
    </row>
    <row r="357" spans="10:22" ht="18.75" customHeight="1" x14ac:dyDescent="0.25">
      <c r="J357"/>
      <c r="M357" s="3"/>
      <c r="N357"/>
      <c r="Q357" s="4"/>
      <c r="R357"/>
      <c r="S357" s="4"/>
      <c r="T357" s="3"/>
      <c r="V357"/>
    </row>
    <row r="358" spans="10:22" ht="18.75" customHeight="1" x14ac:dyDescent="0.25">
      <c r="J358"/>
      <c r="M358" s="3"/>
      <c r="N358"/>
      <c r="Q358" s="4"/>
      <c r="R358"/>
      <c r="S358" s="4"/>
      <c r="T358" s="3"/>
      <c r="V358"/>
    </row>
    <row r="359" spans="10:22" ht="18.75" customHeight="1" x14ac:dyDescent="0.25">
      <c r="J359"/>
      <c r="M359" s="3"/>
      <c r="N359"/>
      <c r="Q359" s="4"/>
      <c r="R359"/>
      <c r="S359" s="4"/>
      <c r="T359" s="3"/>
      <c r="V359"/>
    </row>
    <row r="360" spans="10:22" ht="18.75" customHeight="1" x14ac:dyDescent="0.25">
      <c r="J360"/>
      <c r="M360" s="3"/>
      <c r="N360"/>
      <c r="Q360" s="4"/>
      <c r="R360"/>
      <c r="S360" s="4"/>
      <c r="T360" s="3"/>
      <c r="V360"/>
    </row>
    <row r="361" spans="10:22" ht="18.75" customHeight="1" x14ac:dyDescent="0.25">
      <c r="J361"/>
      <c r="M361" s="3"/>
      <c r="N361"/>
      <c r="Q361" s="4"/>
      <c r="R361"/>
      <c r="S361" s="4"/>
      <c r="T361" s="3"/>
      <c r="V361"/>
    </row>
    <row r="362" spans="10:22" ht="18.75" customHeight="1" x14ac:dyDescent="0.25">
      <c r="J362"/>
      <c r="M362" s="3"/>
      <c r="N362"/>
      <c r="Q362" s="4"/>
      <c r="R362"/>
      <c r="S362" s="4"/>
      <c r="T362" s="3"/>
      <c r="V362"/>
    </row>
    <row r="363" spans="10:22" ht="18.75" customHeight="1" x14ac:dyDescent="0.25">
      <c r="J363"/>
      <c r="M363" s="3"/>
      <c r="N363"/>
      <c r="Q363" s="4"/>
      <c r="R363"/>
      <c r="S363" s="4"/>
      <c r="T363" s="3"/>
      <c r="V363"/>
    </row>
    <row r="364" spans="10:22" ht="18.75" customHeight="1" x14ac:dyDescent="0.25">
      <c r="J364"/>
      <c r="M364" s="3"/>
      <c r="N364"/>
      <c r="Q364" s="4"/>
      <c r="R364"/>
      <c r="S364" s="4"/>
      <c r="T364" s="3"/>
      <c r="V364"/>
    </row>
    <row r="365" spans="10:22" ht="18.75" customHeight="1" x14ac:dyDescent="0.25">
      <c r="J365"/>
      <c r="M365" s="3"/>
      <c r="N365"/>
      <c r="Q365" s="4"/>
      <c r="R365"/>
      <c r="S365" s="4"/>
      <c r="T365" s="3"/>
      <c r="V365"/>
    </row>
    <row r="366" spans="10:22" ht="18.75" customHeight="1" x14ac:dyDescent="0.25">
      <c r="J366"/>
      <c r="M366" s="3"/>
      <c r="N366"/>
      <c r="Q366" s="4"/>
      <c r="R366"/>
      <c r="S366" s="4"/>
      <c r="T366" s="3"/>
      <c r="V366"/>
    </row>
    <row r="367" spans="10:22" ht="18.75" customHeight="1" x14ac:dyDescent="0.25">
      <c r="J367"/>
      <c r="M367" s="3"/>
      <c r="N367"/>
      <c r="Q367" s="4"/>
      <c r="R367"/>
      <c r="S367" s="4"/>
      <c r="T367" s="3"/>
      <c r="V367"/>
    </row>
    <row r="368" spans="10:22" ht="18.75" customHeight="1" x14ac:dyDescent="0.25">
      <c r="J368"/>
      <c r="M368" s="3"/>
      <c r="N368"/>
      <c r="Q368" s="4"/>
      <c r="R368"/>
      <c r="S368" s="4"/>
      <c r="T368" s="3"/>
      <c r="V368"/>
    </row>
    <row r="369" spans="10:22" ht="18.75" customHeight="1" x14ac:dyDescent="0.25">
      <c r="J369"/>
      <c r="M369" s="3"/>
      <c r="N369"/>
      <c r="Q369" s="4"/>
      <c r="R369"/>
      <c r="S369" s="4"/>
      <c r="T369" s="3"/>
      <c r="V369"/>
    </row>
    <row r="370" spans="10:22" ht="18.75" customHeight="1" x14ac:dyDescent="0.25">
      <c r="J370"/>
      <c r="M370" s="3"/>
      <c r="N370"/>
      <c r="Q370" s="4"/>
      <c r="R370"/>
      <c r="S370" s="4"/>
      <c r="T370" s="3"/>
      <c r="V370"/>
    </row>
    <row r="371" spans="10:22" ht="18.75" customHeight="1" x14ac:dyDescent="0.25">
      <c r="J371"/>
      <c r="M371" s="3"/>
      <c r="N371"/>
      <c r="Q371" s="4"/>
      <c r="R371"/>
      <c r="S371" s="4"/>
      <c r="T371" s="3"/>
      <c r="V371"/>
    </row>
    <row r="372" spans="10:22" ht="18.75" customHeight="1" x14ac:dyDescent="0.25">
      <c r="J372"/>
      <c r="M372" s="3"/>
      <c r="N372"/>
      <c r="Q372" s="4"/>
      <c r="R372"/>
      <c r="S372" s="4"/>
      <c r="T372" s="3"/>
      <c r="V372"/>
    </row>
    <row r="373" spans="10:22" ht="18.75" customHeight="1" x14ac:dyDescent="0.25"/>
  </sheetData>
  <conditionalFormatting sqref="D1:D237 D244:D1048576">
    <cfRule type="cellIs" dxfId="9" priority="6" operator="equal">
      <formula>"krypton"</formula>
    </cfRule>
  </conditionalFormatting>
  <conditionalFormatting sqref="D3:D237 D244:D328">
    <cfRule type="cellIs" dxfId="8" priority="3" operator="equal">
      <formula>"neon"</formula>
    </cfRule>
  </conditionalFormatting>
  <conditionalFormatting sqref="D3:D328">
    <cfRule type="cellIs" dxfId="7" priority="1" operator="equal">
      <formula>"xenon"</formula>
    </cfRule>
    <cfRule type="cellIs" dxfId="6" priority="2" operator="equal">
      <formula>"krypton"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outlinePr summaryBelow="0"/>
  </sheetPr>
  <dimension ref="B1:L343"/>
  <sheetViews>
    <sheetView topLeftCell="C126" zoomScale="130" zoomScaleNormal="130" workbookViewId="0">
      <selection activeCell="F127" sqref="F127"/>
    </sheetView>
  </sheetViews>
  <sheetFormatPr defaultRowHeight="15" x14ac:dyDescent="0.25"/>
  <cols>
    <col min="1" max="1" width="13.5703125" bestFit="1" customWidth="1"/>
    <col min="2" max="2" width="7.140625" style="4" bestFit="1" customWidth="1"/>
    <col min="3" max="3" width="13.42578125" bestFit="1" customWidth="1"/>
    <col min="4" max="4" width="9.140625" bestFit="1" customWidth="1"/>
    <col min="5" max="5" width="28.140625" style="9" bestFit="1" customWidth="1"/>
    <col min="6" max="6" width="21.42578125" bestFit="1" customWidth="1"/>
    <col min="7" max="7" width="20.7109375" style="3" bestFit="1" customWidth="1"/>
    <col min="8" max="8" width="20.28515625" style="3" bestFit="1" customWidth="1"/>
    <col min="9" max="9" width="21.5703125" bestFit="1" customWidth="1"/>
    <col min="10" max="10" width="25" bestFit="1" customWidth="1"/>
    <col min="11" max="11" width="22" bestFit="1" customWidth="1"/>
    <col min="12" max="12" width="21.42578125" bestFit="1" customWidth="1"/>
  </cols>
  <sheetData>
    <row r="1" spans="2:12" ht="18.75" customHeight="1" x14ac:dyDescent="0.25"/>
    <row r="2" spans="2:12" ht="18.75" customHeight="1" x14ac:dyDescent="0.25">
      <c r="B2" s="4" t="s">
        <v>82</v>
      </c>
      <c r="C2" t="s">
        <v>83</v>
      </c>
      <c r="D2" t="s">
        <v>84</v>
      </c>
      <c r="E2" s="10" t="s">
        <v>85</v>
      </c>
      <c r="F2" t="s">
        <v>131</v>
      </c>
      <c r="G2" s="11" t="s">
        <v>86</v>
      </c>
      <c r="H2" s="3" t="s">
        <v>132</v>
      </c>
      <c r="I2" t="s">
        <v>133</v>
      </c>
      <c r="J2" t="s">
        <v>134</v>
      </c>
      <c r="K2" t="s">
        <v>135</v>
      </c>
      <c r="L2" t="s">
        <v>136</v>
      </c>
    </row>
    <row r="3" spans="2:12" ht="18.75" customHeight="1" x14ac:dyDescent="0.25">
      <c r="B3" s="6">
        <v>1962</v>
      </c>
      <c r="C3" t="s">
        <v>137</v>
      </c>
      <c r="D3" t="s">
        <v>88</v>
      </c>
      <c r="E3" s="12">
        <v>115.893</v>
      </c>
      <c r="G3" s="5">
        <v>5.5</v>
      </c>
      <c r="H3" s="5"/>
    </row>
    <row r="4" spans="2:12" ht="18.75" customHeight="1" x14ac:dyDescent="0.25">
      <c r="B4" s="6">
        <v>1962</v>
      </c>
      <c r="C4" t="s">
        <v>137</v>
      </c>
      <c r="D4" t="s">
        <v>88</v>
      </c>
      <c r="E4" s="12">
        <v>116.352</v>
      </c>
      <c r="G4" s="5">
        <v>20.72</v>
      </c>
      <c r="H4" s="5"/>
    </row>
    <row r="5" spans="2:12" ht="18.75" customHeight="1" x14ac:dyDescent="0.25">
      <c r="B5" s="6">
        <v>1962</v>
      </c>
      <c r="C5" t="s">
        <v>137</v>
      </c>
      <c r="D5" t="s">
        <v>88</v>
      </c>
      <c r="E5" s="12">
        <v>116.69</v>
      </c>
      <c r="G5" s="5">
        <v>41.01</v>
      </c>
      <c r="H5" s="5"/>
    </row>
    <row r="6" spans="2:12" ht="18.75" customHeight="1" x14ac:dyDescent="0.25">
      <c r="B6" s="6">
        <v>1962</v>
      </c>
      <c r="C6" t="s">
        <v>137</v>
      </c>
      <c r="D6" t="s">
        <v>88</v>
      </c>
      <c r="E6" s="12">
        <v>118.19799999999999</v>
      </c>
      <c r="G6" s="5">
        <v>81.56</v>
      </c>
      <c r="H6" s="5"/>
    </row>
    <row r="7" spans="2:12" ht="18.75" customHeight="1" x14ac:dyDescent="0.25">
      <c r="B7" s="6">
        <v>1962</v>
      </c>
      <c r="C7" t="s">
        <v>137</v>
      </c>
      <c r="D7" t="s">
        <v>88</v>
      </c>
      <c r="E7" s="12">
        <v>119.069</v>
      </c>
      <c r="G7" s="5">
        <v>110.52</v>
      </c>
      <c r="H7" s="5"/>
    </row>
    <row r="8" spans="2:12" ht="18.75" customHeight="1" x14ac:dyDescent="0.25">
      <c r="B8" s="6">
        <v>1962</v>
      </c>
      <c r="C8" t="s">
        <v>137</v>
      </c>
      <c r="D8" t="s">
        <v>88</v>
      </c>
      <c r="E8" s="12">
        <v>120.08799999999999</v>
      </c>
      <c r="G8" s="5">
        <v>144.55000000000001</v>
      </c>
      <c r="H8" s="5"/>
    </row>
    <row r="9" spans="2:12" ht="18.75" customHeight="1" x14ac:dyDescent="0.25">
      <c r="B9" s="6">
        <v>1962</v>
      </c>
      <c r="C9" t="s">
        <v>137</v>
      </c>
      <c r="D9" t="s">
        <v>88</v>
      </c>
      <c r="E9" s="12">
        <v>123.479</v>
      </c>
      <c r="G9" s="5">
        <v>259.26</v>
      </c>
      <c r="H9" s="5"/>
    </row>
    <row r="10" spans="2:12" ht="18.75" customHeight="1" x14ac:dyDescent="0.25">
      <c r="B10" s="6">
        <v>1962</v>
      </c>
      <c r="C10" t="s">
        <v>137</v>
      </c>
      <c r="D10" t="s">
        <v>88</v>
      </c>
      <c r="E10" s="12">
        <v>127.739</v>
      </c>
      <c r="G10" s="5">
        <v>405.91</v>
      </c>
      <c r="H10" s="5"/>
    </row>
    <row r="11" spans="2:12" ht="18.75" customHeight="1" x14ac:dyDescent="0.25">
      <c r="B11" s="6">
        <v>1962</v>
      </c>
      <c r="C11" t="s">
        <v>137</v>
      </c>
      <c r="D11" t="s">
        <v>88</v>
      </c>
      <c r="E11" s="12">
        <v>133.161</v>
      </c>
      <c r="G11" s="5">
        <v>597.39</v>
      </c>
      <c r="H11" s="5"/>
    </row>
    <row r="12" spans="2:12" ht="18.75" customHeight="1" x14ac:dyDescent="0.25">
      <c r="B12" s="6">
        <v>1962</v>
      </c>
      <c r="C12" t="s">
        <v>137</v>
      </c>
      <c r="D12" t="s">
        <v>88</v>
      </c>
      <c r="E12" s="12">
        <v>138.59800000000001</v>
      </c>
      <c r="G12" s="5">
        <v>794.09</v>
      </c>
      <c r="H12" s="5"/>
    </row>
    <row r="13" spans="2:12" ht="18.75" customHeight="1" x14ac:dyDescent="0.25">
      <c r="B13" s="6">
        <v>1962</v>
      </c>
      <c r="C13" t="s">
        <v>137</v>
      </c>
      <c r="D13" t="s">
        <v>88</v>
      </c>
      <c r="E13" s="12">
        <v>143.739</v>
      </c>
      <c r="G13" s="5">
        <v>984.47</v>
      </c>
      <c r="H13" s="5"/>
    </row>
    <row r="14" spans="2:12" ht="18.75" customHeight="1" x14ac:dyDescent="0.25">
      <c r="B14" s="6">
        <v>1962</v>
      </c>
      <c r="C14" t="s">
        <v>137</v>
      </c>
      <c r="D14" t="s">
        <v>88</v>
      </c>
      <c r="E14" s="12">
        <v>147.566</v>
      </c>
      <c r="G14" s="5">
        <v>1129.18</v>
      </c>
      <c r="H14" s="5"/>
    </row>
    <row r="15" spans="2:12" ht="18.75" customHeight="1" x14ac:dyDescent="0.25">
      <c r="B15" s="6">
        <v>1962</v>
      </c>
      <c r="C15" t="s">
        <v>137</v>
      </c>
      <c r="D15" t="s">
        <v>88</v>
      </c>
      <c r="E15" s="12">
        <v>150.76499999999999</v>
      </c>
      <c r="G15" s="5">
        <v>1251.5899999999999</v>
      </c>
      <c r="H15" s="5"/>
    </row>
    <row r="16" spans="2:12" ht="18.75" customHeight="1" x14ac:dyDescent="0.25">
      <c r="B16" s="6">
        <v>1962</v>
      </c>
      <c r="C16" t="s">
        <v>137</v>
      </c>
      <c r="D16" t="s">
        <v>88</v>
      </c>
      <c r="E16" s="12">
        <v>153.911</v>
      </c>
      <c r="G16" s="5">
        <v>1373.92</v>
      </c>
      <c r="H16" s="5"/>
    </row>
    <row r="17" spans="2:8" ht="18.75" customHeight="1" x14ac:dyDescent="0.25">
      <c r="B17" s="6">
        <v>1962</v>
      </c>
      <c r="C17" t="s">
        <v>137</v>
      </c>
      <c r="D17" t="s">
        <v>88</v>
      </c>
      <c r="E17" s="12">
        <v>157.03299999999999</v>
      </c>
      <c r="G17" s="5">
        <v>1496.25</v>
      </c>
      <c r="H17" s="5"/>
    </row>
    <row r="18" spans="2:8" ht="18.75" customHeight="1" x14ac:dyDescent="0.25">
      <c r="B18" s="6">
        <v>1962</v>
      </c>
      <c r="C18" t="s">
        <v>137</v>
      </c>
      <c r="D18" t="s">
        <v>90</v>
      </c>
      <c r="E18" s="12">
        <v>161.554</v>
      </c>
      <c r="G18" s="5">
        <v>5.53</v>
      </c>
      <c r="H18" s="5"/>
    </row>
    <row r="19" spans="2:8" ht="18.75" customHeight="1" x14ac:dyDescent="0.25">
      <c r="B19" s="6">
        <v>1962</v>
      </c>
      <c r="C19" t="s">
        <v>137</v>
      </c>
      <c r="D19" t="s">
        <v>90</v>
      </c>
      <c r="E19" s="12">
        <v>162.43899999999999</v>
      </c>
      <c r="G19" s="5">
        <v>27.49</v>
      </c>
      <c r="H19" s="5"/>
    </row>
    <row r="20" spans="2:8" ht="18.75" customHeight="1" x14ac:dyDescent="0.25">
      <c r="B20" s="6">
        <v>1962</v>
      </c>
      <c r="C20" t="s">
        <v>137</v>
      </c>
      <c r="D20" t="s">
        <v>90</v>
      </c>
      <c r="E20" s="12">
        <v>163.375</v>
      </c>
      <c r="G20" s="5">
        <v>50.82</v>
      </c>
      <c r="H20" s="5"/>
    </row>
    <row r="21" spans="2:8" ht="18.75" customHeight="1" x14ac:dyDescent="0.25">
      <c r="B21" s="6">
        <v>1962</v>
      </c>
      <c r="C21" t="s">
        <v>137</v>
      </c>
      <c r="D21" t="s">
        <v>90</v>
      </c>
      <c r="E21" s="12">
        <v>164.17099999999999</v>
      </c>
      <c r="G21" s="5">
        <v>70.95</v>
      </c>
      <c r="H21" s="5"/>
    </row>
    <row r="22" spans="2:8" ht="18.75" customHeight="1" x14ac:dyDescent="0.25">
      <c r="B22" s="6">
        <v>1962</v>
      </c>
      <c r="C22" t="s">
        <v>137</v>
      </c>
      <c r="D22" t="s">
        <v>90</v>
      </c>
      <c r="E22" s="12">
        <v>167.154</v>
      </c>
      <c r="G22" s="5">
        <v>147.31</v>
      </c>
      <c r="H22" s="5"/>
    </row>
    <row r="23" spans="2:8" ht="18.75" customHeight="1" x14ac:dyDescent="0.25">
      <c r="B23" s="6">
        <v>1962</v>
      </c>
      <c r="C23" t="s">
        <v>137</v>
      </c>
      <c r="D23" t="s">
        <v>90</v>
      </c>
      <c r="E23" s="12">
        <v>171.45500000000001</v>
      </c>
      <c r="G23" s="5">
        <v>259.23</v>
      </c>
      <c r="H23" s="5"/>
    </row>
    <row r="24" spans="2:8" ht="18.75" customHeight="1" x14ac:dyDescent="0.25">
      <c r="B24" s="6">
        <v>1962</v>
      </c>
      <c r="C24" t="s">
        <v>137</v>
      </c>
      <c r="D24" t="s">
        <v>90</v>
      </c>
      <c r="E24" s="12">
        <v>176.97800000000001</v>
      </c>
      <c r="G24" s="5">
        <v>405.89</v>
      </c>
      <c r="H24" s="5"/>
    </row>
    <row r="25" spans="2:8" ht="18.75" customHeight="1" x14ac:dyDescent="0.25">
      <c r="B25" s="6">
        <v>1962</v>
      </c>
      <c r="C25" t="s">
        <v>137</v>
      </c>
      <c r="D25" t="s">
        <v>90</v>
      </c>
      <c r="E25" s="12">
        <v>184.00399999999999</v>
      </c>
      <c r="G25" s="5">
        <v>596.25</v>
      </c>
      <c r="H25" s="5"/>
    </row>
    <row r="26" spans="2:8" ht="18.75" customHeight="1" x14ac:dyDescent="0.25">
      <c r="B26" s="6">
        <v>1962</v>
      </c>
      <c r="C26" t="s">
        <v>137</v>
      </c>
      <c r="D26" t="s">
        <v>90</v>
      </c>
      <c r="E26" s="12">
        <v>191.14400000000001</v>
      </c>
      <c r="G26" s="5">
        <v>794.08</v>
      </c>
      <c r="H26" s="5"/>
    </row>
    <row r="27" spans="2:8" ht="18.75" customHeight="1" x14ac:dyDescent="0.25">
      <c r="B27" s="6">
        <v>1962</v>
      </c>
      <c r="C27" t="s">
        <v>137</v>
      </c>
      <c r="D27" t="s">
        <v>90</v>
      </c>
      <c r="E27" s="12">
        <v>197.86799999999999</v>
      </c>
      <c r="G27" s="5">
        <v>984.49</v>
      </c>
      <c r="H27" s="5"/>
    </row>
    <row r="28" spans="2:8" ht="18.75" customHeight="1" x14ac:dyDescent="0.25">
      <c r="B28" s="6">
        <v>1962</v>
      </c>
      <c r="C28" t="s">
        <v>137</v>
      </c>
      <c r="D28" t="s">
        <v>90</v>
      </c>
      <c r="E28" s="12">
        <v>203</v>
      </c>
      <c r="G28" s="5">
        <v>1132.2</v>
      </c>
      <c r="H28" s="5"/>
    </row>
    <row r="29" spans="2:8" ht="18.75" customHeight="1" x14ac:dyDescent="0.25">
      <c r="B29" s="6">
        <v>1962</v>
      </c>
      <c r="C29" t="s">
        <v>137</v>
      </c>
      <c r="D29" t="s">
        <v>90</v>
      </c>
      <c r="E29" s="12">
        <v>207.20500000000001</v>
      </c>
      <c r="G29" s="5">
        <v>1255.18</v>
      </c>
      <c r="H29" s="5"/>
    </row>
    <row r="30" spans="2:8" ht="18.75" customHeight="1" x14ac:dyDescent="0.25">
      <c r="B30" s="6">
        <v>1962</v>
      </c>
      <c r="C30" t="s">
        <v>137</v>
      </c>
      <c r="D30" t="s">
        <v>90</v>
      </c>
      <c r="E30" s="12">
        <v>211.142</v>
      </c>
      <c r="G30" s="5">
        <v>1371.51</v>
      </c>
      <c r="H30" s="5"/>
    </row>
    <row r="31" spans="2:8" ht="18.75" customHeight="1" x14ac:dyDescent="0.25">
      <c r="B31" s="6">
        <v>1962</v>
      </c>
      <c r="C31" t="s">
        <v>137</v>
      </c>
      <c r="D31" t="s">
        <v>90</v>
      </c>
      <c r="E31" s="12">
        <v>215.26400000000001</v>
      </c>
      <c r="G31" s="5">
        <v>1494.53</v>
      </c>
      <c r="H31" s="5"/>
    </row>
    <row r="32" spans="2:8" ht="18.75" customHeight="1" x14ac:dyDescent="0.25">
      <c r="B32" s="6">
        <v>1960</v>
      </c>
      <c r="C32" t="s">
        <v>138</v>
      </c>
      <c r="D32" t="s">
        <v>88</v>
      </c>
      <c r="E32" s="12">
        <v>120.3</v>
      </c>
      <c r="G32" s="5">
        <v>184</v>
      </c>
      <c r="H32" s="5"/>
    </row>
    <row r="33" spans="2:8" ht="18.75" customHeight="1" x14ac:dyDescent="0.25">
      <c r="B33" s="6">
        <v>1960</v>
      </c>
      <c r="C33" t="s">
        <v>138</v>
      </c>
      <c r="D33" t="s">
        <v>88</v>
      </c>
      <c r="E33" s="12">
        <v>122.7</v>
      </c>
      <c r="G33" s="5">
        <v>271</v>
      </c>
      <c r="H33" s="5"/>
    </row>
    <row r="34" spans="2:8" ht="18.75" customHeight="1" x14ac:dyDescent="0.25">
      <c r="B34" s="6">
        <v>1960</v>
      </c>
      <c r="C34" t="s">
        <v>138</v>
      </c>
      <c r="D34" t="s">
        <v>88</v>
      </c>
      <c r="E34" s="12">
        <v>125.9</v>
      </c>
      <c r="G34" s="5">
        <v>369</v>
      </c>
      <c r="H34" s="5"/>
    </row>
    <row r="35" spans="2:8" ht="18.75" customHeight="1" x14ac:dyDescent="0.25">
      <c r="B35" s="6">
        <v>1960</v>
      </c>
      <c r="C35" t="s">
        <v>138</v>
      </c>
      <c r="D35" t="s">
        <v>88</v>
      </c>
      <c r="E35" s="12">
        <v>129.4</v>
      </c>
      <c r="G35" s="5">
        <v>485</v>
      </c>
      <c r="H35" s="5"/>
    </row>
    <row r="36" spans="2:8" ht="18.75" customHeight="1" x14ac:dyDescent="0.25">
      <c r="B36" s="6">
        <v>1960</v>
      </c>
      <c r="C36" t="s">
        <v>138</v>
      </c>
      <c r="D36" t="s">
        <v>88</v>
      </c>
      <c r="E36" s="12">
        <v>133</v>
      </c>
      <c r="G36" s="5">
        <v>608</v>
      </c>
      <c r="H36" s="5"/>
    </row>
    <row r="37" spans="2:8" ht="18.75" customHeight="1" x14ac:dyDescent="0.25">
      <c r="B37" s="6">
        <v>1960</v>
      </c>
      <c r="C37" t="s">
        <v>138</v>
      </c>
      <c r="D37" t="s">
        <v>88</v>
      </c>
      <c r="E37" s="12">
        <v>135.30000000000001</v>
      </c>
      <c r="G37" s="5">
        <v>702</v>
      </c>
      <c r="H37" s="5"/>
    </row>
    <row r="38" spans="2:8" ht="18.75" customHeight="1" x14ac:dyDescent="0.25">
      <c r="B38" s="6">
        <v>1960</v>
      </c>
      <c r="C38" t="s">
        <v>138</v>
      </c>
      <c r="D38" t="s">
        <v>88</v>
      </c>
      <c r="E38" s="12">
        <v>142.6</v>
      </c>
      <c r="G38" s="5">
        <v>970</v>
      </c>
      <c r="H38" s="5"/>
    </row>
    <row r="39" spans="2:8" ht="18.75" customHeight="1" x14ac:dyDescent="0.25">
      <c r="B39" s="6">
        <v>1960</v>
      </c>
      <c r="C39" t="s">
        <v>138</v>
      </c>
      <c r="D39" t="s">
        <v>88</v>
      </c>
      <c r="E39" s="12">
        <v>150.69999999999999</v>
      </c>
      <c r="G39" s="5">
        <v>1275</v>
      </c>
      <c r="H39" s="5"/>
    </row>
    <row r="40" spans="2:8" ht="18.75" customHeight="1" x14ac:dyDescent="0.25">
      <c r="B40" s="6">
        <v>1960</v>
      </c>
      <c r="C40" t="s">
        <v>138</v>
      </c>
      <c r="D40" t="s">
        <v>88</v>
      </c>
      <c r="E40" s="12">
        <v>156.9</v>
      </c>
      <c r="G40" s="5">
        <v>1520</v>
      </c>
      <c r="H40" s="5"/>
    </row>
    <row r="41" spans="2:8" ht="18.75" customHeight="1" x14ac:dyDescent="0.25">
      <c r="B41" s="6">
        <v>1960</v>
      </c>
      <c r="C41" t="s">
        <v>138</v>
      </c>
      <c r="D41" t="s">
        <v>88</v>
      </c>
      <c r="E41" s="12">
        <v>159.30000000000001</v>
      </c>
      <c r="G41" s="5">
        <v>1612</v>
      </c>
      <c r="H41" s="5"/>
    </row>
    <row r="42" spans="2:8" ht="18.75" customHeight="1" x14ac:dyDescent="0.25">
      <c r="B42" s="6">
        <v>1960</v>
      </c>
      <c r="C42" t="s">
        <v>138</v>
      </c>
      <c r="D42" t="s">
        <v>88</v>
      </c>
      <c r="E42" s="12">
        <v>164.8</v>
      </c>
      <c r="G42" s="5">
        <v>1831</v>
      </c>
      <c r="H42" s="5"/>
    </row>
    <row r="43" spans="2:8" ht="18.75" customHeight="1" x14ac:dyDescent="0.25">
      <c r="B43" s="6">
        <v>1960</v>
      </c>
      <c r="C43" t="s">
        <v>138</v>
      </c>
      <c r="D43" t="s">
        <v>88</v>
      </c>
      <c r="E43" s="12">
        <v>170.6</v>
      </c>
      <c r="G43" s="5">
        <v>2060</v>
      </c>
      <c r="H43" s="5"/>
    </row>
    <row r="44" spans="2:8" ht="18.75" customHeight="1" x14ac:dyDescent="0.25">
      <c r="B44" s="6">
        <v>1960</v>
      </c>
      <c r="C44" t="s">
        <v>138</v>
      </c>
      <c r="D44" t="s">
        <v>88</v>
      </c>
      <c r="E44" s="12">
        <v>173.3</v>
      </c>
      <c r="G44" s="5">
        <v>2182</v>
      </c>
      <c r="H44" s="5"/>
    </row>
    <row r="45" spans="2:8" ht="18.75" customHeight="1" x14ac:dyDescent="0.25">
      <c r="B45" s="6">
        <v>1960</v>
      </c>
      <c r="C45" t="s">
        <v>138</v>
      </c>
      <c r="D45" t="s">
        <v>88</v>
      </c>
      <c r="E45" s="12">
        <v>178.7</v>
      </c>
      <c r="G45" s="5">
        <v>2405</v>
      </c>
      <c r="H45" s="5"/>
    </row>
    <row r="46" spans="2:8" ht="18.75" customHeight="1" x14ac:dyDescent="0.25">
      <c r="B46" s="6">
        <v>1960</v>
      </c>
      <c r="C46" t="s">
        <v>138</v>
      </c>
      <c r="D46" t="s">
        <v>88</v>
      </c>
      <c r="E46" s="12">
        <v>185.5</v>
      </c>
      <c r="G46" s="5">
        <v>2692</v>
      </c>
      <c r="H46" s="5"/>
    </row>
    <row r="47" spans="2:8" ht="18.75" customHeight="1" x14ac:dyDescent="0.25">
      <c r="B47" s="6">
        <v>1960</v>
      </c>
      <c r="C47" t="s">
        <v>138</v>
      </c>
      <c r="D47" t="s">
        <v>88</v>
      </c>
      <c r="E47" s="12">
        <v>192.6</v>
      </c>
      <c r="G47" s="5">
        <v>2981</v>
      </c>
      <c r="H47" s="5"/>
    </row>
    <row r="48" spans="2:8" ht="18.75" customHeight="1" x14ac:dyDescent="0.25">
      <c r="B48" s="6">
        <v>1960</v>
      </c>
      <c r="C48" t="s">
        <v>138</v>
      </c>
      <c r="D48" t="s">
        <v>90</v>
      </c>
      <c r="E48" s="12">
        <v>165.2</v>
      </c>
      <c r="G48" s="5">
        <v>126</v>
      </c>
      <c r="H48" s="5"/>
    </row>
    <row r="49" spans="2:8" ht="18.75" customHeight="1" x14ac:dyDescent="0.25">
      <c r="B49" s="6">
        <v>1960</v>
      </c>
      <c r="C49" t="s">
        <v>138</v>
      </c>
      <c r="D49" t="s">
        <v>90</v>
      </c>
      <c r="E49" s="12">
        <v>168</v>
      </c>
      <c r="G49" s="5">
        <v>184</v>
      </c>
      <c r="H49" s="5"/>
    </row>
    <row r="50" spans="2:8" ht="18.75" customHeight="1" x14ac:dyDescent="0.25">
      <c r="B50" s="6">
        <v>1960</v>
      </c>
      <c r="C50" t="s">
        <v>138</v>
      </c>
      <c r="D50" t="s">
        <v>90</v>
      </c>
      <c r="E50" s="12">
        <v>171.4</v>
      </c>
      <c r="G50" s="5">
        <v>271</v>
      </c>
      <c r="H50" s="5"/>
    </row>
    <row r="51" spans="2:8" ht="18.75" customHeight="1" x14ac:dyDescent="0.25">
      <c r="B51" s="6">
        <v>1960</v>
      </c>
      <c r="C51" t="s">
        <v>138</v>
      </c>
      <c r="D51" t="s">
        <v>90</v>
      </c>
      <c r="E51" s="12">
        <v>175.1</v>
      </c>
      <c r="G51" s="5">
        <v>369</v>
      </c>
      <c r="H51" s="5"/>
    </row>
    <row r="52" spans="2:8" ht="18.75" customHeight="1" x14ac:dyDescent="0.25">
      <c r="B52" s="6">
        <v>1960</v>
      </c>
      <c r="C52" t="s">
        <v>138</v>
      </c>
      <c r="D52" t="s">
        <v>90</v>
      </c>
      <c r="E52" s="12">
        <v>179.4</v>
      </c>
      <c r="G52" s="5">
        <v>485</v>
      </c>
      <c r="H52" s="5"/>
    </row>
    <row r="53" spans="2:8" ht="18.75" customHeight="1" x14ac:dyDescent="0.25">
      <c r="B53" s="6">
        <v>1960</v>
      </c>
      <c r="C53" t="s">
        <v>138</v>
      </c>
      <c r="D53" t="s">
        <v>90</v>
      </c>
      <c r="E53" s="12">
        <v>183.9</v>
      </c>
      <c r="G53" s="5">
        <v>608</v>
      </c>
      <c r="H53" s="5"/>
    </row>
    <row r="54" spans="2:8" ht="18.75" customHeight="1" x14ac:dyDescent="0.25">
      <c r="B54" s="6">
        <v>1960</v>
      </c>
      <c r="C54" t="s">
        <v>138</v>
      </c>
      <c r="D54" t="s">
        <v>90</v>
      </c>
      <c r="E54" s="12">
        <v>187.3</v>
      </c>
      <c r="G54" s="5">
        <v>702</v>
      </c>
      <c r="H54" s="5"/>
    </row>
    <row r="55" spans="2:8" ht="18.75" customHeight="1" x14ac:dyDescent="0.25">
      <c r="B55" s="6">
        <v>1960</v>
      </c>
      <c r="C55" t="s">
        <v>138</v>
      </c>
      <c r="D55" t="s">
        <v>90</v>
      </c>
      <c r="E55" s="12">
        <v>196.8</v>
      </c>
      <c r="G55" s="5">
        <v>970</v>
      </c>
      <c r="H55" s="5"/>
    </row>
    <row r="56" spans="2:8" ht="18.75" customHeight="1" x14ac:dyDescent="0.25">
      <c r="B56" s="6">
        <v>1960</v>
      </c>
      <c r="C56" t="s">
        <v>138</v>
      </c>
      <c r="D56" t="s">
        <v>90</v>
      </c>
      <c r="E56" s="12">
        <v>207.4</v>
      </c>
      <c r="G56" s="5">
        <v>1275</v>
      </c>
      <c r="H56" s="5"/>
    </row>
    <row r="57" spans="2:8" ht="18.75" customHeight="1" x14ac:dyDescent="0.25">
      <c r="B57" s="6">
        <v>1960</v>
      </c>
      <c r="C57" t="s">
        <v>138</v>
      </c>
      <c r="D57" t="s">
        <v>90</v>
      </c>
      <c r="E57" s="12">
        <v>215.6</v>
      </c>
      <c r="G57" s="5">
        <v>1520</v>
      </c>
      <c r="H57" s="5"/>
    </row>
    <row r="58" spans="2:8" ht="18.75" customHeight="1" x14ac:dyDescent="0.25">
      <c r="B58" s="6">
        <v>1960</v>
      </c>
      <c r="C58" t="s">
        <v>138</v>
      </c>
      <c r="D58" t="s">
        <v>90</v>
      </c>
      <c r="E58" s="12">
        <v>218.5</v>
      </c>
      <c r="G58" s="5">
        <v>1612</v>
      </c>
      <c r="H58" s="5"/>
    </row>
    <row r="59" spans="2:8" ht="18.75" customHeight="1" x14ac:dyDescent="0.25">
      <c r="B59" s="6">
        <v>1960</v>
      </c>
      <c r="C59" t="s">
        <v>138</v>
      </c>
      <c r="D59" t="s">
        <v>90</v>
      </c>
      <c r="E59" s="12">
        <v>225.7</v>
      </c>
      <c r="G59" s="5">
        <v>1831</v>
      </c>
      <c r="H59" s="5"/>
    </row>
    <row r="60" spans="2:8" ht="18.75" customHeight="1" x14ac:dyDescent="0.25">
      <c r="B60" s="6">
        <v>1960</v>
      </c>
      <c r="C60" t="s">
        <v>138</v>
      </c>
      <c r="D60" t="s">
        <v>90</v>
      </c>
      <c r="E60" s="12">
        <v>232.8</v>
      </c>
      <c r="G60" s="5">
        <v>2050</v>
      </c>
      <c r="H60" s="5"/>
    </row>
    <row r="61" spans="2:8" ht="18.75" customHeight="1" x14ac:dyDescent="0.25">
      <c r="B61" s="6">
        <v>1960</v>
      </c>
      <c r="C61" t="s">
        <v>138</v>
      </c>
      <c r="D61" t="s">
        <v>90</v>
      </c>
      <c r="E61" s="12">
        <v>233</v>
      </c>
      <c r="G61" s="5">
        <v>2060</v>
      </c>
      <c r="H61" s="5"/>
    </row>
    <row r="62" spans="2:8" ht="18.75" customHeight="1" x14ac:dyDescent="0.25">
      <c r="B62" s="6">
        <v>1960</v>
      </c>
      <c r="C62" t="s">
        <v>138</v>
      </c>
      <c r="D62" t="s">
        <v>90</v>
      </c>
      <c r="E62" s="12">
        <v>237</v>
      </c>
      <c r="G62" s="5">
        <v>2182</v>
      </c>
      <c r="H62" s="5"/>
    </row>
    <row r="63" spans="2:8" ht="18.75" customHeight="1" x14ac:dyDescent="0.25">
      <c r="B63" s="6">
        <v>1960</v>
      </c>
      <c r="C63" t="s">
        <v>138</v>
      </c>
      <c r="D63" t="s">
        <v>90</v>
      </c>
      <c r="E63" s="12">
        <v>243.9</v>
      </c>
      <c r="G63" s="5">
        <v>2405</v>
      </c>
      <c r="H63" s="5"/>
    </row>
    <row r="64" spans="2:8" ht="18.75" customHeight="1" x14ac:dyDescent="0.25">
      <c r="B64" s="6">
        <v>1960</v>
      </c>
      <c r="C64" t="s">
        <v>138</v>
      </c>
      <c r="D64" t="s">
        <v>90</v>
      </c>
      <c r="E64" s="12">
        <v>252.8</v>
      </c>
      <c r="G64" s="5">
        <v>2692</v>
      </c>
      <c r="H64" s="5"/>
    </row>
    <row r="65" spans="2:8" ht="18.75" customHeight="1" x14ac:dyDescent="0.25">
      <c r="B65" s="6">
        <v>1960</v>
      </c>
      <c r="C65" t="s">
        <v>138</v>
      </c>
      <c r="D65" t="s">
        <v>90</v>
      </c>
      <c r="E65" s="12">
        <v>261.2</v>
      </c>
      <c r="G65" s="5">
        <v>2981</v>
      </c>
      <c r="H65" s="5"/>
    </row>
    <row r="66" spans="2:8" ht="18.75" customHeight="1" x14ac:dyDescent="0.25">
      <c r="B66" s="6">
        <v>1971</v>
      </c>
      <c r="C66" t="s">
        <v>51</v>
      </c>
      <c r="D66" t="s">
        <v>88</v>
      </c>
      <c r="E66" s="12">
        <v>138.27000000000001</v>
      </c>
      <c r="H66" s="5">
        <v>788.25</v>
      </c>
    </row>
    <row r="67" spans="2:8" ht="18.75" customHeight="1" x14ac:dyDescent="0.25">
      <c r="B67" s="6">
        <v>1971</v>
      </c>
      <c r="C67" t="s">
        <v>51</v>
      </c>
      <c r="D67" t="s">
        <v>88</v>
      </c>
      <c r="E67" s="12">
        <v>138.28399999999999</v>
      </c>
      <c r="H67" s="5">
        <v>788.87</v>
      </c>
    </row>
    <row r="68" spans="2:8" ht="18.75" customHeight="1" x14ac:dyDescent="0.25">
      <c r="B68" s="6">
        <v>1971</v>
      </c>
      <c r="C68" t="s">
        <v>51</v>
      </c>
      <c r="D68" t="s">
        <v>88</v>
      </c>
      <c r="E68" s="12">
        <v>138.286</v>
      </c>
      <c r="H68" s="5">
        <v>788.79</v>
      </c>
    </row>
    <row r="69" spans="2:8" ht="18.75" customHeight="1" x14ac:dyDescent="0.25">
      <c r="B69" s="6">
        <v>1971</v>
      </c>
      <c r="C69" t="s">
        <v>51</v>
      </c>
      <c r="D69" t="s">
        <v>88</v>
      </c>
      <c r="E69" s="12">
        <v>152.37899999999999</v>
      </c>
      <c r="H69" s="5">
        <v>1324.95</v>
      </c>
    </row>
    <row r="70" spans="2:8" ht="18.75" customHeight="1" x14ac:dyDescent="0.25">
      <c r="B70" s="6">
        <v>1971</v>
      </c>
      <c r="C70" t="s">
        <v>51</v>
      </c>
      <c r="D70" t="s">
        <v>88</v>
      </c>
      <c r="E70" s="12">
        <v>165.79</v>
      </c>
      <c r="H70" s="5">
        <v>1863.6</v>
      </c>
    </row>
    <row r="71" spans="2:8" ht="18.75" customHeight="1" x14ac:dyDescent="0.25">
      <c r="B71" s="6">
        <v>1971</v>
      </c>
      <c r="C71" t="s">
        <v>51</v>
      </c>
      <c r="D71" t="s">
        <v>88</v>
      </c>
      <c r="E71" s="12">
        <v>165.79</v>
      </c>
      <c r="H71" s="5">
        <v>1863.18</v>
      </c>
    </row>
    <row r="72" spans="2:8" ht="18.75" customHeight="1" x14ac:dyDescent="0.25">
      <c r="B72" s="6">
        <v>1971</v>
      </c>
      <c r="C72" t="s">
        <v>51</v>
      </c>
      <c r="D72" t="s">
        <v>88</v>
      </c>
      <c r="E72" s="12">
        <v>178.297</v>
      </c>
      <c r="H72" s="5">
        <v>2388.2399999999998</v>
      </c>
    </row>
    <row r="73" spans="2:8" ht="18.75" customHeight="1" x14ac:dyDescent="0.25">
      <c r="B73" s="6">
        <v>1971</v>
      </c>
      <c r="C73" t="s">
        <v>51</v>
      </c>
      <c r="D73" t="s">
        <v>88</v>
      </c>
      <c r="E73" s="12">
        <v>178.303</v>
      </c>
      <c r="H73" s="5">
        <v>2388.12</v>
      </c>
    </row>
    <row r="74" spans="2:8" ht="18.75" customHeight="1" x14ac:dyDescent="0.25">
      <c r="B74" s="6">
        <v>1971</v>
      </c>
      <c r="C74" t="s">
        <v>51</v>
      </c>
      <c r="D74" t="s">
        <v>88</v>
      </c>
      <c r="E74" s="12">
        <v>190.43</v>
      </c>
      <c r="H74" s="5">
        <v>2917.3</v>
      </c>
    </row>
    <row r="75" spans="2:8" ht="18.75" customHeight="1" x14ac:dyDescent="0.25">
      <c r="B75" s="6">
        <v>1971</v>
      </c>
      <c r="C75" t="s">
        <v>51</v>
      </c>
      <c r="D75" t="s">
        <v>88</v>
      </c>
      <c r="E75" s="12">
        <v>190.43100000000001</v>
      </c>
      <c r="H75" s="5">
        <v>2917.24</v>
      </c>
    </row>
    <row r="76" spans="2:8" ht="18.75" customHeight="1" x14ac:dyDescent="0.25">
      <c r="B76" s="6">
        <v>1971</v>
      </c>
      <c r="C76" t="s">
        <v>51</v>
      </c>
      <c r="D76" t="s">
        <v>88</v>
      </c>
      <c r="E76" s="12">
        <v>202.696</v>
      </c>
      <c r="H76" s="5">
        <v>3471.7</v>
      </c>
    </row>
    <row r="77" spans="2:8" ht="18.75" customHeight="1" x14ac:dyDescent="0.25">
      <c r="B77" s="6">
        <v>1971</v>
      </c>
      <c r="C77" t="s">
        <v>51</v>
      </c>
      <c r="D77" t="s">
        <v>88</v>
      </c>
      <c r="E77" s="12">
        <v>215.87299999999999</v>
      </c>
      <c r="H77" s="5">
        <v>4087.3</v>
      </c>
    </row>
    <row r="78" spans="2:8" ht="18.75" customHeight="1" x14ac:dyDescent="0.25">
      <c r="B78" s="6">
        <v>1971</v>
      </c>
      <c r="C78" t="s">
        <v>51</v>
      </c>
      <c r="D78" t="s">
        <v>88</v>
      </c>
      <c r="E78" s="12">
        <v>215.874</v>
      </c>
      <c r="H78" s="5">
        <v>4087.42</v>
      </c>
    </row>
    <row r="79" spans="2:8" ht="18.75" customHeight="1" x14ac:dyDescent="0.25">
      <c r="B79" s="6">
        <v>1971</v>
      </c>
      <c r="C79" t="s">
        <v>51</v>
      </c>
      <c r="D79" t="s">
        <v>88</v>
      </c>
      <c r="E79" s="12">
        <v>228.29599999999999</v>
      </c>
      <c r="H79" s="5">
        <v>4687.2299999999996</v>
      </c>
    </row>
    <row r="80" spans="2:8" ht="18.75" customHeight="1" x14ac:dyDescent="0.25">
      <c r="B80" s="6">
        <v>1971</v>
      </c>
      <c r="C80" t="s">
        <v>51</v>
      </c>
      <c r="D80" t="s">
        <v>88</v>
      </c>
      <c r="E80" s="12">
        <v>228.30199999999999</v>
      </c>
      <c r="H80" s="5">
        <v>4687.63</v>
      </c>
    </row>
    <row r="81" spans="2:8" ht="18.75" customHeight="1" x14ac:dyDescent="0.25">
      <c r="B81" s="6">
        <v>1971</v>
      </c>
      <c r="C81" t="s">
        <v>51</v>
      </c>
      <c r="D81" t="s">
        <v>88</v>
      </c>
      <c r="E81" s="12">
        <v>240.685</v>
      </c>
      <c r="H81" s="5">
        <v>5302.93</v>
      </c>
    </row>
    <row r="82" spans="2:8" ht="18.75" customHeight="1" x14ac:dyDescent="0.25">
      <c r="B82" s="6">
        <v>1971</v>
      </c>
      <c r="C82" t="s">
        <v>51</v>
      </c>
      <c r="D82" t="s">
        <v>88</v>
      </c>
      <c r="E82" s="12">
        <v>253.143</v>
      </c>
      <c r="H82" s="5">
        <v>5939.51</v>
      </c>
    </row>
    <row r="83" spans="2:8" ht="18.75" customHeight="1" x14ac:dyDescent="0.25">
      <c r="B83" s="6">
        <v>1971</v>
      </c>
      <c r="C83" t="s">
        <v>51</v>
      </c>
      <c r="D83" t="s">
        <v>88</v>
      </c>
      <c r="E83" s="12">
        <v>253.15</v>
      </c>
      <c r="H83" s="5">
        <v>5939.79</v>
      </c>
    </row>
    <row r="84" spans="2:8" ht="18.75" customHeight="1" x14ac:dyDescent="0.25">
      <c r="B84" s="6">
        <v>1971</v>
      </c>
      <c r="C84" t="s">
        <v>51</v>
      </c>
      <c r="D84" t="s">
        <v>88</v>
      </c>
      <c r="E84" s="12">
        <v>265.67399999999998</v>
      </c>
      <c r="H84" s="5">
        <v>6594.43</v>
      </c>
    </row>
    <row r="85" spans="2:8" ht="18.75" customHeight="1" x14ac:dyDescent="0.25">
      <c r="B85" s="6">
        <v>1971</v>
      </c>
      <c r="C85" t="s">
        <v>51</v>
      </c>
      <c r="D85" t="s">
        <v>88</v>
      </c>
      <c r="E85" s="12">
        <v>279.16000000000003</v>
      </c>
      <c r="H85" s="5">
        <v>7318.88</v>
      </c>
    </row>
    <row r="86" spans="2:8" ht="18.75" customHeight="1" x14ac:dyDescent="0.25">
      <c r="B86" s="6">
        <v>1971</v>
      </c>
      <c r="C86" t="s">
        <v>51</v>
      </c>
      <c r="D86" t="s">
        <v>88</v>
      </c>
      <c r="E86" s="12">
        <v>279.161</v>
      </c>
      <c r="H86" s="5">
        <v>7319</v>
      </c>
    </row>
    <row r="87" spans="2:8" ht="18.75" customHeight="1" x14ac:dyDescent="0.25">
      <c r="B87" s="6">
        <v>1971</v>
      </c>
      <c r="C87" t="s">
        <v>51</v>
      </c>
      <c r="D87" t="s">
        <v>88</v>
      </c>
      <c r="E87" s="12">
        <v>291.69499999999999</v>
      </c>
      <c r="H87" s="5">
        <v>8008.52</v>
      </c>
    </row>
    <row r="88" spans="2:8" ht="18.75" customHeight="1" x14ac:dyDescent="0.25">
      <c r="B88" s="6">
        <v>1971</v>
      </c>
      <c r="C88" t="s">
        <v>51</v>
      </c>
      <c r="D88" t="s">
        <v>88</v>
      </c>
      <c r="E88" s="12">
        <v>291.69499999999999</v>
      </c>
      <c r="H88" s="5">
        <v>8008.51</v>
      </c>
    </row>
    <row r="89" spans="2:8" ht="18.75" customHeight="1" x14ac:dyDescent="0.25">
      <c r="B89" s="6">
        <v>1971</v>
      </c>
      <c r="C89" t="s">
        <v>51</v>
      </c>
      <c r="D89" t="s">
        <v>139</v>
      </c>
      <c r="E89" s="12">
        <v>33.143999999999998</v>
      </c>
      <c r="H89" s="5">
        <v>629.03</v>
      </c>
    </row>
    <row r="90" spans="2:8" ht="18.75" customHeight="1" x14ac:dyDescent="0.25">
      <c r="B90" s="6">
        <v>1971</v>
      </c>
      <c r="C90" t="s">
        <v>51</v>
      </c>
      <c r="D90" t="s">
        <v>139</v>
      </c>
      <c r="E90" s="12">
        <v>33.146000000000001</v>
      </c>
      <c r="H90" s="5">
        <v>629.24</v>
      </c>
    </row>
    <row r="91" spans="2:8" ht="18.75" customHeight="1" x14ac:dyDescent="0.25">
      <c r="B91" s="6">
        <v>1971</v>
      </c>
      <c r="C91" t="s">
        <v>51</v>
      </c>
      <c r="D91" t="s">
        <v>139</v>
      </c>
      <c r="E91" s="12">
        <v>41.53</v>
      </c>
      <c r="H91" s="5">
        <v>1355.2</v>
      </c>
    </row>
    <row r="92" spans="2:8" ht="18.75" customHeight="1" x14ac:dyDescent="0.25">
      <c r="B92" s="6">
        <v>1971</v>
      </c>
      <c r="C92" t="s">
        <v>51</v>
      </c>
      <c r="D92" t="s">
        <v>139</v>
      </c>
      <c r="E92" s="12">
        <v>41.53</v>
      </c>
      <c r="H92" s="5">
        <v>1355.19</v>
      </c>
    </row>
    <row r="93" spans="2:8" ht="18.75" customHeight="1" x14ac:dyDescent="0.25">
      <c r="B93" s="6">
        <v>1971</v>
      </c>
      <c r="C93" t="s">
        <v>51</v>
      </c>
      <c r="D93" t="s">
        <v>139</v>
      </c>
      <c r="E93" s="12">
        <v>48.497</v>
      </c>
      <c r="H93" s="5">
        <v>2027.63</v>
      </c>
    </row>
    <row r="94" spans="2:8" ht="18.75" customHeight="1" x14ac:dyDescent="0.25">
      <c r="B94" s="6">
        <v>1971</v>
      </c>
      <c r="C94" t="s">
        <v>51</v>
      </c>
      <c r="D94" t="s">
        <v>139</v>
      </c>
      <c r="E94" s="12">
        <v>48.497999999999998</v>
      </c>
      <c r="H94" s="5">
        <v>2027.81</v>
      </c>
    </row>
    <row r="95" spans="2:8" ht="18.75" customHeight="1" x14ac:dyDescent="0.25">
      <c r="B95" s="6">
        <v>1971</v>
      </c>
      <c r="C95" t="s">
        <v>51</v>
      </c>
      <c r="D95" t="s">
        <v>139</v>
      </c>
      <c r="E95" s="12">
        <v>54.512999999999998</v>
      </c>
      <c r="H95" s="5">
        <v>2653.57</v>
      </c>
    </row>
    <row r="96" spans="2:8" ht="18.75" customHeight="1" x14ac:dyDescent="0.25">
      <c r="B96" s="6">
        <v>1971</v>
      </c>
      <c r="C96" t="s">
        <v>51</v>
      </c>
      <c r="D96" t="s">
        <v>139</v>
      </c>
      <c r="E96" s="12">
        <v>54.512999999999998</v>
      </c>
      <c r="H96" s="5">
        <v>2653.64</v>
      </c>
    </row>
    <row r="97" spans="2:8" ht="18.75" customHeight="1" x14ac:dyDescent="0.25">
      <c r="B97" s="6">
        <v>1971</v>
      </c>
      <c r="C97" t="s">
        <v>51</v>
      </c>
      <c r="D97" t="s">
        <v>139</v>
      </c>
      <c r="E97" s="12">
        <v>59.872999999999998</v>
      </c>
      <c r="H97" s="5">
        <v>3243.72</v>
      </c>
    </row>
    <row r="98" spans="2:8" ht="18.75" customHeight="1" x14ac:dyDescent="0.25">
      <c r="B98" s="6">
        <v>1971</v>
      </c>
      <c r="C98" t="s">
        <v>51</v>
      </c>
      <c r="D98" t="s">
        <v>139</v>
      </c>
      <c r="E98" s="12">
        <v>59.973999999999997</v>
      </c>
      <c r="H98" s="5">
        <v>3243.8</v>
      </c>
    </row>
    <row r="99" spans="2:8" ht="18.75" customHeight="1" x14ac:dyDescent="0.25">
      <c r="B99" s="6">
        <v>1971</v>
      </c>
      <c r="C99" t="s">
        <v>51</v>
      </c>
      <c r="D99" t="s">
        <v>139</v>
      </c>
      <c r="E99" s="12">
        <v>64.665000000000006</v>
      </c>
      <c r="H99" s="5">
        <v>3794.87</v>
      </c>
    </row>
    <row r="100" spans="2:8" ht="18.75" customHeight="1" x14ac:dyDescent="0.25">
      <c r="B100" s="6">
        <v>1971</v>
      </c>
      <c r="C100" t="s">
        <v>51</v>
      </c>
      <c r="D100" t="s">
        <v>139</v>
      </c>
      <c r="E100" s="12">
        <v>64.665000000000006</v>
      </c>
      <c r="H100" s="5">
        <v>3794.96</v>
      </c>
    </row>
    <row r="101" spans="2:8" ht="18.75" customHeight="1" x14ac:dyDescent="0.25">
      <c r="B101" s="6">
        <v>1971</v>
      </c>
      <c r="C101" t="s">
        <v>51</v>
      </c>
      <c r="D101" t="s">
        <v>139</v>
      </c>
      <c r="E101" s="12">
        <v>69.475999999999999</v>
      </c>
      <c r="H101" s="5">
        <v>4370.2</v>
      </c>
    </row>
    <row r="102" spans="2:8" ht="18.75" customHeight="1" x14ac:dyDescent="0.25">
      <c r="B102" s="6">
        <v>1971</v>
      </c>
      <c r="C102" t="s">
        <v>51</v>
      </c>
      <c r="D102" t="s">
        <v>139</v>
      </c>
      <c r="E102" s="12">
        <v>69.477000000000004</v>
      </c>
      <c r="H102" s="5">
        <v>4370.26</v>
      </c>
    </row>
    <row r="103" spans="2:8" ht="18.75" customHeight="1" x14ac:dyDescent="0.25">
      <c r="B103" s="6">
        <v>1971</v>
      </c>
      <c r="C103" t="s">
        <v>51</v>
      </c>
      <c r="D103" t="s">
        <v>139</v>
      </c>
      <c r="E103" s="12">
        <v>74.168000000000006</v>
      </c>
      <c r="H103" s="5">
        <v>4951.5200000000004</v>
      </c>
    </row>
    <row r="104" spans="2:8" ht="18.75" customHeight="1" x14ac:dyDescent="0.25">
      <c r="B104" s="6">
        <v>1971</v>
      </c>
      <c r="C104" t="s">
        <v>51</v>
      </c>
      <c r="D104" t="s">
        <v>139</v>
      </c>
      <c r="E104" s="12">
        <v>74.17</v>
      </c>
      <c r="H104" s="5">
        <v>4951.34</v>
      </c>
    </row>
    <row r="105" spans="2:8" ht="18.75" customHeight="1" x14ac:dyDescent="0.25">
      <c r="B105" s="6">
        <v>1971</v>
      </c>
      <c r="C105" t="s">
        <v>51</v>
      </c>
      <c r="D105" t="s">
        <v>139</v>
      </c>
      <c r="E105" s="12">
        <v>78.896000000000001</v>
      </c>
      <c r="H105" s="5">
        <v>5555.34</v>
      </c>
    </row>
    <row r="106" spans="2:8" ht="18.75" customHeight="1" x14ac:dyDescent="0.25">
      <c r="B106" s="6">
        <v>1971</v>
      </c>
      <c r="C106" t="s">
        <v>51</v>
      </c>
      <c r="D106" t="s">
        <v>139</v>
      </c>
      <c r="E106" s="12">
        <v>78.900000000000006</v>
      </c>
      <c r="H106" s="5">
        <v>5555.66</v>
      </c>
    </row>
    <row r="107" spans="2:8" ht="18.75" customHeight="1" x14ac:dyDescent="0.25">
      <c r="B107" s="6">
        <v>1971</v>
      </c>
      <c r="C107" t="s">
        <v>51</v>
      </c>
      <c r="D107" t="s">
        <v>139</v>
      </c>
      <c r="E107" s="12">
        <v>82.311000000000007</v>
      </c>
      <c r="H107" s="5">
        <v>6002.54</v>
      </c>
    </row>
    <row r="108" spans="2:8" ht="18.75" customHeight="1" x14ac:dyDescent="0.25">
      <c r="B108" s="6">
        <v>1971</v>
      </c>
      <c r="C108" t="s">
        <v>51</v>
      </c>
      <c r="D108" t="s">
        <v>139</v>
      </c>
      <c r="E108" s="12">
        <v>82.311999999999998</v>
      </c>
      <c r="H108" s="5">
        <v>6003.62</v>
      </c>
    </row>
    <row r="109" spans="2:8" ht="18.75" customHeight="1" x14ac:dyDescent="0.25">
      <c r="B109" s="6">
        <v>1971</v>
      </c>
      <c r="C109" t="s">
        <v>51</v>
      </c>
      <c r="D109" t="s">
        <v>139</v>
      </c>
      <c r="E109" s="12">
        <v>87.519000000000005</v>
      </c>
      <c r="H109" s="5">
        <v>6702.3</v>
      </c>
    </row>
    <row r="110" spans="2:8" ht="18.75" customHeight="1" x14ac:dyDescent="0.25">
      <c r="B110" s="6">
        <v>1971</v>
      </c>
      <c r="C110" t="s">
        <v>51</v>
      </c>
      <c r="D110" t="s">
        <v>139</v>
      </c>
      <c r="E110" s="12">
        <v>87.52</v>
      </c>
      <c r="H110" s="5">
        <v>6702.55</v>
      </c>
    </row>
    <row r="111" spans="2:8" ht="18.75" customHeight="1" x14ac:dyDescent="0.25">
      <c r="B111" s="6">
        <v>1971</v>
      </c>
      <c r="C111" t="s">
        <v>51</v>
      </c>
      <c r="D111" t="s">
        <v>139</v>
      </c>
      <c r="E111" s="12">
        <v>93.614999999999995</v>
      </c>
      <c r="H111" s="5">
        <v>7548.49</v>
      </c>
    </row>
    <row r="112" spans="2:8" ht="18.75" customHeight="1" x14ac:dyDescent="0.25">
      <c r="B112" s="6">
        <v>1971</v>
      </c>
      <c r="C112" t="s">
        <v>51</v>
      </c>
      <c r="D112" t="s">
        <v>139</v>
      </c>
      <c r="E112" s="12">
        <v>93.614999999999995</v>
      </c>
      <c r="H112" s="5">
        <v>7548.04</v>
      </c>
    </row>
    <row r="113" spans="2:9" ht="18.75" customHeight="1" x14ac:dyDescent="0.25">
      <c r="B113" s="6">
        <v>1971</v>
      </c>
      <c r="C113" t="s">
        <v>51</v>
      </c>
      <c r="D113" t="s">
        <v>139</v>
      </c>
      <c r="E113" s="12">
        <v>96.715999999999994</v>
      </c>
      <c r="H113" s="5">
        <v>7988.15</v>
      </c>
    </row>
    <row r="114" spans="2:9" ht="18.75" customHeight="1" x14ac:dyDescent="0.25">
      <c r="B114" s="6">
        <v>1971</v>
      </c>
      <c r="C114" t="s">
        <v>51</v>
      </c>
      <c r="D114" t="s">
        <v>139</v>
      </c>
      <c r="E114" s="12">
        <v>96.715999999999994</v>
      </c>
      <c r="H114" s="5">
        <v>7989.44</v>
      </c>
    </row>
    <row r="115" spans="2:9" ht="18.75" customHeight="1" x14ac:dyDescent="0.25">
      <c r="B115" s="6">
        <v>1971</v>
      </c>
      <c r="C115" t="s">
        <v>51</v>
      </c>
      <c r="D115" t="s">
        <v>139</v>
      </c>
      <c r="E115" s="12">
        <v>99.962000000000003</v>
      </c>
      <c r="H115" s="5">
        <v>8456.69</v>
      </c>
    </row>
    <row r="116" spans="2:9" ht="18.75" customHeight="1" x14ac:dyDescent="0.25">
      <c r="B116" s="6">
        <v>1971</v>
      </c>
      <c r="C116" t="s">
        <v>51</v>
      </c>
      <c r="D116" t="s">
        <v>139</v>
      </c>
      <c r="E116" s="12">
        <v>100.023</v>
      </c>
      <c r="H116" s="5">
        <v>8465.09</v>
      </c>
    </row>
    <row r="117" spans="2:9" ht="18.75" customHeight="1" x14ac:dyDescent="0.25">
      <c r="B117" s="6">
        <v>1971</v>
      </c>
      <c r="C117" t="s">
        <v>51</v>
      </c>
      <c r="D117" t="s">
        <v>139</v>
      </c>
      <c r="E117" s="12">
        <v>105.253</v>
      </c>
      <c r="H117" s="5">
        <v>9234.66</v>
      </c>
    </row>
    <row r="118" spans="2:9" ht="18.75" customHeight="1" x14ac:dyDescent="0.25">
      <c r="B118" s="6">
        <v>1971</v>
      </c>
      <c r="C118" t="s">
        <v>51</v>
      </c>
      <c r="D118" t="s">
        <v>139</v>
      </c>
      <c r="E118" s="12">
        <v>105.253</v>
      </c>
      <c r="H118" s="5">
        <v>9234.65</v>
      </c>
      <c r="I118" t="s">
        <v>140</v>
      </c>
    </row>
    <row r="119" spans="2:9" ht="18.75" customHeight="1" x14ac:dyDescent="0.25">
      <c r="B119" s="6">
        <v>1971</v>
      </c>
      <c r="C119" t="s">
        <v>51</v>
      </c>
      <c r="D119" t="s">
        <v>139</v>
      </c>
      <c r="E119" s="12">
        <v>109.87</v>
      </c>
      <c r="H119" s="5">
        <v>9928.11</v>
      </c>
    </row>
    <row r="120" spans="2:9" ht="18.75" customHeight="1" x14ac:dyDescent="0.25">
      <c r="B120" s="6">
        <v>1971</v>
      </c>
      <c r="C120" t="s">
        <v>51</v>
      </c>
      <c r="D120" t="s">
        <v>139</v>
      </c>
      <c r="E120" s="12">
        <v>109.876</v>
      </c>
      <c r="H120" s="5">
        <v>9929.2099999999991</v>
      </c>
    </row>
    <row r="121" spans="2:9" ht="18.75" customHeight="1" x14ac:dyDescent="0.25">
      <c r="B121" s="6">
        <v>1971</v>
      </c>
      <c r="C121" t="s">
        <v>51</v>
      </c>
      <c r="D121" t="s">
        <v>139</v>
      </c>
      <c r="E121" s="12">
        <v>110.04</v>
      </c>
      <c r="H121" s="5">
        <v>9953.5499999999993</v>
      </c>
    </row>
    <row r="122" spans="2:9" ht="18.75" customHeight="1" x14ac:dyDescent="0.25">
      <c r="B122" s="6">
        <v>1971</v>
      </c>
      <c r="C122" t="s">
        <v>51</v>
      </c>
      <c r="D122" t="s">
        <v>139</v>
      </c>
      <c r="E122" s="12">
        <v>110.041</v>
      </c>
      <c r="H122" s="5">
        <v>9953.58</v>
      </c>
    </row>
    <row r="123" spans="2:9" ht="18.75" customHeight="1" x14ac:dyDescent="0.25">
      <c r="B123" s="4">
        <v>1991</v>
      </c>
      <c r="C123" t="s">
        <v>161</v>
      </c>
      <c r="D123" t="s">
        <v>139</v>
      </c>
      <c r="E123" s="9">
        <v>143.30000000000001</v>
      </c>
      <c r="H123" s="5"/>
      <c r="I123">
        <v>15.7</v>
      </c>
    </row>
    <row r="124" spans="2:9" ht="18.75" customHeight="1" x14ac:dyDescent="0.25">
      <c r="B124" s="4">
        <v>1991</v>
      </c>
      <c r="C124" t="s">
        <v>161</v>
      </c>
      <c r="D124" t="s">
        <v>139</v>
      </c>
      <c r="E124" s="9">
        <v>177.4</v>
      </c>
      <c r="H124" s="5"/>
      <c r="I124">
        <v>21.8</v>
      </c>
    </row>
    <row r="125" spans="2:9" ht="18.75" customHeight="1" x14ac:dyDescent="0.25">
      <c r="B125" s="4">
        <v>1991</v>
      </c>
      <c r="C125" t="s">
        <v>161</v>
      </c>
      <c r="D125" t="s">
        <v>139</v>
      </c>
      <c r="E125" s="9">
        <v>197.7</v>
      </c>
      <c r="H125" s="5"/>
      <c r="I125">
        <v>25.9</v>
      </c>
    </row>
    <row r="126" spans="2:9" ht="18.75" customHeight="1" x14ac:dyDescent="0.25">
      <c r="B126" s="4">
        <v>1991</v>
      </c>
      <c r="C126" t="s">
        <v>161</v>
      </c>
      <c r="D126" t="s">
        <v>139</v>
      </c>
      <c r="E126" s="9">
        <v>270.60000000000002</v>
      </c>
      <c r="H126" s="5"/>
      <c r="I126">
        <v>41.3</v>
      </c>
    </row>
    <row r="127" spans="2:9" ht="18.75" customHeight="1" x14ac:dyDescent="0.25">
      <c r="B127" s="4">
        <v>1991</v>
      </c>
      <c r="C127" t="s">
        <v>161</v>
      </c>
      <c r="D127" t="s">
        <v>139</v>
      </c>
      <c r="E127" s="9">
        <v>273.5</v>
      </c>
      <c r="H127" s="5"/>
      <c r="I127">
        <v>41.8</v>
      </c>
    </row>
    <row r="128" spans="2:9" ht="18.75" customHeight="1" x14ac:dyDescent="0.25">
      <c r="B128" s="4">
        <v>1991</v>
      </c>
      <c r="C128" t="s">
        <v>161</v>
      </c>
      <c r="D128" t="s">
        <v>139</v>
      </c>
      <c r="E128" s="9">
        <v>288.39999999999998</v>
      </c>
      <c r="H128" s="5"/>
      <c r="I128">
        <v>45.4</v>
      </c>
    </row>
    <row r="129" spans="2:11" ht="18.75" customHeight="1" x14ac:dyDescent="0.25">
      <c r="B129" s="4">
        <v>1991</v>
      </c>
      <c r="C129" t="s">
        <v>161</v>
      </c>
      <c r="D129" t="s">
        <v>139</v>
      </c>
      <c r="E129" s="9">
        <v>293.5</v>
      </c>
      <c r="H129" s="5"/>
      <c r="I129">
        <v>46.4</v>
      </c>
    </row>
    <row r="130" spans="2:11" ht="18.75" customHeight="1" x14ac:dyDescent="0.25">
      <c r="B130" s="4">
        <v>1991</v>
      </c>
      <c r="C130" t="s">
        <v>161</v>
      </c>
      <c r="D130" t="s">
        <v>139</v>
      </c>
      <c r="E130" s="9">
        <v>294.2</v>
      </c>
      <c r="H130" s="5"/>
      <c r="I130">
        <v>46.6</v>
      </c>
    </row>
    <row r="131" spans="2:11" ht="18.75" customHeight="1" x14ac:dyDescent="0.25">
      <c r="B131" s="4">
        <v>1991</v>
      </c>
      <c r="C131" t="s">
        <v>161</v>
      </c>
      <c r="D131" t="s">
        <v>139</v>
      </c>
      <c r="E131" s="9">
        <v>321.3</v>
      </c>
      <c r="H131" s="5"/>
      <c r="I131">
        <v>52.8</v>
      </c>
    </row>
    <row r="132" spans="2:11" ht="18.75" customHeight="1" x14ac:dyDescent="0.25">
      <c r="B132" s="4">
        <v>1991</v>
      </c>
      <c r="C132" t="s">
        <v>161</v>
      </c>
      <c r="D132" t="s">
        <v>139</v>
      </c>
      <c r="E132" s="9">
        <v>327.9</v>
      </c>
      <c r="H132" s="5"/>
      <c r="I132">
        <v>54.5</v>
      </c>
    </row>
    <row r="133" spans="2:11" ht="18.75" customHeight="1" x14ac:dyDescent="0.25">
      <c r="B133" s="4">
        <v>1962</v>
      </c>
      <c r="C133" t="s">
        <v>57</v>
      </c>
      <c r="D133" t="s">
        <v>88</v>
      </c>
      <c r="E133" s="9">
        <v>116.1</v>
      </c>
      <c r="H133" s="5"/>
      <c r="K133">
        <v>0</v>
      </c>
    </row>
    <row r="134" spans="2:11" ht="18.75" customHeight="1" x14ac:dyDescent="0.25">
      <c r="B134" s="4">
        <v>1962</v>
      </c>
      <c r="C134" t="s">
        <v>57</v>
      </c>
      <c r="D134" t="s">
        <v>88</v>
      </c>
      <c r="E134" s="9">
        <v>169</v>
      </c>
      <c r="H134" s="5"/>
      <c r="K134">
        <v>2.16</v>
      </c>
    </row>
    <row r="135" spans="2:11" ht="18.75" customHeight="1" x14ac:dyDescent="0.25">
      <c r="B135" s="4">
        <v>1962</v>
      </c>
      <c r="C135" t="s">
        <v>57</v>
      </c>
      <c r="D135" t="s">
        <v>88</v>
      </c>
      <c r="E135" s="9">
        <v>237</v>
      </c>
      <c r="H135" s="5"/>
      <c r="K135">
        <v>5.12</v>
      </c>
    </row>
    <row r="136" spans="2:11" ht="18.75" customHeight="1" x14ac:dyDescent="0.25">
      <c r="B136" s="4">
        <v>1962</v>
      </c>
      <c r="C136" t="s">
        <v>57</v>
      </c>
      <c r="D136" t="s">
        <v>88</v>
      </c>
      <c r="E136" s="9">
        <v>255</v>
      </c>
      <c r="H136" s="5"/>
      <c r="K136">
        <v>5.96</v>
      </c>
    </row>
    <row r="137" spans="2:11" ht="18.75" customHeight="1" x14ac:dyDescent="0.25">
      <c r="B137" s="4">
        <v>1962</v>
      </c>
      <c r="C137" t="s">
        <v>57</v>
      </c>
      <c r="D137" t="s">
        <v>88</v>
      </c>
      <c r="E137" s="9">
        <v>280</v>
      </c>
      <c r="H137" s="5"/>
      <c r="K137">
        <v>7.21</v>
      </c>
    </row>
    <row r="138" spans="2:11" ht="18.75" customHeight="1" x14ac:dyDescent="0.25">
      <c r="B138" s="4">
        <v>1962</v>
      </c>
      <c r="C138" t="s">
        <v>57</v>
      </c>
      <c r="D138" t="s">
        <v>88</v>
      </c>
      <c r="E138" s="9">
        <v>293</v>
      </c>
      <c r="H138" s="5"/>
      <c r="K138">
        <v>8.19</v>
      </c>
    </row>
    <row r="139" spans="2:11" ht="18.75" customHeight="1" x14ac:dyDescent="0.25">
      <c r="B139" s="4">
        <v>1962</v>
      </c>
      <c r="C139" t="s">
        <v>57</v>
      </c>
      <c r="D139" t="s">
        <v>88</v>
      </c>
      <c r="E139" s="9">
        <v>327</v>
      </c>
      <c r="H139" s="5"/>
      <c r="K139">
        <v>9.65</v>
      </c>
    </row>
    <row r="140" spans="2:11" ht="18.75" customHeight="1" x14ac:dyDescent="0.25">
      <c r="B140" s="4">
        <v>1962</v>
      </c>
      <c r="C140" t="s">
        <v>57</v>
      </c>
      <c r="D140" t="s">
        <v>88</v>
      </c>
      <c r="E140" s="9">
        <v>362</v>
      </c>
      <c r="H140" s="5"/>
      <c r="K140">
        <v>11.62</v>
      </c>
    </row>
    <row r="141" spans="2:11" ht="18.75" customHeight="1" x14ac:dyDescent="0.25">
      <c r="B141" s="4">
        <v>1962</v>
      </c>
      <c r="C141" t="s">
        <v>57</v>
      </c>
      <c r="D141" t="s">
        <v>90</v>
      </c>
      <c r="E141" s="9">
        <v>161.4</v>
      </c>
      <c r="H141" s="5"/>
      <c r="K141">
        <v>0</v>
      </c>
    </row>
    <row r="142" spans="2:11" ht="18.75" customHeight="1" x14ac:dyDescent="0.25">
      <c r="B142" s="4">
        <v>1962</v>
      </c>
      <c r="C142" t="s">
        <v>57</v>
      </c>
      <c r="D142" t="s">
        <v>90</v>
      </c>
      <c r="E142" s="9">
        <v>224</v>
      </c>
      <c r="H142" s="5"/>
      <c r="K142">
        <v>1.92</v>
      </c>
    </row>
    <row r="143" spans="2:11" ht="18.75" customHeight="1" x14ac:dyDescent="0.25">
      <c r="B143" s="4">
        <v>1962</v>
      </c>
      <c r="C143" t="s">
        <v>57</v>
      </c>
      <c r="D143" t="s">
        <v>90</v>
      </c>
      <c r="E143" s="9">
        <v>245</v>
      </c>
      <c r="H143" s="5"/>
      <c r="K143">
        <v>2.4500000000000002</v>
      </c>
    </row>
    <row r="144" spans="2:11" ht="18.75" customHeight="1" x14ac:dyDescent="0.25">
      <c r="B144" s="4">
        <v>1962</v>
      </c>
      <c r="C144" t="s">
        <v>57</v>
      </c>
      <c r="D144" t="s">
        <v>90</v>
      </c>
      <c r="E144" s="9">
        <v>250</v>
      </c>
      <c r="H144" s="5"/>
      <c r="K144">
        <v>2.8</v>
      </c>
    </row>
    <row r="145" spans="2:11" ht="18.75" customHeight="1" x14ac:dyDescent="0.25">
      <c r="B145" s="4">
        <v>1962</v>
      </c>
      <c r="C145" t="s">
        <v>57</v>
      </c>
      <c r="D145" t="s">
        <v>90</v>
      </c>
      <c r="E145" s="9">
        <v>277</v>
      </c>
      <c r="H145" s="5"/>
      <c r="K145">
        <v>3.5</v>
      </c>
    </row>
    <row r="146" spans="2:11" ht="18.75" customHeight="1" x14ac:dyDescent="0.25">
      <c r="B146" s="4">
        <v>1962</v>
      </c>
      <c r="C146" t="s">
        <v>57</v>
      </c>
      <c r="D146" t="s">
        <v>90</v>
      </c>
      <c r="E146" s="9">
        <v>288</v>
      </c>
      <c r="H146" s="5"/>
      <c r="K146">
        <v>3.9</v>
      </c>
    </row>
    <row r="147" spans="2:11" ht="18.75" customHeight="1" x14ac:dyDescent="0.25">
      <c r="B147" s="4">
        <v>1962</v>
      </c>
      <c r="C147" t="s">
        <v>57</v>
      </c>
      <c r="D147" t="s">
        <v>90</v>
      </c>
      <c r="E147" s="9">
        <v>291</v>
      </c>
      <c r="H147" s="5"/>
      <c r="K147">
        <v>4.0999999999999996</v>
      </c>
    </row>
    <row r="148" spans="2:11" ht="18.75" customHeight="1" x14ac:dyDescent="0.25">
      <c r="B148" s="4">
        <v>1962</v>
      </c>
      <c r="C148" t="s">
        <v>57</v>
      </c>
      <c r="D148" t="s">
        <v>90</v>
      </c>
      <c r="E148" s="9">
        <v>322.5</v>
      </c>
      <c r="H148" s="5"/>
      <c r="K148">
        <v>5</v>
      </c>
    </row>
    <row r="149" spans="2:11" ht="18.75" customHeight="1" x14ac:dyDescent="0.25">
      <c r="B149" s="4">
        <v>1962</v>
      </c>
      <c r="C149" t="s">
        <v>57</v>
      </c>
      <c r="D149" t="s">
        <v>90</v>
      </c>
      <c r="E149" s="9">
        <v>363</v>
      </c>
      <c r="H149" s="5"/>
      <c r="K149">
        <v>6.78</v>
      </c>
    </row>
    <row r="150" spans="2:11" ht="18.75" customHeight="1" x14ac:dyDescent="0.25">
      <c r="B150" s="4">
        <v>1962</v>
      </c>
      <c r="C150" t="s">
        <v>57</v>
      </c>
      <c r="D150" t="s">
        <v>90</v>
      </c>
      <c r="E150" s="9">
        <v>363</v>
      </c>
      <c r="H150" s="5"/>
      <c r="K150">
        <v>6.45</v>
      </c>
    </row>
    <row r="151" spans="2:11" ht="18.75" customHeight="1" x14ac:dyDescent="0.25">
      <c r="B151" s="4">
        <v>1940</v>
      </c>
      <c r="C151" t="s">
        <v>31</v>
      </c>
      <c r="D151" t="s">
        <v>88</v>
      </c>
      <c r="E151" s="9">
        <v>119.34</v>
      </c>
      <c r="G151" s="3">
        <v>108.5</v>
      </c>
      <c r="H151" s="5"/>
    </row>
    <row r="152" spans="2:11" ht="18.75" customHeight="1" x14ac:dyDescent="0.25">
      <c r="B152" s="4">
        <v>1940</v>
      </c>
      <c r="C152" t="s">
        <v>31</v>
      </c>
      <c r="D152" t="s">
        <v>88</v>
      </c>
      <c r="E152" s="9">
        <v>118.97</v>
      </c>
      <c r="G152" s="3">
        <v>95.9</v>
      </c>
      <c r="H152" s="5"/>
    </row>
    <row r="153" spans="2:11" ht="18.75" customHeight="1" x14ac:dyDescent="0.25">
      <c r="B153" s="4">
        <v>1940</v>
      </c>
      <c r="C153" t="s">
        <v>31</v>
      </c>
      <c r="D153" t="s">
        <v>88</v>
      </c>
      <c r="E153" s="9">
        <v>118.95</v>
      </c>
      <c r="G153" s="3">
        <v>95.7</v>
      </c>
      <c r="H153" s="5"/>
    </row>
    <row r="154" spans="2:11" ht="18.75" customHeight="1" x14ac:dyDescent="0.25">
      <c r="B154" s="4">
        <v>1940</v>
      </c>
      <c r="C154" t="s">
        <v>31</v>
      </c>
      <c r="D154" t="s">
        <v>88</v>
      </c>
      <c r="E154" s="9">
        <v>118.66</v>
      </c>
      <c r="G154" s="3">
        <v>86.5</v>
      </c>
      <c r="H154" s="5"/>
    </row>
    <row r="155" spans="2:11" ht="18.75" customHeight="1" x14ac:dyDescent="0.25">
      <c r="B155" s="4">
        <v>1940</v>
      </c>
      <c r="C155" t="s">
        <v>31</v>
      </c>
      <c r="D155" t="s">
        <v>88</v>
      </c>
      <c r="E155" s="9">
        <v>118.36</v>
      </c>
      <c r="G155" s="3">
        <v>76.900000000000006</v>
      </c>
      <c r="H155" s="5"/>
    </row>
    <row r="156" spans="2:11" ht="18.75" customHeight="1" x14ac:dyDescent="0.25">
      <c r="B156" s="4">
        <v>1940</v>
      </c>
      <c r="C156" t="s">
        <v>31</v>
      </c>
      <c r="D156" t="s">
        <v>88</v>
      </c>
      <c r="E156" s="9">
        <v>118.06</v>
      </c>
      <c r="G156" s="3">
        <v>67.2</v>
      </c>
      <c r="H156" s="5"/>
    </row>
    <row r="157" spans="2:11" ht="18.75" customHeight="1" x14ac:dyDescent="0.25">
      <c r="B157" s="4">
        <v>1940</v>
      </c>
      <c r="C157" t="s">
        <v>31</v>
      </c>
      <c r="D157" t="s">
        <v>88</v>
      </c>
      <c r="E157" s="9">
        <v>117.74</v>
      </c>
      <c r="G157" s="3">
        <v>58.5</v>
      </c>
      <c r="H157" s="5"/>
    </row>
    <row r="158" spans="2:11" ht="18.75" customHeight="1" x14ac:dyDescent="0.25">
      <c r="B158" s="4">
        <v>1940</v>
      </c>
      <c r="C158" t="s">
        <v>31</v>
      </c>
      <c r="D158" t="s">
        <v>88</v>
      </c>
      <c r="E158" s="9">
        <v>117.45</v>
      </c>
      <c r="G158" s="3">
        <v>47.8</v>
      </c>
      <c r="H158" s="5"/>
    </row>
    <row r="159" spans="2:11" ht="18.75" customHeight="1" x14ac:dyDescent="0.25">
      <c r="B159" s="4">
        <v>1940</v>
      </c>
      <c r="C159" t="s">
        <v>31</v>
      </c>
      <c r="D159" t="s">
        <v>88</v>
      </c>
      <c r="E159" s="9">
        <v>117.12</v>
      </c>
      <c r="G159" s="3">
        <v>37.299999999999997</v>
      </c>
      <c r="H159" s="5"/>
    </row>
    <row r="160" spans="2:11" ht="18.75" customHeight="1" x14ac:dyDescent="0.25">
      <c r="B160" s="4">
        <v>1940</v>
      </c>
      <c r="C160" t="s">
        <v>31</v>
      </c>
      <c r="D160" t="s">
        <v>88</v>
      </c>
      <c r="E160" s="9">
        <v>116.81</v>
      </c>
      <c r="G160" s="3">
        <v>28.1</v>
      </c>
      <c r="H160" s="5"/>
    </row>
    <row r="161" spans="2:8" ht="18.75" customHeight="1" x14ac:dyDescent="0.25">
      <c r="B161" s="4">
        <v>1940</v>
      </c>
      <c r="C161" t="s">
        <v>31</v>
      </c>
      <c r="D161" t="s">
        <v>88</v>
      </c>
      <c r="E161" s="9">
        <v>116.49</v>
      </c>
      <c r="G161" s="3">
        <v>18.7</v>
      </c>
      <c r="H161" s="5"/>
    </row>
    <row r="162" spans="2:8" ht="18.75" customHeight="1" x14ac:dyDescent="0.25">
      <c r="B162" s="4">
        <v>1940</v>
      </c>
      <c r="C162" t="s">
        <v>31</v>
      </c>
      <c r="D162" t="s">
        <v>88</v>
      </c>
      <c r="E162" s="9">
        <v>116.19</v>
      </c>
      <c r="G162" s="3">
        <v>8.6</v>
      </c>
      <c r="H162" s="5"/>
    </row>
    <row r="163" spans="2:8" ht="18.75" customHeight="1" x14ac:dyDescent="0.25">
      <c r="B163" s="4">
        <v>1940</v>
      </c>
      <c r="C163" t="s">
        <v>31</v>
      </c>
      <c r="D163" t="s">
        <v>88</v>
      </c>
      <c r="E163" s="9">
        <v>115.95</v>
      </c>
      <c r="G163" s="3">
        <v>0.72</v>
      </c>
      <c r="H163" s="5"/>
    </row>
    <row r="164" spans="2:8" ht="18.75" customHeight="1" x14ac:dyDescent="0.25">
      <c r="B164" s="4">
        <v>1940</v>
      </c>
      <c r="C164" t="s">
        <v>31</v>
      </c>
      <c r="D164" t="s">
        <v>90</v>
      </c>
      <c r="E164" s="9">
        <v>164.34</v>
      </c>
      <c r="G164" s="3">
        <v>76.099999999999994</v>
      </c>
      <c r="H164" s="5"/>
    </row>
    <row r="165" spans="2:8" ht="18.75" customHeight="1" x14ac:dyDescent="0.25">
      <c r="B165" s="4">
        <v>1940</v>
      </c>
      <c r="C165" t="s">
        <v>31</v>
      </c>
      <c r="D165" t="s">
        <v>90</v>
      </c>
      <c r="E165" s="9">
        <v>164.31</v>
      </c>
      <c r="G165" s="3">
        <v>75.099999999999994</v>
      </c>
      <c r="H165" s="5"/>
    </row>
    <row r="166" spans="2:8" ht="18.75" customHeight="1" x14ac:dyDescent="0.25">
      <c r="B166" s="4">
        <v>1940</v>
      </c>
      <c r="C166" t="s">
        <v>31</v>
      </c>
      <c r="D166" t="s">
        <v>90</v>
      </c>
      <c r="E166" s="9">
        <v>164.04</v>
      </c>
      <c r="G166" s="3">
        <v>68.400000000000006</v>
      </c>
      <c r="H166" s="5"/>
    </row>
    <row r="167" spans="2:8" ht="18.75" customHeight="1" x14ac:dyDescent="0.25">
      <c r="B167" s="4">
        <v>1940</v>
      </c>
      <c r="C167" t="s">
        <v>31</v>
      </c>
      <c r="D167" t="s">
        <v>90</v>
      </c>
      <c r="E167" s="9">
        <v>163.6</v>
      </c>
      <c r="G167" s="3">
        <v>57.4</v>
      </c>
      <c r="H167" s="5"/>
    </row>
    <row r="168" spans="2:8" ht="18.75" customHeight="1" x14ac:dyDescent="0.25">
      <c r="B168" s="4">
        <v>1940</v>
      </c>
      <c r="C168" t="s">
        <v>31</v>
      </c>
      <c r="D168" t="s">
        <v>90</v>
      </c>
      <c r="E168" s="9">
        <v>163.13</v>
      </c>
      <c r="G168" s="3">
        <v>45.5</v>
      </c>
      <c r="H168" s="5"/>
    </row>
    <row r="169" spans="2:8" ht="18.75" customHeight="1" x14ac:dyDescent="0.25">
      <c r="B169" s="4">
        <v>1940</v>
      </c>
      <c r="C169" t="s">
        <v>31</v>
      </c>
      <c r="D169" t="s">
        <v>90</v>
      </c>
      <c r="E169" s="9">
        <v>162.72</v>
      </c>
      <c r="G169" s="3">
        <v>34.9</v>
      </c>
      <c r="H169" s="5"/>
    </row>
    <row r="170" spans="2:8" ht="18.75" customHeight="1" x14ac:dyDescent="0.25">
      <c r="B170" s="4">
        <v>1940</v>
      </c>
      <c r="C170" t="s">
        <v>31</v>
      </c>
      <c r="D170" t="s">
        <v>90</v>
      </c>
      <c r="E170" s="9">
        <v>162.38999999999999</v>
      </c>
      <c r="G170" s="3">
        <v>26.7</v>
      </c>
      <c r="H170" s="5"/>
    </row>
    <row r="171" spans="2:8" ht="18.75" customHeight="1" x14ac:dyDescent="0.25">
      <c r="B171" s="4">
        <v>1940</v>
      </c>
      <c r="C171" t="s">
        <v>31</v>
      </c>
      <c r="D171" t="s">
        <v>90</v>
      </c>
      <c r="E171" s="9">
        <v>162.02000000000001</v>
      </c>
      <c r="G171" s="3">
        <v>17.600000000000001</v>
      </c>
      <c r="H171" s="5"/>
    </row>
    <row r="172" spans="2:8" ht="18.75" customHeight="1" x14ac:dyDescent="0.25">
      <c r="B172" s="4">
        <v>1940</v>
      </c>
      <c r="C172" t="s">
        <v>31</v>
      </c>
      <c r="D172" t="s">
        <v>90</v>
      </c>
      <c r="E172" s="9">
        <v>162.01</v>
      </c>
      <c r="G172" s="3">
        <v>17.100000000000001</v>
      </c>
      <c r="H172" s="5"/>
    </row>
    <row r="173" spans="2:8" ht="18.75" customHeight="1" x14ac:dyDescent="0.25">
      <c r="B173" s="4">
        <v>1940</v>
      </c>
      <c r="C173" t="s">
        <v>31</v>
      </c>
      <c r="D173" t="s">
        <v>90</v>
      </c>
      <c r="E173" s="9">
        <v>161.63999999999999</v>
      </c>
      <c r="G173" s="3">
        <v>7.8</v>
      </c>
      <c r="H173" s="5"/>
    </row>
    <row r="174" spans="2:8" ht="18.75" customHeight="1" x14ac:dyDescent="0.25">
      <c r="B174" s="4">
        <v>1940</v>
      </c>
      <c r="C174" t="s">
        <v>31</v>
      </c>
      <c r="D174" t="s">
        <v>90</v>
      </c>
      <c r="E174" s="9">
        <v>161.63</v>
      </c>
      <c r="G174" s="3">
        <v>7.2</v>
      </c>
      <c r="H174" s="5"/>
    </row>
    <row r="175" spans="2:8" ht="18.75" customHeight="1" x14ac:dyDescent="0.25">
      <c r="B175" s="4">
        <v>1940</v>
      </c>
      <c r="C175" t="s">
        <v>31</v>
      </c>
      <c r="D175" t="s">
        <v>90</v>
      </c>
      <c r="E175" s="9">
        <v>161.36000000000001</v>
      </c>
      <c r="G175" s="3">
        <v>0.80400000000000005</v>
      </c>
      <c r="H175" s="5"/>
    </row>
    <row r="176" spans="2:8" ht="18.75" customHeight="1" x14ac:dyDescent="0.25">
      <c r="B176" s="4">
        <v>1977</v>
      </c>
      <c r="C176" t="s">
        <v>51</v>
      </c>
      <c r="D176" t="s">
        <v>139</v>
      </c>
      <c r="E176" s="9">
        <v>24.533000000000001</v>
      </c>
      <c r="H176" s="5">
        <v>0.4</v>
      </c>
    </row>
    <row r="177" spans="2:8" ht="18.75" customHeight="1" x14ac:dyDescent="0.25">
      <c r="B177" s="4">
        <v>1977</v>
      </c>
      <c r="C177" t="s">
        <v>51</v>
      </c>
      <c r="D177" t="s">
        <v>139</v>
      </c>
      <c r="E177" s="9">
        <v>25</v>
      </c>
      <c r="H177" s="5">
        <v>30.3</v>
      </c>
    </row>
    <row r="178" spans="2:8" ht="18.75" customHeight="1" x14ac:dyDescent="0.25">
      <c r="B178" s="4">
        <v>1977</v>
      </c>
      <c r="C178" t="s">
        <v>51</v>
      </c>
      <c r="D178" t="s">
        <v>139</v>
      </c>
      <c r="E178" s="9">
        <v>30</v>
      </c>
      <c r="H178" s="5">
        <v>383.8</v>
      </c>
    </row>
    <row r="179" spans="2:8" ht="18.75" customHeight="1" x14ac:dyDescent="0.25">
      <c r="B179" s="4">
        <v>1977</v>
      </c>
      <c r="C179" t="s">
        <v>51</v>
      </c>
      <c r="D179" t="s">
        <v>139</v>
      </c>
      <c r="E179" s="9">
        <v>35</v>
      </c>
      <c r="H179" s="5">
        <v>780.4</v>
      </c>
    </row>
    <row r="180" spans="2:8" ht="18.75" customHeight="1" x14ac:dyDescent="0.25">
      <c r="B180" s="4">
        <v>1977</v>
      </c>
      <c r="C180" t="s">
        <v>51</v>
      </c>
      <c r="D180" t="s">
        <v>139</v>
      </c>
      <c r="E180" s="9">
        <v>40</v>
      </c>
      <c r="H180" s="5">
        <v>1214.5999999999999</v>
      </c>
    </row>
    <row r="181" spans="2:8" ht="18.75" customHeight="1" x14ac:dyDescent="0.25">
      <c r="B181" s="4">
        <v>1977</v>
      </c>
      <c r="C181" t="s">
        <v>51</v>
      </c>
      <c r="D181" t="s">
        <v>139</v>
      </c>
      <c r="E181" s="9">
        <v>45</v>
      </c>
      <c r="H181" s="5">
        <v>1682.2</v>
      </c>
    </row>
    <row r="182" spans="2:8" ht="18.75" customHeight="1" x14ac:dyDescent="0.25">
      <c r="B182" s="4">
        <v>1977</v>
      </c>
      <c r="C182" t="s">
        <v>51</v>
      </c>
      <c r="D182" t="s">
        <v>139</v>
      </c>
      <c r="E182" s="9">
        <v>50</v>
      </c>
      <c r="H182" s="5">
        <v>2180.1999999999998</v>
      </c>
    </row>
    <row r="183" spans="2:8" ht="18.75" customHeight="1" x14ac:dyDescent="0.25">
      <c r="B183" s="4">
        <v>1977</v>
      </c>
      <c r="C183" t="s">
        <v>51</v>
      </c>
      <c r="D183" t="s">
        <v>139</v>
      </c>
      <c r="E183" s="9">
        <v>60</v>
      </c>
      <c r="H183" s="5">
        <v>3258.4</v>
      </c>
    </row>
    <row r="184" spans="2:8" ht="18.75" customHeight="1" x14ac:dyDescent="0.25">
      <c r="B184" s="4">
        <v>1977</v>
      </c>
      <c r="C184" t="s">
        <v>51</v>
      </c>
      <c r="D184" t="s">
        <v>139</v>
      </c>
      <c r="E184" s="9">
        <v>80</v>
      </c>
      <c r="H184" s="5">
        <v>5698.8</v>
      </c>
    </row>
    <row r="185" spans="2:8" ht="18.75" customHeight="1" x14ac:dyDescent="0.25">
      <c r="B185" s="4">
        <v>1977</v>
      </c>
      <c r="C185" t="s">
        <v>51</v>
      </c>
      <c r="D185" t="s">
        <v>139</v>
      </c>
      <c r="E185" s="9">
        <v>110</v>
      </c>
      <c r="H185" s="5">
        <v>9948.5</v>
      </c>
    </row>
    <row r="186" spans="2:8" ht="18.75" customHeight="1" x14ac:dyDescent="0.25">
      <c r="B186" s="4">
        <v>1977</v>
      </c>
      <c r="C186" t="s">
        <v>51</v>
      </c>
      <c r="D186" t="s">
        <v>139</v>
      </c>
      <c r="E186" s="9">
        <v>300</v>
      </c>
      <c r="H186" s="5">
        <v>47880</v>
      </c>
    </row>
    <row r="187" spans="2:8" ht="18.75" customHeight="1" x14ac:dyDescent="0.25">
      <c r="B187" s="4">
        <v>1977</v>
      </c>
      <c r="C187" t="s">
        <v>51</v>
      </c>
      <c r="D187" t="s">
        <v>88</v>
      </c>
      <c r="E187" s="9">
        <v>115.76300000000001</v>
      </c>
      <c r="H187" s="5">
        <v>0.7</v>
      </c>
    </row>
    <row r="188" spans="2:8" ht="18.75" customHeight="1" x14ac:dyDescent="0.25">
      <c r="B188" s="4">
        <v>1977</v>
      </c>
      <c r="C188" t="s">
        <v>51</v>
      </c>
      <c r="D188" t="s">
        <v>88</v>
      </c>
      <c r="E188" s="9">
        <v>120</v>
      </c>
      <c r="H188" s="5">
        <v>141.9</v>
      </c>
    </row>
    <row r="189" spans="2:8" ht="18.75" customHeight="1" x14ac:dyDescent="0.25">
      <c r="B189" s="4">
        <v>1977</v>
      </c>
      <c r="C189" t="s">
        <v>51</v>
      </c>
      <c r="D189" t="s">
        <v>88</v>
      </c>
      <c r="E189" s="9">
        <v>130</v>
      </c>
      <c r="H189" s="5">
        <v>488.6</v>
      </c>
    </row>
    <row r="190" spans="2:8" ht="18.75" customHeight="1" x14ac:dyDescent="0.25">
      <c r="B190" s="4">
        <v>1977</v>
      </c>
      <c r="C190" t="s">
        <v>51</v>
      </c>
      <c r="D190" t="s">
        <v>88</v>
      </c>
      <c r="E190" s="9">
        <v>140</v>
      </c>
      <c r="H190" s="5">
        <v>852.5</v>
      </c>
    </row>
    <row r="191" spans="2:8" ht="18.75" customHeight="1" x14ac:dyDescent="0.25">
      <c r="B191" s="4">
        <v>1977</v>
      </c>
      <c r="C191" t="s">
        <v>51</v>
      </c>
      <c r="D191" t="s">
        <v>88</v>
      </c>
      <c r="E191" s="9">
        <v>160</v>
      </c>
      <c r="H191" s="5">
        <v>1627.6</v>
      </c>
    </row>
    <row r="192" spans="2:8" ht="18.75" customHeight="1" x14ac:dyDescent="0.25">
      <c r="B192" s="4">
        <v>1977</v>
      </c>
      <c r="C192" t="s">
        <v>51</v>
      </c>
      <c r="D192" t="s">
        <v>88</v>
      </c>
      <c r="E192" s="9">
        <v>180</v>
      </c>
      <c r="H192" s="5">
        <v>2461.1</v>
      </c>
    </row>
    <row r="193" spans="2:8" ht="18.75" customHeight="1" x14ac:dyDescent="0.25">
      <c r="B193" s="4">
        <v>1977</v>
      </c>
      <c r="C193" t="s">
        <v>51</v>
      </c>
      <c r="D193" t="s">
        <v>88</v>
      </c>
      <c r="E193" s="9">
        <v>200</v>
      </c>
      <c r="H193" s="5">
        <v>3348.2</v>
      </c>
    </row>
    <row r="194" spans="2:8" ht="18.75" customHeight="1" x14ac:dyDescent="0.25">
      <c r="B194" s="4">
        <v>1977</v>
      </c>
      <c r="C194" t="s">
        <v>51</v>
      </c>
      <c r="D194" t="s">
        <v>88</v>
      </c>
      <c r="E194" s="9">
        <v>220</v>
      </c>
      <c r="H194" s="5">
        <v>4285</v>
      </c>
    </row>
    <row r="195" spans="2:8" ht="18.75" customHeight="1" x14ac:dyDescent="0.25">
      <c r="B195" s="4">
        <v>1977</v>
      </c>
      <c r="C195" t="s">
        <v>51</v>
      </c>
      <c r="D195" t="s">
        <v>88</v>
      </c>
      <c r="E195" s="9">
        <v>260</v>
      </c>
      <c r="H195" s="5">
        <v>6295.8</v>
      </c>
    </row>
    <row r="196" spans="2:8" ht="18.75" customHeight="1" x14ac:dyDescent="0.25">
      <c r="B196" s="4">
        <v>1977</v>
      </c>
      <c r="C196" t="s">
        <v>51</v>
      </c>
      <c r="D196" t="s">
        <v>88</v>
      </c>
      <c r="E196" s="9">
        <v>300</v>
      </c>
      <c r="H196" s="5">
        <v>8473.6</v>
      </c>
    </row>
    <row r="197" spans="2:8" ht="18.75" customHeight="1" x14ac:dyDescent="0.25">
      <c r="B197" s="4">
        <v>1977</v>
      </c>
      <c r="C197" t="s">
        <v>51</v>
      </c>
      <c r="D197" t="s">
        <v>90</v>
      </c>
      <c r="E197" s="9">
        <v>161.39099999999999</v>
      </c>
      <c r="H197" s="5">
        <v>0.8</v>
      </c>
    </row>
    <row r="198" spans="2:8" ht="18.75" customHeight="1" x14ac:dyDescent="0.25">
      <c r="B198" s="4">
        <v>1977</v>
      </c>
      <c r="C198" t="s">
        <v>51</v>
      </c>
      <c r="D198" t="s">
        <v>90</v>
      </c>
      <c r="E198" s="9">
        <v>170</v>
      </c>
      <c r="H198" s="5">
        <v>224.3</v>
      </c>
    </row>
    <row r="199" spans="2:8" ht="18.75" customHeight="1" x14ac:dyDescent="0.25">
      <c r="B199" s="4">
        <v>1977</v>
      </c>
      <c r="C199" t="s">
        <v>51</v>
      </c>
      <c r="D199" t="s">
        <v>90</v>
      </c>
      <c r="E199" s="9">
        <v>180</v>
      </c>
      <c r="H199" s="5">
        <v>493.4</v>
      </c>
    </row>
    <row r="200" spans="2:8" ht="18.75" customHeight="1" x14ac:dyDescent="0.25">
      <c r="B200" s="4">
        <v>1977</v>
      </c>
      <c r="C200" t="s">
        <v>51</v>
      </c>
      <c r="D200" t="s">
        <v>90</v>
      </c>
      <c r="E200" s="9">
        <v>190</v>
      </c>
      <c r="H200" s="5">
        <v>772.1</v>
      </c>
    </row>
    <row r="201" spans="2:8" ht="18.75" customHeight="1" x14ac:dyDescent="0.25">
      <c r="B201" s="4">
        <v>1977</v>
      </c>
      <c r="C201" t="s">
        <v>51</v>
      </c>
      <c r="D201" t="s">
        <v>90</v>
      </c>
      <c r="E201" s="9">
        <v>200</v>
      </c>
      <c r="H201" s="5">
        <v>1059.7</v>
      </c>
    </row>
    <row r="202" spans="2:8" ht="18.75" customHeight="1" x14ac:dyDescent="0.25">
      <c r="B202" s="4">
        <v>1977</v>
      </c>
      <c r="C202" t="s">
        <v>51</v>
      </c>
      <c r="D202" t="s">
        <v>90</v>
      </c>
      <c r="E202" s="9">
        <v>220</v>
      </c>
      <c r="H202" s="5">
        <v>1659</v>
      </c>
    </row>
    <row r="203" spans="2:8" ht="18.75" customHeight="1" x14ac:dyDescent="0.25">
      <c r="B203" s="4">
        <v>1977</v>
      </c>
      <c r="C203" t="s">
        <v>51</v>
      </c>
      <c r="D203" t="s">
        <v>90</v>
      </c>
      <c r="E203" s="9">
        <v>240</v>
      </c>
      <c r="H203" s="5">
        <v>2287</v>
      </c>
    </row>
    <row r="204" spans="2:8" ht="18.75" customHeight="1" x14ac:dyDescent="0.25">
      <c r="B204" s="4">
        <v>1977</v>
      </c>
      <c r="C204" t="s">
        <v>51</v>
      </c>
      <c r="D204" t="s">
        <v>90</v>
      </c>
      <c r="E204" s="9">
        <v>260</v>
      </c>
      <c r="H204" s="5">
        <v>2942</v>
      </c>
    </row>
    <row r="205" spans="2:8" ht="18.75" customHeight="1" x14ac:dyDescent="0.25">
      <c r="B205" s="4">
        <v>1977</v>
      </c>
      <c r="C205" t="s">
        <v>51</v>
      </c>
      <c r="D205" t="s">
        <v>90</v>
      </c>
      <c r="E205" s="9">
        <v>280</v>
      </c>
      <c r="H205" s="5">
        <v>3621</v>
      </c>
    </row>
    <row r="206" spans="2:8" ht="18.75" customHeight="1" x14ac:dyDescent="0.25">
      <c r="H206" s="5"/>
    </row>
    <row r="207" spans="2:8" ht="18.75" customHeight="1" x14ac:dyDescent="0.25">
      <c r="H207" s="5"/>
    </row>
    <row r="208" spans="2:8" ht="18.75" customHeight="1" x14ac:dyDescent="0.25">
      <c r="H208" s="5"/>
    </row>
    <row r="209" spans="8:8" ht="18.75" customHeight="1" x14ac:dyDescent="0.25">
      <c r="H209" s="5"/>
    </row>
    <row r="210" spans="8:8" ht="18.75" customHeight="1" x14ac:dyDescent="0.25">
      <c r="H210" s="5"/>
    </row>
    <row r="211" spans="8:8" ht="18.75" customHeight="1" x14ac:dyDescent="0.25">
      <c r="H211" s="5"/>
    </row>
    <row r="212" spans="8:8" ht="18.75" customHeight="1" x14ac:dyDescent="0.25">
      <c r="H212" s="5"/>
    </row>
    <row r="213" spans="8:8" ht="18.75" customHeight="1" x14ac:dyDescent="0.25">
      <c r="H213" s="5"/>
    </row>
    <row r="214" spans="8:8" ht="18.75" customHeight="1" x14ac:dyDescent="0.25">
      <c r="H214" s="5"/>
    </row>
    <row r="215" spans="8:8" ht="18.75" customHeight="1" x14ac:dyDescent="0.25">
      <c r="H215" s="5"/>
    </row>
    <row r="216" spans="8:8" ht="18.75" customHeight="1" x14ac:dyDescent="0.25">
      <c r="H216" s="5"/>
    </row>
    <row r="217" spans="8:8" ht="18.75" customHeight="1" x14ac:dyDescent="0.25">
      <c r="H217" s="5"/>
    </row>
    <row r="218" spans="8:8" ht="18.75" customHeight="1" x14ac:dyDescent="0.25">
      <c r="H218" s="5"/>
    </row>
    <row r="219" spans="8:8" ht="18.75" customHeight="1" x14ac:dyDescent="0.25">
      <c r="H219" s="5"/>
    </row>
    <row r="220" spans="8:8" ht="18.75" customHeight="1" x14ac:dyDescent="0.25">
      <c r="H220" s="5"/>
    </row>
    <row r="221" spans="8:8" ht="18.75" customHeight="1" x14ac:dyDescent="0.25">
      <c r="H221" s="5"/>
    </row>
    <row r="222" spans="8:8" ht="18.75" customHeight="1" x14ac:dyDescent="0.25">
      <c r="H222" s="5"/>
    </row>
    <row r="223" spans="8:8" ht="18.75" customHeight="1" x14ac:dyDescent="0.25">
      <c r="H223" s="5"/>
    </row>
    <row r="224" spans="8:8" ht="18.75" customHeight="1" x14ac:dyDescent="0.25">
      <c r="H224" s="5"/>
    </row>
    <row r="225" spans="8:8" ht="18.75" customHeight="1" x14ac:dyDescent="0.25">
      <c r="H225" s="5"/>
    </row>
    <row r="226" spans="8:8" ht="18.75" customHeight="1" x14ac:dyDescent="0.25">
      <c r="H226" s="5"/>
    </row>
    <row r="227" spans="8:8" ht="18.75" customHeight="1" x14ac:dyDescent="0.25">
      <c r="H227" s="5"/>
    </row>
    <row r="228" spans="8:8" ht="18.75" customHeight="1" x14ac:dyDescent="0.25">
      <c r="H228" s="5"/>
    </row>
    <row r="229" spans="8:8" ht="18.75" customHeight="1" x14ac:dyDescent="0.25">
      <c r="H229" s="5"/>
    </row>
    <row r="230" spans="8:8" ht="18.75" customHeight="1" x14ac:dyDescent="0.25">
      <c r="H230" s="5"/>
    </row>
    <row r="231" spans="8:8" ht="18.75" customHeight="1" x14ac:dyDescent="0.25">
      <c r="H231" s="5"/>
    </row>
    <row r="232" spans="8:8" ht="18.75" customHeight="1" x14ac:dyDescent="0.25">
      <c r="H232" s="5"/>
    </row>
    <row r="233" spans="8:8" ht="18.75" customHeight="1" x14ac:dyDescent="0.25">
      <c r="H233" s="5"/>
    </row>
    <row r="234" spans="8:8" ht="18.75" customHeight="1" x14ac:dyDescent="0.25">
      <c r="H234" s="5"/>
    </row>
    <row r="235" spans="8:8" ht="18.75" customHeight="1" x14ac:dyDescent="0.25">
      <c r="H235" s="5"/>
    </row>
    <row r="236" spans="8:8" ht="18.75" customHeight="1" x14ac:dyDescent="0.25">
      <c r="H236" s="5"/>
    </row>
    <row r="237" spans="8:8" ht="18.75" customHeight="1" x14ac:dyDescent="0.25">
      <c r="H237" s="5"/>
    </row>
    <row r="238" spans="8:8" ht="18.75" customHeight="1" x14ac:dyDescent="0.25">
      <c r="H238" s="5"/>
    </row>
    <row r="239" spans="8:8" ht="18.75" customHeight="1" x14ac:dyDescent="0.25">
      <c r="H239" s="5"/>
    </row>
    <row r="240" spans="8:8" ht="18.75" customHeight="1" x14ac:dyDescent="0.25">
      <c r="H240" s="5"/>
    </row>
    <row r="241" spans="8:8" ht="18.75" customHeight="1" x14ac:dyDescent="0.25">
      <c r="H241" s="5"/>
    </row>
    <row r="242" spans="8:8" ht="18.75" customHeight="1" x14ac:dyDescent="0.25">
      <c r="H242" s="5"/>
    </row>
    <row r="243" spans="8:8" ht="18.75" customHeight="1" x14ac:dyDescent="0.25">
      <c r="H243" s="5"/>
    </row>
    <row r="244" spans="8:8" ht="18.75" customHeight="1" x14ac:dyDescent="0.25">
      <c r="H244" s="5"/>
    </row>
    <row r="245" spans="8:8" ht="18.75" customHeight="1" x14ac:dyDescent="0.25">
      <c r="H245" s="5"/>
    </row>
    <row r="246" spans="8:8" ht="18.75" customHeight="1" x14ac:dyDescent="0.25">
      <c r="H246" s="5"/>
    </row>
    <row r="247" spans="8:8" ht="18.75" customHeight="1" x14ac:dyDescent="0.25">
      <c r="H247" s="5"/>
    </row>
    <row r="248" spans="8:8" ht="18.75" customHeight="1" x14ac:dyDescent="0.25">
      <c r="H248" s="5"/>
    </row>
    <row r="249" spans="8:8" ht="18.75" customHeight="1" x14ac:dyDescent="0.25">
      <c r="H249" s="5"/>
    </row>
    <row r="250" spans="8:8" ht="18.75" customHeight="1" x14ac:dyDescent="0.25">
      <c r="H250" s="5"/>
    </row>
    <row r="251" spans="8:8" ht="18.75" customHeight="1" x14ac:dyDescent="0.25">
      <c r="H251" s="5"/>
    </row>
    <row r="252" spans="8:8" ht="18.75" customHeight="1" x14ac:dyDescent="0.25">
      <c r="H252" s="5"/>
    </row>
    <row r="253" spans="8:8" ht="18.75" customHeight="1" x14ac:dyDescent="0.25">
      <c r="H253" s="5"/>
    </row>
    <row r="254" spans="8:8" ht="18.75" customHeight="1" x14ac:dyDescent="0.25">
      <c r="H254" s="5"/>
    </row>
    <row r="255" spans="8:8" ht="18.75" customHeight="1" x14ac:dyDescent="0.25">
      <c r="H255" s="5"/>
    </row>
    <row r="256" spans="8:8" ht="18.75" customHeight="1" x14ac:dyDescent="0.25">
      <c r="H256" s="5"/>
    </row>
    <row r="257" spans="8:8" ht="18.75" customHeight="1" x14ac:dyDescent="0.25">
      <c r="H257" s="5"/>
    </row>
    <row r="258" spans="8:8" ht="18.75" customHeight="1" x14ac:dyDescent="0.25">
      <c r="H258" s="5"/>
    </row>
    <row r="259" spans="8:8" ht="18.75" customHeight="1" x14ac:dyDescent="0.25">
      <c r="H259" s="5"/>
    </row>
    <row r="260" spans="8:8" ht="18.75" customHeight="1" x14ac:dyDescent="0.25">
      <c r="H260" s="5"/>
    </row>
    <row r="261" spans="8:8" ht="18.75" customHeight="1" x14ac:dyDescent="0.25">
      <c r="H261" s="5"/>
    </row>
    <row r="262" spans="8:8" ht="18.75" customHeight="1" x14ac:dyDescent="0.25">
      <c r="H262" s="5"/>
    </row>
    <row r="263" spans="8:8" ht="18.75" customHeight="1" x14ac:dyDescent="0.25">
      <c r="H263" s="5"/>
    </row>
    <row r="264" spans="8:8" ht="18.75" customHeight="1" x14ac:dyDescent="0.25">
      <c r="H264" s="5"/>
    </row>
    <row r="265" spans="8:8" ht="18.75" customHeight="1" x14ac:dyDescent="0.25">
      <c r="H265" s="5"/>
    </row>
    <row r="266" spans="8:8" ht="18.75" customHeight="1" x14ac:dyDescent="0.25">
      <c r="H266" s="5"/>
    </row>
    <row r="267" spans="8:8" ht="18.75" customHeight="1" x14ac:dyDescent="0.25">
      <c r="H267" s="5"/>
    </row>
    <row r="268" spans="8:8" ht="18.75" customHeight="1" x14ac:dyDescent="0.25">
      <c r="H268" s="5"/>
    </row>
    <row r="269" spans="8:8" ht="18.75" customHeight="1" x14ac:dyDescent="0.25">
      <c r="H269" s="5"/>
    </row>
    <row r="270" spans="8:8" ht="18.75" customHeight="1" x14ac:dyDescent="0.25">
      <c r="H270" s="5"/>
    </row>
    <row r="271" spans="8:8" ht="18.75" customHeight="1" x14ac:dyDescent="0.25">
      <c r="H271" s="5"/>
    </row>
    <row r="272" spans="8:8" ht="18.75" customHeight="1" x14ac:dyDescent="0.25">
      <c r="H272" s="5"/>
    </row>
    <row r="273" spans="8:8" ht="18.75" customHeight="1" x14ac:dyDescent="0.25">
      <c r="H273" s="5"/>
    </row>
    <row r="274" spans="8:8" ht="18.75" customHeight="1" x14ac:dyDescent="0.25">
      <c r="H274" s="5"/>
    </row>
    <row r="275" spans="8:8" ht="18.75" customHeight="1" x14ac:dyDescent="0.25">
      <c r="H275" s="5"/>
    </row>
    <row r="276" spans="8:8" ht="18.75" customHeight="1" x14ac:dyDescent="0.25">
      <c r="H276" s="5"/>
    </row>
    <row r="277" spans="8:8" ht="18.75" customHeight="1" x14ac:dyDescent="0.25">
      <c r="H277" s="5"/>
    </row>
    <row r="278" spans="8:8" ht="18.75" customHeight="1" x14ac:dyDescent="0.25">
      <c r="H278" s="5"/>
    </row>
    <row r="279" spans="8:8" ht="18.75" customHeight="1" x14ac:dyDescent="0.25">
      <c r="H279" s="5"/>
    </row>
    <row r="280" spans="8:8" ht="18.75" customHeight="1" x14ac:dyDescent="0.25">
      <c r="H280" s="5"/>
    </row>
    <row r="281" spans="8:8" ht="18.75" customHeight="1" x14ac:dyDescent="0.25">
      <c r="H281" s="5"/>
    </row>
    <row r="282" spans="8:8" ht="18.75" customHeight="1" x14ac:dyDescent="0.25">
      <c r="H282" s="5"/>
    </row>
    <row r="283" spans="8:8" ht="18.75" customHeight="1" x14ac:dyDescent="0.25">
      <c r="H283" s="5"/>
    </row>
    <row r="284" spans="8:8" ht="18.75" customHeight="1" x14ac:dyDescent="0.25">
      <c r="H284" s="5"/>
    </row>
    <row r="285" spans="8:8" ht="18.75" customHeight="1" x14ac:dyDescent="0.25">
      <c r="H285" s="5"/>
    </row>
    <row r="286" spans="8:8" ht="18.75" customHeight="1" x14ac:dyDescent="0.25">
      <c r="H286" s="5"/>
    </row>
    <row r="287" spans="8:8" ht="18.75" customHeight="1" x14ac:dyDescent="0.25">
      <c r="H287" s="5"/>
    </row>
    <row r="288" spans="8:8" ht="18.75" customHeight="1" x14ac:dyDescent="0.25">
      <c r="H288" s="5"/>
    </row>
    <row r="289" spans="8:8" ht="18.75" customHeight="1" x14ac:dyDescent="0.25">
      <c r="H289" s="5"/>
    </row>
    <row r="290" spans="8:8" ht="18.75" customHeight="1" x14ac:dyDescent="0.25">
      <c r="H290" s="5"/>
    </row>
    <row r="291" spans="8:8" ht="18.75" customHeight="1" x14ac:dyDescent="0.25">
      <c r="H291" s="5"/>
    </row>
    <row r="292" spans="8:8" ht="18.75" customHeight="1" x14ac:dyDescent="0.25">
      <c r="H292" s="5"/>
    </row>
    <row r="293" spans="8:8" ht="18.75" customHeight="1" x14ac:dyDescent="0.25">
      <c r="H293" s="5"/>
    </row>
    <row r="294" spans="8:8" ht="18.75" customHeight="1" x14ac:dyDescent="0.25">
      <c r="H294" s="5"/>
    </row>
    <row r="295" spans="8:8" ht="18.75" customHeight="1" x14ac:dyDescent="0.25">
      <c r="H295" s="5"/>
    </row>
    <row r="296" spans="8:8" ht="18.75" customHeight="1" x14ac:dyDescent="0.25">
      <c r="H296" s="5"/>
    </row>
    <row r="297" spans="8:8" ht="18.75" customHeight="1" x14ac:dyDescent="0.25">
      <c r="H297" s="5"/>
    </row>
    <row r="298" spans="8:8" ht="18.75" customHeight="1" x14ac:dyDescent="0.25">
      <c r="H298" s="5"/>
    </row>
    <row r="299" spans="8:8" ht="18.75" customHeight="1" x14ac:dyDescent="0.25">
      <c r="H299" s="5"/>
    </row>
    <row r="300" spans="8:8" ht="18.75" customHeight="1" x14ac:dyDescent="0.25">
      <c r="H300" s="5"/>
    </row>
    <row r="301" spans="8:8" ht="18.75" customHeight="1" x14ac:dyDescent="0.25">
      <c r="H301" s="5"/>
    </row>
    <row r="302" spans="8:8" ht="18.75" customHeight="1" x14ac:dyDescent="0.25">
      <c r="H302" s="5"/>
    </row>
    <row r="303" spans="8:8" ht="18.75" customHeight="1" x14ac:dyDescent="0.25">
      <c r="H303" s="5"/>
    </row>
    <row r="304" spans="8:8" ht="18.75" customHeight="1" x14ac:dyDescent="0.25">
      <c r="H304" s="5"/>
    </row>
    <row r="305" spans="8:8" ht="18.75" customHeight="1" x14ac:dyDescent="0.25">
      <c r="H305" s="5"/>
    </row>
    <row r="306" spans="8:8" ht="18.75" customHeight="1" x14ac:dyDescent="0.25">
      <c r="H306" s="5"/>
    </row>
    <row r="307" spans="8:8" ht="18.75" customHeight="1" x14ac:dyDescent="0.25">
      <c r="H307" s="5"/>
    </row>
    <row r="308" spans="8:8" ht="18.75" customHeight="1" x14ac:dyDescent="0.25">
      <c r="H308" s="5"/>
    </row>
    <row r="309" spans="8:8" ht="18.75" customHeight="1" x14ac:dyDescent="0.25">
      <c r="H309" s="5"/>
    </row>
    <row r="310" spans="8:8" ht="18.75" customHeight="1" x14ac:dyDescent="0.25">
      <c r="H310" s="5"/>
    </row>
    <row r="311" spans="8:8" ht="18.75" customHeight="1" x14ac:dyDescent="0.25">
      <c r="H311" s="5"/>
    </row>
    <row r="312" spans="8:8" ht="18.75" customHeight="1" x14ac:dyDescent="0.25">
      <c r="H312" s="5"/>
    </row>
    <row r="313" spans="8:8" ht="18.75" customHeight="1" x14ac:dyDescent="0.25">
      <c r="H313" s="5"/>
    </row>
    <row r="314" spans="8:8" ht="18.75" customHeight="1" x14ac:dyDescent="0.25">
      <c r="H314" s="5"/>
    </row>
    <row r="315" spans="8:8" ht="18.75" customHeight="1" x14ac:dyDescent="0.25">
      <c r="H315" s="5"/>
    </row>
    <row r="316" spans="8:8" ht="18.75" customHeight="1" x14ac:dyDescent="0.25">
      <c r="H316" s="5"/>
    </row>
    <row r="317" spans="8:8" ht="18.75" customHeight="1" x14ac:dyDescent="0.25">
      <c r="H317" s="5"/>
    </row>
    <row r="318" spans="8:8" ht="18.75" customHeight="1" x14ac:dyDescent="0.25">
      <c r="H318" s="5"/>
    </row>
    <row r="319" spans="8:8" ht="18.75" customHeight="1" x14ac:dyDescent="0.25">
      <c r="H319" s="5"/>
    </row>
    <row r="320" spans="8:8" ht="18.75" customHeight="1" x14ac:dyDescent="0.25">
      <c r="H320" s="5"/>
    </row>
    <row r="321" spans="8:8" ht="18.75" customHeight="1" x14ac:dyDescent="0.25">
      <c r="H321" s="5"/>
    </row>
    <row r="322" spans="8:8" ht="18.75" customHeight="1" x14ac:dyDescent="0.25">
      <c r="H322" s="5"/>
    </row>
    <row r="323" spans="8:8" ht="18.75" customHeight="1" x14ac:dyDescent="0.25">
      <c r="H323" s="5"/>
    </row>
    <row r="324" spans="8:8" ht="18.75" customHeight="1" x14ac:dyDescent="0.25">
      <c r="H324" s="5"/>
    </row>
    <row r="325" spans="8:8" ht="18.75" customHeight="1" x14ac:dyDescent="0.25">
      <c r="H325" s="5"/>
    </row>
    <row r="326" spans="8:8" ht="18.75" customHeight="1" x14ac:dyDescent="0.25">
      <c r="H326" s="5"/>
    </row>
    <row r="327" spans="8:8" ht="18.75" customHeight="1" x14ac:dyDescent="0.25">
      <c r="H327" s="5"/>
    </row>
    <row r="328" spans="8:8" ht="18.75" customHeight="1" x14ac:dyDescent="0.25">
      <c r="H328" s="5"/>
    </row>
    <row r="329" spans="8:8" ht="18.75" customHeight="1" x14ac:dyDescent="0.25">
      <c r="H329" s="5"/>
    </row>
    <row r="330" spans="8:8" ht="18.75" customHeight="1" x14ac:dyDescent="0.25">
      <c r="H330" s="5"/>
    </row>
    <row r="331" spans="8:8" ht="18.75" customHeight="1" x14ac:dyDescent="0.25">
      <c r="H331" s="5"/>
    </row>
    <row r="332" spans="8:8" ht="18.75" customHeight="1" x14ac:dyDescent="0.25">
      <c r="H332" s="5"/>
    </row>
    <row r="333" spans="8:8" ht="18.75" customHeight="1" x14ac:dyDescent="0.25">
      <c r="H333" s="5"/>
    </row>
    <row r="334" spans="8:8" ht="18.75" customHeight="1" x14ac:dyDescent="0.25">
      <c r="H334" s="5"/>
    </row>
    <row r="335" spans="8:8" ht="18.75" customHeight="1" x14ac:dyDescent="0.25">
      <c r="H335" s="5"/>
    </row>
    <row r="336" spans="8:8" ht="18.75" customHeight="1" x14ac:dyDescent="0.25">
      <c r="H336" s="5"/>
    </row>
    <row r="337" spans="8:8" ht="18.75" customHeight="1" x14ac:dyDescent="0.25">
      <c r="H337" s="5"/>
    </row>
    <row r="338" spans="8:8" ht="18.75" customHeight="1" x14ac:dyDescent="0.25">
      <c r="H338" s="5"/>
    </row>
    <row r="339" spans="8:8" ht="18.75" customHeight="1" x14ac:dyDescent="0.25">
      <c r="H339" s="5"/>
    </row>
    <row r="340" spans="8:8" ht="18.75" customHeight="1" x14ac:dyDescent="0.25">
      <c r="H340" s="5"/>
    </row>
    <row r="341" spans="8:8" ht="18.75" customHeight="1" x14ac:dyDescent="0.25">
      <c r="H341" s="5"/>
    </row>
    <row r="342" spans="8:8" ht="18.75" customHeight="1" x14ac:dyDescent="0.25"/>
    <row r="343" spans="8:8" ht="18.75" customHeight="1" x14ac:dyDescent="0.25"/>
  </sheetData>
  <conditionalFormatting sqref="D1:D1048576">
    <cfRule type="cellIs" dxfId="5" priority="1" operator="equal">
      <formula>"neon"</formula>
    </cfRule>
    <cfRule type="cellIs" dxfId="4" priority="2" operator="equal">
      <formula>"xenon"</formula>
    </cfRule>
    <cfRule type="cellIs" dxfId="3" priority="3" operator="equal">
      <formula>"krypton"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outlinePr summaryBelow="0"/>
  </sheetPr>
  <dimension ref="A1:AG588"/>
  <sheetViews>
    <sheetView workbookViewId="0">
      <selection activeCell="C30" sqref="C30"/>
    </sheetView>
  </sheetViews>
  <sheetFormatPr defaultRowHeight="15" x14ac:dyDescent="0.25"/>
  <cols>
    <col min="1" max="1" width="13.5703125" bestFit="1" customWidth="1"/>
    <col min="2" max="2" width="13.5703125" customWidth="1"/>
    <col min="3" max="3" width="13.5703125" bestFit="1" customWidth="1"/>
    <col min="4" max="4" width="13.5703125" style="1" bestFit="1" customWidth="1"/>
    <col min="5" max="5" width="13.5703125" bestFit="1" customWidth="1"/>
    <col min="6" max="8" width="13.5703125" style="2" bestFit="1" customWidth="1"/>
    <col min="9" max="9" width="13.5703125" style="3" bestFit="1" customWidth="1"/>
    <col min="10" max="10" width="13.5703125" style="2" bestFit="1" customWidth="1"/>
    <col min="11" max="11" width="13.5703125" style="4" bestFit="1" customWidth="1"/>
    <col min="12" max="12" width="10" style="3" bestFit="1" customWidth="1"/>
    <col min="13" max="14" width="13.5703125" style="2" bestFit="1" customWidth="1"/>
    <col min="15" max="15" width="12" style="2" bestFit="1" customWidth="1"/>
    <col min="16" max="16" width="12" style="3" bestFit="1" customWidth="1"/>
    <col min="17" max="17" width="13.5703125" style="3" bestFit="1" customWidth="1"/>
    <col min="18" max="18" width="13.5703125" style="4" bestFit="1" customWidth="1"/>
    <col min="19" max="19" width="13.5703125" style="3" bestFit="1" customWidth="1"/>
    <col min="20" max="20" width="13.5703125" style="4" bestFit="1" customWidth="1"/>
    <col min="21" max="21" width="13.5703125" bestFit="1" customWidth="1"/>
    <col min="22" max="22" width="13.5703125" style="4" bestFit="1" customWidth="1"/>
    <col min="23" max="23" width="13.5703125" bestFit="1" customWidth="1"/>
    <col min="24" max="24" width="13.5703125" style="4" bestFit="1" customWidth="1"/>
    <col min="25" max="25" width="13.5703125" style="3" bestFit="1" customWidth="1"/>
    <col min="26" max="26" width="13.5703125" bestFit="1" customWidth="1"/>
    <col min="27" max="29" width="13.5703125" style="3" bestFit="1" customWidth="1"/>
    <col min="30" max="32" width="13.5703125" bestFit="1" customWidth="1"/>
    <col min="33" max="33" width="13.5703125" style="3" bestFit="1" customWidth="1"/>
  </cols>
  <sheetData>
    <row r="1" spans="4:33" ht="18.75" customHeight="1" x14ac:dyDescent="0.25">
      <c r="O1" s="2" t="s">
        <v>0</v>
      </c>
    </row>
    <row r="2" spans="4:33" ht="18.75" customHeight="1" x14ac:dyDescent="0.25">
      <c r="O2" s="5">
        <v>39.948</v>
      </c>
      <c r="W2" t="s">
        <v>1</v>
      </c>
    </row>
    <row r="3" spans="4:33" ht="18.75" customHeight="1" x14ac:dyDescent="0.25"/>
    <row r="4" spans="4:33" ht="18.75" customHeight="1" x14ac:dyDescent="0.25">
      <c r="I4" s="3" t="s">
        <v>2</v>
      </c>
      <c r="AA4" s="3" t="s">
        <v>2</v>
      </c>
    </row>
    <row r="5" spans="4:33" ht="18.75" customHeight="1" x14ac:dyDescent="0.25">
      <c r="D5" s="1" t="s">
        <v>3</v>
      </c>
      <c r="E5" t="s">
        <v>4</v>
      </c>
      <c r="F5" s="2" t="s">
        <v>5</v>
      </c>
      <c r="G5" s="2" t="s">
        <v>6</v>
      </c>
      <c r="H5" s="8" t="s">
        <v>7</v>
      </c>
      <c r="I5" s="8" t="s">
        <v>8</v>
      </c>
      <c r="J5" s="8" t="s">
        <v>9</v>
      </c>
      <c r="K5" s="4" t="s">
        <v>10</v>
      </c>
      <c r="O5" s="2" t="s">
        <v>6</v>
      </c>
      <c r="V5" s="4" t="s">
        <v>3</v>
      </c>
      <c r="W5" t="s">
        <v>4</v>
      </c>
      <c r="X5" s="4" t="s">
        <v>5</v>
      </c>
      <c r="Y5" s="3" t="s">
        <v>6</v>
      </c>
      <c r="Z5" s="22" t="s">
        <v>7</v>
      </c>
      <c r="AA5" s="8" t="s">
        <v>8</v>
      </c>
      <c r="AB5" s="8" t="s">
        <v>9</v>
      </c>
      <c r="AC5" s="8" t="s">
        <v>11</v>
      </c>
      <c r="AG5" s="3" t="s">
        <v>6</v>
      </c>
    </row>
    <row r="6" spans="4:33" ht="18.75" customHeight="1" x14ac:dyDescent="0.25">
      <c r="F6" s="2" t="s">
        <v>12</v>
      </c>
      <c r="G6" s="2" t="s">
        <v>13</v>
      </c>
      <c r="H6" s="2" t="s">
        <v>14</v>
      </c>
      <c r="I6" s="3" t="s">
        <v>15</v>
      </c>
      <c r="J6" s="2" t="s">
        <v>16</v>
      </c>
      <c r="N6" s="2" t="s">
        <v>17</v>
      </c>
      <c r="O6" s="2" t="s">
        <v>13</v>
      </c>
      <c r="X6" s="4" t="s">
        <v>12</v>
      </c>
      <c r="Y6" s="3" t="s">
        <v>13</v>
      </c>
      <c r="Z6" t="s">
        <v>14</v>
      </c>
      <c r="AA6" s="3" t="s">
        <v>15</v>
      </c>
      <c r="AB6" s="3" t="s">
        <v>16</v>
      </c>
      <c r="AC6" s="3" t="s">
        <v>15</v>
      </c>
      <c r="AG6" s="3" t="s">
        <v>13</v>
      </c>
    </row>
    <row r="7" spans="4:33" ht="18.75" customHeight="1" x14ac:dyDescent="0.25">
      <c r="D7" s="6">
        <v>1966</v>
      </c>
      <c r="E7" t="s">
        <v>18</v>
      </c>
      <c r="F7" s="6">
        <v>4</v>
      </c>
      <c r="G7" s="5">
        <v>22.556747600225862</v>
      </c>
      <c r="H7" s="6">
        <v>1771</v>
      </c>
      <c r="L7" s="6">
        <v>4</v>
      </c>
      <c r="N7" s="5">
        <v>1.7709999999999999</v>
      </c>
      <c r="O7" s="5">
        <f t="shared" ref="O7:O26" si="0">$O$2/N7</f>
        <v>22.556747600225862</v>
      </c>
      <c r="P7" s="6">
        <f t="shared" ref="P7:P38" si="1">F7-L7</f>
        <v>0</v>
      </c>
      <c r="Q7" s="6">
        <f t="shared" ref="Q7:Q38" si="2">G7-O7</f>
        <v>0</v>
      </c>
      <c r="V7" s="6">
        <v>1957</v>
      </c>
      <c r="W7" t="s">
        <v>19</v>
      </c>
      <c r="X7" s="6">
        <v>0</v>
      </c>
      <c r="Y7" s="5">
        <v>22.541064384568493</v>
      </c>
      <c r="AA7" s="5">
        <v>5.31</v>
      </c>
      <c r="AB7" s="5">
        <f>AA7^3</f>
        <v>149.72129099999995</v>
      </c>
      <c r="AC7" s="5">
        <v>0.01</v>
      </c>
      <c r="AG7" s="5">
        <f>AB7*10^(-30)/4*6.02214*10^23*10^6</f>
        <v>22.541064384568493</v>
      </c>
    </row>
    <row r="8" spans="4:33" ht="18.75" customHeight="1" x14ac:dyDescent="0.25">
      <c r="D8" s="6">
        <v>1966</v>
      </c>
      <c r="E8" t="s">
        <v>18</v>
      </c>
      <c r="F8" s="6">
        <v>6</v>
      </c>
      <c r="G8" s="5">
        <v>22.556747600225862</v>
      </c>
      <c r="H8" s="6">
        <v>1771</v>
      </c>
      <c r="L8" s="6">
        <v>6</v>
      </c>
      <c r="N8" s="5">
        <v>1.7709999999999999</v>
      </c>
      <c r="O8" s="5">
        <f t="shared" si="0"/>
        <v>22.556747600225862</v>
      </c>
      <c r="P8" s="6">
        <f t="shared" si="1"/>
        <v>0</v>
      </c>
      <c r="Q8" s="6">
        <f t="shared" si="2"/>
        <v>0</v>
      </c>
      <c r="U8" t="s">
        <v>20</v>
      </c>
      <c r="V8" s="6">
        <v>1977</v>
      </c>
      <c r="W8" t="s">
        <v>21</v>
      </c>
      <c r="X8" s="6">
        <v>0</v>
      </c>
      <c r="Y8" s="5">
        <v>22.556999999999999</v>
      </c>
    </row>
    <row r="9" spans="4:33" ht="18.75" customHeight="1" x14ac:dyDescent="0.25">
      <c r="D9" s="6">
        <v>1966</v>
      </c>
      <c r="E9" t="s">
        <v>18</v>
      </c>
      <c r="F9" s="6">
        <v>8</v>
      </c>
      <c r="G9" s="5">
        <v>22.559295233792636</v>
      </c>
      <c r="H9" s="5">
        <v>1770.8</v>
      </c>
      <c r="L9" s="6">
        <v>8</v>
      </c>
      <c r="N9" s="5">
        <v>1.7707999999999999</v>
      </c>
      <c r="O9" s="5">
        <f t="shared" si="0"/>
        <v>22.559295233792636</v>
      </c>
      <c r="P9" s="6">
        <f t="shared" si="1"/>
        <v>0</v>
      </c>
      <c r="Q9" s="6">
        <f t="shared" si="2"/>
        <v>0</v>
      </c>
    </row>
    <row r="10" spans="4:33" ht="18.75" customHeight="1" x14ac:dyDescent="0.25">
      <c r="D10" s="6">
        <v>1966</v>
      </c>
      <c r="E10" t="s">
        <v>18</v>
      </c>
      <c r="F10" s="6">
        <v>10</v>
      </c>
      <c r="G10" s="5">
        <v>22.563117763343691</v>
      </c>
      <c r="H10" s="5">
        <v>1770.5</v>
      </c>
      <c r="L10" s="6">
        <v>10</v>
      </c>
      <c r="N10" s="5">
        <v>1.7705</v>
      </c>
      <c r="O10" s="5">
        <f t="shared" si="0"/>
        <v>22.563117763343691</v>
      </c>
      <c r="P10" s="6">
        <f t="shared" si="1"/>
        <v>0</v>
      </c>
      <c r="Q10" s="6">
        <f t="shared" si="2"/>
        <v>0</v>
      </c>
    </row>
    <row r="11" spans="4:33" ht="18.75" customHeight="1" x14ac:dyDescent="0.25">
      <c r="D11" s="6">
        <v>1966</v>
      </c>
      <c r="E11" t="s">
        <v>18</v>
      </c>
      <c r="F11" s="6">
        <v>12</v>
      </c>
      <c r="G11" s="5">
        <v>22.572042038648434</v>
      </c>
      <c r="H11" s="5">
        <v>1769.8</v>
      </c>
      <c r="L11" s="6">
        <v>12</v>
      </c>
      <c r="N11" s="5">
        <v>1.7698</v>
      </c>
      <c r="O11" s="5">
        <f t="shared" si="0"/>
        <v>22.572042038648434</v>
      </c>
      <c r="P11" s="6">
        <f t="shared" si="1"/>
        <v>0</v>
      </c>
      <c r="Q11" s="6">
        <f t="shared" si="2"/>
        <v>0</v>
      </c>
    </row>
    <row r="12" spans="4:33" ht="18.75" customHeight="1" x14ac:dyDescent="0.25">
      <c r="D12" s="6">
        <v>1966</v>
      </c>
      <c r="E12" t="s">
        <v>18</v>
      </c>
      <c r="F12" s="6">
        <v>15</v>
      </c>
      <c r="G12" s="5">
        <v>22.589911784664103</v>
      </c>
      <c r="H12" s="5">
        <v>1768.3999999999999</v>
      </c>
      <c r="L12" s="6">
        <v>15</v>
      </c>
      <c r="N12" s="5">
        <v>1.7684</v>
      </c>
      <c r="O12" s="5">
        <f t="shared" si="0"/>
        <v>22.589911784664103</v>
      </c>
      <c r="P12" s="6">
        <f t="shared" si="1"/>
        <v>0</v>
      </c>
      <c r="Q12" s="6">
        <f t="shared" si="2"/>
        <v>0</v>
      </c>
    </row>
    <row r="13" spans="4:33" ht="18.75" customHeight="1" x14ac:dyDescent="0.25">
      <c r="D13" s="6">
        <v>1966</v>
      </c>
      <c r="E13" t="s">
        <v>18</v>
      </c>
      <c r="F13" s="6">
        <v>20</v>
      </c>
      <c r="G13" s="5">
        <v>22.644974774672637</v>
      </c>
      <c r="H13" s="5">
        <v>1764.1</v>
      </c>
      <c r="L13" s="6">
        <v>20</v>
      </c>
      <c r="N13" s="5">
        <v>1.7641</v>
      </c>
      <c r="O13" s="5">
        <f t="shared" si="0"/>
        <v>22.644974774672637</v>
      </c>
      <c r="P13" s="6">
        <f t="shared" si="1"/>
        <v>0</v>
      </c>
      <c r="Q13" s="6">
        <f t="shared" si="2"/>
        <v>0</v>
      </c>
    </row>
    <row r="14" spans="4:33" ht="18.75" customHeight="1" x14ac:dyDescent="0.25">
      <c r="D14" s="6">
        <v>1966</v>
      </c>
      <c r="E14" t="s">
        <v>18</v>
      </c>
      <c r="F14" s="6">
        <v>25</v>
      </c>
      <c r="G14" s="5">
        <v>22.714505032126006</v>
      </c>
      <c r="H14" s="5">
        <v>1758.6999999999998</v>
      </c>
      <c r="L14" s="6">
        <v>25</v>
      </c>
      <c r="N14" s="5">
        <v>1.7586999999999999</v>
      </c>
      <c r="O14" s="5">
        <f t="shared" si="0"/>
        <v>22.714505032126002</v>
      </c>
      <c r="P14" s="6">
        <f t="shared" si="1"/>
        <v>0</v>
      </c>
      <c r="Q14" s="6">
        <f t="shared" si="2"/>
        <v>0</v>
      </c>
    </row>
    <row r="15" spans="4:33" ht="18.75" customHeight="1" x14ac:dyDescent="0.25">
      <c r="D15" s="6">
        <v>1966</v>
      </c>
      <c r="E15" t="s">
        <v>18</v>
      </c>
      <c r="F15" s="6">
        <v>30</v>
      </c>
      <c r="G15" s="5">
        <v>22.803973056284963</v>
      </c>
      <c r="H15" s="5">
        <v>1751.8</v>
      </c>
      <c r="L15" s="6">
        <v>30</v>
      </c>
      <c r="N15" s="5">
        <v>1.7518</v>
      </c>
      <c r="O15" s="5">
        <f t="shared" si="0"/>
        <v>22.803973056284963</v>
      </c>
      <c r="P15" s="6">
        <f t="shared" si="1"/>
        <v>0</v>
      </c>
      <c r="Q15" s="6">
        <f t="shared" si="2"/>
        <v>0</v>
      </c>
    </row>
    <row r="16" spans="4:33" ht="18.75" customHeight="1" x14ac:dyDescent="0.25">
      <c r="D16" s="6">
        <v>1966</v>
      </c>
      <c r="E16" t="s">
        <v>18</v>
      </c>
      <c r="F16" s="6">
        <v>35</v>
      </c>
      <c r="G16" s="5">
        <v>22.909904226644493</v>
      </c>
      <c r="H16" s="5">
        <v>1743.7</v>
      </c>
      <c r="L16" s="6">
        <v>35</v>
      </c>
      <c r="N16" s="5">
        <v>1.7437</v>
      </c>
      <c r="O16" s="5">
        <f t="shared" si="0"/>
        <v>22.909904226644493</v>
      </c>
      <c r="P16" s="6">
        <f t="shared" si="1"/>
        <v>0</v>
      </c>
      <c r="Q16" s="6">
        <f t="shared" si="2"/>
        <v>0</v>
      </c>
    </row>
    <row r="17" spans="4:17" ht="18.75" customHeight="1" x14ac:dyDescent="0.25">
      <c r="D17" s="6">
        <v>1966</v>
      </c>
      <c r="E17" t="s">
        <v>18</v>
      </c>
      <c r="F17" s="6">
        <v>40</v>
      </c>
      <c r="G17" s="5">
        <v>23.026111015044094</v>
      </c>
      <c r="H17" s="5">
        <v>1734.9</v>
      </c>
      <c r="L17" s="6">
        <v>40</v>
      </c>
      <c r="N17" s="5">
        <v>1.7349000000000001</v>
      </c>
      <c r="O17" s="5">
        <f t="shared" si="0"/>
        <v>23.026111015044094</v>
      </c>
      <c r="P17" s="6">
        <f t="shared" si="1"/>
        <v>0</v>
      </c>
      <c r="Q17" s="6">
        <f t="shared" si="2"/>
        <v>0</v>
      </c>
    </row>
    <row r="18" spans="4:17" ht="18.75" customHeight="1" x14ac:dyDescent="0.25">
      <c r="D18" s="6">
        <v>1966</v>
      </c>
      <c r="E18" t="s">
        <v>18</v>
      </c>
      <c r="F18" s="6">
        <v>45</v>
      </c>
      <c r="G18" s="5">
        <v>23.155576165082309</v>
      </c>
      <c r="H18" s="5">
        <v>1725.2</v>
      </c>
      <c r="L18" s="6">
        <v>45</v>
      </c>
      <c r="N18" s="5">
        <v>1.7252000000000001</v>
      </c>
      <c r="O18" s="5">
        <f t="shared" si="0"/>
        <v>23.155576165082309</v>
      </c>
      <c r="P18" s="6">
        <f t="shared" si="1"/>
        <v>0</v>
      </c>
      <c r="Q18" s="6">
        <f t="shared" si="2"/>
        <v>0</v>
      </c>
    </row>
    <row r="19" spans="4:17" ht="18.75" customHeight="1" x14ac:dyDescent="0.25">
      <c r="D19" s="6">
        <v>1966</v>
      </c>
      <c r="E19" t="s">
        <v>18</v>
      </c>
      <c r="F19" s="6">
        <v>50</v>
      </c>
      <c r="G19" s="5">
        <v>23.296011196641008</v>
      </c>
      <c r="H19" s="5">
        <v>1714.8000000000002</v>
      </c>
      <c r="L19" s="6">
        <v>50</v>
      </c>
      <c r="N19" s="5">
        <v>1.7148000000000001</v>
      </c>
      <c r="O19" s="5">
        <f t="shared" si="0"/>
        <v>23.296011196641008</v>
      </c>
      <c r="P19" s="6">
        <f t="shared" si="1"/>
        <v>0</v>
      </c>
      <c r="Q19" s="6">
        <f t="shared" si="2"/>
        <v>0</v>
      </c>
    </row>
    <row r="20" spans="4:17" ht="18.75" customHeight="1" x14ac:dyDescent="0.25">
      <c r="D20" s="6">
        <v>1966</v>
      </c>
      <c r="E20" t="s">
        <v>18</v>
      </c>
      <c r="F20" s="6">
        <v>55</v>
      </c>
      <c r="G20" s="5">
        <v>23.447790103891531</v>
      </c>
      <c r="H20" s="5">
        <v>1703.7</v>
      </c>
      <c r="L20" s="6">
        <v>55</v>
      </c>
      <c r="N20" s="5">
        <v>1.7037</v>
      </c>
      <c r="O20" s="5">
        <f t="shared" si="0"/>
        <v>23.447790103891531</v>
      </c>
      <c r="P20" s="6">
        <f t="shared" si="1"/>
        <v>0</v>
      </c>
      <c r="Q20" s="6">
        <f t="shared" si="2"/>
        <v>0</v>
      </c>
    </row>
    <row r="21" spans="4:17" ht="18.75" customHeight="1" x14ac:dyDescent="0.25">
      <c r="D21" s="6">
        <v>1966</v>
      </c>
      <c r="E21" t="s">
        <v>18</v>
      </c>
      <c r="F21" s="6">
        <v>60</v>
      </c>
      <c r="G21" s="5">
        <v>23.611324546367989</v>
      </c>
      <c r="H21" s="5">
        <v>1691.8999999999999</v>
      </c>
      <c r="L21" s="6">
        <v>60</v>
      </c>
      <c r="N21" s="5">
        <v>1.6919</v>
      </c>
      <c r="O21" s="5">
        <f t="shared" si="0"/>
        <v>23.611324546367989</v>
      </c>
      <c r="P21" s="6">
        <f t="shared" si="1"/>
        <v>0</v>
      </c>
      <c r="Q21" s="6">
        <f t="shared" si="2"/>
        <v>0</v>
      </c>
    </row>
    <row r="22" spans="4:17" ht="18.75" customHeight="1" x14ac:dyDescent="0.25">
      <c r="D22" s="6">
        <v>1966</v>
      </c>
      <c r="E22" t="s">
        <v>18</v>
      </c>
      <c r="F22" s="6">
        <v>65</v>
      </c>
      <c r="G22" s="5">
        <v>23.788483296611684</v>
      </c>
      <c r="H22" s="5">
        <v>1679.3</v>
      </c>
      <c r="L22" s="6">
        <v>65</v>
      </c>
      <c r="N22" s="5">
        <v>1.6793</v>
      </c>
      <c r="O22" s="5">
        <f t="shared" si="0"/>
        <v>23.788483296611684</v>
      </c>
      <c r="P22" s="6">
        <f t="shared" si="1"/>
        <v>0</v>
      </c>
      <c r="Q22" s="6">
        <f t="shared" si="2"/>
        <v>0</v>
      </c>
    </row>
    <row r="23" spans="4:17" ht="18.75" customHeight="1" x14ac:dyDescent="0.25">
      <c r="D23" s="6">
        <v>1966</v>
      </c>
      <c r="E23" t="s">
        <v>18</v>
      </c>
      <c r="F23" s="6">
        <v>70</v>
      </c>
      <c r="G23" s="5">
        <v>23.982709971783635</v>
      </c>
      <c r="H23" s="5">
        <v>1665.7</v>
      </c>
      <c r="L23" s="6">
        <v>70</v>
      </c>
      <c r="N23" s="5">
        <v>1.6657</v>
      </c>
      <c r="O23" s="5">
        <f t="shared" si="0"/>
        <v>23.982709971783635</v>
      </c>
      <c r="P23" s="6">
        <f t="shared" si="1"/>
        <v>0</v>
      </c>
      <c r="Q23" s="6">
        <f t="shared" si="2"/>
        <v>0</v>
      </c>
    </row>
    <row r="24" spans="4:17" ht="18.75" customHeight="1" x14ac:dyDescent="0.25">
      <c r="D24" s="6">
        <v>1966</v>
      </c>
      <c r="E24" t="s">
        <v>18</v>
      </c>
      <c r="F24" s="6">
        <v>75</v>
      </c>
      <c r="G24" s="5">
        <v>24.197710339814645</v>
      </c>
      <c r="H24" s="5">
        <v>1650.9</v>
      </c>
      <c r="L24" s="6">
        <v>75</v>
      </c>
      <c r="N24" s="5">
        <v>1.6509</v>
      </c>
      <c r="O24" s="5">
        <f t="shared" si="0"/>
        <v>24.197710339814645</v>
      </c>
      <c r="P24" s="6">
        <f t="shared" si="1"/>
        <v>0</v>
      </c>
      <c r="Q24" s="6">
        <f t="shared" si="2"/>
        <v>0</v>
      </c>
    </row>
    <row r="25" spans="4:17" ht="18.75" customHeight="1" x14ac:dyDescent="0.25">
      <c r="D25" s="6">
        <v>1966</v>
      </c>
      <c r="E25" t="s">
        <v>18</v>
      </c>
      <c r="F25" s="6">
        <v>80</v>
      </c>
      <c r="G25" s="5">
        <v>24.434521989112483</v>
      </c>
      <c r="H25" s="5">
        <v>1634.9</v>
      </c>
      <c r="L25" s="6">
        <v>80</v>
      </c>
      <c r="N25" s="5">
        <v>1.6349</v>
      </c>
      <c r="O25" s="5">
        <f t="shared" si="0"/>
        <v>24.434521989112483</v>
      </c>
      <c r="P25" s="6">
        <f t="shared" si="1"/>
        <v>0</v>
      </c>
      <c r="Q25" s="6">
        <f t="shared" si="2"/>
        <v>0</v>
      </c>
    </row>
    <row r="26" spans="4:17" ht="18.75" customHeight="1" x14ac:dyDescent="0.25">
      <c r="D26" s="6">
        <v>1966</v>
      </c>
      <c r="E26" t="s">
        <v>18</v>
      </c>
      <c r="F26" s="6">
        <v>83</v>
      </c>
      <c r="G26" s="5">
        <v>24.587923924416817</v>
      </c>
      <c r="H26" s="5">
        <v>1624.7</v>
      </c>
      <c r="L26" s="6">
        <v>83</v>
      </c>
      <c r="N26" s="5">
        <v>1.6247</v>
      </c>
      <c r="O26" s="5">
        <f t="shared" si="0"/>
        <v>24.587923924416817</v>
      </c>
      <c r="P26" s="6">
        <f t="shared" si="1"/>
        <v>0</v>
      </c>
      <c r="Q26" s="6">
        <f t="shared" si="2"/>
        <v>0</v>
      </c>
    </row>
    <row r="27" spans="4:17" ht="18.75" customHeight="1" x14ac:dyDescent="0.25">
      <c r="D27" s="6">
        <v>1980</v>
      </c>
      <c r="E27" t="s">
        <v>22</v>
      </c>
      <c r="F27" s="5">
        <v>70.001000000000005</v>
      </c>
      <c r="G27" s="5">
        <v>23.985075785289997</v>
      </c>
      <c r="I27" s="5">
        <v>5.4210500000000001</v>
      </c>
      <c r="J27" s="5">
        <f t="shared" ref="J27:J39" si="3">I27^3</f>
        <v>159.31264158780763</v>
      </c>
      <c r="L27" s="5">
        <v>70.001000000000005</v>
      </c>
      <c r="O27" s="5">
        <f t="shared" ref="O27:O39" si="4">J27*10^(-30)/4*6.02214*10^23*10^6</f>
        <v>23.985075785289997</v>
      </c>
      <c r="P27" s="6">
        <f t="shared" si="1"/>
        <v>0</v>
      </c>
      <c r="Q27" s="6">
        <f t="shared" si="2"/>
        <v>0</v>
      </c>
    </row>
    <row r="28" spans="4:17" ht="18.75" customHeight="1" x14ac:dyDescent="0.25">
      <c r="D28" s="6">
        <v>1980</v>
      </c>
      <c r="E28" t="s">
        <v>22</v>
      </c>
      <c r="F28" s="5">
        <v>70.013999999999996</v>
      </c>
      <c r="G28" s="5">
        <v>23.984943052526738</v>
      </c>
      <c r="I28" s="5">
        <v>5.4210399999999996</v>
      </c>
      <c r="J28" s="5">
        <f t="shared" si="3"/>
        <v>159.31175995594083</v>
      </c>
      <c r="L28" s="5">
        <v>70.013999999999996</v>
      </c>
      <c r="O28" s="5">
        <f t="shared" si="4"/>
        <v>23.984943052526738</v>
      </c>
      <c r="P28" s="6">
        <f t="shared" si="1"/>
        <v>0</v>
      </c>
      <c r="Q28" s="6">
        <f t="shared" si="2"/>
        <v>0</v>
      </c>
    </row>
    <row r="29" spans="4:17" ht="18.75" customHeight="1" x14ac:dyDescent="0.25">
      <c r="D29" s="6">
        <v>1980</v>
      </c>
      <c r="E29" t="s">
        <v>22</v>
      </c>
      <c r="F29" s="5">
        <v>72.009</v>
      </c>
      <c r="G29" s="5">
        <v>24.067597442577011</v>
      </c>
      <c r="I29" s="5">
        <v>5.4272600000000004</v>
      </c>
      <c r="J29" s="5">
        <f t="shared" si="3"/>
        <v>159.86076340023322</v>
      </c>
      <c r="L29" s="5">
        <v>72.009</v>
      </c>
      <c r="O29" s="5">
        <f t="shared" si="4"/>
        <v>24.067597442577011</v>
      </c>
      <c r="P29" s="6">
        <f t="shared" si="1"/>
        <v>0</v>
      </c>
      <c r="Q29" s="6">
        <f t="shared" si="2"/>
        <v>0</v>
      </c>
    </row>
    <row r="30" spans="4:17" ht="18.75" customHeight="1" x14ac:dyDescent="0.25">
      <c r="D30" s="6">
        <v>1980</v>
      </c>
      <c r="E30" t="s">
        <v>22</v>
      </c>
      <c r="F30" s="5">
        <v>74.02</v>
      </c>
      <c r="G30" s="5">
        <v>24.154175284258461</v>
      </c>
      <c r="I30" s="5">
        <v>5.4337600000000004</v>
      </c>
      <c r="J30" s="5">
        <f t="shared" si="3"/>
        <v>160.4358270266614</v>
      </c>
      <c r="L30" s="5">
        <v>74.02</v>
      </c>
      <c r="O30" s="5">
        <f t="shared" si="4"/>
        <v>24.154175284258461</v>
      </c>
      <c r="P30" s="6">
        <f t="shared" si="1"/>
        <v>0</v>
      </c>
      <c r="Q30" s="6">
        <f t="shared" si="2"/>
        <v>0</v>
      </c>
    </row>
    <row r="31" spans="4:17" ht="18.75" customHeight="1" x14ac:dyDescent="0.25">
      <c r="D31" s="6">
        <v>1980</v>
      </c>
      <c r="E31" t="s">
        <v>22</v>
      </c>
      <c r="F31" s="5">
        <v>76.007000000000005</v>
      </c>
      <c r="G31" s="5">
        <v>24.242965693052486</v>
      </c>
      <c r="I31" s="5">
        <v>5.44041</v>
      </c>
      <c r="J31" s="5">
        <f t="shared" si="3"/>
        <v>161.02558687146092</v>
      </c>
      <c r="L31" s="5">
        <v>76.007000000000005</v>
      </c>
      <c r="O31" s="5">
        <f t="shared" si="4"/>
        <v>24.242965693052486</v>
      </c>
      <c r="P31" s="6">
        <f t="shared" si="1"/>
        <v>0</v>
      </c>
      <c r="Q31" s="6">
        <f t="shared" si="2"/>
        <v>0</v>
      </c>
    </row>
    <row r="32" spans="4:17" ht="18.75" customHeight="1" x14ac:dyDescent="0.25">
      <c r="D32" s="6">
        <v>1980</v>
      </c>
      <c r="E32" t="s">
        <v>22</v>
      </c>
      <c r="F32" s="5">
        <v>77.031999999999996</v>
      </c>
      <c r="G32" s="5">
        <v>24.289249347678247</v>
      </c>
      <c r="I32" s="5">
        <v>5.4438700000000004</v>
      </c>
      <c r="J32" s="5">
        <f t="shared" si="3"/>
        <v>161.33301017696866</v>
      </c>
      <c r="L32" s="5">
        <v>77.031999999999996</v>
      </c>
      <c r="O32" s="5">
        <f t="shared" si="4"/>
        <v>24.289249347678247</v>
      </c>
      <c r="P32" s="6">
        <f t="shared" si="1"/>
        <v>0</v>
      </c>
      <c r="Q32" s="6">
        <f t="shared" si="2"/>
        <v>0</v>
      </c>
    </row>
    <row r="33" spans="4:17" ht="18.75" customHeight="1" x14ac:dyDescent="0.25">
      <c r="D33" s="6">
        <v>1980</v>
      </c>
      <c r="E33" t="s">
        <v>22</v>
      </c>
      <c r="F33" s="5">
        <v>78.006</v>
      </c>
      <c r="G33" s="5">
        <v>24.336261994768488</v>
      </c>
      <c r="I33" s="5">
        <v>5.4473799999999999</v>
      </c>
      <c r="J33" s="5">
        <f t="shared" si="3"/>
        <v>161.64527556495526</v>
      </c>
      <c r="L33" s="5">
        <v>78.006</v>
      </c>
      <c r="O33" s="5">
        <f t="shared" si="4"/>
        <v>24.336261994768488</v>
      </c>
      <c r="P33" s="6">
        <f t="shared" si="1"/>
        <v>0</v>
      </c>
      <c r="Q33" s="6">
        <f t="shared" si="2"/>
        <v>0</v>
      </c>
    </row>
    <row r="34" spans="4:17" ht="18.75" customHeight="1" x14ac:dyDescent="0.25">
      <c r="D34" s="6">
        <v>1980</v>
      </c>
      <c r="E34" t="s">
        <v>22</v>
      </c>
      <c r="F34" s="5">
        <v>78.998000000000005</v>
      </c>
      <c r="G34" s="5">
        <v>24.384274665796124</v>
      </c>
      <c r="I34" s="5">
        <v>5.4509600000000002</v>
      </c>
      <c r="J34" s="5">
        <f t="shared" si="3"/>
        <v>161.96418326904475</v>
      </c>
      <c r="L34" s="5">
        <v>78.998000000000005</v>
      </c>
      <c r="O34" s="5">
        <f t="shared" si="4"/>
        <v>24.384274665796124</v>
      </c>
      <c r="P34" s="6">
        <f t="shared" si="1"/>
        <v>0</v>
      </c>
      <c r="Q34" s="6">
        <f t="shared" si="2"/>
        <v>0</v>
      </c>
    </row>
    <row r="35" spans="4:17" ht="18.75" customHeight="1" x14ac:dyDescent="0.25">
      <c r="D35" s="6">
        <v>1980</v>
      </c>
      <c r="E35" t="s">
        <v>22</v>
      </c>
      <c r="F35" s="5">
        <v>79.061000000000007</v>
      </c>
      <c r="G35" s="5">
        <v>24.387361435733265</v>
      </c>
      <c r="I35" s="5">
        <v>5.4511900000000004</v>
      </c>
      <c r="J35" s="5">
        <f t="shared" si="3"/>
        <v>161.98468607992021</v>
      </c>
      <c r="L35" s="5">
        <v>79.061000000000007</v>
      </c>
      <c r="O35" s="5">
        <f t="shared" si="4"/>
        <v>24.387361435733265</v>
      </c>
      <c r="P35" s="6">
        <f t="shared" si="1"/>
        <v>0</v>
      </c>
      <c r="Q35" s="6">
        <f t="shared" si="2"/>
        <v>0</v>
      </c>
    </row>
    <row r="36" spans="4:17" ht="18.75" customHeight="1" x14ac:dyDescent="0.25">
      <c r="D36" s="6">
        <v>1980</v>
      </c>
      <c r="E36" t="s">
        <v>22</v>
      </c>
      <c r="F36" s="6">
        <v>80</v>
      </c>
      <c r="G36" s="5">
        <v>24.434366170708625</v>
      </c>
      <c r="I36" s="5">
        <v>5.4546900000000003</v>
      </c>
      <c r="J36" s="5">
        <f t="shared" si="3"/>
        <v>162.29689891439673</v>
      </c>
      <c r="L36" s="6">
        <v>80</v>
      </c>
      <c r="O36" s="5">
        <f t="shared" si="4"/>
        <v>24.434366170708625</v>
      </c>
      <c r="P36" s="6">
        <f t="shared" si="1"/>
        <v>0</v>
      </c>
      <c r="Q36" s="6">
        <f t="shared" si="2"/>
        <v>0</v>
      </c>
    </row>
    <row r="37" spans="4:17" ht="18.75" customHeight="1" x14ac:dyDescent="0.25">
      <c r="D37" s="6">
        <v>1980</v>
      </c>
      <c r="E37" t="s">
        <v>22</v>
      </c>
      <c r="F37" s="5">
        <v>80.998999999999995</v>
      </c>
      <c r="G37" s="5">
        <v>24.48344969049111</v>
      </c>
      <c r="I37" s="5">
        <v>5.4583399999999997</v>
      </c>
      <c r="J37" s="5">
        <f t="shared" si="3"/>
        <v>162.62291936415369</v>
      </c>
      <c r="L37" s="5">
        <v>80.998999999999995</v>
      </c>
      <c r="O37" s="5">
        <f t="shared" si="4"/>
        <v>24.48344969049111</v>
      </c>
      <c r="P37" s="6">
        <f t="shared" si="1"/>
        <v>0</v>
      </c>
      <c r="Q37" s="6">
        <f t="shared" si="2"/>
        <v>0</v>
      </c>
    </row>
    <row r="38" spans="4:17" ht="18.75" customHeight="1" x14ac:dyDescent="0.25">
      <c r="D38" s="6">
        <v>1980</v>
      </c>
      <c r="E38" t="s">
        <v>22</v>
      </c>
      <c r="F38" s="5">
        <v>81.992000000000004</v>
      </c>
      <c r="G38" s="5">
        <v>24.534350630382015</v>
      </c>
      <c r="I38" s="5">
        <v>5.4621199999999996</v>
      </c>
      <c r="J38" s="5">
        <f t="shared" si="3"/>
        <v>162.96101140380009</v>
      </c>
      <c r="L38" s="5">
        <v>81.992000000000004</v>
      </c>
      <c r="O38" s="5">
        <f t="shared" si="4"/>
        <v>24.534350630382015</v>
      </c>
      <c r="P38" s="6">
        <f t="shared" si="1"/>
        <v>0</v>
      </c>
      <c r="Q38" s="6">
        <f t="shared" si="2"/>
        <v>0</v>
      </c>
    </row>
    <row r="39" spans="4:17" ht="18.75" customHeight="1" x14ac:dyDescent="0.25">
      <c r="D39" s="6">
        <v>1980</v>
      </c>
      <c r="E39" t="s">
        <v>22</v>
      </c>
      <c r="F39" s="6">
        <v>83</v>
      </c>
      <c r="G39" s="5">
        <v>24.588290833650976</v>
      </c>
      <c r="I39" s="5">
        <v>5.4661200000000001</v>
      </c>
      <c r="J39" s="5">
        <f t="shared" si="3"/>
        <v>163.31929070829293</v>
      </c>
      <c r="L39" s="6">
        <v>83</v>
      </c>
      <c r="O39" s="5">
        <f t="shared" si="4"/>
        <v>24.588290833650976</v>
      </c>
      <c r="P39" s="6">
        <f t="shared" ref="P39:P70" si="5">F39-L39</f>
        <v>0</v>
      </c>
      <c r="Q39" s="6">
        <f t="shared" ref="Q39:Q70" si="6">G39-O39</f>
        <v>0</v>
      </c>
    </row>
    <row r="40" spans="4:17" ht="18.75" customHeight="1" x14ac:dyDescent="0.25">
      <c r="D40" s="6">
        <v>1978</v>
      </c>
      <c r="E40" t="s">
        <v>23</v>
      </c>
      <c r="F40" s="6">
        <v>74</v>
      </c>
      <c r="G40" s="5">
        <v>24.15</v>
      </c>
      <c r="L40" s="6">
        <v>74</v>
      </c>
      <c r="O40" s="5">
        <v>24.15</v>
      </c>
      <c r="P40" s="6">
        <f t="shared" si="5"/>
        <v>0</v>
      </c>
      <c r="Q40" s="6">
        <f t="shared" si="6"/>
        <v>0</v>
      </c>
    </row>
    <row r="41" spans="4:17" ht="18.75" customHeight="1" x14ac:dyDescent="0.25">
      <c r="D41" s="6">
        <v>1978</v>
      </c>
      <c r="E41" t="s">
        <v>23</v>
      </c>
      <c r="F41" s="5">
        <v>74.5</v>
      </c>
      <c r="G41" s="5">
        <v>24.17</v>
      </c>
      <c r="L41" s="5">
        <v>74.5</v>
      </c>
      <c r="O41" s="5">
        <v>24.17</v>
      </c>
      <c r="P41" s="6">
        <f t="shared" si="5"/>
        <v>0</v>
      </c>
      <c r="Q41" s="6">
        <f t="shared" si="6"/>
        <v>0</v>
      </c>
    </row>
    <row r="42" spans="4:17" ht="18.75" customHeight="1" x14ac:dyDescent="0.25">
      <c r="D42" s="6">
        <v>1978</v>
      </c>
      <c r="E42" t="s">
        <v>23</v>
      </c>
      <c r="F42" s="6">
        <v>75</v>
      </c>
      <c r="G42" s="5">
        <v>24.2</v>
      </c>
      <c r="L42" s="6">
        <v>75</v>
      </c>
      <c r="O42" s="5">
        <v>24.2</v>
      </c>
      <c r="P42" s="6">
        <f t="shared" si="5"/>
        <v>0</v>
      </c>
      <c r="Q42" s="6">
        <f t="shared" si="6"/>
        <v>0</v>
      </c>
    </row>
    <row r="43" spans="4:17" ht="18.75" customHeight="1" x14ac:dyDescent="0.25">
      <c r="D43" s="6">
        <v>1978</v>
      </c>
      <c r="E43" t="s">
        <v>23</v>
      </c>
      <c r="F43" s="5">
        <v>75.5</v>
      </c>
      <c r="G43" s="5">
        <v>24.22</v>
      </c>
      <c r="L43" s="5">
        <v>75.5</v>
      </c>
      <c r="O43" s="5">
        <v>24.22</v>
      </c>
      <c r="P43" s="6">
        <f t="shared" si="5"/>
        <v>0</v>
      </c>
      <c r="Q43" s="6">
        <f t="shared" si="6"/>
        <v>0</v>
      </c>
    </row>
    <row r="44" spans="4:17" ht="18.75" customHeight="1" x14ac:dyDescent="0.25">
      <c r="D44" s="6">
        <v>1978</v>
      </c>
      <c r="E44" t="s">
        <v>23</v>
      </c>
      <c r="F44" s="6">
        <v>76</v>
      </c>
      <c r="G44" s="5">
        <v>24.24</v>
      </c>
      <c r="L44" s="6">
        <v>76</v>
      </c>
      <c r="O44" s="5">
        <v>24.24</v>
      </c>
      <c r="P44" s="6">
        <f t="shared" si="5"/>
        <v>0</v>
      </c>
      <c r="Q44" s="6">
        <f t="shared" si="6"/>
        <v>0</v>
      </c>
    </row>
    <row r="45" spans="4:17" ht="18.75" customHeight="1" x14ac:dyDescent="0.25">
      <c r="D45" s="6">
        <v>1978</v>
      </c>
      <c r="E45" t="s">
        <v>23</v>
      </c>
      <c r="F45" s="5">
        <v>76.5</v>
      </c>
      <c r="G45" s="5">
        <v>24.26</v>
      </c>
      <c r="L45" s="5">
        <v>76.5</v>
      </c>
      <c r="O45" s="5">
        <v>24.26</v>
      </c>
      <c r="P45" s="6">
        <f t="shared" si="5"/>
        <v>0</v>
      </c>
      <c r="Q45" s="6">
        <f t="shared" si="6"/>
        <v>0</v>
      </c>
    </row>
    <row r="46" spans="4:17" ht="18.75" customHeight="1" x14ac:dyDescent="0.25">
      <c r="D46" s="6">
        <v>1978</v>
      </c>
      <c r="E46" t="s">
        <v>23</v>
      </c>
      <c r="F46" s="6">
        <v>77</v>
      </c>
      <c r="G46" s="5">
        <v>24.29</v>
      </c>
      <c r="L46" s="6">
        <v>77</v>
      </c>
      <c r="O46" s="5">
        <v>24.29</v>
      </c>
      <c r="P46" s="6">
        <f t="shared" si="5"/>
        <v>0</v>
      </c>
      <c r="Q46" s="6">
        <f t="shared" si="6"/>
        <v>0</v>
      </c>
    </row>
    <row r="47" spans="4:17" ht="18.75" customHeight="1" x14ac:dyDescent="0.25">
      <c r="D47" s="6">
        <v>1978</v>
      </c>
      <c r="E47" t="s">
        <v>23</v>
      </c>
      <c r="F47" s="5">
        <v>77.5</v>
      </c>
      <c r="G47" s="5">
        <v>24.31</v>
      </c>
      <c r="L47" s="5">
        <v>77.5</v>
      </c>
      <c r="O47" s="5">
        <v>24.31</v>
      </c>
      <c r="P47" s="6">
        <f t="shared" si="5"/>
        <v>0</v>
      </c>
      <c r="Q47" s="6">
        <f t="shared" si="6"/>
        <v>0</v>
      </c>
    </row>
    <row r="48" spans="4:17" ht="18.75" customHeight="1" x14ac:dyDescent="0.25">
      <c r="D48" s="6">
        <v>1978</v>
      </c>
      <c r="E48" t="s">
        <v>23</v>
      </c>
      <c r="F48" s="6">
        <v>78</v>
      </c>
      <c r="G48" s="5">
        <v>24.33</v>
      </c>
      <c r="L48" s="6">
        <v>78</v>
      </c>
      <c r="O48" s="5">
        <v>24.33</v>
      </c>
      <c r="P48" s="6">
        <f t="shared" si="5"/>
        <v>0</v>
      </c>
      <c r="Q48" s="6">
        <f t="shared" si="6"/>
        <v>0</v>
      </c>
    </row>
    <row r="49" spans="4:17" ht="18.75" customHeight="1" x14ac:dyDescent="0.25">
      <c r="D49" s="6">
        <v>1978</v>
      </c>
      <c r="E49" t="s">
        <v>23</v>
      </c>
      <c r="F49" s="5">
        <v>78.5</v>
      </c>
      <c r="G49" s="5">
        <v>24.36</v>
      </c>
      <c r="L49" s="5">
        <v>78.5</v>
      </c>
      <c r="O49" s="5">
        <v>24.36</v>
      </c>
      <c r="P49" s="6">
        <f t="shared" si="5"/>
        <v>0</v>
      </c>
      <c r="Q49" s="6">
        <f t="shared" si="6"/>
        <v>0</v>
      </c>
    </row>
    <row r="50" spans="4:17" ht="18.75" customHeight="1" x14ac:dyDescent="0.25">
      <c r="D50" s="6">
        <v>1978</v>
      </c>
      <c r="E50" t="s">
        <v>23</v>
      </c>
      <c r="F50" s="6">
        <v>79</v>
      </c>
      <c r="G50" s="5">
        <v>24.38</v>
      </c>
      <c r="L50" s="6">
        <v>79</v>
      </c>
      <c r="O50" s="5">
        <v>24.38</v>
      </c>
      <c r="P50" s="6">
        <f t="shared" si="5"/>
        <v>0</v>
      </c>
      <c r="Q50" s="6">
        <f t="shared" si="6"/>
        <v>0</v>
      </c>
    </row>
    <row r="51" spans="4:17" ht="18.75" customHeight="1" x14ac:dyDescent="0.25">
      <c r="D51" s="6">
        <v>1978</v>
      </c>
      <c r="E51" t="s">
        <v>23</v>
      </c>
      <c r="F51" s="5">
        <v>79.5</v>
      </c>
      <c r="G51" s="5">
        <v>24.41</v>
      </c>
      <c r="L51" s="5">
        <v>79.5</v>
      </c>
      <c r="O51" s="5">
        <v>24.41</v>
      </c>
      <c r="P51" s="6">
        <f t="shared" si="5"/>
        <v>0</v>
      </c>
      <c r="Q51" s="6">
        <f t="shared" si="6"/>
        <v>0</v>
      </c>
    </row>
    <row r="52" spans="4:17" ht="18.75" customHeight="1" x14ac:dyDescent="0.25">
      <c r="D52" s="6">
        <v>1978</v>
      </c>
      <c r="E52" t="s">
        <v>23</v>
      </c>
      <c r="F52" s="6">
        <v>80</v>
      </c>
      <c r="G52" s="5">
        <v>24.43</v>
      </c>
      <c r="L52" s="6">
        <v>80</v>
      </c>
      <c r="O52" s="5">
        <v>24.43</v>
      </c>
      <c r="P52" s="6">
        <f t="shared" si="5"/>
        <v>0</v>
      </c>
      <c r="Q52" s="6">
        <f t="shared" si="6"/>
        <v>0</v>
      </c>
    </row>
    <row r="53" spans="4:17" ht="18.75" customHeight="1" x14ac:dyDescent="0.25">
      <c r="D53" s="6">
        <v>1978</v>
      </c>
      <c r="E53" t="s">
        <v>23</v>
      </c>
      <c r="F53" s="5">
        <v>80.5</v>
      </c>
      <c r="G53" s="5">
        <v>24.46</v>
      </c>
      <c r="L53" s="5">
        <v>80.5</v>
      </c>
      <c r="O53" s="5">
        <v>24.46</v>
      </c>
      <c r="P53" s="6">
        <f t="shared" si="5"/>
        <v>0</v>
      </c>
      <c r="Q53" s="6">
        <f t="shared" si="6"/>
        <v>0</v>
      </c>
    </row>
    <row r="54" spans="4:17" ht="18.75" customHeight="1" x14ac:dyDescent="0.25">
      <c r="D54" s="6">
        <v>1978</v>
      </c>
      <c r="E54" t="s">
        <v>23</v>
      </c>
      <c r="F54" s="6">
        <v>81</v>
      </c>
      <c r="G54" s="5">
        <v>24.48</v>
      </c>
      <c r="L54" s="6">
        <v>81</v>
      </c>
      <c r="O54" s="5">
        <v>24.48</v>
      </c>
      <c r="P54" s="6">
        <f t="shared" si="5"/>
        <v>0</v>
      </c>
      <c r="Q54" s="6">
        <f t="shared" si="6"/>
        <v>0</v>
      </c>
    </row>
    <row r="55" spans="4:17" ht="18.75" customHeight="1" x14ac:dyDescent="0.25">
      <c r="D55" s="6">
        <v>1978</v>
      </c>
      <c r="E55" t="s">
        <v>23</v>
      </c>
      <c r="F55" s="5">
        <v>81.5</v>
      </c>
      <c r="G55" s="5">
        <v>24.51</v>
      </c>
      <c r="L55" s="5">
        <v>81.5</v>
      </c>
      <c r="O55" s="5">
        <v>24.51</v>
      </c>
      <c r="P55" s="6">
        <f t="shared" si="5"/>
        <v>0</v>
      </c>
      <c r="Q55" s="6">
        <f t="shared" si="6"/>
        <v>0</v>
      </c>
    </row>
    <row r="56" spans="4:17" ht="18.75" customHeight="1" x14ac:dyDescent="0.25">
      <c r="D56" s="6">
        <v>1978</v>
      </c>
      <c r="E56" t="s">
        <v>23</v>
      </c>
      <c r="F56" s="6">
        <v>82</v>
      </c>
      <c r="G56" s="5">
        <v>24.53</v>
      </c>
      <c r="L56" s="6">
        <v>82</v>
      </c>
      <c r="O56" s="5">
        <v>24.53</v>
      </c>
      <c r="P56" s="6">
        <f t="shared" si="5"/>
        <v>0</v>
      </c>
      <c r="Q56" s="6">
        <f t="shared" si="6"/>
        <v>0</v>
      </c>
    </row>
    <row r="57" spans="4:17" ht="18.75" customHeight="1" x14ac:dyDescent="0.25">
      <c r="D57" s="6">
        <v>1978</v>
      </c>
      <c r="E57" t="s">
        <v>23</v>
      </c>
      <c r="F57" s="5">
        <v>82.5</v>
      </c>
      <c r="G57" s="5">
        <v>24.56</v>
      </c>
      <c r="L57" s="5">
        <v>82.5</v>
      </c>
      <c r="O57" s="5">
        <v>24.56</v>
      </c>
      <c r="P57" s="6">
        <f t="shared" si="5"/>
        <v>0</v>
      </c>
      <c r="Q57" s="6">
        <f t="shared" si="6"/>
        <v>0</v>
      </c>
    </row>
    <row r="58" spans="4:17" ht="18.75" customHeight="1" x14ac:dyDescent="0.25">
      <c r="D58" s="6">
        <v>1978</v>
      </c>
      <c r="E58" t="s">
        <v>23</v>
      </c>
      <c r="F58" s="6">
        <v>83</v>
      </c>
      <c r="G58" s="5">
        <v>24.59</v>
      </c>
      <c r="L58" s="6">
        <v>83</v>
      </c>
      <c r="O58" s="5">
        <v>24.59</v>
      </c>
      <c r="P58" s="6">
        <f t="shared" si="5"/>
        <v>0</v>
      </c>
      <c r="Q58" s="6">
        <f t="shared" si="6"/>
        <v>0</v>
      </c>
    </row>
    <row r="59" spans="4:17" ht="18.75" customHeight="1" x14ac:dyDescent="0.25">
      <c r="D59" s="6">
        <v>1978</v>
      </c>
      <c r="E59" t="s">
        <v>23</v>
      </c>
      <c r="F59" s="5">
        <v>83.5</v>
      </c>
      <c r="G59" s="5">
        <v>24.61</v>
      </c>
      <c r="L59" s="5">
        <v>83.5</v>
      </c>
      <c r="O59" s="5">
        <v>24.61</v>
      </c>
      <c r="P59" s="6">
        <f t="shared" si="5"/>
        <v>0</v>
      </c>
      <c r="Q59" s="6">
        <f t="shared" si="6"/>
        <v>0</v>
      </c>
    </row>
    <row r="60" spans="4:17" ht="18.75" customHeight="1" x14ac:dyDescent="0.25">
      <c r="D60" s="6">
        <v>1978</v>
      </c>
      <c r="E60" t="s">
        <v>23</v>
      </c>
      <c r="F60" s="5">
        <v>83.805999999999997</v>
      </c>
      <c r="G60" s="5">
        <v>24.63</v>
      </c>
      <c r="L60" s="5">
        <v>83.805999999999997</v>
      </c>
      <c r="O60" s="5">
        <v>24.63</v>
      </c>
      <c r="P60" s="6">
        <f t="shared" si="5"/>
        <v>0</v>
      </c>
      <c r="Q60" s="6">
        <f t="shared" si="6"/>
        <v>0</v>
      </c>
    </row>
    <row r="61" spans="4:17" ht="18.75" customHeight="1" x14ac:dyDescent="0.25">
      <c r="D61" s="6">
        <v>2023</v>
      </c>
      <c r="E61" t="s">
        <v>24</v>
      </c>
      <c r="F61" s="5">
        <v>7.9555999999999996</v>
      </c>
      <c r="G61" s="5">
        <v>22.54</v>
      </c>
      <c r="L61" s="5">
        <v>7.9555999999999996</v>
      </c>
      <c r="O61" s="5">
        <v>22.54</v>
      </c>
      <c r="P61" s="6">
        <f t="shared" si="5"/>
        <v>0</v>
      </c>
      <c r="Q61" s="6">
        <f t="shared" si="6"/>
        <v>0</v>
      </c>
    </row>
    <row r="62" spans="4:17" ht="18.75" customHeight="1" x14ac:dyDescent="0.25">
      <c r="D62" s="6">
        <v>2023</v>
      </c>
      <c r="E62" t="s">
        <v>24</v>
      </c>
      <c r="F62" s="5">
        <v>9.9124999999999996</v>
      </c>
      <c r="G62" s="5">
        <v>22.55</v>
      </c>
      <c r="L62" s="5">
        <v>9.9124999999999996</v>
      </c>
      <c r="O62" s="5">
        <v>22.55</v>
      </c>
      <c r="P62" s="6">
        <f t="shared" si="5"/>
        <v>0</v>
      </c>
      <c r="Q62" s="6">
        <f t="shared" si="6"/>
        <v>0</v>
      </c>
    </row>
    <row r="63" spans="4:17" ht="18.75" customHeight="1" x14ac:dyDescent="0.25">
      <c r="D63" s="6">
        <v>2023</v>
      </c>
      <c r="E63" t="s">
        <v>24</v>
      </c>
      <c r="F63" s="5">
        <v>12.0296</v>
      </c>
      <c r="G63" s="5">
        <v>22.55</v>
      </c>
      <c r="L63" s="5">
        <v>12.0296</v>
      </c>
      <c r="O63" s="5">
        <v>22.55</v>
      </c>
      <c r="P63" s="6">
        <f t="shared" si="5"/>
        <v>0</v>
      </c>
      <c r="Q63" s="6">
        <f t="shared" si="6"/>
        <v>0</v>
      </c>
    </row>
    <row r="64" spans="4:17" ht="18.75" customHeight="1" x14ac:dyDescent="0.25">
      <c r="D64" s="6">
        <v>2023</v>
      </c>
      <c r="E64" t="s">
        <v>24</v>
      </c>
      <c r="F64" s="5">
        <v>14.0085</v>
      </c>
      <c r="G64" s="5">
        <v>22.57</v>
      </c>
      <c r="L64" s="5">
        <v>14.0085</v>
      </c>
      <c r="O64" s="5">
        <v>22.57</v>
      </c>
      <c r="P64" s="6">
        <f t="shared" si="5"/>
        <v>0</v>
      </c>
      <c r="Q64" s="6">
        <f t="shared" si="6"/>
        <v>0</v>
      </c>
    </row>
    <row r="65" spans="4:17" ht="18.75" customHeight="1" x14ac:dyDescent="0.25">
      <c r="D65" s="6">
        <v>2023</v>
      </c>
      <c r="E65" t="s">
        <v>24</v>
      </c>
      <c r="F65" s="5">
        <v>15.967499999999999</v>
      </c>
      <c r="G65" s="5">
        <v>22.58</v>
      </c>
      <c r="L65" s="5">
        <v>15.967499999999999</v>
      </c>
      <c r="O65" s="5">
        <v>22.58</v>
      </c>
      <c r="P65" s="6">
        <f t="shared" si="5"/>
        <v>0</v>
      </c>
      <c r="Q65" s="6">
        <f t="shared" si="6"/>
        <v>0</v>
      </c>
    </row>
    <row r="66" spans="4:17" ht="18.75" customHeight="1" x14ac:dyDescent="0.25">
      <c r="D66" s="6">
        <v>2023</v>
      </c>
      <c r="E66" t="s">
        <v>24</v>
      </c>
      <c r="F66" s="5">
        <v>17.964200000000002</v>
      </c>
      <c r="G66" s="5">
        <v>22.61</v>
      </c>
      <c r="L66" s="5">
        <v>17.964200000000002</v>
      </c>
      <c r="O66" s="5">
        <v>22.61</v>
      </c>
      <c r="P66" s="6">
        <f t="shared" si="5"/>
        <v>0</v>
      </c>
      <c r="Q66" s="6">
        <f t="shared" si="6"/>
        <v>0</v>
      </c>
    </row>
    <row r="67" spans="4:17" ht="18.75" customHeight="1" x14ac:dyDescent="0.25">
      <c r="D67" s="6">
        <v>2023</v>
      </c>
      <c r="E67" t="s">
        <v>24</v>
      </c>
      <c r="F67" s="5">
        <v>20.015999999999998</v>
      </c>
      <c r="G67" s="5">
        <v>22.63</v>
      </c>
      <c r="L67" s="5">
        <v>20.015999999999998</v>
      </c>
      <c r="O67" s="5">
        <v>22.63</v>
      </c>
      <c r="P67" s="6">
        <f t="shared" si="5"/>
        <v>0</v>
      </c>
      <c r="Q67" s="6">
        <f t="shared" si="6"/>
        <v>0</v>
      </c>
    </row>
    <row r="68" spans="4:17" ht="18.75" customHeight="1" x14ac:dyDescent="0.25">
      <c r="D68" s="6">
        <v>2023</v>
      </c>
      <c r="E68" t="s">
        <v>24</v>
      </c>
      <c r="F68" s="5">
        <v>22.0107</v>
      </c>
      <c r="G68" s="5">
        <v>22.66</v>
      </c>
      <c r="L68" s="5">
        <v>22.0107</v>
      </c>
      <c r="O68" s="5">
        <v>22.66</v>
      </c>
      <c r="P68" s="6">
        <f t="shared" si="5"/>
        <v>0</v>
      </c>
      <c r="Q68" s="6">
        <f t="shared" si="6"/>
        <v>0</v>
      </c>
    </row>
    <row r="69" spans="4:17" ht="18.75" customHeight="1" x14ac:dyDescent="0.25">
      <c r="D69" s="6">
        <v>2023</v>
      </c>
      <c r="E69" t="s">
        <v>24</v>
      </c>
      <c r="F69" s="5">
        <v>24.007300000000001</v>
      </c>
      <c r="G69" s="5">
        <v>22.68</v>
      </c>
      <c r="L69" s="5">
        <v>24.007300000000001</v>
      </c>
      <c r="O69" s="5">
        <v>22.68</v>
      </c>
      <c r="P69" s="6">
        <f t="shared" si="5"/>
        <v>0</v>
      </c>
      <c r="Q69" s="6">
        <f t="shared" si="6"/>
        <v>0</v>
      </c>
    </row>
    <row r="70" spans="4:17" ht="18.75" customHeight="1" x14ac:dyDescent="0.25">
      <c r="D70" s="6">
        <v>2023</v>
      </c>
      <c r="E70" t="s">
        <v>24</v>
      </c>
      <c r="F70" s="5">
        <v>26.003499999999999</v>
      </c>
      <c r="G70" s="5">
        <v>22.72</v>
      </c>
      <c r="L70" s="5">
        <v>26.003499999999999</v>
      </c>
      <c r="O70" s="5">
        <v>22.72</v>
      </c>
      <c r="P70" s="6">
        <f t="shared" si="5"/>
        <v>0</v>
      </c>
      <c r="Q70" s="6">
        <f t="shared" si="6"/>
        <v>0</v>
      </c>
    </row>
    <row r="71" spans="4:17" ht="18.75" customHeight="1" x14ac:dyDescent="0.25">
      <c r="D71" s="6">
        <v>2023</v>
      </c>
      <c r="E71" t="s">
        <v>24</v>
      </c>
      <c r="F71" s="5">
        <v>28.0044</v>
      </c>
      <c r="G71" s="5">
        <v>22.75</v>
      </c>
      <c r="L71" s="5">
        <v>28.0044</v>
      </c>
      <c r="O71" s="5">
        <v>22.75</v>
      </c>
      <c r="P71" s="6">
        <f t="shared" ref="P71:P107" si="7">F71-L71</f>
        <v>0</v>
      </c>
      <c r="Q71" s="6">
        <f t="shared" ref="Q71:Q107" si="8">G71-O71</f>
        <v>0</v>
      </c>
    </row>
    <row r="72" spans="4:17" ht="18.75" customHeight="1" x14ac:dyDescent="0.25">
      <c r="D72" s="6">
        <v>2023</v>
      </c>
      <c r="E72" t="s">
        <v>24</v>
      </c>
      <c r="F72" s="5">
        <v>30.009</v>
      </c>
      <c r="G72" s="5">
        <v>22.78</v>
      </c>
      <c r="L72" s="5">
        <v>30.009</v>
      </c>
      <c r="O72" s="5">
        <v>22.78</v>
      </c>
      <c r="P72" s="6">
        <f t="shared" si="7"/>
        <v>0</v>
      </c>
      <c r="Q72" s="6">
        <f t="shared" si="8"/>
        <v>0</v>
      </c>
    </row>
    <row r="73" spans="4:17" ht="18.75" customHeight="1" x14ac:dyDescent="0.25">
      <c r="D73" s="6">
        <v>2023</v>
      </c>
      <c r="E73" t="s">
        <v>24</v>
      </c>
      <c r="F73" s="5">
        <v>32.0032</v>
      </c>
      <c r="G73" s="5">
        <v>22.82</v>
      </c>
      <c r="L73" s="5">
        <v>32.0032</v>
      </c>
      <c r="O73" s="5">
        <v>22.82</v>
      </c>
      <c r="P73" s="6">
        <f t="shared" si="7"/>
        <v>0</v>
      </c>
      <c r="Q73" s="6">
        <f t="shared" si="8"/>
        <v>0</v>
      </c>
    </row>
    <row r="74" spans="4:17" ht="18.75" customHeight="1" x14ac:dyDescent="0.25">
      <c r="D74" s="6">
        <v>2023</v>
      </c>
      <c r="E74" t="s">
        <v>24</v>
      </c>
      <c r="F74" s="5">
        <v>34.008800000000001</v>
      </c>
      <c r="G74" s="5">
        <v>22.87</v>
      </c>
      <c r="L74" s="5">
        <v>34.008800000000001</v>
      </c>
      <c r="O74" s="5">
        <v>22.87</v>
      </c>
      <c r="P74" s="6">
        <f t="shared" si="7"/>
        <v>0</v>
      </c>
      <c r="Q74" s="6">
        <f t="shared" si="8"/>
        <v>0</v>
      </c>
    </row>
    <row r="75" spans="4:17" ht="18.75" customHeight="1" x14ac:dyDescent="0.25">
      <c r="D75" s="6">
        <v>2023</v>
      </c>
      <c r="E75" t="s">
        <v>24</v>
      </c>
      <c r="F75" s="5">
        <v>36.006999999999998</v>
      </c>
      <c r="G75" s="5">
        <v>22.91</v>
      </c>
      <c r="L75" s="5">
        <v>36.006999999999998</v>
      </c>
      <c r="O75" s="5">
        <v>22.91</v>
      </c>
      <c r="P75" s="6">
        <f t="shared" si="7"/>
        <v>0</v>
      </c>
      <c r="Q75" s="6">
        <f t="shared" si="8"/>
        <v>0</v>
      </c>
    </row>
    <row r="76" spans="4:17" ht="18.75" customHeight="1" x14ac:dyDescent="0.25">
      <c r="D76" s="6">
        <v>2023</v>
      </c>
      <c r="E76" t="s">
        <v>24</v>
      </c>
      <c r="F76" s="5">
        <v>38.006700000000002</v>
      </c>
      <c r="G76" s="5">
        <v>22.95</v>
      </c>
      <c r="L76" s="5">
        <v>38.006700000000002</v>
      </c>
      <c r="O76" s="5">
        <v>22.95</v>
      </c>
      <c r="P76" s="6">
        <f t="shared" si="7"/>
        <v>0</v>
      </c>
      <c r="Q76" s="6">
        <f t="shared" si="8"/>
        <v>0</v>
      </c>
    </row>
    <row r="77" spans="4:17" ht="18.75" customHeight="1" x14ac:dyDescent="0.25">
      <c r="D77" s="6">
        <v>2023</v>
      </c>
      <c r="E77" t="s">
        <v>24</v>
      </c>
      <c r="F77" s="5">
        <v>40.009900000000002</v>
      </c>
      <c r="G77" s="5">
        <v>22.99</v>
      </c>
      <c r="L77" s="5">
        <v>40.009900000000002</v>
      </c>
      <c r="O77" s="5">
        <v>22.99</v>
      </c>
      <c r="P77" s="6">
        <f t="shared" si="7"/>
        <v>0</v>
      </c>
      <c r="Q77" s="6">
        <f t="shared" si="8"/>
        <v>0</v>
      </c>
    </row>
    <row r="78" spans="4:17" ht="18.75" customHeight="1" x14ac:dyDescent="0.25">
      <c r="D78" s="6">
        <v>2023</v>
      </c>
      <c r="E78" t="s">
        <v>24</v>
      </c>
      <c r="F78" s="5">
        <v>42.010899999999999</v>
      </c>
      <c r="G78" s="5">
        <v>23.04</v>
      </c>
      <c r="L78" s="5">
        <v>42.010899999999999</v>
      </c>
      <c r="O78" s="5">
        <v>23.04</v>
      </c>
      <c r="P78" s="6">
        <f t="shared" si="7"/>
        <v>0</v>
      </c>
      <c r="Q78" s="6">
        <f t="shared" si="8"/>
        <v>0</v>
      </c>
    </row>
    <row r="79" spans="4:17" ht="18.75" customHeight="1" x14ac:dyDescent="0.25">
      <c r="D79" s="6">
        <v>2023</v>
      </c>
      <c r="E79" t="s">
        <v>24</v>
      </c>
      <c r="F79" s="5">
        <v>44.011699999999998</v>
      </c>
      <c r="G79" s="5">
        <v>23.09</v>
      </c>
      <c r="L79" s="5">
        <v>44.011699999999998</v>
      </c>
      <c r="O79" s="5">
        <v>23.09</v>
      </c>
      <c r="P79" s="6">
        <f t="shared" si="7"/>
        <v>0</v>
      </c>
      <c r="Q79" s="6">
        <f t="shared" si="8"/>
        <v>0</v>
      </c>
    </row>
    <row r="80" spans="4:17" ht="18.75" customHeight="1" x14ac:dyDescent="0.25">
      <c r="D80" s="6">
        <v>2023</v>
      </c>
      <c r="E80" t="s">
        <v>24</v>
      </c>
      <c r="F80" s="5">
        <v>46.0124</v>
      </c>
      <c r="G80" s="5">
        <v>23.14</v>
      </c>
      <c r="L80" s="5">
        <v>46.0124</v>
      </c>
      <c r="O80" s="5">
        <v>23.14</v>
      </c>
      <c r="P80" s="6">
        <f t="shared" si="7"/>
        <v>0</v>
      </c>
      <c r="Q80" s="6">
        <f t="shared" si="8"/>
        <v>0</v>
      </c>
    </row>
    <row r="81" spans="4:17" ht="18.75" customHeight="1" x14ac:dyDescent="0.25">
      <c r="D81" s="6">
        <v>2023</v>
      </c>
      <c r="E81" t="s">
        <v>24</v>
      </c>
      <c r="F81" s="5">
        <v>48.014099999999999</v>
      </c>
      <c r="G81" s="5">
        <v>23.19</v>
      </c>
      <c r="L81" s="5">
        <v>48.014099999999999</v>
      </c>
      <c r="O81" s="5">
        <v>23.19</v>
      </c>
      <c r="P81" s="6">
        <f t="shared" si="7"/>
        <v>0</v>
      </c>
      <c r="Q81" s="6">
        <f t="shared" si="8"/>
        <v>0</v>
      </c>
    </row>
    <row r="82" spans="4:17" ht="18.75" customHeight="1" x14ac:dyDescent="0.25">
      <c r="D82" s="6">
        <v>2023</v>
      </c>
      <c r="E82" t="s">
        <v>24</v>
      </c>
      <c r="F82" s="5">
        <v>50.015700000000002</v>
      </c>
      <c r="G82" s="5">
        <v>23.25</v>
      </c>
      <c r="L82" s="5">
        <v>50.015700000000002</v>
      </c>
      <c r="O82" s="5">
        <v>23.25</v>
      </c>
      <c r="P82" s="6">
        <f t="shared" si="7"/>
        <v>0</v>
      </c>
      <c r="Q82" s="6">
        <f t="shared" si="8"/>
        <v>0</v>
      </c>
    </row>
    <row r="83" spans="4:17" ht="18.75" customHeight="1" x14ac:dyDescent="0.25">
      <c r="D83" s="6">
        <v>2023</v>
      </c>
      <c r="E83" t="s">
        <v>24</v>
      </c>
      <c r="F83" s="5">
        <v>52.017099999999999</v>
      </c>
      <c r="G83" s="5">
        <v>23.3</v>
      </c>
      <c r="L83" s="5">
        <v>52.017099999999999</v>
      </c>
      <c r="O83" s="5">
        <v>23.3</v>
      </c>
      <c r="P83" s="6">
        <f t="shared" si="7"/>
        <v>0</v>
      </c>
      <c r="Q83" s="6">
        <f t="shared" si="8"/>
        <v>0</v>
      </c>
    </row>
    <row r="84" spans="4:17" ht="18.75" customHeight="1" x14ac:dyDescent="0.25">
      <c r="D84" s="6">
        <v>2023</v>
      </c>
      <c r="E84" t="s">
        <v>24</v>
      </c>
      <c r="F84" s="5">
        <v>54.020499999999998</v>
      </c>
      <c r="G84" s="5">
        <v>23.34</v>
      </c>
      <c r="L84" s="5">
        <v>54.020499999999998</v>
      </c>
      <c r="O84" s="5">
        <v>23.34</v>
      </c>
      <c r="P84" s="6">
        <f t="shared" si="7"/>
        <v>0</v>
      </c>
      <c r="Q84" s="6">
        <f t="shared" si="8"/>
        <v>0</v>
      </c>
    </row>
    <row r="85" spans="4:17" ht="18.75" customHeight="1" x14ac:dyDescent="0.25">
      <c r="D85" s="6">
        <v>2023</v>
      </c>
      <c r="E85" t="s">
        <v>24</v>
      </c>
      <c r="F85" s="5">
        <v>56.020299999999999</v>
      </c>
      <c r="G85" s="5">
        <v>23.4</v>
      </c>
      <c r="L85" s="5">
        <v>56.020299999999999</v>
      </c>
      <c r="O85" s="5">
        <v>23.4</v>
      </c>
      <c r="P85" s="6">
        <f t="shared" si="7"/>
        <v>0</v>
      </c>
      <c r="Q85" s="6">
        <f t="shared" si="8"/>
        <v>0</v>
      </c>
    </row>
    <row r="86" spans="4:17" ht="18.75" customHeight="1" x14ac:dyDescent="0.25">
      <c r="D86" s="6">
        <v>2023</v>
      </c>
      <c r="E86" t="s">
        <v>24</v>
      </c>
      <c r="F86" s="5">
        <v>58.021700000000003</v>
      </c>
      <c r="G86" s="5">
        <v>23.46</v>
      </c>
      <c r="L86" s="5">
        <v>58.021700000000003</v>
      </c>
      <c r="O86" s="5">
        <v>23.46</v>
      </c>
      <c r="P86" s="6">
        <f t="shared" si="7"/>
        <v>0</v>
      </c>
      <c r="Q86" s="6">
        <f t="shared" si="8"/>
        <v>0</v>
      </c>
    </row>
    <row r="87" spans="4:17" ht="18.75" customHeight="1" x14ac:dyDescent="0.25">
      <c r="D87" s="6">
        <v>2023</v>
      </c>
      <c r="E87" t="s">
        <v>24</v>
      </c>
      <c r="F87" s="5">
        <v>60.021999999999998</v>
      </c>
      <c r="G87" s="5">
        <v>23.52</v>
      </c>
      <c r="L87" s="5">
        <v>60.021999999999998</v>
      </c>
      <c r="O87" s="5">
        <v>23.52</v>
      </c>
      <c r="P87" s="6">
        <f t="shared" si="7"/>
        <v>0</v>
      </c>
      <c r="Q87" s="6">
        <f t="shared" si="8"/>
        <v>0</v>
      </c>
    </row>
    <row r="88" spans="4:17" ht="18.75" customHeight="1" x14ac:dyDescent="0.25">
      <c r="D88" s="6">
        <v>1956</v>
      </c>
      <c r="E88" t="s">
        <v>19</v>
      </c>
      <c r="F88" s="6">
        <v>20</v>
      </c>
      <c r="G88" s="5">
        <v>22.646258503401359</v>
      </c>
      <c r="L88" s="6">
        <v>20</v>
      </c>
      <c r="N88" s="5">
        <v>1.764</v>
      </c>
      <c r="O88" s="5">
        <f t="shared" ref="O88:O97" si="9">$O$2/N88</f>
        <v>22.646258503401359</v>
      </c>
      <c r="P88" s="6">
        <f t="shared" si="7"/>
        <v>0</v>
      </c>
      <c r="Q88" s="6">
        <f t="shared" si="8"/>
        <v>0</v>
      </c>
    </row>
    <row r="89" spans="4:17" ht="18.75" customHeight="1" x14ac:dyDescent="0.25">
      <c r="D89" s="6">
        <v>1956</v>
      </c>
      <c r="E89" t="s">
        <v>19</v>
      </c>
      <c r="F89" s="6">
        <v>40</v>
      </c>
      <c r="G89" s="5">
        <v>22.998272884283246</v>
      </c>
      <c r="L89" s="6">
        <v>40</v>
      </c>
      <c r="N89" s="5">
        <v>1.7370000000000001</v>
      </c>
      <c r="O89" s="5">
        <f t="shared" si="9"/>
        <v>22.998272884283246</v>
      </c>
      <c r="P89" s="6">
        <f t="shared" si="7"/>
        <v>0</v>
      </c>
      <c r="Q89" s="6">
        <f t="shared" si="8"/>
        <v>0</v>
      </c>
    </row>
    <row r="90" spans="4:17" ht="18.75" customHeight="1" x14ac:dyDescent="0.25">
      <c r="D90" s="6">
        <v>1956</v>
      </c>
      <c r="E90" t="s">
        <v>19</v>
      </c>
      <c r="F90" s="6">
        <v>60</v>
      </c>
      <c r="G90" s="5">
        <v>23.623891188645771</v>
      </c>
      <c r="L90" s="6">
        <v>60</v>
      </c>
      <c r="N90" s="5">
        <v>1.6910000000000001</v>
      </c>
      <c r="O90" s="5">
        <f t="shared" si="9"/>
        <v>23.623891188645771</v>
      </c>
      <c r="P90" s="6">
        <f t="shared" si="7"/>
        <v>0</v>
      </c>
      <c r="Q90" s="6">
        <f t="shared" si="8"/>
        <v>0</v>
      </c>
    </row>
    <row r="91" spans="4:17" ht="18.75" customHeight="1" x14ac:dyDescent="0.25">
      <c r="D91" s="6">
        <v>1956</v>
      </c>
      <c r="E91" t="s">
        <v>19</v>
      </c>
      <c r="F91" s="6">
        <v>80</v>
      </c>
      <c r="G91" s="5">
        <v>24.418092909535453</v>
      </c>
      <c r="L91" s="6">
        <v>80</v>
      </c>
      <c r="N91" s="5">
        <v>1.6359999999999999</v>
      </c>
      <c r="O91" s="5">
        <f t="shared" si="9"/>
        <v>24.418092909535453</v>
      </c>
      <c r="P91" s="6">
        <f t="shared" si="7"/>
        <v>0</v>
      </c>
      <c r="Q91" s="6">
        <f t="shared" si="8"/>
        <v>0</v>
      </c>
    </row>
    <row r="92" spans="4:17" ht="18.75" customHeight="1" x14ac:dyDescent="0.25">
      <c r="D92" s="6">
        <v>1967</v>
      </c>
      <c r="E92" t="s">
        <v>25</v>
      </c>
      <c r="F92" s="5">
        <v>77.25</v>
      </c>
      <c r="G92" s="5">
        <v>24.283022308674244</v>
      </c>
      <c r="L92" s="5">
        <v>77.25</v>
      </c>
      <c r="N92" s="5">
        <v>1.6451</v>
      </c>
      <c r="O92" s="5">
        <f t="shared" si="9"/>
        <v>24.283022308674244</v>
      </c>
      <c r="P92" s="6">
        <f t="shared" si="7"/>
        <v>0</v>
      </c>
      <c r="Q92" s="6">
        <f t="shared" si="8"/>
        <v>0</v>
      </c>
    </row>
    <row r="93" spans="4:17" ht="18.75" customHeight="1" x14ac:dyDescent="0.25">
      <c r="D93" s="6">
        <v>1967</v>
      </c>
      <c r="E93" t="s">
        <v>25</v>
      </c>
      <c r="F93" s="5">
        <v>77.400000000000006</v>
      </c>
      <c r="G93" s="5">
        <v>24.296314316993065</v>
      </c>
      <c r="L93" s="5">
        <v>77.400000000000006</v>
      </c>
      <c r="N93" s="5">
        <v>1.6442000000000001</v>
      </c>
      <c r="O93" s="5">
        <f t="shared" si="9"/>
        <v>24.296314316993065</v>
      </c>
      <c r="P93" s="6">
        <f t="shared" si="7"/>
        <v>0</v>
      </c>
      <c r="Q93" s="6">
        <f t="shared" si="8"/>
        <v>0</v>
      </c>
    </row>
    <row r="94" spans="4:17" ht="18.75" customHeight="1" x14ac:dyDescent="0.25">
      <c r="D94" s="6">
        <v>1967</v>
      </c>
      <c r="E94" t="s">
        <v>25</v>
      </c>
      <c r="F94" s="5">
        <v>77.45</v>
      </c>
      <c r="G94" s="5">
        <v>24.330348985930936</v>
      </c>
      <c r="L94" s="5">
        <v>77.45</v>
      </c>
      <c r="N94" s="5">
        <v>1.6418999999999999</v>
      </c>
      <c r="O94" s="5">
        <f t="shared" si="9"/>
        <v>24.330348985930936</v>
      </c>
      <c r="P94" s="6">
        <f t="shared" si="7"/>
        <v>0</v>
      </c>
      <c r="Q94" s="6">
        <f t="shared" si="8"/>
        <v>0</v>
      </c>
    </row>
    <row r="95" spans="4:17" ht="18.75" customHeight="1" x14ac:dyDescent="0.25">
      <c r="D95" s="6">
        <v>1967</v>
      </c>
      <c r="E95" t="s">
        <v>25</v>
      </c>
      <c r="F95" s="5">
        <v>77.45</v>
      </c>
      <c r="G95" s="5">
        <v>24.30222654824188</v>
      </c>
      <c r="L95" s="5">
        <v>77.45</v>
      </c>
      <c r="N95" s="5">
        <v>1.6437999999999999</v>
      </c>
      <c r="O95" s="5">
        <f t="shared" si="9"/>
        <v>24.30222654824188</v>
      </c>
      <c r="P95" s="6">
        <f t="shared" si="7"/>
        <v>0</v>
      </c>
      <c r="Q95" s="6">
        <f t="shared" si="8"/>
        <v>0</v>
      </c>
    </row>
    <row r="96" spans="4:17" ht="18.75" customHeight="1" x14ac:dyDescent="0.25">
      <c r="D96" s="6">
        <v>1967</v>
      </c>
      <c r="E96" t="s">
        <v>25</v>
      </c>
      <c r="F96" s="5">
        <v>78.8</v>
      </c>
      <c r="G96" s="5">
        <v>24.394235466536397</v>
      </c>
      <c r="L96" s="5">
        <v>78.8</v>
      </c>
      <c r="N96" s="5">
        <v>1.6375999999999999</v>
      </c>
      <c r="O96" s="5">
        <f t="shared" si="9"/>
        <v>24.394235466536397</v>
      </c>
      <c r="P96" s="6">
        <f t="shared" si="7"/>
        <v>0</v>
      </c>
      <c r="Q96" s="6">
        <f t="shared" si="8"/>
        <v>0</v>
      </c>
    </row>
    <row r="97" spans="3:17" ht="18.75" customHeight="1" x14ac:dyDescent="0.25">
      <c r="D97" s="6">
        <v>1967</v>
      </c>
      <c r="E97" t="s">
        <v>25</v>
      </c>
      <c r="F97" s="5">
        <v>81.7</v>
      </c>
      <c r="G97" s="5">
        <v>24.532056005895356</v>
      </c>
      <c r="L97" s="5">
        <v>81.7</v>
      </c>
      <c r="N97" s="5">
        <v>1.6284000000000001</v>
      </c>
      <c r="O97" s="5">
        <f t="shared" si="9"/>
        <v>24.532056005895356</v>
      </c>
      <c r="P97" s="6">
        <f t="shared" si="7"/>
        <v>0</v>
      </c>
      <c r="Q97" s="6">
        <f t="shared" si="8"/>
        <v>0</v>
      </c>
    </row>
    <row r="98" spans="3:17" ht="18.75" customHeight="1" x14ac:dyDescent="0.25">
      <c r="D98" s="6">
        <v>1924</v>
      </c>
      <c r="E98" t="s">
        <v>26</v>
      </c>
      <c r="F98" s="6">
        <v>40</v>
      </c>
      <c r="G98" s="5">
        <v>23.971141518707999</v>
      </c>
      <c r="I98" s="5">
        <v>5.42</v>
      </c>
      <c r="J98" s="5">
        <f>I98^3</f>
        <v>159.220088</v>
      </c>
      <c r="O98" s="5">
        <f>J98*10^(-30)/4*6.02214*10^23*10^6</f>
        <v>23.971141518707999</v>
      </c>
      <c r="P98" s="6">
        <f t="shared" si="7"/>
        <v>40</v>
      </c>
      <c r="Q98" s="6">
        <f t="shared" si="8"/>
        <v>0</v>
      </c>
    </row>
    <row r="99" spans="3:17" ht="18.75" customHeight="1" x14ac:dyDescent="0.25">
      <c r="C99" t="s">
        <v>27</v>
      </c>
      <c r="D99" s="6">
        <v>1957</v>
      </c>
      <c r="E99" t="s">
        <v>19</v>
      </c>
      <c r="F99" s="6">
        <v>10</v>
      </c>
      <c r="G99" s="5">
        <v>22.58</v>
      </c>
      <c r="L99" s="6">
        <v>10</v>
      </c>
      <c r="O99" s="5">
        <v>22.58</v>
      </c>
      <c r="P99" s="6">
        <f t="shared" si="7"/>
        <v>0</v>
      </c>
      <c r="Q99" s="6">
        <f t="shared" si="8"/>
        <v>0</v>
      </c>
    </row>
    <row r="100" spans="3:17" ht="18.75" customHeight="1" x14ac:dyDescent="0.25">
      <c r="D100" s="6">
        <v>1957</v>
      </c>
      <c r="E100" t="s">
        <v>19</v>
      </c>
      <c r="F100" s="6">
        <v>20</v>
      </c>
      <c r="G100" s="5">
        <v>22.64</v>
      </c>
      <c r="L100" s="6">
        <v>20</v>
      </c>
      <c r="O100" s="5">
        <v>22.64</v>
      </c>
      <c r="P100" s="6">
        <f t="shared" si="7"/>
        <v>0</v>
      </c>
      <c r="Q100" s="6">
        <f t="shared" si="8"/>
        <v>0</v>
      </c>
    </row>
    <row r="101" spans="3:17" ht="18.75" customHeight="1" x14ac:dyDescent="0.25">
      <c r="D101" s="6">
        <v>1957</v>
      </c>
      <c r="E101" t="s">
        <v>19</v>
      </c>
      <c r="F101" s="6">
        <v>30</v>
      </c>
      <c r="G101" s="5">
        <v>22.79</v>
      </c>
      <c r="L101" s="6">
        <v>30</v>
      </c>
      <c r="O101" s="5">
        <v>22.79</v>
      </c>
      <c r="P101" s="6">
        <f t="shared" si="7"/>
        <v>0</v>
      </c>
      <c r="Q101" s="6">
        <f t="shared" si="8"/>
        <v>0</v>
      </c>
    </row>
    <row r="102" spans="3:17" ht="18.75" customHeight="1" x14ac:dyDescent="0.25">
      <c r="D102" s="6">
        <v>1957</v>
      </c>
      <c r="E102" t="s">
        <v>19</v>
      </c>
      <c r="F102" s="6">
        <v>40</v>
      </c>
      <c r="G102" s="5">
        <v>23.01</v>
      </c>
      <c r="L102" s="6">
        <v>40</v>
      </c>
      <c r="O102" s="5">
        <v>23.01</v>
      </c>
      <c r="P102" s="6">
        <f t="shared" si="7"/>
        <v>0</v>
      </c>
      <c r="Q102" s="6">
        <f t="shared" si="8"/>
        <v>0</v>
      </c>
    </row>
    <row r="103" spans="3:17" ht="18.75" customHeight="1" x14ac:dyDescent="0.25">
      <c r="D103" s="6">
        <v>1957</v>
      </c>
      <c r="E103" t="s">
        <v>19</v>
      </c>
      <c r="F103" s="6">
        <v>50</v>
      </c>
      <c r="G103" s="5">
        <v>23.3</v>
      </c>
      <c r="L103" s="6">
        <v>50</v>
      </c>
      <c r="O103" s="5">
        <v>23.3</v>
      </c>
      <c r="P103" s="6">
        <f t="shared" si="7"/>
        <v>0</v>
      </c>
      <c r="Q103" s="6">
        <f t="shared" si="8"/>
        <v>0</v>
      </c>
    </row>
    <row r="104" spans="3:17" ht="18.75" customHeight="1" x14ac:dyDescent="0.25">
      <c r="D104" s="6">
        <v>1957</v>
      </c>
      <c r="E104" t="s">
        <v>19</v>
      </c>
      <c r="F104" s="6">
        <v>60</v>
      </c>
      <c r="G104" s="5">
        <v>23.65</v>
      </c>
      <c r="L104" s="6">
        <v>60</v>
      </c>
      <c r="O104" s="5">
        <v>23.65</v>
      </c>
      <c r="P104" s="6">
        <f t="shared" si="7"/>
        <v>0</v>
      </c>
      <c r="Q104" s="6">
        <f t="shared" si="8"/>
        <v>0</v>
      </c>
    </row>
    <row r="105" spans="3:17" ht="18.75" customHeight="1" x14ac:dyDescent="0.25">
      <c r="D105" s="6">
        <v>1957</v>
      </c>
      <c r="E105" t="s">
        <v>19</v>
      </c>
      <c r="F105" s="6">
        <v>70</v>
      </c>
      <c r="G105" s="6">
        <v>24</v>
      </c>
      <c r="L105" s="6">
        <v>70</v>
      </c>
      <c r="O105" s="6">
        <v>24</v>
      </c>
      <c r="P105" s="6">
        <f t="shared" si="7"/>
        <v>0</v>
      </c>
      <c r="Q105" s="6">
        <f t="shared" si="8"/>
        <v>0</v>
      </c>
    </row>
    <row r="106" spans="3:17" ht="18.75" customHeight="1" x14ac:dyDescent="0.25">
      <c r="D106" s="6">
        <v>1957</v>
      </c>
      <c r="E106" t="s">
        <v>19</v>
      </c>
      <c r="F106" s="6">
        <v>80</v>
      </c>
      <c r="G106" s="5">
        <v>24.42</v>
      </c>
      <c r="L106" s="6">
        <v>80</v>
      </c>
      <c r="O106" s="5">
        <v>24.42</v>
      </c>
      <c r="P106" s="6">
        <f t="shared" si="7"/>
        <v>0</v>
      </c>
      <c r="Q106" s="6">
        <f t="shared" si="8"/>
        <v>0</v>
      </c>
    </row>
    <row r="107" spans="3:17" ht="18.75" customHeight="1" x14ac:dyDescent="0.25">
      <c r="C107" t="s">
        <v>27</v>
      </c>
      <c r="D107" s="6">
        <v>1957</v>
      </c>
      <c r="E107" t="s">
        <v>19</v>
      </c>
      <c r="F107" s="5">
        <v>83.805999999999997</v>
      </c>
      <c r="G107" s="5">
        <v>24.61</v>
      </c>
      <c r="L107" s="5">
        <v>83.805999999999997</v>
      </c>
      <c r="O107" s="5">
        <v>24.61</v>
      </c>
      <c r="P107" s="6">
        <f t="shared" si="7"/>
        <v>0</v>
      </c>
      <c r="Q107" s="6">
        <f t="shared" si="8"/>
        <v>0</v>
      </c>
    </row>
    <row r="108" spans="3:17" ht="18.75" customHeight="1" x14ac:dyDescent="0.25">
      <c r="D108" s="6">
        <v>1964</v>
      </c>
      <c r="E108" t="s">
        <v>28</v>
      </c>
      <c r="F108" s="5">
        <v>4.2</v>
      </c>
      <c r="G108" s="5">
        <v>22.563995272317719</v>
      </c>
      <c r="I108" s="5">
        <v>5.3117999999999999</v>
      </c>
      <c r="J108" s="5">
        <f t="shared" ref="J108:J122" si="10">I108^3</f>
        <v>149.87360155903198</v>
      </c>
      <c r="L108" s="5">
        <v>4.2</v>
      </c>
      <c r="O108" s="5">
        <f t="shared" ref="O108:O122" si="11">J108*10^(-30)/4*6.02214*10^23*10^6</f>
        <v>22.563995272317719</v>
      </c>
    </row>
    <row r="109" spans="3:17" ht="18.75" customHeight="1" x14ac:dyDescent="0.25">
      <c r="D109" s="6">
        <v>1964</v>
      </c>
      <c r="E109" t="s">
        <v>28</v>
      </c>
      <c r="F109" s="6">
        <v>15</v>
      </c>
      <c r="G109" s="5">
        <v>22.563995272317719</v>
      </c>
      <c r="I109" s="5">
        <v>5.3117999999999999</v>
      </c>
      <c r="J109" s="5">
        <f t="shared" si="10"/>
        <v>149.87360155903198</v>
      </c>
      <c r="L109" s="6">
        <v>15</v>
      </c>
      <c r="O109" s="5">
        <f t="shared" si="11"/>
        <v>22.563995272317719</v>
      </c>
    </row>
    <row r="110" spans="3:17" ht="18.75" customHeight="1" x14ac:dyDescent="0.25">
      <c r="D110" s="6">
        <v>1964</v>
      </c>
      <c r="E110" t="s">
        <v>28</v>
      </c>
      <c r="F110" s="6">
        <v>21</v>
      </c>
      <c r="G110" s="5">
        <v>22.646930727108337</v>
      </c>
      <c r="I110" s="5">
        <v>5.3182999999999998</v>
      </c>
      <c r="J110" s="5">
        <f t="shared" si="10"/>
        <v>150.42447187948699</v>
      </c>
      <c r="L110" s="6">
        <v>21</v>
      </c>
      <c r="O110" s="5">
        <f t="shared" si="11"/>
        <v>22.646930727108337</v>
      </c>
    </row>
    <row r="111" spans="3:17" ht="18.75" customHeight="1" x14ac:dyDescent="0.25">
      <c r="D111" s="6">
        <v>1964</v>
      </c>
      <c r="E111" t="s">
        <v>28</v>
      </c>
      <c r="F111" s="6">
        <v>21</v>
      </c>
      <c r="G111" s="5">
        <v>22.657152190751987</v>
      </c>
      <c r="I111" s="5">
        <v>5.3190999999999997</v>
      </c>
      <c r="J111" s="5">
        <f t="shared" si="10"/>
        <v>150.49236444687097</v>
      </c>
      <c r="L111" s="6">
        <v>21</v>
      </c>
      <c r="O111" s="5">
        <f t="shared" si="11"/>
        <v>22.657152190751987</v>
      </c>
    </row>
    <row r="112" spans="3:17" ht="18.75" customHeight="1" x14ac:dyDescent="0.25">
      <c r="D112" s="6">
        <v>1964</v>
      </c>
      <c r="E112" t="s">
        <v>28</v>
      </c>
      <c r="F112" s="6">
        <v>25</v>
      </c>
      <c r="G112" s="5">
        <v>22.701907256842546</v>
      </c>
      <c r="I112" s="5">
        <v>5.3226000000000004</v>
      </c>
      <c r="J112" s="5">
        <f t="shared" si="10"/>
        <v>150.78963462717604</v>
      </c>
      <c r="L112" s="6">
        <v>25</v>
      </c>
      <c r="O112" s="5">
        <f t="shared" si="11"/>
        <v>22.701907256842546</v>
      </c>
    </row>
    <row r="113" spans="3:19" ht="18.75" customHeight="1" x14ac:dyDescent="0.25">
      <c r="D113" s="6">
        <v>1964</v>
      </c>
      <c r="E113" t="s">
        <v>28</v>
      </c>
      <c r="F113" s="6">
        <v>28</v>
      </c>
      <c r="G113" s="5">
        <v>22.762099574459231</v>
      </c>
      <c r="I113" s="5">
        <v>5.3273000000000001</v>
      </c>
      <c r="J113" s="5">
        <f t="shared" si="10"/>
        <v>151.18944145741702</v>
      </c>
      <c r="L113" s="6">
        <v>28</v>
      </c>
      <c r="O113" s="5">
        <f t="shared" si="11"/>
        <v>22.762099574459231</v>
      </c>
    </row>
    <row r="114" spans="3:19" ht="18.75" customHeight="1" x14ac:dyDescent="0.25">
      <c r="D114" s="6">
        <v>1964</v>
      </c>
      <c r="E114" t="s">
        <v>28</v>
      </c>
      <c r="F114" s="6">
        <v>35</v>
      </c>
      <c r="G114" s="5">
        <v>22.894382275667951</v>
      </c>
      <c r="I114" s="5">
        <v>5.3376000000000001</v>
      </c>
      <c r="J114" s="5">
        <f t="shared" si="10"/>
        <v>152.06808394137602</v>
      </c>
      <c r="L114" s="6">
        <v>35</v>
      </c>
      <c r="O114" s="5">
        <f t="shared" si="11"/>
        <v>22.894382275667951</v>
      </c>
    </row>
    <row r="115" spans="3:19" ht="18.75" customHeight="1" x14ac:dyDescent="0.25">
      <c r="D115" s="6">
        <v>1964</v>
      </c>
      <c r="E115" t="s">
        <v>28</v>
      </c>
      <c r="F115" s="6">
        <v>50</v>
      </c>
      <c r="G115" s="5">
        <v>23.315137196807058</v>
      </c>
      <c r="I115" s="5">
        <v>5.3700999999999999</v>
      </c>
      <c r="J115" s="5">
        <f t="shared" si="10"/>
        <v>154.86280423110099</v>
      </c>
      <c r="L115" s="6">
        <v>50</v>
      </c>
      <c r="O115" s="5">
        <f t="shared" si="11"/>
        <v>23.315137196807058</v>
      </c>
    </row>
    <row r="116" spans="3:19" ht="18.75" customHeight="1" x14ac:dyDescent="0.25">
      <c r="D116" s="6">
        <v>1964</v>
      </c>
      <c r="E116" t="s">
        <v>28</v>
      </c>
      <c r="F116" s="6">
        <v>61</v>
      </c>
      <c r="G116" s="5">
        <v>23.640965178448305</v>
      </c>
      <c r="I116" s="5">
        <v>5.3949999999999996</v>
      </c>
      <c r="J116" s="5">
        <f t="shared" si="10"/>
        <v>157.02700487499996</v>
      </c>
      <c r="L116" s="6">
        <v>61</v>
      </c>
      <c r="O116" s="5">
        <f t="shared" si="11"/>
        <v>23.640965178448305</v>
      </c>
    </row>
    <row r="117" spans="3:19" ht="18.75" customHeight="1" x14ac:dyDescent="0.25">
      <c r="D117" s="6">
        <v>1964</v>
      </c>
      <c r="E117" t="s">
        <v>28</v>
      </c>
      <c r="F117" s="6">
        <v>63</v>
      </c>
      <c r="G117" s="5">
        <v>23.717294221159772</v>
      </c>
      <c r="I117" s="5">
        <v>5.4008000000000003</v>
      </c>
      <c r="J117" s="5">
        <f t="shared" si="10"/>
        <v>157.53399436851203</v>
      </c>
      <c r="L117" s="6">
        <v>63</v>
      </c>
      <c r="O117" s="5">
        <f t="shared" si="11"/>
        <v>23.717294221159772</v>
      </c>
    </row>
    <row r="118" spans="3:19" ht="18.75" customHeight="1" x14ac:dyDescent="0.25">
      <c r="D118" s="6">
        <v>1964</v>
      </c>
      <c r="E118" t="s">
        <v>28</v>
      </c>
      <c r="F118" s="5">
        <v>63.7</v>
      </c>
      <c r="G118" s="5">
        <v>23.729153087659427</v>
      </c>
      <c r="I118" s="5">
        <v>5.4016999999999999</v>
      </c>
      <c r="J118" s="5">
        <f t="shared" si="10"/>
        <v>157.612762822913</v>
      </c>
      <c r="L118" s="5">
        <v>63.7</v>
      </c>
      <c r="O118" s="5">
        <f t="shared" si="11"/>
        <v>23.729153087659427</v>
      </c>
    </row>
    <row r="119" spans="3:19" ht="18.75" customHeight="1" x14ac:dyDescent="0.25">
      <c r="D119" s="6">
        <v>1964</v>
      </c>
      <c r="E119" t="s">
        <v>28</v>
      </c>
      <c r="F119" s="6">
        <v>64</v>
      </c>
      <c r="G119" s="5">
        <v>23.746289539305234</v>
      </c>
      <c r="I119" s="5">
        <v>5.4029999999999996</v>
      </c>
      <c r="J119" s="5">
        <f t="shared" si="10"/>
        <v>157.72658582699995</v>
      </c>
      <c r="L119" s="6">
        <v>64</v>
      </c>
      <c r="O119" s="5">
        <f t="shared" si="11"/>
        <v>23.746289539305234</v>
      </c>
    </row>
    <row r="120" spans="3:19" ht="18.75" customHeight="1" x14ac:dyDescent="0.25">
      <c r="D120" s="6">
        <v>1964</v>
      </c>
      <c r="E120" t="s">
        <v>28</v>
      </c>
      <c r="F120" s="6">
        <v>64</v>
      </c>
      <c r="G120" s="5">
        <v>23.75420145268065</v>
      </c>
      <c r="I120" s="5">
        <v>5.4036</v>
      </c>
      <c r="J120" s="5">
        <f t="shared" si="10"/>
        <v>157.77913799865598</v>
      </c>
      <c r="L120" s="6">
        <v>64</v>
      </c>
      <c r="O120" s="5">
        <f t="shared" si="11"/>
        <v>23.75420145268065</v>
      </c>
    </row>
    <row r="121" spans="3:19" ht="18.75" customHeight="1" x14ac:dyDescent="0.25">
      <c r="D121" s="6">
        <v>1964</v>
      </c>
      <c r="E121" t="s">
        <v>28</v>
      </c>
      <c r="F121" s="6">
        <v>81</v>
      </c>
      <c r="G121" s="5">
        <v>24.478874753213294</v>
      </c>
      <c r="I121" s="5">
        <v>5.4580000000000002</v>
      </c>
      <c r="J121" s="5">
        <f t="shared" si="10"/>
        <v>162.59253191200003</v>
      </c>
      <c r="L121" s="6">
        <v>81</v>
      </c>
      <c r="O121" s="5">
        <f t="shared" si="11"/>
        <v>24.478874753213294</v>
      </c>
    </row>
    <row r="122" spans="3:19" ht="18.75" customHeight="1" x14ac:dyDescent="0.25">
      <c r="D122" s="6">
        <v>1967</v>
      </c>
      <c r="E122" t="s">
        <v>29</v>
      </c>
      <c r="F122" s="5">
        <v>4.25</v>
      </c>
      <c r="G122" s="5">
        <v>22.555840286943091</v>
      </c>
      <c r="I122" s="5">
        <v>5.3111600000000001</v>
      </c>
      <c r="J122" s="5">
        <f t="shared" si="10"/>
        <v>149.81943486496891</v>
      </c>
      <c r="L122" s="5">
        <v>4.25</v>
      </c>
      <c r="O122" s="5">
        <f t="shared" si="11"/>
        <v>22.555840286943091</v>
      </c>
    </row>
    <row r="123" spans="3:19" ht="18.75" customHeight="1" x14ac:dyDescent="0.25">
      <c r="C123" t="s">
        <v>30</v>
      </c>
      <c r="D123" s="6">
        <v>1940</v>
      </c>
      <c r="E123" t="s">
        <v>31</v>
      </c>
      <c r="F123" s="5">
        <v>83.805999999999997</v>
      </c>
      <c r="G123" s="5">
        <v>24.61</v>
      </c>
    </row>
    <row r="124" spans="3:19" ht="18.75" customHeight="1" x14ac:dyDescent="0.25">
      <c r="D124" s="6">
        <v>1925</v>
      </c>
      <c r="E124" t="s">
        <v>32</v>
      </c>
      <c r="F124" s="6">
        <v>20</v>
      </c>
      <c r="G124" s="5">
        <v>23.778571428571428</v>
      </c>
      <c r="H124" s="6">
        <v>1680</v>
      </c>
      <c r="K124" s="4" t="s">
        <v>33</v>
      </c>
      <c r="N124" s="5">
        <v>1.68</v>
      </c>
      <c r="O124" s="5">
        <f>$O$2/N124</f>
        <v>23.778571428571428</v>
      </c>
      <c r="R124" s="4" t="s">
        <v>34</v>
      </c>
      <c r="S124" s="3" t="s">
        <v>35</v>
      </c>
    </row>
    <row r="125" spans="3:19" ht="18.75" customHeight="1" x14ac:dyDescent="0.25">
      <c r="D125" s="6">
        <v>1955</v>
      </c>
      <c r="E125" t="s">
        <v>36</v>
      </c>
      <c r="F125" s="6">
        <v>65</v>
      </c>
      <c r="K125" s="5">
        <v>1.0999999999999999E-2</v>
      </c>
      <c r="R125" s="6">
        <v>200</v>
      </c>
      <c r="S125" s="5">
        <f t="shared" ref="S125:S138" si="12">0.0980665*R125</f>
        <v>19.613299999999999</v>
      </c>
    </row>
    <row r="126" spans="3:19" ht="18.75" customHeight="1" x14ac:dyDescent="0.25">
      <c r="D126" s="6">
        <v>1955</v>
      </c>
      <c r="E126" t="s">
        <v>36</v>
      </c>
      <c r="F126" s="6">
        <v>65</v>
      </c>
      <c r="K126" s="5">
        <v>2.1000000000000001E-2</v>
      </c>
      <c r="R126" s="6">
        <v>400</v>
      </c>
      <c r="S126" s="5">
        <f t="shared" si="12"/>
        <v>39.226599999999998</v>
      </c>
    </row>
    <row r="127" spans="3:19" ht="18.75" customHeight="1" x14ac:dyDescent="0.25">
      <c r="D127" s="6">
        <v>1955</v>
      </c>
      <c r="E127" t="s">
        <v>36</v>
      </c>
      <c r="F127" s="6">
        <v>65</v>
      </c>
      <c r="K127" s="5">
        <v>0.03</v>
      </c>
      <c r="R127" s="6">
        <v>600</v>
      </c>
      <c r="S127" s="5">
        <f t="shared" si="12"/>
        <v>58.8399</v>
      </c>
    </row>
    <row r="128" spans="3:19" ht="18.75" customHeight="1" x14ac:dyDescent="0.25">
      <c r="D128" s="6">
        <v>1955</v>
      </c>
      <c r="E128" t="s">
        <v>36</v>
      </c>
      <c r="F128" s="6">
        <v>65</v>
      </c>
      <c r="K128" s="5">
        <v>4.7E-2</v>
      </c>
      <c r="R128" s="6">
        <v>1000</v>
      </c>
      <c r="S128" s="5">
        <f t="shared" si="12"/>
        <v>98.066500000000005</v>
      </c>
    </row>
    <row r="129" spans="4:19" ht="18.75" customHeight="1" x14ac:dyDescent="0.25">
      <c r="D129" s="6">
        <v>1955</v>
      </c>
      <c r="E129" t="s">
        <v>36</v>
      </c>
      <c r="F129" s="6">
        <v>65</v>
      </c>
      <c r="K129" s="5">
        <v>0.08</v>
      </c>
      <c r="R129" s="6">
        <v>2000</v>
      </c>
      <c r="S129" s="5">
        <f t="shared" si="12"/>
        <v>196.13300000000001</v>
      </c>
    </row>
    <row r="130" spans="4:19" ht="18.75" customHeight="1" x14ac:dyDescent="0.25">
      <c r="D130" s="6">
        <v>1955</v>
      </c>
      <c r="E130" t="s">
        <v>36</v>
      </c>
      <c r="F130" s="6">
        <v>65</v>
      </c>
      <c r="K130" s="5">
        <v>0.105</v>
      </c>
      <c r="R130" s="6">
        <v>3000</v>
      </c>
      <c r="S130" s="5">
        <f t="shared" si="12"/>
        <v>294.1995</v>
      </c>
    </row>
    <row r="131" spans="4:19" ht="18.75" customHeight="1" x14ac:dyDescent="0.25">
      <c r="D131" s="6">
        <v>1955</v>
      </c>
      <c r="E131" t="s">
        <v>36</v>
      </c>
      <c r="F131" s="6">
        <v>65</v>
      </c>
      <c r="K131" s="5">
        <v>0.124</v>
      </c>
      <c r="R131" s="6">
        <v>4000</v>
      </c>
      <c r="S131" s="5">
        <f t="shared" si="12"/>
        <v>392.26600000000002</v>
      </c>
    </row>
    <row r="132" spans="4:19" ht="18.75" customHeight="1" x14ac:dyDescent="0.25">
      <c r="D132" s="6">
        <v>1955</v>
      </c>
      <c r="E132" t="s">
        <v>36</v>
      </c>
      <c r="F132" s="6">
        <v>75</v>
      </c>
      <c r="K132" s="5">
        <v>1.7000000000000001E-2</v>
      </c>
      <c r="R132" s="6">
        <v>200</v>
      </c>
      <c r="S132" s="5">
        <f t="shared" si="12"/>
        <v>19.613299999999999</v>
      </c>
    </row>
    <row r="133" spans="4:19" ht="18.75" customHeight="1" x14ac:dyDescent="0.25">
      <c r="D133" s="6">
        <v>1955</v>
      </c>
      <c r="E133" t="s">
        <v>36</v>
      </c>
      <c r="F133" s="6">
        <v>75</v>
      </c>
      <c r="K133" s="5">
        <v>0.03</v>
      </c>
      <c r="R133" s="6">
        <v>400</v>
      </c>
      <c r="S133" s="5">
        <f t="shared" si="12"/>
        <v>39.226599999999998</v>
      </c>
    </row>
    <row r="134" spans="4:19" ht="18.75" customHeight="1" x14ac:dyDescent="0.25">
      <c r="D134" s="6">
        <v>1955</v>
      </c>
      <c r="E134" t="s">
        <v>36</v>
      </c>
      <c r="F134" s="6">
        <v>75</v>
      </c>
      <c r="K134" s="5">
        <v>4.1000000000000002E-2</v>
      </c>
      <c r="R134" s="6">
        <v>600</v>
      </c>
      <c r="S134" s="5">
        <f t="shared" si="12"/>
        <v>58.8399</v>
      </c>
    </row>
    <row r="135" spans="4:19" ht="18.75" customHeight="1" x14ac:dyDescent="0.25">
      <c r="D135" s="6">
        <v>1955</v>
      </c>
      <c r="E135" t="s">
        <v>36</v>
      </c>
      <c r="F135" s="6">
        <v>75</v>
      </c>
      <c r="K135" s="5">
        <v>5.8999999999999997E-2</v>
      </c>
      <c r="R135" s="6">
        <v>1000</v>
      </c>
      <c r="S135" s="5">
        <f t="shared" si="12"/>
        <v>98.066500000000005</v>
      </c>
    </row>
    <row r="136" spans="4:19" ht="18.75" customHeight="1" x14ac:dyDescent="0.25">
      <c r="D136" s="6">
        <v>1955</v>
      </c>
      <c r="E136" t="s">
        <v>36</v>
      </c>
      <c r="F136" s="6">
        <v>75</v>
      </c>
      <c r="K136" s="5">
        <v>9.2999999999999999E-2</v>
      </c>
      <c r="R136" s="6">
        <v>2000</v>
      </c>
      <c r="S136" s="5">
        <f t="shared" si="12"/>
        <v>196.13300000000001</v>
      </c>
    </row>
    <row r="137" spans="4:19" ht="18.75" customHeight="1" x14ac:dyDescent="0.25">
      <c r="D137" s="6">
        <v>1955</v>
      </c>
      <c r="E137" t="s">
        <v>36</v>
      </c>
      <c r="F137" s="6">
        <v>75</v>
      </c>
      <c r="K137" s="5">
        <v>0.11899999999999999</v>
      </c>
      <c r="R137" s="6">
        <v>3000</v>
      </c>
      <c r="S137" s="5">
        <f t="shared" si="12"/>
        <v>294.1995</v>
      </c>
    </row>
    <row r="138" spans="4:19" ht="18.75" customHeight="1" x14ac:dyDescent="0.25">
      <c r="D138" s="6">
        <v>1955</v>
      </c>
      <c r="E138" t="s">
        <v>36</v>
      </c>
      <c r="F138" s="6">
        <v>75</v>
      </c>
      <c r="K138" s="5">
        <v>0.14000000000000001</v>
      </c>
      <c r="R138" s="6">
        <v>4000</v>
      </c>
      <c r="S138" s="5">
        <f t="shared" si="12"/>
        <v>392.26600000000002</v>
      </c>
    </row>
    <row r="139" spans="4:19" ht="18.75" customHeight="1" x14ac:dyDescent="0.25">
      <c r="D139" s="6">
        <v>1955</v>
      </c>
      <c r="E139" t="s">
        <v>37</v>
      </c>
      <c r="F139" s="6">
        <v>0</v>
      </c>
      <c r="G139" s="5">
        <v>23.821109123434706</v>
      </c>
      <c r="N139" s="5">
        <v>1.677</v>
      </c>
      <c r="O139" s="5">
        <f t="shared" ref="O139:O153" si="13">$O$2/N139</f>
        <v>23.821109123434706</v>
      </c>
    </row>
    <row r="140" spans="4:19" ht="18.75" customHeight="1" x14ac:dyDescent="0.25">
      <c r="D140" s="6">
        <v>1955</v>
      </c>
      <c r="E140" t="s">
        <v>37</v>
      </c>
      <c r="F140" s="6">
        <v>30</v>
      </c>
      <c r="G140" s="5">
        <v>24.00721153846154</v>
      </c>
      <c r="N140" s="5">
        <v>1.6639999999999999</v>
      </c>
      <c r="O140" s="5">
        <f t="shared" si="13"/>
        <v>24.00721153846154</v>
      </c>
    </row>
    <row r="141" spans="4:19" ht="18.75" customHeight="1" x14ac:dyDescent="0.25">
      <c r="D141" s="6">
        <v>1955</v>
      </c>
      <c r="E141" t="s">
        <v>37</v>
      </c>
      <c r="F141" s="6">
        <v>60</v>
      </c>
      <c r="G141" s="5">
        <v>24.418092909535453</v>
      </c>
      <c r="N141" s="5">
        <v>1.6359999999999999</v>
      </c>
      <c r="O141" s="5">
        <f t="shared" si="13"/>
        <v>24.418092909535453</v>
      </c>
    </row>
    <row r="142" spans="4:19" ht="18.75" customHeight="1" x14ac:dyDescent="0.25">
      <c r="D142" s="6">
        <v>1955</v>
      </c>
      <c r="E142" t="s">
        <v>37</v>
      </c>
      <c r="F142" s="6">
        <v>70</v>
      </c>
      <c r="G142" s="5">
        <v>24.583384615384617</v>
      </c>
      <c r="N142" s="5">
        <v>1.625</v>
      </c>
      <c r="O142" s="5">
        <f t="shared" si="13"/>
        <v>24.583384615384617</v>
      </c>
    </row>
    <row r="143" spans="4:19" ht="18.75" customHeight="1" x14ac:dyDescent="0.25">
      <c r="D143" s="6">
        <v>1955</v>
      </c>
      <c r="E143" t="s">
        <v>37</v>
      </c>
      <c r="F143" s="6">
        <v>80</v>
      </c>
      <c r="G143" s="5">
        <v>24.781637717121587</v>
      </c>
      <c r="N143" s="5">
        <v>1.6120000000000001</v>
      </c>
      <c r="O143" s="5">
        <f t="shared" si="13"/>
        <v>24.781637717121587</v>
      </c>
    </row>
    <row r="144" spans="4:19" ht="18.75" customHeight="1" x14ac:dyDescent="0.25">
      <c r="D144" s="6">
        <v>1955</v>
      </c>
      <c r="E144" t="s">
        <v>37</v>
      </c>
      <c r="F144" s="5">
        <v>83.805999999999997</v>
      </c>
      <c r="G144" s="5">
        <v>24.858742999377721</v>
      </c>
      <c r="N144" s="5">
        <v>1.607</v>
      </c>
      <c r="O144" s="5">
        <f t="shared" si="13"/>
        <v>24.858742999377721</v>
      </c>
    </row>
    <row r="145" spans="4:15" ht="18.75" customHeight="1" x14ac:dyDescent="0.25">
      <c r="D145" s="6">
        <v>1961</v>
      </c>
      <c r="E145" t="s">
        <v>38</v>
      </c>
      <c r="F145" s="6">
        <v>0</v>
      </c>
      <c r="G145" s="5">
        <v>22.493243243243242</v>
      </c>
      <c r="N145" s="5">
        <v>1.776</v>
      </c>
      <c r="O145" s="5">
        <f t="shared" si="13"/>
        <v>22.493243243243242</v>
      </c>
    </row>
    <row r="146" spans="4:15" ht="18.75" customHeight="1" x14ac:dyDescent="0.25">
      <c r="D146" s="6">
        <v>1961</v>
      </c>
      <c r="E146" t="s">
        <v>38</v>
      </c>
      <c r="F146" s="6">
        <v>5</v>
      </c>
      <c r="G146" s="5">
        <v>22.493243243243242</v>
      </c>
      <c r="N146" s="5">
        <v>1.776</v>
      </c>
      <c r="O146" s="5">
        <f t="shared" si="13"/>
        <v>22.493243243243242</v>
      </c>
    </row>
    <row r="147" spans="4:15" ht="18.75" customHeight="1" x14ac:dyDescent="0.25">
      <c r="D147" s="6">
        <v>1961</v>
      </c>
      <c r="E147" t="s">
        <v>38</v>
      </c>
      <c r="F147" s="6">
        <v>10</v>
      </c>
      <c r="G147" s="5">
        <v>22.505915492957747</v>
      </c>
      <c r="N147" s="5">
        <v>1.7749999999999999</v>
      </c>
      <c r="O147" s="5">
        <f t="shared" si="13"/>
        <v>22.505915492957747</v>
      </c>
    </row>
    <row r="148" spans="4:15" ht="18.75" customHeight="1" x14ac:dyDescent="0.25">
      <c r="D148" s="6">
        <v>1961</v>
      </c>
      <c r="E148" t="s">
        <v>38</v>
      </c>
      <c r="F148" s="6">
        <v>15</v>
      </c>
      <c r="G148" s="5">
        <v>22.531302876480542</v>
      </c>
      <c r="N148" s="5">
        <v>1.7729999999999999</v>
      </c>
      <c r="O148" s="5">
        <f t="shared" si="13"/>
        <v>22.531302876480542</v>
      </c>
    </row>
    <row r="149" spans="4:15" ht="18.75" customHeight="1" x14ac:dyDescent="0.25">
      <c r="D149" s="6">
        <v>1961</v>
      </c>
      <c r="E149" t="s">
        <v>38</v>
      </c>
      <c r="F149" s="6">
        <v>20</v>
      </c>
      <c r="G149" s="5">
        <v>22.595022624434389</v>
      </c>
      <c r="N149" s="5">
        <v>1.768</v>
      </c>
      <c r="O149" s="5">
        <f t="shared" si="13"/>
        <v>22.595022624434389</v>
      </c>
    </row>
    <row r="150" spans="4:15" ht="18.75" customHeight="1" x14ac:dyDescent="0.25">
      <c r="D150" s="6">
        <v>1961</v>
      </c>
      <c r="E150" t="s">
        <v>38</v>
      </c>
      <c r="F150" s="6">
        <v>25</v>
      </c>
      <c r="G150" s="5">
        <v>22.671963677639045</v>
      </c>
      <c r="N150" s="5">
        <v>1.762</v>
      </c>
      <c r="O150" s="5">
        <f t="shared" si="13"/>
        <v>22.671963677639045</v>
      </c>
    </row>
    <row r="151" spans="4:15" ht="18.75" customHeight="1" x14ac:dyDescent="0.25">
      <c r="D151" s="6">
        <v>1961</v>
      </c>
      <c r="E151" t="s">
        <v>38</v>
      </c>
      <c r="F151" s="6">
        <v>30</v>
      </c>
      <c r="G151" s="5">
        <v>22.762393162393163</v>
      </c>
      <c r="N151" s="5">
        <v>1.7549999999999999</v>
      </c>
      <c r="O151" s="5">
        <f t="shared" si="13"/>
        <v>22.762393162393163</v>
      </c>
    </row>
    <row r="152" spans="4:15" ht="18.75" customHeight="1" x14ac:dyDescent="0.25">
      <c r="D152" s="6">
        <v>1961</v>
      </c>
      <c r="E152" t="s">
        <v>38</v>
      </c>
      <c r="F152" s="6">
        <v>40</v>
      </c>
      <c r="G152" s="5">
        <v>23.011520737327189</v>
      </c>
      <c r="N152" s="5">
        <v>1.736</v>
      </c>
      <c r="O152" s="5">
        <f t="shared" si="13"/>
        <v>23.011520737327189</v>
      </c>
    </row>
    <row r="153" spans="4:15" ht="18.75" customHeight="1" x14ac:dyDescent="0.25">
      <c r="D153" s="6">
        <v>1961</v>
      </c>
      <c r="E153" t="s">
        <v>38</v>
      </c>
      <c r="F153" s="6">
        <v>50</v>
      </c>
      <c r="G153" s="5">
        <v>23.293294460641398</v>
      </c>
      <c r="N153" s="5">
        <v>1.7150000000000001</v>
      </c>
      <c r="O153" s="5">
        <f t="shared" si="13"/>
        <v>23.293294460641398</v>
      </c>
    </row>
    <row r="154" spans="4:15" ht="18.75" customHeight="1" x14ac:dyDescent="0.25">
      <c r="D154" s="6">
        <v>2023</v>
      </c>
      <c r="E154" t="s">
        <v>24</v>
      </c>
      <c r="F154" s="5">
        <v>7.9555999999999996</v>
      </c>
      <c r="G154" s="5">
        <v>22.539420159999999</v>
      </c>
    </row>
    <row r="155" spans="4:15" ht="18.75" customHeight="1" x14ac:dyDescent="0.25">
      <c r="D155" s="6">
        <v>2023</v>
      </c>
      <c r="E155" t="s">
        <v>24</v>
      </c>
      <c r="F155" s="5">
        <v>9.9124999999999996</v>
      </c>
      <c r="G155" s="5">
        <v>22.54871648</v>
      </c>
    </row>
    <row r="156" spans="4:15" ht="18.75" customHeight="1" x14ac:dyDescent="0.25">
      <c r="D156" s="6">
        <v>2023</v>
      </c>
      <c r="E156" t="s">
        <v>24</v>
      </c>
      <c r="F156" s="5">
        <v>12.0296</v>
      </c>
      <c r="G156" s="5">
        <v>22.554066219999999</v>
      </c>
    </row>
    <row r="157" spans="4:15" ht="18.75" customHeight="1" x14ac:dyDescent="0.25">
      <c r="D157" s="6">
        <v>2023</v>
      </c>
      <c r="E157" t="s">
        <v>24</v>
      </c>
      <c r="F157" s="5">
        <v>14.0085</v>
      </c>
      <c r="G157" s="5">
        <v>22.565277909999999</v>
      </c>
    </row>
    <row r="158" spans="4:15" ht="18.75" customHeight="1" x14ac:dyDescent="0.25">
      <c r="D158" s="6">
        <v>2023</v>
      </c>
      <c r="E158" t="s">
        <v>24</v>
      </c>
      <c r="F158" s="5">
        <v>15.967499999999999</v>
      </c>
      <c r="G158" s="5">
        <v>22.584269819999999</v>
      </c>
    </row>
    <row r="159" spans="4:15" ht="18.75" customHeight="1" x14ac:dyDescent="0.25">
      <c r="D159" s="6">
        <v>2023</v>
      </c>
      <c r="E159" t="s">
        <v>24</v>
      </c>
      <c r="F159" s="5">
        <v>17.964200000000002</v>
      </c>
      <c r="G159" s="5">
        <v>22.607737620000002</v>
      </c>
    </row>
    <row r="160" spans="4:15" ht="18.75" customHeight="1" x14ac:dyDescent="0.25">
      <c r="D160" s="6">
        <v>2023</v>
      </c>
      <c r="E160" t="s">
        <v>24</v>
      </c>
      <c r="F160" s="5">
        <v>20.015999999999998</v>
      </c>
      <c r="G160" s="5">
        <v>22.631093979999999</v>
      </c>
    </row>
    <row r="161" spans="4:7" ht="18.75" customHeight="1" x14ac:dyDescent="0.25">
      <c r="D161" s="6">
        <v>2023</v>
      </c>
      <c r="E161" t="s">
        <v>24</v>
      </c>
      <c r="F161" s="5">
        <v>22.0107</v>
      </c>
      <c r="G161" s="5">
        <v>22.655233020000001</v>
      </c>
    </row>
    <row r="162" spans="4:7" ht="18.75" customHeight="1" x14ac:dyDescent="0.25">
      <c r="D162" s="6">
        <v>2023</v>
      </c>
      <c r="E162" t="s">
        <v>24</v>
      </c>
      <c r="F162" s="5">
        <v>24.007300000000001</v>
      </c>
      <c r="G162" s="5">
        <v>22.684375970000001</v>
      </c>
    </row>
    <row r="163" spans="4:7" ht="18.75" customHeight="1" x14ac:dyDescent="0.25">
      <c r="D163" s="6">
        <v>2023</v>
      </c>
      <c r="E163" t="s">
        <v>24</v>
      </c>
      <c r="F163" s="5">
        <v>26.003499999999999</v>
      </c>
      <c r="G163" s="5">
        <v>22.716999640000001</v>
      </c>
    </row>
    <row r="164" spans="4:7" ht="18.75" customHeight="1" x14ac:dyDescent="0.25">
      <c r="D164" s="6">
        <v>2023</v>
      </c>
      <c r="E164" t="s">
        <v>24</v>
      </c>
      <c r="F164" s="5">
        <v>28.0044</v>
      </c>
      <c r="G164" s="5">
        <v>22.745939310000001</v>
      </c>
    </row>
    <row r="165" spans="4:7" ht="18.75" customHeight="1" x14ac:dyDescent="0.25">
      <c r="D165" s="6">
        <v>2023</v>
      </c>
      <c r="E165" t="s">
        <v>24</v>
      </c>
      <c r="F165" s="5">
        <v>30.009</v>
      </c>
      <c r="G165" s="5">
        <v>22.781571360000001</v>
      </c>
    </row>
    <row r="166" spans="4:7" ht="18.75" customHeight="1" x14ac:dyDescent="0.25">
      <c r="D166" s="6">
        <v>2023</v>
      </c>
      <c r="E166" t="s">
        <v>24</v>
      </c>
      <c r="F166" s="5">
        <v>32.0032</v>
      </c>
      <c r="G166" s="5">
        <v>22.819679780000001</v>
      </c>
    </row>
    <row r="167" spans="4:7" ht="18.75" customHeight="1" x14ac:dyDescent="0.25">
      <c r="D167" s="6">
        <v>2023</v>
      </c>
      <c r="E167" t="s">
        <v>24</v>
      </c>
      <c r="F167" s="5">
        <v>34.008800000000001</v>
      </c>
      <c r="G167" s="5">
        <v>22.865285979999999</v>
      </c>
    </row>
    <row r="168" spans="4:7" ht="18.75" customHeight="1" x14ac:dyDescent="0.25">
      <c r="D168" s="6">
        <v>2023</v>
      </c>
      <c r="E168" t="s">
        <v>24</v>
      </c>
      <c r="F168" s="5">
        <v>36.006999999999998</v>
      </c>
      <c r="G168" s="5">
        <v>22.905546900000001</v>
      </c>
    </row>
    <row r="169" spans="4:7" ht="18.75" customHeight="1" x14ac:dyDescent="0.25">
      <c r="D169" s="6">
        <v>2023</v>
      </c>
      <c r="E169" t="s">
        <v>24</v>
      </c>
      <c r="F169" s="5">
        <v>38.006700000000002</v>
      </c>
      <c r="G169" s="5">
        <v>22.948947700000002</v>
      </c>
    </row>
    <row r="170" spans="4:7" ht="18.75" customHeight="1" x14ac:dyDescent="0.25">
      <c r="D170" s="6">
        <v>2023</v>
      </c>
      <c r="E170" t="s">
        <v>24</v>
      </c>
      <c r="F170" s="5">
        <v>40.009900000000002</v>
      </c>
      <c r="G170" s="5">
        <v>22.991242060000001</v>
      </c>
    </row>
    <row r="171" spans="4:7" ht="18.75" customHeight="1" x14ac:dyDescent="0.25">
      <c r="D171" s="6">
        <v>2023</v>
      </c>
      <c r="E171" t="s">
        <v>24</v>
      </c>
      <c r="F171" s="5">
        <v>42.010899999999999</v>
      </c>
      <c r="G171" s="5">
        <v>23.044053810000001</v>
      </c>
    </row>
    <row r="172" spans="4:7" ht="18.75" customHeight="1" x14ac:dyDescent="0.25">
      <c r="D172" s="6">
        <v>2023</v>
      </c>
      <c r="E172" t="s">
        <v>24</v>
      </c>
      <c r="F172" s="5">
        <v>44.011699999999998</v>
      </c>
      <c r="G172" s="5">
        <v>23.089699589999999</v>
      </c>
    </row>
    <row r="173" spans="4:7" ht="18.75" customHeight="1" x14ac:dyDescent="0.25">
      <c r="D173" s="6">
        <v>2023</v>
      </c>
      <c r="E173" t="s">
        <v>24</v>
      </c>
      <c r="F173" s="5">
        <v>46.0124</v>
      </c>
      <c r="G173" s="5">
        <v>23.138774430000002</v>
      </c>
    </row>
    <row r="174" spans="4:7" ht="18.75" customHeight="1" x14ac:dyDescent="0.25">
      <c r="D174" s="6">
        <v>2023</v>
      </c>
      <c r="E174" t="s">
        <v>24</v>
      </c>
      <c r="F174" s="5">
        <v>48.014099999999999</v>
      </c>
      <c r="G174" s="5">
        <v>23.194277580000001</v>
      </c>
    </row>
    <row r="175" spans="4:7" ht="18.75" customHeight="1" x14ac:dyDescent="0.25">
      <c r="D175" s="6">
        <v>2023</v>
      </c>
      <c r="E175" t="s">
        <v>24</v>
      </c>
      <c r="F175" s="5">
        <v>50.015700000000002</v>
      </c>
      <c r="G175" s="5">
        <v>23.245320029999998</v>
      </c>
    </row>
    <row r="176" spans="4:7" ht="18.75" customHeight="1" x14ac:dyDescent="0.25">
      <c r="D176" s="6">
        <v>2023</v>
      </c>
      <c r="E176" t="s">
        <v>24</v>
      </c>
      <c r="F176" s="5">
        <v>52.017099999999999</v>
      </c>
      <c r="G176" s="5">
        <v>23.298129490000001</v>
      </c>
    </row>
    <row r="177" spans="4:15" ht="18.75" customHeight="1" x14ac:dyDescent="0.25">
      <c r="D177" s="6">
        <v>2023</v>
      </c>
      <c r="E177" t="s">
        <v>24</v>
      </c>
      <c r="F177" s="5">
        <v>54.020499999999998</v>
      </c>
      <c r="G177" s="5">
        <v>23.34267633</v>
      </c>
    </row>
    <row r="178" spans="4:15" ht="18.75" customHeight="1" x14ac:dyDescent="0.25">
      <c r="D178" s="6">
        <v>2023</v>
      </c>
      <c r="E178" t="s">
        <v>24</v>
      </c>
      <c r="F178" s="5">
        <v>56.020299999999999</v>
      </c>
      <c r="G178" s="5">
        <v>23.403727109999998</v>
      </c>
    </row>
    <row r="179" spans="4:15" ht="18.75" customHeight="1" x14ac:dyDescent="0.25">
      <c r="D179" s="6">
        <v>2023</v>
      </c>
      <c r="E179" t="s">
        <v>24</v>
      </c>
      <c r="F179" s="5">
        <v>58.021700000000003</v>
      </c>
      <c r="G179" s="5">
        <v>23.459391440000001</v>
      </c>
    </row>
    <row r="180" spans="4:15" ht="18.75" customHeight="1" x14ac:dyDescent="0.25">
      <c r="D180" s="6">
        <v>2023</v>
      </c>
      <c r="E180" t="s">
        <v>24</v>
      </c>
      <c r="F180" s="5">
        <v>60.021999999999998</v>
      </c>
      <c r="G180" s="5">
        <v>23.52208649</v>
      </c>
    </row>
    <row r="181" spans="4:15" ht="18.75" customHeight="1" x14ac:dyDescent="0.25">
      <c r="D181" s="6">
        <v>1961</v>
      </c>
      <c r="E181" t="s">
        <v>25</v>
      </c>
      <c r="F181" s="5">
        <v>77.192999999999998</v>
      </c>
      <c r="G181" s="5">
        <v>24.343692870201096</v>
      </c>
      <c r="H181" s="6">
        <f t="shared" ref="H181:H187" si="14">I181*1000</f>
        <v>1641</v>
      </c>
      <c r="I181" s="5">
        <v>1.641</v>
      </c>
    </row>
    <row r="182" spans="4:15" ht="18.75" customHeight="1" x14ac:dyDescent="0.25">
      <c r="D182" s="6">
        <v>1961</v>
      </c>
      <c r="E182" t="s">
        <v>25</v>
      </c>
      <c r="F182" s="5">
        <v>78.069999999999993</v>
      </c>
      <c r="G182" s="5">
        <v>24.37339841366687</v>
      </c>
      <c r="H182" s="6">
        <f t="shared" si="14"/>
        <v>1639</v>
      </c>
      <c r="I182" s="5">
        <v>1.639</v>
      </c>
    </row>
    <row r="183" spans="4:15" ht="18.75" customHeight="1" x14ac:dyDescent="0.25">
      <c r="D183" s="6">
        <v>1961</v>
      </c>
      <c r="E183" t="s">
        <v>25</v>
      </c>
      <c r="F183" s="5">
        <v>78.947000000000003</v>
      </c>
      <c r="G183" s="5">
        <v>24.418092909535453</v>
      </c>
      <c r="H183" s="6">
        <f t="shared" si="14"/>
        <v>1636</v>
      </c>
      <c r="I183" s="5">
        <v>1.6359999999999999</v>
      </c>
    </row>
    <row r="184" spans="4:15" ht="18.75" customHeight="1" x14ac:dyDescent="0.25">
      <c r="D184" s="6">
        <v>1961</v>
      </c>
      <c r="E184" t="s">
        <v>25</v>
      </c>
      <c r="F184" s="5">
        <v>80.087999999999994</v>
      </c>
      <c r="G184" s="5">
        <v>24.447980416156671</v>
      </c>
      <c r="H184" s="6">
        <f t="shared" si="14"/>
        <v>1634</v>
      </c>
      <c r="I184" s="5">
        <v>1.6339999999999999</v>
      </c>
    </row>
    <row r="185" spans="4:15" ht="18.75" customHeight="1" x14ac:dyDescent="0.25">
      <c r="D185" s="6">
        <v>1961</v>
      </c>
      <c r="E185" t="s">
        <v>25</v>
      </c>
      <c r="F185" s="5">
        <v>80.965000000000003</v>
      </c>
      <c r="G185" s="5">
        <v>24.492949110974862</v>
      </c>
      <c r="H185" s="6">
        <f t="shared" si="14"/>
        <v>1631</v>
      </c>
      <c r="I185" s="5">
        <v>1.631</v>
      </c>
    </row>
    <row r="186" spans="4:15" ht="18.75" customHeight="1" x14ac:dyDescent="0.25">
      <c r="D186" s="6">
        <v>1961</v>
      </c>
      <c r="E186" t="s">
        <v>25</v>
      </c>
      <c r="F186" s="5">
        <v>82.018000000000001</v>
      </c>
      <c r="G186" s="5">
        <v>24.538083538083541</v>
      </c>
      <c r="H186" s="6">
        <f t="shared" si="14"/>
        <v>1628</v>
      </c>
      <c r="I186" s="5">
        <v>1.6279999999999999</v>
      </c>
    </row>
    <row r="187" spans="4:15" ht="18.75" customHeight="1" x14ac:dyDescent="0.25">
      <c r="D187" s="6">
        <v>1961</v>
      </c>
      <c r="E187" t="s">
        <v>25</v>
      </c>
      <c r="F187" s="5">
        <v>83.245999999999995</v>
      </c>
      <c r="G187" s="5">
        <v>24.583384615384617</v>
      </c>
      <c r="H187" s="6">
        <f t="shared" si="14"/>
        <v>1625</v>
      </c>
      <c r="I187" s="5">
        <v>1.625</v>
      </c>
    </row>
    <row r="188" spans="4:15" ht="18.75" customHeight="1" x14ac:dyDescent="0.25">
      <c r="D188" s="6">
        <v>1961</v>
      </c>
      <c r="E188" t="s">
        <v>39</v>
      </c>
      <c r="F188" s="6">
        <v>20</v>
      </c>
      <c r="G188" s="5">
        <v>22.646258499999998</v>
      </c>
    </row>
    <row r="189" spans="4:15" ht="18.75" customHeight="1" x14ac:dyDescent="0.25">
      <c r="D189" s="6">
        <v>1961</v>
      </c>
      <c r="E189" t="s">
        <v>39</v>
      </c>
      <c r="F189" s="6">
        <v>40</v>
      </c>
      <c r="G189" s="5">
        <v>22.998272879999998</v>
      </c>
    </row>
    <row r="190" spans="4:15" ht="18.75" customHeight="1" x14ac:dyDescent="0.25">
      <c r="D190" s="6">
        <v>1961</v>
      </c>
      <c r="E190" t="s">
        <v>39</v>
      </c>
      <c r="F190" s="6">
        <v>60</v>
      </c>
      <c r="G190" s="5">
        <v>23.623891189999998</v>
      </c>
    </row>
    <row r="191" spans="4:15" ht="18.75" customHeight="1" x14ac:dyDescent="0.25">
      <c r="D191" s="6">
        <v>1961</v>
      </c>
      <c r="E191" t="s">
        <v>39</v>
      </c>
      <c r="F191" s="6">
        <v>80</v>
      </c>
      <c r="G191" s="5">
        <v>24.418092909999999</v>
      </c>
    </row>
    <row r="192" spans="4:15" ht="18.75" customHeight="1" x14ac:dyDescent="0.25">
      <c r="D192" s="6">
        <v>1958</v>
      </c>
      <c r="E192" t="s">
        <v>40</v>
      </c>
      <c r="F192" s="5">
        <v>4.2</v>
      </c>
      <c r="G192" s="5">
        <v>21.860340699999998</v>
      </c>
      <c r="I192" s="5">
        <v>5.2560000000000002</v>
      </c>
      <c r="J192" s="5">
        <f t="shared" ref="J192:J203" si="15">I192^3</f>
        <v>145.19981721600001</v>
      </c>
      <c r="O192" s="5">
        <f t="shared" ref="O192:O203" si="16">J192*10^(-30)/4*6.02214*10^23*10^6</f>
        <v>21.860340681229054</v>
      </c>
    </row>
    <row r="193" spans="1:15" ht="18.75" customHeight="1" x14ac:dyDescent="0.25">
      <c r="C193" t="s">
        <v>41</v>
      </c>
      <c r="D193" s="6">
        <v>1964</v>
      </c>
      <c r="E193" t="s">
        <v>42</v>
      </c>
      <c r="F193" s="5">
        <v>4.0270000000000001</v>
      </c>
      <c r="G193" s="5">
        <v>22.579291167360886</v>
      </c>
      <c r="I193" s="5">
        <v>5.3129999999999997</v>
      </c>
      <c r="J193" s="5">
        <f t="shared" si="15"/>
        <v>149.97519929699999</v>
      </c>
      <c r="L193" s="6">
        <v>20</v>
      </c>
      <c r="M193" s="5">
        <v>22.646258503401359</v>
      </c>
      <c r="N193" s="5">
        <v>4.0270000000000001</v>
      </c>
      <c r="O193" s="5">
        <f t="shared" si="16"/>
        <v>22.579291167360886</v>
      </c>
    </row>
    <row r="194" spans="1:15" ht="18.75" customHeight="1" x14ac:dyDescent="0.25">
      <c r="C194" t="s">
        <v>43</v>
      </c>
      <c r="D194" s="6">
        <v>1964</v>
      </c>
      <c r="E194" t="s">
        <v>42</v>
      </c>
      <c r="F194" s="5">
        <v>19.329000000000001</v>
      </c>
      <c r="G194" s="5">
        <v>22.630327406122191</v>
      </c>
      <c r="I194" s="5">
        <v>5.3170000000000002</v>
      </c>
      <c r="J194" s="5">
        <f t="shared" si="15"/>
        <v>150.314190013</v>
      </c>
      <c r="L194" s="6">
        <v>40</v>
      </c>
      <c r="M194" s="5">
        <v>22.998272884283246</v>
      </c>
      <c r="N194" s="5">
        <v>19.329000000000001</v>
      </c>
      <c r="O194" s="5">
        <f t="shared" si="16"/>
        <v>22.630327406122191</v>
      </c>
    </row>
    <row r="195" spans="1:15" ht="18.75" customHeight="1" x14ac:dyDescent="0.25">
      <c r="D195" s="6">
        <v>1964</v>
      </c>
      <c r="E195" t="s">
        <v>42</v>
      </c>
      <c r="F195" s="5">
        <v>41.341999999999999</v>
      </c>
      <c r="G195" s="5">
        <v>23.067243981757976</v>
      </c>
      <c r="I195" s="5">
        <v>5.319</v>
      </c>
      <c r="J195" s="5">
        <f t="shared" si="15"/>
        <v>150.483876759</v>
      </c>
      <c r="L195" s="6">
        <v>60</v>
      </c>
      <c r="M195" s="5">
        <v>23.623891188645771</v>
      </c>
      <c r="N195" s="5">
        <v>19.866</v>
      </c>
      <c r="O195" s="5">
        <f t="shared" si="16"/>
        <v>22.655874339636103</v>
      </c>
    </row>
    <row r="196" spans="1:15" ht="18.75" customHeight="1" x14ac:dyDescent="0.25">
      <c r="D196" s="6">
        <v>1964</v>
      </c>
      <c r="E196" t="s">
        <v>42</v>
      </c>
      <c r="F196" s="5">
        <v>57.180999999999997</v>
      </c>
      <c r="G196" s="5">
        <v>23.62782157320164</v>
      </c>
      <c r="I196" s="5">
        <v>5.3440000000000003</v>
      </c>
      <c r="J196" s="5">
        <f t="shared" si="15"/>
        <v>152.61574758400002</v>
      </c>
      <c r="L196" s="6">
        <v>80</v>
      </c>
      <c r="M196" s="5">
        <v>24.418092909535453</v>
      </c>
      <c r="N196" s="5">
        <v>39.463000000000001</v>
      </c>
      <c r="O196" s="5">
        <f t="shared" si="16"/>
        <v>22.976834953887742</v>
      </c>
    </row>
    <row r="197" spans="1:15" ht="18.75" customHeight="1" x14ac:dyDescent="0.25">
      <c r="D197" s="6">
        <v>1964</v>
      </c>
      <c r="E197" t="s">
        <v>42</v>
      </c>
      <c r="F197" s="5">
        <v>62.55</v>
      </c>
      <c r="G197" s="5">
        <v>23.838704573023502</v>
      </c>
      <c r="I197" s="5">
        <v>5.351</v>
      </c>
      <c r="J197" s="5">
        <f t="shared" si="15"/>
        <v>153.21625855100001</v>
      </c>
      <c r="N197" s="5">
        <v>41.341999999999999</v>
      </c>
      <c r="O197" s="5">
        <f t="shared" si="16"/>
        <v>23.067243981757976</v>
      </c>
    </row>
    <row r="198" spans="1:15" ht="18.75" customHeight="1" x14ac:dyDescent="0.25">
      <c r="D198" s="6">
        <v>1964</v>
      </c>
      <c r="E198" t="s">
        <v>42</v>
      </c>
      <c r="F198" s="5">
        <v>63.893000000000001</v>
      </c>
      <c r="G198" s="5">
        <v>23.918108039022336</v>
      </c>
      <c r="I198" s="5">
        <v>5.3940000000000001</v>
      </c>
      <c r="J198" s="5">
        <f t="shared" si="15"/>
        <v>156.93970298400001</v>
      </c>
      <c r="N198" s="5">
        <v>57.180999999999997</v>
      </c>
      <c r="O198" s="5">
        <f t="shared" si="16"/>
        <v>23.62782157320164</v>
      </c>
    </row>
    <row r="199" spans="1:15" ht="18.75" customHeight="1" x14ac:dyDescent="0.25">
      <c r="D199" s="6">
        <v>1964</v>
      </c>
      <c r="E199" t="s">
        <v>42</v>
      </c>
      <c r="F199" s="5">
        <v>70.872</v>
      </c>
      <c r="G199" s="5">
        <v>24.090753352064013</v>
      </c>
      <c r="I199" s="5">
        <v>5.3929999999999998</v>
      </c>
      <c r="J199" s="5">
        <f t="shared" si="15"/>
        <v>156.85243345699999</v>
      </c>
      <c r="N199" s="5">
        <v>59.06</v>
      </c>
      <c r="O199" s="5">
        <f t="shared" si="16"/>
        <v>23.614682840468447</v>
      </c>
    </row>
    <row r="200" spans="1:15" ht="18.75" customHeight="1" x14ac:dyDescent="0.25">
      <c r="D200" s="6">
        <v>1964</v>
      </c>
      <c r="E200" t="s">
        <v>42</v>
      </c>
      <c r="F200" s="5">
        <v>71.677999999999997</v>
      </c>
      <c r="G200" s="5">
        <v>24.130712204997891</v>
      </c>
      <c r="I200" s="5">
        <v>5.41</v>
      </c>
      <c r="J200" s="5">
        <f t="shared" si="15"/>
        <v>158.34042100000002</v>
      </c>
      <c r="N200" s="5">
        <v>62.55</v>
      </c>
      <c r="O200" s="5">
        <f t="shared" si="16"/>
        <v>23.838704573023502</v>
      </c>
    </row>
    <row r="201" spans="1:15" ht="18.75" customHeight="1" x14ac:dyDescent="0.25">
      <c r="I201" s="5">
        <v>5.4160000000000004</v>
      </c>
      <c r="J201" s="5">
        <f t="shared" si="15"/>
        <v>158.86783129600002</v>
      </c>
      <c r="N201" s="5">
        <v>63.893000000000001</v>
      </c>
      <c r="O201" s="5">
        <f t="shared" si="16"/>
        <v>23.918108039022336</v>
      </c>
    </row>
    <row r="202" spans="1:15" ht="18.75" customHeight="1" x14ac:dyDescent="0.25">
      <c r="I202" s="5">
        <v>5.4290000000000003</v>
      </c>
      <c r="J202" s="5">
        <f t="shared" si="15"/>
        <v>160.01456858900002</v>
      </c>
      <c r="N202" s="5">
        <v>70.872</v>
      </c>
      <c r="O202" s="5">
        <f t="shared" si="16"/>
        <v>24.090753352064013</v>
      </c>
    </row>
    <row r="203" spans="1:15" ht="18.75" customHeight="1" x14ac:dyDescent="0.25">
      <c r="I203" s="5">
        <v>5.4320000000000004</v>
      </c>
      <c r="J203" s="5">
        <f t="shared" si="15"/>
        <v>160.27998156800004</v>
      </c>
      <c r="N203" s="5">
        <v>71.677999999999997</v>
      </c>
      <c r="O203" s="5">
        <f t="shared" si="16"/>
        <v>24.130712204997891</v>
      </c>
    </row>
    <row r="204" spans="1:15" ht="18.75" customHeight="1" x14ac:dyDescent="0.25"/>
    <row r="205" spans="1:15" ht="18.75" customHeight="1" x14ac:dyDescent="0.25"/>
    <row r="206" spans="1:15" ht="18.75" customHeight="1" x14ac:dyDescent="0.25">
      <c r="O206" s="2" t="s">
        <v>6</v>
      </c>
    </row>
    <row r="207" spans="1:15" ht="18.75" customHeight="1" x14ac:dyDescent="0.25">
      <c r="D207" s="1" t="s">
        <v>3</v>
      </c>
      <c r="E207" t="s">
        <v>4</v>
      </c>
      <c r="F207" s="2" t="s">
        <v>5</v>
      </c>
      <c r="G207" s="2" t="s">
        <v>6</v>
      </c>
      <c r="I207" s="3" t="s">
        <v>44</v>
      </c>
      <c r="J207" s="2" t="s">
        <v>44</v>
      </c>
      <c r="K207" s="4" t="s">
        <v>44</v>
      </c>
      <c r="L207" s="3" t="s">
        <v>45</v>
      </c>
      <c r="N207" s="2" t="s">
        <v>17</v>
      </c>
      <c r="O207" s="2" t="s">
        <v>13</v>
      </c>
    </row>
    <row r="208" spans="1:15" ht="18.75" customHeight="1" x14ac:dyDescent="0.25">
      <c r="A208" t="s">
        <v>46</v>
      </c>
      <c r="F208" s="2" t="s">
        <v>12</v>
      </c>
      <c r="G208" s="2" t="s">
        <v>13</v>
      </c>
      <c r="I208" s="3" t="s">
        <v>47</v>
      </c>
      <c r="J208" s="2" t="s">
        <v>48</v>
      </c>
      <c r="K208" s="4" t="s">
        <v>49</v>
      </c>
    </row>
    <row r="209" spans="3:15" ht="18.75" customHeight="1" x14ac:dyDescent="0.25">
      <c r="C209" t="s">
        <v>50</v>
      </c>
      <c r="D209" s="6">
        <v>1968</v>
      </c>
      <c r="E209" t="s">
        <v>51</v>
      </c>
      <c r="F209" s="5">
        <v>94.73</v>
      </c>
      <c r="G209" s="5">
        <v>24.34</v>
      </c>
    </row>
    <row r="210" spans="3:15" ht="18.75" customHeight="1" x14ac:dyDescent="0.25">
      <c r="D210" s="6">
        <v>1968</v>
      </c>
      <c r="E210" t="s">
        <v>51</v>
      </c>
      <c r="F210" s="5">
        <v>108.12</v>
      </c>
      <c r="G210" s="5">
        <v>24.02</v>
      </c>
    </row>
    <row r="211" spans="3:15" ht="18.75" customHeight="1" x14ac:dyDescent="0.25">
      <c r="D211" s="6">
        <v>1968</v>
      </c>
      <c r="E211" t="s">
        <v>51</v>
      </c>
      <c r="F211" s="5">
        <v>120.85</v>
      </c>
      <c r="G211" s="5">
        <v>23.65</v>
      </c>
    </row>
    <row r="212" spans="3:15" ht="18.75" customHeight="1" x14ac:dyDescent="0.25">
      <c r="D212" s="6">
        <v>1968</v>
      </c>
      <c r="E212" t="s">
        <v>51</v>
      </c>
      <c r="F212" s="5">
        <v>140.88</v>
      </c>
      <c r="G212" s="5">
        <v>23.04</v>
      </c>
    </row>
    <row r="213" spans="3:15" ht="18.75" customHeight="1" x14ac:dyDescent="0.25">
      <c r="D213" s="6">
        <v>1968</v>
      </c>
      <c r="E213" t="s">
        <v>51</v>
      </c>
      <c r="F213" s="5">
        <v>160.4</v>
      </c>
      <c r="G213" s="5">
        <v>22.54</v>
      </c>
    </row>
    <row r="214" spans="3:15" ht="18.75" customHeight="1" x14ac:dyDescent="0.25">
      <c r="D214" s="6">
        <v>1968</v>
      </c>
      <c r="E214" t="s">
        <v>51</v>
      </c>
      <c r="F214" s="5">
        <v>180.15</v>
      </c>
      <c r="G214" s="5">
        <v>22.08</v>
      </c>
    </row>
    <row r="215" spans="3:15" ht="18.75" customHeight="1" x14ac:dyDescent="0.25">
      <c r="D215" s="6">
        <v>1968</v>
      </c>
      <c r="E215" t="s">
        <v>51</v>
      </c>
      <c r="F215" s="5">
        <v>180.2</v>
      </c>
      <c r="G215" s="5">
        <v>22.11</v>
      </c>
    </row>
    <row r="216" spans="3:15" ht="18.75" customHeight="1" x14ac:dyDescent="0.25">
      <c r="D216" s="6">
        <v>1968</v>
      </c>
      <c r="E216" t="s">
        <v>51</v>
      </c>
      <c r="F216" s="5">
        <v>201.32</v>
      </c>
      <c r="G216" s="5">
        <v>21.69</v>
      </c>
    </row>
    <row r="217" spans="3:15" ht="18.75" customHeight="1" x14ac:dyDescent="0.25">
      <c r="D217" s="6">
        <v>1974</v>
      </c>
      <c r="E217" t="s">
        <v>52</v>
      </c>
      <c r="F217" s="5">
        <v>211.1</v>
      </c>
      <c r="G217" s="5">
        <v>21.39</v>
      </c>
      <c r="I217" s="6">
        <f t="shared" ref="I217:I222" si="17">J217*100</f>
        <v>698</v>
      </c>
      <c r="J217" s="5">
        <v>6.98</v>
      </c>
    </row>
    <row r="218" spans="3:15" ht="18.75" customHeight="1" x14ac:dyDescent="0.25">
      <c r="D218" s="6">
        <v>1974</v>
      </c>
      <c r="E218" t="s">
        <v>52</v>
      </c>
      <c r="F218" s="5">
        <v>177.7</v>
      </c>
      <c r="G218" s="5">
        <v>22.11</v>
      </c>
      <c r="I218" s="6">
        <f t="shared" si="17"/>
        <v>484</v>
      </c>
      <c r="J218" s="5">
        <v>4.84</v>
      </c>
    </row>
    <row r="219" spans="3:15" ht="18.75" customHeight="1" x14ac:dyDescent="0.25">
      <c r="D219" s="6">
        <v>1974</v>
      </c>
      <c r="E219" t="s">
        <v>52</v>
      </c>
      <c r="F219" s="5">
        <v>163.5</v>
      </c>
      <c r="G219" s="5">
        <v>22.46</v>
      </c>
      <c r="I219" s="6">
        <f t="shared" si="17"/>
        <v>398</v>
      </c>
      <c r="J219" s="5">
        <v>3.98</v>
      </c>
    </row>
    <row r="220" spans="3:15" ht="18.75" customHeight="1" x14ac:dyDescent="0.25">
      <c r="D220" s="6">
        <v>1974</v>
      </c>
      <c r="E220" t="s">
        <v>52</v>
      </c>
      <c r="F220" s="5">
        <v>151.19999999999999</v>
      </c>
      <c r="G220" s="5">
        <v>22.78</v>
      </c>
      <c r="I220" s="6">
        <f t="shared" si="17"/>
        <v>328</v>
      </c>
      <c r="J220" s="5">
        <v>3.28</v>
      </c>
    </row>
    <row r="221" spans="3:15" ht="18.75" customHeight="1" x14ac:dyDescent="0.25">
      <c r="D221" s="6">
        <v>1974</v>
      </c>
      <c r="E221" t="s">
        <v>52</v>
      </c>
      <c r="F221" s="5">
        <v>131.19999999999999</v>
      </c>
      <c r="G221" s="5">
        <v>23.34</v>
      </c>
      <c r="I221" s="6">
        <f t="shared" si="17"/>
        <v>219</v>
      </c>
      <c r="J221" s="5">
        <v>2.19</v>
      </c>
    </row>
    <row r="222" spans="3:15" ht="18.75" customHeight="1" x14ac:dyDescent="0.25">
      <c r="D222" s="6">
        <v>1974</v>
      </c>
      <c r="E222" t="s">
        <v>52</v>
      </c>
      <c r="F222" s="5">
        <v>121.5</v>
      </c>
      <c r="G222" s="5">
        <v>23.63</v>
      </c>
      <c r="I222" s="6">
        <f t="shared" si="17"/>
        <v>170</v>
      </c>
      <c r="J222" s="5">
        <v>1.7</v>
      </c>
      <c r="M222" s="2" t="s">
        <v>2</v>
      </c>
    </row>
    <row r="223" spans="3:15" ht="18.75" customHeight="1" x14ac:dyDescent="0.25">
      <c r="D223" s="6">
        <v>1972</v>
      </c>
      <c r="E223" t="s">
        <v>53</v>
      </c>
      <c r="F223" s="5">
        <v>90.66</v>
      </c>
      <c r="G223" s="5">
        <v>24.530999999999999</v>
      </c>
      <c r="I223" s="5">
        <f>K223/10</f>
        <v>30.639999999999997</v>
      </c>
      <c r="K223" s="5">
        <v>306.39999999999998</v>
      </c>
      <c r="M223" s="8" t="s">
        <v>8</v>
      </c>
      <c r="N223" s="8" t="s">
        <v>9</v>
      </c>
      <c r="O223" s="2" t="s">
        <v>6</v>
      </c>
    </row>
    <row r="224" spans="3:15" ht="18.75" customHeight="1" x14ac:dyDescent="0.25">
      <c r="D224" s="6">
        <v>1972</v>
      </c>
      <c r="E224" t="s">
        <v>53</v>
      </c>
      <c r="F224" s="5">
        <v>94.45</v>
      </c>
      <c r="G224" s="5">
        <v>24.439</v>
      </c>
      <c r="I224" s="5">
        <f>K224/10</f>
        <v>44.95</v>
      </c>
      <c r="K224" s="5">
        <v>449.5</v>
      </c>
      <c r="M224" s="2" t="s">
        <v>15</v>
      </c>
      <c r="N224" s="2" t="s">
        <v>16</v>
      </c>
      <c r="O224" s="2" t="s">
        <v>13</v>
      </c>
    </row>
    <row r="225" spans="4:17" ht="18.75" customHeight="1" x14ac:dyDescent="0.25">
      <c r="D225" s="6">
        <v>1977</v>
      </c>
      <c r="E225" t="s">
        <v>54</v>
      </c>
      <c r="F225" s="5">
        <v>86.71</v>
      </c>
      <c r="G225" s="5">
        <v>24.542301845568606</v>
      </c>
      <c r="M225" s="5">
        <v>5.4627100000000004</v>
      </c>
      <c r="N225" s="5">
        <f t="shared" ref="N225:N239" si="18">M225^3</f>
        <v>163.01382462426054</v>
      </c>
      <c r="O225" s="5">
        <f t="shared" ref="O225:O239" si="19">N225*10^(-30)/4*6.02214*10^23*10^6</f>
        <v>24.542301845568606</v>
      </c>
    </row>
    <row r="226" spans="4:17" ht="18.75" customHeight="1" x14ac:dyDescent="0.25">
      <c r="D226" s="6">
        <v>1977</v>
      </c>
      <c r="E226" t="s">
        <v>54</v>
      </c>
      <c r="F226" s="5">
        <v>88.34</v>
      </c>
      <c r="G226" s="5">
        <v>24.498254863397349</v>
      </c>
      <c r="M226" s="5">
        <v>5.4594399999999998</v>
      </c>
      <c r="N226" s="5">
        <f t="shared" si="18"/>
        <v>162.72125764859237</v>
      </c>
      <c r="O226" s="5">
        <f t="shared" si="19"/>
        <v>24.498254863397349</v>
      </c>
    </row>
    <row r="227" spans="4:17" ht="18.75" customHeight="1" x14ac:dyDescent="0.25">
      <c r="D227" s="6">
        <v>1977</v>
      </c>
      <c r="E227" t="s">
        <v>54</v>
      </c>
      <c r="F227" s="5">
        <v>93.56</v>
      </c>
      <c r="G227" s="5">
        <v>24.34014894135748</v>
      </c>
      <c r="M227" s="5">
        <v>5.4476699999999996</v>
      </c>
      <c r="N227" s="5">
        <f t="shared" si="18"/>
        <v>161.67109327486563</v>
      </c>
      <c r="O227" s="5">
        <f t="shared" si="19"/>
        <v>24.34014894135748</v>
      </c>
    </row>
    <row r="228" spans="4:17" ht="18.75" customHeight="1" x14ac:dyDescent="0.25">
      <c r="D228" s="6">
        <v>1977</v>
      </c>
      <c r="E228" t="s">
        <v>54</v>
      </c>
      <c r="F228" s="5">
        <v>94.84</v>
      </c>
      <c r="G228" s="5">
        <v>24.305716967627799</v>
      </c>
      <c r="M228" s="5">
        <v>5.4451000000000001</v>
      </c>
      <c r="N228" s="5">
        <f t="shared" si="18"/>
        <v>161.442390695851</v>
      </c>
      <c r="O228" s="5">
        <f t="shared" si="19"/>
        <v>24.305716967627799</v>
      </c>
    </row>
    <row r="229" spans="4:17" ht="18.75" customHeight="1" x14ac:dyDescent="0.25">
      <c r="D229" s="6">
        <v>1977</v>
      </c>
      <c r="E229" t="s">
        <v>54</v>
      </c>
      <c r="F229" s="5">
        <v>95.76</v>
      </c>
      <c r="G229" s="5">
        <v>24.276267935165507</v>
      </c>
      <c r="M229" s="5">
        <v>5.4428999999999998</v>
      </c>
      <c r="N229" s="5">
        <f t="shared" si="18"/>
        <v>161.24678559558899</v>
      </c>
      <c r="O229" s="5">
        <f t="shared" si="19"/>
        <v>24.276267935165507</v>
      </c>
    </row>
    <row r="230" spans="4:17" ht="18.75" customHeight="1" x14ac:dyDescent="0.25">
      <c r="D230" s="6">
        <v>1977</v>
      </c>
      <c r="E230" t="s">
        <v>54</v>
      </c>
      <c r="F230" s="5">
        <v>96.84</v>
      </c>
      <c r="G230" s="5">
        <v>24.242564647013506</v>
      </c>
      <c r="M230" s="5">
        <v>5.4403800000000002</v>
      </c>
      <c r="N230" s="5">
        <f t="shared" si="18"/>
        <v>161.02292306066289</v>
      </c>
      <c r="O230" s="5">
        <f t="shared" si="19"/>
        <v>24.242564647013506</v>
      </c>
    </row>
    <row r="231" spans="4:17" ht="18.75" customHeight="1" x14ac:dyDescent="0.25">
      <c r="D231" s="6">
        <v>1977</v>
      </c>
      <c r="E231" t="s">
        <v>54</v>
      </c>
      <c r="F231" s="5">
        <v>98.39</v>
      </c>
      <c r="G231" s="5">
        <v>24.198610098933351</v>
      </c>
      <c r="M231" s="5">
        <v>5.4370900000000004</v>
      </c>
      <c r="N231" s="5">
        <f t="shared" si="18"/>
        <v>160.73097004674986</v>
      </c>
      <c r="O231" s="5">
        <f t="shared" si="19"/>
        <v>24.198610098933351</v>
      </c>
    </row>
    <row r="232" spans="4:17" ht="18.75" customHeight="1" x14ac:dyDescent="0.25">
      <c r="D232" s="6">
        <v>1977</v>
      </c>
      <c r="E232" t="s">
        <v>54</v>
      </c>
      <c r="F232" s="5">
        <v>100.4</v>
      </c>
      <c r="G232" s="5">
        <v>24.137509601192413</v>
      </c>
      <c r="M232" s="5">
        <v>5.4325099999999997</v>
      </c>
      <c r="N232" s="5">
        <f t="shared" si="18"/>
        <v>160.32513094144221</v>
      </c>
      <c r="O232" s="5">
        <f t="shared" si="19"/>
        <v>24.137509601192413</v>
      </c>
    </row>
    <row r="233" spans="4:17" ht="18.75" customHeight="1" x14ac:dyDescent="0.25">
      <c r="D233" s="6">
        <v>1977</v>
      </c>
      <c r="E233" t="s">
        <v>54</v>
      </c>
      <c r="F233" s="5">
        <v>111.98</v>
      </c>
      <c r="G233" s="5">
        <v>23.782566906993146</v>
      </c>
      <c r="M233" s="5">
        <v>5.4057500000000003</v>
      </c>
      <c r="N233" s="5">
        <f t="shared" si="18"/>
        <v>157.96754580260941</v>
      </c>
      <c r="O233" s="5">
        <f t="shared" si="19"/>
        <v>23.782566906993146</v>
      </c>
    </row>
    <row r="234" spans="4:17" ht="18.75" customHeight="1" x14ac:dyDescent="0.25">
      <c r="D234" s="6">
        <v>1977</v>
      </c>
      <c r="E234" t="s">
        <v>54</v>
      </c>
      <c r="F234" s="5">
        <v>113.9</v>
      </c>
      <c r="G234" s="5">
        <v>23.731393539543745</v>
      </c>
      <c r="M234" s="5">
        <v>5.4018699999999997</v>
      </c>
      <c r="N234" s="5">
        <f t="shared" si="18"/>
        <v>157.6276442563192</v>
      </c>
      <c r="O234" s="5">
        <f t="shared" si="19"/>
        <v>23.731393539543745</v>
      </c>
    </row>
    <row r="235" spans="4:17" ht="18.75" customHeight="1" x14ac:dyDescent="0.25">
      <c r="D235" s="6">
        <v>1977</v>
      </c>
      <c r="E235" t="s">
        <v>54</v>
      </c>
      <c r="F235" s="5">
        <v>116.67</v>
      </c>
      <c r="G235" s="5">
        <v>23.648722191362086</v>
      </c>
      <c r="M235" s="5">
        <v>5.3955900000000003</v>
      </c>
      <c r="N235" s="5">
        <f t="shared" si="18"/>
        <v>157.07852817345389</v>
      </c>
      <c r="O235" s="5">
        <f t="shared" si="19"/>
        <v>23.648722191362086</v>
      </c>
    </row>
    <row r="236" spans="4:17" ht="18.75" customHeight="1" x14ac:dyDescent="0.25">
      <c r="D236" s="6">
        <v>1977</v>
      </c>
      <c r="E236" t="s">
        <v>54</v>
      </c>
      <c r="F236" s="5">
        <v>119.08</v>
      </c>
      <c r="G236" s="5">
        <v>23.580282460543934</v>
      </c>
      <c r="M236" s="5">
        <v>5.3903800000000004</v>
      </c>
      <c r="N236" s="5">
        <f t="shared" si="18"/>
        <v>156.62394072900292</v>
      </c>
      <c r="O236" s="5">
        <f t="shared" si="19"/>
        <v>23.580282460543934</v>
      </c>
    </row>
    <row r="237" spans="4:17" ht="18.75" customHeight="1" x14ac:dyDescent="0.25">
      <c r="D237" s="6">
        <v>1977</v>
      </c>
      <c r="E237" t="s">
        <v>54</v>
      </c>
      <c r="F237" s="5">
        <v>120.32</v>
      </c>
      <c r="G237" s="5">
        <v>23.544342246262396</v>
      </c>
      <c r="M237" s="5">
        <v>5.3876400000000002</v>
      </c>
      <c r="N237" s="5">
        <f t="shared" si="18"/>
        <v>156.38522017928776</v>
      </c>
      <c r="O237" s="5">
        <f t="shared" si="19"/>
        <v>23.544342246262396</v>
      </c>
    </row>
    <row r="238" spans="4:17" ht="18.75" customHeight="1" x14ac:dyDescent="0.25">
      <c r="D238" s="6">
        <v>1977</v>
      </c>
      <c r="E238" t="s">
        <v>54</v>
      </c>
      <c r="F238" s="5">
        <v>122.36</v>
      </c>
      <c r="G238" s="5">
        <v>23.484217690017292</v>
      </c>
      <c r="M238" s="5">
        <v>5.3830499999999999</v>
      </c>
      <c r="N238" s="5">
        <f t="shared" si="18"/>
        <v>155.98586343072262</v>
      </c>
      <c r="O238" s="5">
        <f t="shared" si="19"/>
        <v>23.484217690017292</v>
      </c>
      <c r="Q238" s="3" t="s">
        <v>55</v>
      </c>
    </row>
    <row r="239" spans="4:17" ht="18.75" customHeight="1" x14ac:dyDescent="0.25">
      <c r="D239" s="6">
        <v>1977</v>
      </c>
      <c r="E239" t="s">
        <v>54</v>
      </c>
      <c r="F239" s="5">
        <v>124.34</v>
      </c>
      <c r="G239" s="5">
        <v>23.427200787071577</v>
      </c>
      <c r="M239" s="5">
        <v>5.3786899999999997</v>
      </c>
      <c r="N239" s="5">
        <f t="shared" si="18"/>
        <v>155.6071482036059</v>
      </c>
      <c r="O239" s="5">
        <f t="shared" si="19"/>
        <v>23.427200787071577</v>
      </c>
      <c r="Q239" s="3" t="s">
        <v>56</v>
      </c>
    </row>
    <row r="240" spans="4:17" ht="18.75" customHeight="1" x14ac:dyDescent="0.25">
      <c r="D240" s="6">
        <v>1962</v>
      </c>
      <c r="E240" t="s">
        <v>57</v>
      </c>
      <c r="F240" s="6">
        <v>137</v>
      </c>
      <c r="G240" s="5">
        <v>24.67</v>
      </c>
      <c r="I240" s="5">
        <f t="shared" ref="I240:I254" si="20">Q240*101.325</f>
        <v>242.06542499999998</v>
      </c>
      <c r="Q240" s="5">
        <v>2.3889999999999998</v>
      </c>
    </row>
    <row r="241" spans="4:17" ht="18.75" customHeight="1" x14ac:dyDescent="0.25">
      <c r="D241" s="6">
        <v>1962</v>
      </c>
      <c r="E241" t="s">
        <v>57</v>
      </c>
      <c r="F241" s="6">
        <v>182</v>
      </c>
      <c r="G241" s="5">
        <v>23.78</v>
      </c>
      <c r="I241" s="5">
        <f t="shared" si="20"/>
        <v>503.78790000000004</v>
      </c>
      <c r="Q241" s="5">
        <v>4.9720000000000004</v>
      </c>
    </row>
    <row r="242" spans="4:17" ht="18.75" customHeight="1" x14ac:dyDescent="0.25">
      <c r="D242" s="6">
        <v>1962</v>
      </c>
      <c r="E242" t="s">
        <v>57</v>
      </c>
      <c r="F242" s="6">
        <v>188</v>
      </c>
      <c r="G242" s="5">
        <v>23.85</v>
      </c>
      <c r="I242" s="5">
        <f t="shared" si="20"/>
        <v>548.87752499999999</v>
      </c>
      <c r="Q242" s="5">
        <v>5.4169999999999998</v>
      </c>
    </row>
    <row r="243" spans="4:17" ht="18.75" customHeight="1" x14ac:dyDescent="0.25">
      <c r="D243" s="6">
        <v>1962</v>
      </c>
      <c r="E243" t="s">
        <v>57</v>
      </c>
      <c r="F243" s="6">
        <v>197</v>
      </c>
      <c r="G243" s="5">
        <v>23.27</v>
      </c>
      <c r="I243" s="5">
        <f t="shared" si="20"/>
        <v>633.17992500000003</v>
      </c>
      <c r="Q243" s="5">
        <v>6.2489999999999997</v>
      </c>
    </row>
    <row r="244" spans="4:17" ht="18.75" customHeight="1" x14ac:dyDescent="0.25">
      <c r="D244" s="6">
        <v>1962</v>
      </c>
      <c r="E244" t="s">
        <v>57</v>
      </c>
      <c r="F244" s="6">
        <v>226</v>
      </c>
      <c r="G244" s="5">
        <v>22.82</v>
      </c>
      <c r="I244" s="5">
        <f t="shared" si="20"/>
        <v>779.18925000000002</v>
      </c>
      <c r="Q244" s="5">
        <v>7.69</v>
      </c>
    </row>
    <row r="245" spans="4:17" ht="18.75" customHeight="1" x14ac:dyDescent="0.25">
      <c r="D245" s="6">
        <v>1962</v>
      </c>
      <c r="E245" t="s">
        <v>57</v>
      </c>
      <c r="F245" s="6">
        <v>245</v>
      </c>
      <c r="G245" s="5">
        <v>22.43</v>
      </c>
      <c r="I245" s="5">
        <f t="shared" si="20"/>
        <v>922.0575</v>
      </c>
      <c r="Q245" s="5">
        <v>9.1</v>
      </c>
    </row>
    <row r="246" spans="4:17" ht="18.75" customHeight="1" x14ac:dyDescent="0.25">
      <c r="D246" s="6">
        <v>1962</v>
      </c>
      <c r="E246" t="s">
        <v>57</v>
      </c>
      <c r="F246" s="6">
        <v>262</v>
      </c>
      <c r="G246" s="5">
        <v>22.28</v>
      </c>
      <c r="I246" s="5">
        <f t="shared" si="20"/>
        <v>1038.58125</v>
      </c>
      <c r="Q246" s="5">
        <v>10.25</v>
      </c>
    </row>
    <row r="247" spans="4:17" ht="18.75" customHeight="1" x14ac:dyDescent="0.25">
      <c r="D247" s="6">
        <v>1962</v>
      </c>
      <c r="E247" t="s">
        <v>57</v>
      </c>
      <c r="F247" s="6">
        <v>278</v>
      </c>
      <c r="G247" s="5">
        <v>22.09</v>
      </c>
      <c r="I247" s="5">
        <f t="shared" si="20"/>
        <v>1151.65995</v>
      </c>
      <c r="Q247" s="5">
        <v>11.366</v>
      </c>
    </row>
    <row r="248" spans="4:17" ht="18.75" customHeight="1" x14ac:dyDescent="0.25">
      <c r="D248" s="6">
        <v>1962</v>
      </c>
      <c r="E248" t="s">
        <v>57</v>
      </c>
      <c r="F248" s="6">
        <v>284</v>
      </c>
      <c r="G248" s="5">
        <v>22.03</v>
      </c>
      <c r="I248" s="5">
        <f t="shared" si="20"/>
        <v>1205.56485</v>
      </c>
      <c r="Q248" s="5">
        <v>11.898</v>
      </c>
    </row>
    <row r="249" spans="4:17" ht="18.75" customHeight="1" x14ac:dyDescent="0.25">
      <c r="D249" s="6">
        <v>1962</v>
      </c>
      <c r="E249" t="s">
        <v>57</v>
      </c>
      <c r="F249" s="6">
        <v>288</v>
      </c>
      <c r="G249" s="5">
        <v>21.77</v>
      </c>
      <c r="I249" s="5">
        <f t="shared" si="20"/>
        <v>1239.8127000000002</v>
      </c>
      <c r="Q249" s="5">
        <v>12.236000000000001</v>
      </c>
    </row>
    <row r="250" spans="4:17" ht="18.75" customHeight="1" x14ac:dyDescent="0.25">
      <c r="D250" s="6">
        <v>1962</v>
      </c>
      <c r="E250" t="s">
        <v>57</v>
      </c>
      <c r="F250" s="6">
        <v>291</v>
      </c>
      <c r="G250" s="5">
        <v>21.93</v>
      </c>
      <c r="I250" s="5">
        <f t="shared" si="20"/>
        <v>1260.4829999999999</v>
      </c>
      <c r="Q250" s="5">
        <v>12.44</v>
      </c>
    </row>
    <row r="251" spans="4:17" ht="18.75" customHeight="1" x14ac:dyDescent="0.25">
      <c r="D251" s="6">
        <v>1962</v>
      </c>
      <c r="E251" t="s">
        <v>57</v>
      </c>
      <c r="F251" s="6">
        <v>290</v>
      </c>
      <c r="G251" s="5">
        <v>21.72</v>
      </c>
      <c r="I251" s="5">
        <f t="shared" si="20"/>
        <v>1283.78775</v>
      </c>
      <c r="Q251" s="5">
        <v>12.67</v>
      </c>
    </row>
    <row r="252" spans="4:17" ht="18.75" customHeight="1" x14ac:dyDescent="0.25">
      <c r="D252" s="6">
        <v>1962</v>
      </c>
      <c r="E252" t="s">
        <v>57</v>
      </c>
      <c r="F252" s="6">
        <v>299</v>
      </c>
      <c r="G252" s="5">
        <v>21.42</v>
      </c>
      <c r="I252" s="5">
        <f t="shared" si="20"/>
        <v>1313.172</v>
      </c>
      <c r="Q252" s="5">
        <v>12.96</v>
      </c>
    </row>
    <row r="253" spans="4:17" ht="18.75" customHeight="1" x14ac:dyDescent="0.25">
      <c r="D253" s="6">
        <v>1962</v>
      </c>
      <c r="E253" t="s">
        <v>57</v>
      </c>
      <c r="F253" s="6">
        <v>317</v>
      </c>
      <c r="I253" s="5">
        <f t="shared" si="20"/>
        <v>1460.3972250000002</v>
      </c>
      <c r="Q253" s="5">
        <v>14.413</v>
      </c>
    </row>
    <row r="254" spans="4:17" ht="18.75" customHeight="1" x14ac:dyDescent="0.25">
      <c r="D254" s="6">
        <v>1962</v>
      </c>
      <c r="E254" t="s">
        <v>57</v>
      </c>
      <c r="F254" s="6">
        <v>360</v>
      </c>
      <c r="G254" s="5">
        <v>20.3</v>
      </c>
      <c r="I254" s="5">
        <f t="shared" si="20"/>
        <v>1827.903</v>
      </c>
      <c r="L254" s="3" t="s">
        <v>58</v>
      </c>
      <c r="M254" s="2" t="s">
        <v>59</v>
      </c>
      <c r="N254" s="2" t="s">
        <v>60</v>
      </c>
      <c r="Q254" s="5">
        <v>18.04</v>
      </c>
    </row>
    <row r="255" spans="4:17" ht="18.75" customHeight="1" x14ac:dyDescent="0.25">
      <c r="D255" s="6">
        <v>1971</v>
      </c>
      <c r="E255" t="s">
        <v>61</v>
      </c>
      <c r="F255" s="5">
        <v>197.78</v>
      </c>
      <c r="G255" s="12">
        <f>M255-L255</f>
        <v>21.47</v>
      </c>
      <c r="L255" s="12">
        <v>1.4950000000000001</v>
      </c>
      <c r="M255" s="5">
        <v>22.965</v>
      </c>
      <c r="N255" s="6">
        <v>6261</v>
      </c>
    </row>
    <row r="256" spans="4:17" ht="18.75" customHeight="1" x14ac:dyDescent="0.25">
      <c r="D256" s="6">
        <v>1971</v>
      </c>
      <c r="E256" t="s">
        <v>61</v>
      </c>
      <c r="F256" s="5">
        <v>222.87</v>
      </c>
      <c r="G256" s="12">
        <f>M256-L256</f>
        <v>20.963999999999999</v>
      </c>
      <c r="L256" s="12">
        <v>1.3640000000000001</v>
      </c>
      <c r="M256" s="5">
        <v>22.327999999999999</v>
      </c>
      <c r="N256" s="6">
        <v>7947</v>
      </c>
    </row>
    <row r="257" spans="4:18" ht="18.75" customHeight="1" x14ac:dyDescent="0.25">
      <c r="D257" s="6">
        <v>1971</v>
      </c>
      <c r="E257" t="s">
        <v>61</v>
      </c>
      <c r="F257" s="5">
        <v>222.61</v>
      </c>
      <c r="G257" s="12"/>
      <c r="L257" s="12">
        <v>1.36</v>
      </c>
      <c r="N257" s="6">
        <v>7929</v>
      </c>
    </row>
    <row r="258" spans="4:18" ht="18.75" customHeight="1" x14ac:dyDescent="0.25">
      <c r="D258" s="6">
        <v>1971</v>
      </c>
      <c r="E258" t="s">
        <v>61</v>
      </c>
      <c r="F258" s="5">
        <v>247.93</v>
      </c>
      <c r="G258" s="12">
        <f>M258-L258</f>
        <v>20.554000000000002</v>
      </c>
      <c r="L258" s="12">
        <v>1.2609999999999999</v>
      </c>
      <c r="M258" s="5">
        <v>21.815000000000001</v>
      </c>
      <c r="N258" s="6">
        <v>9734</v>
      </c>
    </row>
    <row r="259" spans="4:18" ht="18.75" customHeight="1" x14ac:dyDescent="0.25">
      <c r="D259" s="6">
        <v>1971</v>
      </c>
      <c r="E259" t="s">
        <v>61</v>
      </c>
      <c r="F259" s="5">
        <v>247.77</v>
      </c>
      <c r="G259" s="12"/>
      <c r="L259" s="12">
        <v>1.2629999999999999</v>
      </c>
      <c r="N259" s="6">
        <v>9727</v>
      </c>
    </row>
    <row r="260" spans="4:18" ht="18.75" customHeight="1" x14ac:dyDescent="0.25">
      <c r="D260" s="6">
        <v>1971</v>
      </c>
      <c r="E260" t="s">
        <v>61</v>
      </c>
      <c r="F260" s="5">
        <v>273.12</v>
      </c>
      <c r="G260" s="12">
        <f>M260-L260</f>
        <v>20.122</v>
      </c>
      <c r="L260" s="12">
        <v>1.1830000000000001</v>
      </c>
      <c r="M260" s="5">
        <v>21.305</v>
      </c>
      <c r="N260" s="6">
        <v>11604</v>
      </c>
    </row>
    <row r="261" spans="4:18" ht="18.75" customHeight="1" x14ac:dyDescent="0.25">
      <c r="D261" s="6">
        <v>1971</v>
      </c>
      <c r="E261" t="s">
        <v>61</v>
      </c>
      <c r="F261" s="6">
        <v>273</v>
      </c>
      <c r="G261" s="12">
        <f>M261-L261</f>
        <v>20.166999999999998</v>
      </c>
      <c r="L261" s="12">
        <v>1.181</v>
      </c>
      <c r="M261" s="5">
        <v>21.347999999999999</v>
      </c>
      <c r="N261" s="6">
        <v>11594</v>
      </c>
    </row>
    <row r="262" spans="4:18" ht="18.75" customHeight="1" x14ac:dyDescent="0.25">
      <c r="D262" s="6">
        <v>1971</v>
      </c>
      <c r="E262" t="s">
        <v>61</v>
      </c>
      <c r="F262" s="6">
        <v>298</v>
      </c>
      <c r="G262" s="12">
        <f>M262-L262</f>
        <v>19.805</v>
      </c>
      <c r="L262" s="12">
        <v>1.1100000000000001</v>
      </c>
      <c r="M262" s="5">
        <v>20.914999999999999</v>
      </c>
      <c r="N262" s="6">
        <v>13579</v>
      </c>
    </row>
    <row r="263" spans="4:18" ht="18.75" customHeight="1" x14ac:dyDescent="0.25">
      <c r="D263" s="6">
        <v>1971</v>
      </c>
      <c r="E263" t="s">
        <v>61</v>
      </c>
      <c r="F263" s="5">
        <v>298.16000000000003</v>
      </c>
      <c r="G263" s="12">
        <f>M263-L263</f>
        <v>19.805</v>
      </c>
      <c r="L263" s="12">
        <v>1.1000000000000001</v>
      </c>
      <c r="M263" s="5">
        <v>20.905000000000001</v>
      </c>
      <c r="N263" s="6">
        <v>13569</v>
      </c>
    </row>
    <row r="264" spans="4:18" ht="18.75" customHeight="1" x14ac:dyDescent="0.25">
      <c r="D264" s="6">
        <v>1971</v>
      </c>
      <c r="E264" t="s">
        <v>61</v>
      </c>
      <c r="F264" s="5">
        <v>297.93</v>
      </c>
      <c r="G264" s="12">
        <f>M264-L264</f>
        <v>19.768000000000001</v>
      </c>
      <c r="L264" s="12">
        <v>1.1140000000000001</v>
      </c>
      <c r="M264" s="5">
        <v>20.882000000000001</v>
      </c>
      <c r="N264" s="6">
        <v>13573</v>
      </c>
      <c r="O264" s="2" t="s">
        <v>2</v>
      </c>
    </row>
    <row r="265" spans="4:18" ht="18.75" customHeight="1" x14ac:dyDescent="0.25">
      <c r="D265" s="6">
        <v>1971</v>
      </c>
      <c r="E265" t="s">
        <v>61</v>
      </c>
      <c r="F265" s="5">
        <v>322.83</v>
      </c>
      <c r="G265" s="12"/>
      <c r="L265" s="12">
        <v>1.052</v>
      </c>
      <c r="N265" s="6">
        <v>15630</v>
      </c>
      <c r="O265" s="8" t="s">
        <v>8</v>
      </c>
      <c r="P265" s="8" t="s">
        <v>9</v>
      </c>
      <c r="Q265" s="3" t="s">
        <v>6</v>
      </c>
    </row>
    <row r="266" spans="4:18" ht="18.75" customHeight="1" x14ac:dyDescent="0.25">
      <c r="D266" s="6">
        <v>1971</v>
      </c>
      <c r="E266" t="s">
        <v>61</v>
      </c>
      <c r="F266" s="5">
        <v>323.14999999999998</v>
      </c>
      <c r="G266" s="12">
        <f>M266-L266</f>
        <v>19.41</v>
      </c>
      <c r="L266" s="12">
        <v>1.05</v>
      </c>
      <c r="M266" s="5">
        <v>20.46</v>
      </c>
      <c r="N266" s="6">
        <v>15657</v>
      </c>
      <c r="O266" s="2" t="s">
        <v>15</v>
      </c>
      <c r="P266" s="3" t="s">
        <v>16</v>
      </c>
      <c r="Q266" s="3" t="s">
        <v>13</v>
      </c>
    </row>
    <row r="267" spans="4:18" ht="18.75" customHeight="1" x14ac:dyDescent="0.25">
      <c r="D267" s="6">
        <v>1972</v>
      </c>
      <c r="E267" t="s">
        <v>53</v>
      </c>
      <c r="F267" s="5">
        <v>90.66</v>
      </c>
      <c r="G267" s="12">
        <v>24.519261522854681</v>
      </c>
      <c r="I267" s="5">
        <v>30.64</v>
      </c>
      <c r="L267" s="12"/>
      <c r="O267" s="5">
        <v>5.4610000000000003</v>
      </c>
      <c r="P267" s="5">
        <f>O267^3</f>
        <v>162.86078718100001</v>
      </c>
      <c r="Q267" s="5">
        <f>P267*10^(-30)/4*6.02214*10^23*10^6</f>
        <v>24.519261522854681</v>
      </c>
    </row>
    <row r="268" spans="4:18" ht="18.75" customHeight="1" x14ac:dyDescent="0.25">
      <c r="D268" s="6">
        <v>1972</v>
      </c>
      <c r="E268" t="s">
        <v>53</v>
      </c>
      <c r="F268" s="5">
        <v>94.45</v>
      </c>
      <c r="G268" s="12">
        <v>24.426841357935906</v>
      </c>
      <c r="I268" s="5">
        <v>44.95</v>
      </c>
      <c r="L268" s="12"/>
      <c r="O268" s="5">
        <v>5.4541300000000001</v>
      </c>
      <c r="P268" s="5">
        <f>O268^3</f>
        <v>162.24691792576002</v>
      </c>
      <c r="Q268" s="5">
        <f>P268*10^(-30)/4*6.02214*10^23*10^6</f>
        <v>24.426841357935906</v>
      </c>
    </row>
    <row r="269" spans="4:18" ht="18.75" customHeight="1" x14ac:dyDescent="0.25">
      <c r="D269" s="6">
        <v>1974</v>
      </c>
      <c r="E269" t="s">
        <v>62</v>
      </c>
      <c r="F269" s="5">
        <v>295.7</v>
      </c>
      <c r="G269" s="5">
        <f>20.87-1.11</f>
        <v>19.760000000000002</v>
      </c>
      <c r="I269" s="6">
        <f>J269*100</f>
        <v>1324</v>
      </c>
      <c r="J269" s="5">
        <v>13.24</v>
      </c>
      <c r="N269" s="2" t="s">
        <v>17</v>
      </c>
      <c r="R269" s="4" t="s">
        <v>34</v>
      </c>
    </row>
    <row r="270" spans="4:18" ht="18.75" customHeight="1" x14ac:dyDescent="0.25">
      <c r="D270" s="6">
        <v>1968</v>
      </c>
      <c r="E270" t="s">
        <v>63</v>
      </c>
      <c r="F270" s="5">
        <v>96.41</v>
      </c>
      <c r="G270" s="5">
        <v>24.36</v>
      </c>
      <c r="N270" s="5">
        <v>1.4241999999999999</v>
      </c>
      <c r="R270" s="5">
        <v>540.1</v>
      </c>
    </row>
    <row r="271" spans="4:18" ht="18.75" customHeight="1" x14ac:dyDescent="0.25">
      <c r="D271" s="6">
        <v>1968</v>
      </c>
      <c r="E271" t="s">
        <v>63</v>
      </c>
      <c r="F271" s="5">
        <v>101.11</v>
      </c>
      <c r="G271" s="5">
        <v>24.18</v>
      </c>
      <c r="R271" s="5">
        <v>752.5</v>
      </c>
    </row>
    <row r="272" spans="4:18" ht="18.75" customHeight="1" x14ac:dyDescent="0.25">
      <c r="D272" s="6">
        <v>1968</v>
      </c>
      <c r="E272" t="s">
        <v>63</v>
      </c>
      <c r="F272" s="5">
        <v>105.81</v>
      </c>
      <c r="G272" s="5">
        <v>24.04</v>
      </c>
      <c r="R272" s="5">
        <v>970.9</v>
      </c>
    </row>
    <row r="273" spans="1:18" ht="18.75" customHeight="1" x14ac:dyDescent="0.25">
      <c r="D273" s="6">
        <v>1968</v>
      </c>
      <c r="E273" t="s">
        <v>63</v>
      </c>
      <c r="F273" s="5">
        <v>110.55</v>
      </c>
      <c r="G273" s="5">
        <v>23.88</v>
      </c>
      <c r="R273" s="5">
        <v>1197.0999999999999</v>
      </c>
    </row>
    <row r="274" spans="1:18" ht="18.75" customHeight="1" x14ac:dyDescent="0.25">
      <c r="D274" s="6">
        <v>1968</v>
      </c>
      <c r="E274" t="s">
        <v>63</v>
      </c>
      <c r="F274" s="5">
        <v>115.3</v>
      </c>
      <c r="G274" s="5">
        <v>23.75</v>
      </c>
      <c r="R274" s="5">
        <v>1429.6</v>
      </c>
    </row>
    <row r="275" spans="1:18" ht="18.75" customHeight="1" x14ac:dyDescent="0.25">
      <c r="D275" s="6">
        <v>1968</v>
      </c>
      <c r="E275" t="s">
        <v>63</v>
      </c>
      <c r="F275" s="5">
        <v>120.08</v>
      </c>
      <c r="G275" s="5">
        <v>23.62</v>
      </c>
      <c r="R275" s="5">
        <v>1669.3</v>
      </c>
    </row>
    <row r="276" spans="1:18" ht="18.75" customHeight="1" x14ac:dyDescent="0.25">
      <c r="D276" s="6">
        <v>1973</v>
      </c>
      <c r="E276" t="s">
        <v>64</v>
      </c>
      <c r="F276" s="5">
        <v>156.38999999999999</v>
      </c>
      <c r="G276" s="5">
        <v>22.64</v>
      </c>
      <c r="I276" s="5">
        <f>J276*100</f>
        <v>357.4</v>
      </c>
      <c r="J276" s="5">
        <v>3.5739999999999998</v>
      </c>
    </row>
    <row r="277" spans="1:18" ht="18.75" customHeight="1" x14ac:dyDescent="0.25">
      <c r="D277" s="6">
        <v>1973</v>
      </c>
      <c r="E277" t="s">
        <v>64</v>
      </c>
      <c r="F277" s="5">
        <v>181.28</v>
      </c>
      <c r="G277" s="5">
        <v>22.01</v>
      </c>
      <c r="I277" s="5">
        <f>J277*100</f>
        <v>506.1</v>
      </c>
      <c r="J277" s="5">
        <v>5.0609999999999999</v>
      </c>
    </row>
    <row r="278" spans="1:18" ht="18.75" customHeight="1" x14ac:dyDescent="0.25">
      <c r="D278" s="6">
        <v>1973</v>
      </c>
      <c r="E278" t="s">
        <v>64</v>
      </c>
      <c r="F278" s="5">
        <v>221.41</v>
      </c>
      <c r="G278" s="5">
        <v>21.18</v>
      </c>
      <c r="I278" s="5">
        <f>J278*100</f>
        <v>768.4</v>
      </c>
      <c r="J278" s="5">
        <v>7.6840000000000002</v>
      </c>
    </row>
    <row r="279" spans="1:18" ht="18.75" customHeight="1" x14ac:dyDescent="0.25">
      <c r="D279" s="6">
        <v>1973</v>
      </c>
      <c r="E279" t="s">
        <v>64</v>
      </c>
      <c r="F279" s="5">
        <v>253.49</v>
      </c>
      <c r="G279" s="5">
        <v>20.63</v>
      </c>
      <c r="I279" s="5">
        <f>J279*100</f>
        <v>996.00000000000011</v>
      </c>
      <c r="J279" s="5">
        <v>9.9600000000000009</v>
      </c>
    </row>
    <row r="280" spans="1:18" ht="18.75" customHeight="1" x14ac:dyDescent="0.25">
      <c r="A280" t="s">
        <v>65</v>
      </c>
      <c r="D280" s="23">
        <v>1977</v>
      </c>
      <c r="E280" s="24" t="s">
        <v>51</v>
      </c>
      <c r="F280" s="5">
        <v>83.805999999999997</v>
      </c>
      <c r="G280" s="5">
        <v>24.63</v>
      </c>
    </row>
    <row r="281" spans="1:18" ht="18.75" customHeight="1" x14ac:dyDescent="0.25">
      <c r="D281" s="23">
        <v>1977</v>
      </c>
      <c r="E281" s="24" t="s">
        <v>51</v>
      </c>
      <c r="F281" s="6">
        <v>90</v>
      </c>
      <c r="G281" s="5">
        <v>24.46</v>
      </c>
    </row>
    <row r="282" spans="1:18" ht="18.75" customHeight="1" x14ac:dyDescent="0.25">
      <c r="D282" s="23">
        <v>1977</v>
      </c>
      <c r="E282" s="24" t="s">
        <v>51</v>
      </c>
      <c r="F282" s="6">
        <v>100</v>
      </c>
      <c r="G282" s="5">
        <v>24.24</v>
      </c>
    </row>
    <row r="283" spans="1:18" ht="18.75" customHeight="1" x14ac:dyDescent="0.25">
      <c r="D283" s="23">
        <v>1977</v>
      </c>
      <c r="E283" s="24" t="s">
        <v>51</v>
      </c>
      <c r="F283" s="6">
        <v>120</v>
      </c>
      <c r="G283" s="5">
        <v>23.66</v>
      </c>
    </row>
    <row r="284" spans="1:18" ht="18.75" customHeight="1" x14ac:dyDescent="0.25">
      <c r="D284" s="23">
        <v>1977</v>
      </c>
      <c r="E284" s="24" t="s">
        <v>51</v>
      </c>
      <c r="F284" s="6">
        <v>140</v>
      </c>
      <c r="G284" s="5">
        <v>23.08</v>
      </c>
    </row>
    <row r="285" spans="1:18" ht="18.75" customHeight="1" x14ac:dyDescent="0.25">
      <c r="D285" s="23">
        <v>1977</v>
      </c>
      <c r="E285" s="24" t="s">
        <v>51</v>
      </c>
      <c r="F285" s="6">
        <v>180</v>
      </c>
      <c r="G285" s="5">
        <v>22.04</v>
      </c>
    </row>
    <row r="286" spans="1:18" ht="18.75" customHeight="1" x14ac:dyDescent="0.25">
      <c r="D286" s="23">
        <v>1977</v>
      </c>
      <c r="E286" s="24" t="s">
        <v>51</v>
      </c>
      <c r="F286" s="6">
        <v>220</v>
      </c>
      <c r="G286" s="5">
        <v>21.2</v>
      </c>
    </row>
    <row r="287" spans="1:18" ht="18.75" customHeight="1" x14ac:dyDescent="0.25">
      <c r="D287" s="23">
        <v>1977</v>
      </c>
      <c r="E287" s="24" t="s">
        <v>51</v>
      </c>
      <c r="F287" s="6">
        <v>260</v>
      </c>
      <c r="G287" s="5">
        <v>20.5</v>
      </c>
    </row>
    <row r="288" spans="1:18" ht="18.75" customHeight="1" x14ac:dyDescent="0.25">
      <c r="A288" t="s">
        <v>66</v>
      </c>
      <c r="D288" s="6">
        <v>1972</v>
      </c>
      <c r="E288" t="s">
        <v>61</v>
      </c>
      <c r="F288" s="5">
        <v>198.15</v>
      </c>
      <c r="G288" s="5">
        <v>21.437000000000001</v>
      </c>
    </row>
    <row r="289" spans="1:11" ht="18.75" customHeight="1" x14ac:dyDescent="0.25">
      <c r="A289" t="s">
        <v>67</v>
      </c>
      <c r="D289" s="6">
        <v>1972</v>
      </c>
      <c r="E289" t="s">
        <v>61</v>
      </c>
      <c r="F289" s="5">
        <v>223.15</v>
      </c>
      <c r="G289" s="5">
        <v>20.977</v>
      </c>
    </row>
    <row r="290" spans="1:11" ht="18.75" customHeight="1" x14ac:dyDescent="0.25">
      <c r="D290" s="6">
        <v>1972</v>
      </c>
      <c r="E290" t="s">
        <v>61</v>
      </c>
      <c r="F290" s="5">
        <v>248.15</v>
      </c>
      <c r="G290" s="5">
        <v>20.548999999999999</v>
      </c>
    </row>
    <row r="291" spans="1:11" ht="18.75" customHeight="1" x14ac:dyDescent="0.25">
      <c r="D291" s="6">
        <v>1972</v>
      </c>
      <c r="E291" t="s">
        <v>61</v>
      </c>
      <c r="F291" s="5">
        <v>273.14999999999998</v>
      </c>
      <c r="G291" s="5">
        <v>20.149999999999999</v>
      </c>
    </row>
    <row r="292" spans="1:11" ht="18.75" customHeight="1" x14ac:dyDescent="0.25">
      <c r="D292" s="6">
        <v>1972</v>
      </c>
      <c r="E292" t="s">
        <v>61</v>
      </c>
      <c r="F292" s="5">
        <v>298.14999999999998</v>
      </c>
      <c r="G292" s="5">
        <v>19.777999999999999</v>
      </c>
    </row>
    <row r="293" spans="1:11" ht="18.75" customHeight="1" x14ac:dyDescent="0.25">
      <c r="D293" s="6">
        <v>1972</v>
      </c>
      <c r="E293" t="s">
        <v>61</v>
      </c>
      <c r="F293" s="5">
        <v>323.14999999999998</v>
      </c>
      <c r="G293" s="5">
        <v>19.428000000000001</v>
      </c>
    </row>
    <row r="294" spans="1:11" ht="18.75" customHeight="1" x14ac:dyDescent="0.25">
      <c r="D294" s="6">
        <v>1972</v>
      </c>
      <c r="E294" t="s">
        <v>61</v>
      </c>
      <c r="F294" s="5">
        <v>348.15</v>
      </c>
      <c r="G294" s="5">
        <v>19.091000000000001</v>
      </c>
    </row>
    <row r="295" spans="1:11" ht="18.75" customHeight="1" x14ac:dyDescent="0.25">
      <c r="A295" t="s">
        <v>68</v>
      </c>
      <c r="C295" t="s">
        <v>69</v>
      </c>
      <c r="D295" s="6">
        <v>1976</v>
      </c>
      <c r="E295" t="s">
        <v>51</v>
      </c>
      <c r="F295" s="6">
        <v>83.805999999999997</v>
      </c>
      <c r="G295" s="5">
        <v>24.63</v>
      </c>
      <c r="I295" s="5">
        <f t="shared" ref="I295:I307" si="21">K295/10</f>
        <v>6.9999999999999993E-2</v>
      </c>
      <c r="K295" s="5">
        <v>0.7</v>
      </c>
    </row>
    <row r="296" spans="1:11" ht="18.75" customHeight="1" x14ac:dyDescent="0.25">
      <c r="A296" t="s">
        <v>70</v>
      </c>
      <c r="C296" t="s">
        <v>69</v>
      </c>
      <c r="D296" s="6">
        <v>1976</v>
      </c>
      <c r="E296" t="s">
        <v>51</v>
      </c>
      <c r="F296" s="6">
        <v>100</v>
      </c>
      <c r="G296" s="5">
        <v>24.25</v>
      </c>
      <c r="I296" s="5">
        <f t="shared" si="21"/>
        <v>68.400000000000006</v>
      </c>
      <c r="K296" s="6">
        <v>684</v>
      </c>
    </row>
    <row r="297" spans="1:11" ht="18.75" customHeight="1" x14ac:dyDescent="0.25">
      <c r="D297" s="6">
        <v>1976</v>
      </c>
      <c r="E297" t="s">
        <v>51</v>
      </c>
      <c r="F297" s="6">
        <v>120</v>
      </c>
      <c r="G297" s="5">
        <v>23.67</v>
      </c>
      <c r="I297" s="5">
        <f t="shared" si="21"/>
        <v>162.5</v>
      </c>
      <c r="K297" s="6">
        <v>1625</v>
      </c>
    </row>
    <row r="298" spans="1:11" ht="18.75" customHeight="1" x14ac:dyDescent="0.25">
      <c r="D298" s="6">
        <v>1976</v>
      </c>
      <c r="E298" t="s">
        <v>51</v>
      </c>
      <c r="F298" s="6">
        <v>140</v>
      </c>
      <c r="G298" s="5">
        <v>23.09</v>
      </c>
      <c r="I298" s="5">
        <f t="shared" si="21"/>
        <v>266.2</v>
      </c>
      <c r="K298" s="6">
        <v>2662</v>
      </c>
    </row>
    <row r="299" spans="1:11" ht="18.75" customHeight="1" x14ac:dyDescent="0.25">
      <c r="D299" s="6">
        <v>1976</v>
      </c>
      <c r="E299" t="s">
        <v>51</v>
      </c>
      <c r="F299" s="6">
        <v>160</v>
      </c>
      <c r="G299" s="5">
        <v>22.55</v>
      </c>
      <c r="I299" s="5">
        <f t="shared" si="21"/>
        <v>378.3</v>
      </c>
      <c r="K299" s="6">
        <v>3783</v>
      </c>
    </row>
    <row r="300" spans="1:11" ht="18.75" customHeight="1" x14ac:dyDescent="0.25">
      <c r="D300" s="6">
        <v>1976</v>
      </c>
      <c r="E300" t="s">
        <v>51</v>
      </c>
      <c r="F300" s="6">
        <v>180</v>
      </c>
      <c r="G300" s="5">
        <v>22.06</v>
      </c>
      <c r="I300" s="5">
        <f t="shared" si="21"/>
        <v>498.2</v>
      </c>
      <c r="K300" s="6">
        <v>4982</v>
      </c>
    </row>
    <row r="301" spans="1:11" ht="18.75" customHeight="1" x14ac:dyDescent="0.25">
      <c r="D301" s="6">
        <v>1976</v>
      </c>
      <c r="E301" t="s">
        <v>51</v>
      </c>
      <c r="F301" s="6">
        <v>200</v>
      </c>
      <c r="G301" s="5">
        <v>21.61</v>
      </c>
      <c r="I301" s="5">
        <f t="shared" si="21"/>
        <v>625.1</v>
      </c>
      <c r="K301" s="6">
        <v>6251</v>
      </c>
    </row>
    <row r="302" spans="1:11" ht="18.75" customHeight="1" x14ac:dyDescent="0.25">
      <c r="D302" s="6">
        <v>1976</v>
      </c>
      <c r="E302" t="s">
        <v>51</v>
      </c>
      <c r="F302" s="6">
        <v>220</v>
      </c>
      <c r="G302" s="5">
        <v>21.21</v>
      </c>
      <c r="I302" s="5">
        <f t="shared" si="21"/>
        <v>758.7</v>
      </c>
      <c r="K302" s="6">
        <v>7587</v>
      </c>
    </row>
    <row r="303" spans="1:11" ht="18.75" customHeight="1" x14ac:dyDescent="0.25">
      <c r="D303" s="6">
        <v>1976</v>
      </c>
      <c r="E303" t="s">
        <v>51</v>
      </c>
      <c r="F303" s="6">
        <v>240</v>
      </c>
      <c r="G303" s="5">
        <v>20.85</v>
      </c>
      <c r="I303" s="5">
        <f t="shared" si="21"/>
        <v>898.5</v>
      </c>
      <c r="K303" s="6">
        <v>8985</v>
      </c>
    </row>
    <row r="304" spans="1:11" ht="18.75" customHeight="1" x14ac:dyDescent="0.25">
      <c r="D304" s="6">
        <v>1976</v>
      </c>
      <c r="E304" t="s">
        <v>51</v>
      </c>
      <c r="F304" s="6">
        <v>260</v>
      </c>
      <c r="G304" s="5">
        <v>20.51</v>
      </c>
      <c r="I304" s="5">
        <f t="shared" si="21"/>
        <v>1044.0999999999999</v>
      </c>
      <c r="K304" s="6">
        <v>10441</v>
      </c>
    </row>
    <row r="305" spans="4:19" ht="18.75" customHeight="1" x14ac:dyDescent="0.25">
      <c r="D305" s="6">
        <v>1976</v>
      </c>
      <c r="E305" t="s">
        <v>51</v>
      </c>
      <c r="F305" s="6">
        <v>280</v>
      </c>
      <c r="G305" s="5">
        <v>20.21</v>
      </c>
      <c r="I305" s="5">
        <f t="shared" si="21"/>
        <v>1195.3</v>
      </c>
      <c r="K305" s="6">
        <v>11953</v>
      </c>
    </row>
    <row r="306" spans="4:19" ht="18.75" customHeight="1" x14ac:dyDescent="0.25">
      <c r="D306" s="6">
        <v>1976</v>
      </c>
      <c r="E306" t="s">
        <v>51</v>
      </c>
      <c r="F306" s="6">
        <v>300</v>
      </c>
      <c r="G306" s="5">
        <v>19.920000000000002</v>
      </c>
      <c r="I306" s="5">
        <f t="shared" si="21"/>
        <v>1351.9</v>
      </c>
      <c r="K306" s="6">
        <v>13519</v>
      </c>
    </row>
    <row r="307" spans="4:19" ht="18.75" customHeight="1" x14ac:dyDescent="0.25">
      <c r="D307" s="6">
        <v>1976</v>
      </c>
      <c r="E307" t="s">
        <v>51</v>
      </c>
      <c r="F307" s="6">
        <v>320</v>
      </c>
      <c r="G307" s="5">
        <v>19.66</v>
      </c>
      <c r="I307" s="5">
        <f t="shared" si="21"/>
        <v>1513.5</v>
      </c>
      <c r="K307" s="6">
        <v>15135</v>
      </c>
    </row>
    <row r="308" spans="4:19" ht="18.75" customHeight="1" x14ac:dyDescent="0.25">
      <c r="D308" s="6">
        <v>1970</v>
      </c>
      <c r="E308" t="s">
        <v>61</v>
      </c>
      <c r="F308" s="5">
        <v>291.60000000000002</v>
      </c>
      <c r="G308" s="5">
        <v>19.847999999999999</v>
      </c>
    </row>
    <row r="309" spans="4:19" ht="18.75" customHeight="1" x14ac:dyDescent="0.25">
      <c r="D309" s="6">
        <v>1970</v>
      </c>
      <c r="E309" t="s">
        <v>61</v>
      </c>
      <c r="F309" s="5">
        <v>294.24</v>
      </c>
      <c r="G309" s="5">
        <v>19.827000000000002</v>
      </c>
    </row>
    <row r="310" spans="4:19" ht="18.75" customHeight="1" x14ac:dyDescent="0.25">
      <c r="D310" s="6">
        <v>1970</v>
      </c>
      <c r="E310" t="s">
        <v>61</v>
      </c>
      <c r="F310" s="6">
        <v>322</v>
      </c>
      <c r="G310" s="5">
        <v>19.402999999999999</v>
      </c>
    </row>
    <row r="311" spans="4:19" ht="18.75" customHeight="1" x14ac:dyDescent="0.25"/>
    <row r="312" spans="4:19" ht="18.75" customHeight="1" x14ac:dyDescent="0.25"/>
    <row r="313" spans="4:19" ht="18.75" customHeight="1" x14ac:dyDescent="0.25"/>
    <row r="314" spans="4:19" ht="18.75" customHeight="1" x14ac:dyDescent="0.25"/>
    <row r="315" spans="4:19" ht="18.75" customHeight="1" x14ac:dyDescent="0.25"/>
    <row r="316" spans="4:19" ht="18.75" customHeight="1" x14ac:dyDescent="0.25"/>
    <row r="317" spans="4:19" ht="18.75" customHeight="1" x14ac:dyDescent="0.25"/>
    <row r="318" spans="4:19" ht="18.75" customHeight="1" x14ac:dyDescent="0.25">
      <c r="D318" s="1" t="s">
        <v>3</v>
      </c>
      <c r="E318" t="s">
        <v>4</v>
      </c>
      <c r="F318" s="2" t="s">
        <v>5</v>
      </c>
      <c r="G318" s="2" t="s">
        <v>6</v>
      </c>
      <c r="H318" s="2" t="s">
        <v>35</v>
      </c>
      <c r="I318" s="3" t="s">
        <v>71</v>
      </c>
      <c r="J318" s="2" t="s">
        <v>72</v>
      </c>
      <c r="L318" s="3" t="s">
        <v>45</v>
      </c>
      <c r="N318" s="2" t="s">
        <v>17</v>
      </c>
      <c r="O318" s="2" t="s">
        <v>6</v>
      </c>
      <c r="R318" s="4" t="s">
        <v>34</v>
      </c>
      <c r="S318" s="3" t="s">
        <v>35</v>
      </c>
    </row>
    <row r="319" spans="4:19" ht="18.75" customHeight="1" x14ac:dyDescent="0.25">
      <c r="F319" s="2" t="s">
        <v>12</v>
      </c>
      <c r="G319" s="2" t="s">
        <v>13</v>
      </c>
      <c r="O319" s="2" t="s">
        <v>13</v>
      </c>
    </row>
    <row r="320" spans="4:19" ht="18.75" customHeight="1" x14ac:dyDescent="0.25"/>
    <row r="321" spans="3:19" ht="18.75" customHeight="1" x14ac:dyDescent="0.25">
      <c r="C321" t="s">
        <v>73</v>
      </c>
      <c r="D321" s="6">
        <v>1968</v>
      </c>
      <c r="E321" t="s">
        <v>63</v>
      </c>
      <c r="F321" s="5">
        <v>96.41</v>
      </c>
      <c r="G321" s="5">
        <v>24.358536585365854</v>
      </c>
      <c r="H321" s="5">
        <v>62.2330009</v>
      </c>
      <c r="L321" s="5">
        <v>96.41</v>
      </c>
      <c r="N321" s="5">
        <v>1.64</v>
      </c>
      <c r="O321" s="5">
        <f t="shared" ref="O321:O352" si="22">$O$2/N321</f>
        <v>24.358536585365854</v>
      </c>
      <c r="R321" s="5">
        <v>634.6</v>
      </c>
      <c r="S321" s="5">
        <f t="shared" ref="S321:S352" si="23">0.0980665*R321</f>
        <v>62.2330009</v>
      </c>
    </row>
    <row r="322" spans="3:19" ht="18.75" customHeight="1" x14ac:dyDescent="0.25">
      <c r="C322" t="s">
        <v>73</v>
      </c>
      <c r="D322" s="6">
        <v>1968</v>
      </c>
      <c r="E322" t="s">
        <v>63</v>
      </c>
      <c r="F322" s="5">
        <v>96.41</v>
      </c>
      <c r="G322" s="5">
        <v>24.210909090909091</v>
      </c>
      <c r="H322" s="5">
        <v>63.017532900000006</v>
      </c>
      <c r="L322" s="5">
        <v>96.41</v>
      </c>
      <c r="N322" s="5">
        <v>1.65</v>
      </c>
      <c r="O322" s="5">
        <f t="shared" si="22"/>
        <v>24.210909090909091</v>
      </c>
      <c r="R322" s="5">
        <v>642.6</v>
      </c>
      <c r="S322" s="5">
        <f t="shared" si="23"/>
        <v>63.017532900000006</v>
      </c>
    </row>
    <row r="323" spans="3:19" ht="18.75" customHeight="1" x14ac:dyDescent="0.25">
      <c r="C323" t="s">
        <v>73</v>
      </c>
      <c r="D323" s="6">
        <v>1968</v>
      </c>
      <c r="E323" t="s">
        <v>63</v>
      </c>
      <c r="F323" s="5">
        <v>96.41</v>
      </c>
      <c r="G323" s="5">
        <v>23.906642728904846</v>
      </c>
      <c r="H323" s="5">
        <v>76.786069499999996</v>
      </c>
      <c r="L323" s="5">
        <v>96.41</v>
      </c>
      <c r="N323" s="5">
        <v>1.671</v>
      </c>
      <c r="O323" s="5">
        <f t="shared" si="22"/>
        <v>23.906642728904846</v>
      </c>
      <c r="R323" s="6">
        <v>783</v>
      </c>
      <c r="S323" s="5">
        <f t="shared" si="23"/>
        <v>76.786069499999996</v>
      </c>
    </row>
    <row r="324" spans="3:19" ht="18.75" customHeight="1" x14ac:dyDescent="0.25">
      <c r="C324" t="s">
        <v>73</v>
      </c>
      <c r="D324" s="6">
        <v>1968</v>
      </c>
      <c r="E324" t="s">
        <v>63</v>
      </c>
      <c r="F324" s="5">
        <v>96.41</v>
      </c>
      <c r="G324" s="5">
        <v>23.84955223880597</v>
      </c>
      <c r="H324" s="5">
        <v>81.512874800000006</v>
      </c>
      <c r="L324" s="5">
        <v>96.41</v>
      </c>
      <c r="N324" s="5">
        <v>1.675</v>
      </c>
      <c r="O324" s="5">
        <f t="shared" si="22"/>
        <v>23.84955223880597</v>
      </c>
      <c r="R324" s="5">
        <v>831.2</v>
      </c>
      <c r="S324" s="5">
        <f t="shared" si="23"/>
        <v>81.512874800000006</v>
      </c>
    </row>
    <row r="325" spans="3:19" ht="18.75" customHeight="1" x14ac:dyDescent="0.25">
      <c r="C325" t="s">
        <v>73</v>
      </c>
      <c r="D325" s="6">
        <v>1968</v>
      </c>
      <c r="E325" t="s">
        <v>63</v>
      </c>
      <c r="F325" s="5">
        <v>96.41</v>
      </c>
      <c r="G325" s="5">
        <v>23.679905157083581</v>
      </c>
      <c r="H325" s="5">
        <v>92.614002599999992</v>
      </c>
      <c r="L325" s="5">
        <v>96.41</v>
      </c>
      <c r="N325" s="5">
        <v>1.6870000000000001</v>
      </c>
      <c r="O325" s="5">
        <f t="shared" si="22"/>
        <v>23.679905157083581</v>
      </c>
      <c r="R325" s="5">
        <v>944.4</v>
      </c>
      <c r="S325" s="5">
        <f t="shared" si="23"/>
        <v>92.614002599999992</v>
      </c>
    </row>
    <row r="326" spans="3:19" ht="18.75" customHeight="1" x14ac:dyDescent="0.25">
      <c r="C326" t="s">
        <v>73</v>
      </c>
      <c r="D326" s="6">
        <v>1968</v>
      </c>
      <c r="E326" t="s">
        <v>63</v>
      </c>
      <c r="F326" s="5">
        <v>96.41</v>
      </c>
      <c r="G326" s="5">
        <v>23.708011869436202</v>
      </c>
      <c r="H326" s="5">
        <v>92.849362200000002</v>
      </c>
      <c r="L326" s="5">
        <v>96.41</v>
      </c>
      <c r="N326" s="5">
        <v>1.6850000000000001</v>
      </c>
      <c r="O326" s="5">
        <f t="shared" si="22"/>
        <v>23.708011869436202</v>
      </c>
      <c r="R326" s="5">
        <v>946.8</v>
      </c>
      <c r="S326" s="5">
        <f t="shared" si="23"/>
        <v>92.849362200000002</v>
      </c>
    </row>
    <row r="327" spans="3:19" ht="18.75" customHeight="1" x14ac:dyDescent="0.25">
      <c r="C327" t="s">
        <v>73</v>
      </c>
      <c r="D327" s="6">
        <v>1968</v>
      </c>
      <c r="E327" t="s">
        <v>63</v>
      </c>
      <c r="F327" s="5">
        <v>96.41</v>
      </c>
      <c r="G327" s="5">
        <v>23.540365350618739</v>
      </c>
      <c r="H327" s="5">
        <v>105.30380769999999</v>
      </c>
      <c r="L327" s="5">
        <v>96.41</v>
      </c>
      <c r="N327" s="5">
        <v>1.6970000000000001</v>
      </c>
      <c r="O327" s="5">
        <f t="shared" si="22"/>
        <v>23.540365350618739</v>
      </c>
      <c r="R327" s="5">
        <v>1073.8</v>
      </c>
      <c r="S327" s="5">
        <f t="shared" si="23"/>
        <v>105.30380769999999</v>
      </c>
    </row>
    <row r="328" spans="3:19" ht="18.75" customHeight="1" x14ac:dyDescent="0.25">
      <c r="C328" t="s">
        <v>73</v>
      </c>
      <c r="D328" s="6">
        <v>1968</v>
      </c>
      <c r="E328" t="s">
        <v>63</v>
      </c>
      <c r="F328" s="5">
        <v>96.41</v>
      </c>
      <c r="G328" s="5">
        <v>23.388758782201407</v>
      </c>
      <c r="H328" s="5">
        <v>119.16060415</v>
      </c>
      <c r="L328" s="5">
        <v>96.41</v>
      </c>
      <c r="N328" s="5">
        <v>1.708</v>
      </c>
      <c r="O328" s="5">
        <f t="shared" si="22"/>
        <v>23.388758782201407</v>
      </c>
      <c r="R328" s="5">
        <v>1215.0999999999999</v>
      </c>
      <c r="S328" s="5">
        <f t="shared" si="23"/>
        <v>119.16060415</v>
      </c>
    </row>
    <row r="329" spans="3:19" ht="18.75" customHeight="1" x14ac:dyDescent="0.25">
      <c r="C329" t="s">
        <v>73</v>
      </c>
      <c r="D329" s="6">
        <v>1968</v>
      </c>
      <c r="E329" t="s">
        <v>63</v>
      </c>
      <c r="F329" s="5">
        <v>101.11</v>
      </c>
      <c r="G329" s="5">
        <v>23.935290593169562</v>
      </c>
      <c r="H329" s="5">
        <v>89.171868449999991</v>
      </c>
      <c r="L329" s="5">
        <v>101.11</v>
      </c>
      <c r="N329" s="5">
        <v>1.669</v>
      </c>
      <c r="O329" s="5">
        <f t="shared" si="22"/>
        <v>23.935290593169562</v>
      </c>
      <c r="R329" s="5">
        <v>909.3</v>
      </c>
      <c r="S329" s="5">
        <f t="shared" si="23"/>
        <v>89.171868449999991</v>
      </c>
    </row>
    <row r="330" spans="3:19" ht="18.75" customHeight="1" x14ac:dyDescent="0.25">
      <c r="C330" t="s">
        <v>73</v>
      </c>
      <c r="D330" s="6">
        <v>1968</v>
      </c>
      <c r="E330" t="s">
        <v>63</v>
      </c>
      <c r="F330" s="5">
        <v>101.11</v>
      </c>
      <c r="G330" s="5">
        <v>23.920958083832335</v>
      </c>
      <c r="H330" s="5">
        <v>89.907367199999996</v>
      </c>
      <c r="L330" s="5">
        <v>101.11</v>
      </c>
      <c r="N330" s="5">
        <v>1.67</v>
      </c>
      <c r="O330" s="5">
        <f t="shared" si="22"/>
        <v>23.920958083832335</v>
      </c>
      <c r="R330" s="5">
        <v>916.8</v>
      </c>
      <c r="S330" s="5">
        <f t="shared" si="23"/>
        <v>89.907367199999996</v>
      </c>
    </row>
    <row r="331" spans="3:19" ht="18.75" customHeight="1" x14ac:dyDescent="0.25">
      <c r="C331" t="s">
        <v>73</v>
      </c>
      <c r="D331" s="6">
        <v>1968</v>
      </c>
      <c r="E331" t="s">
        <v>63</v>
      </c>
      <c r="F331" s="5">
        <v>101.11</v>
      </c>
      <c r="G331" s="5">
        <v>23.708011869436202</v>
      </c>
      <c r="H331" s="5">
        <v>105.6176205</v>
      </c>
      <c r="L331" s="5">
        <v>101.11</v>
      </c>
      <c r="N331" s="5">
        <v>1.6850000000000001</v>
      </c>
      <c r="O331" s="5">
        <f t="shared" si="22"/>
        <v>23.708011869436202</v>
      </c>
      <c r="R331" s="6">
        <v>1077</v>
      </c>
      <c r="S331" s="5">
        <f t="shared" si="23"/>
        <v>105.6176205</v>
      </c>
    </row>
    <row r="332" spans="3:19" ht="18.75" customHeight="1" x14ac:dyDescent="0.25">
      <c r="C332" t="s">
        <v>73</v>
      </c>
      <c r="D332" s="6">
        <v>1968</v>
      </c>
      <c r="E332" t="s">
        <v>63</v>
      </c>
      <c r="F332" s="5">
        <v>101.11</v>
      </c>
      <c r="G332" s="5">
        <v>23.665876777251185</v>
      </c>
      <c r="H332" s="5">
        <v>107.35339755000001</v>
      </c>
      <c r="L332" s="5">
        <v>101.11</v>
      </c>
      <c r="N332" s="5">
        <v>1.6879999999999999</v>
      </c>
      <c r="O332" s="5">
        <f t="shared" si="22"/>
        <v>23.665876777251185</v>
      </c>
      <c r="R332" s="5">
        <v>1094.7</v>
      </c>
      <c r="S332" s="5">
        <f t="shared" si="23"/>
        <v>107.35339755000001</v>
      </c>
    </row>
    <row r="333" spans="3:19" ht="18.75" customHeight="1" x14ac:dyDescent="0.25">
      <c r="C333" t="s">
        <v>73</v>
      </c>
      <c r="D333" s="6">
        <v>1968</v>
      </c>
      <c r="E333" t="s">
        <v>63</v>
      </c>
      <c r="F333" s="5">
        <v>101.11</v>
      </c>
      <c r="G333" s="5">
        <v>23.526501766784452</v>
      </c>
      <c r="H333" s="5">
        <v>119.96474945</v>
      </c>
      <c r="L333" s="5">
        <v>101.11</v>
      </c>
      <c r="N333" s="5">
        <v>1.698</v>
      </c>
      <c r="O333" s="5">
        <f t="shared" si="22"/>
        <v>23.526501766784452</v>
      </c>
      <c r="R333" s="5">
        <v>1223.3</v>
      </c>
      <c r="S333" s="5">
        <f t="shared" si="23"/>
        <v>119.96474945</v>
      </c>
    </row>
    <row r="334" spans="3:19" ht="18.75" customHeight="1" x14ac:dyDescent="0.25">
      <c r="C334" t="s">
        <v>73</v>
      </c>
      <c r="D334" s="6">
        <v>1968</v>
      </c>
      <c r="E334" t="s">
        <v>63</v>
      </c>
      <c r="F334" s="5">
        <v>101.11</v>
      </c>
      <c r="G334" s="5">
        <v>23.498823529411766</v>
      </c>
      <c r="H334" s="5">
        <v>122.43602525</v>
      </c>
      <c r="L334" s="5">
        <v>101.11</v>
      </c>
      <c r="N334" s="5">
        <v>1.7</v>
      </c>
      <c r="O334" s="5">
        <f t="shared" si="22"/>
        <v>23.498823529411766</v>
      </c>
      <c r="R334" s="5">
        <v>1248.5</v>
      </c>
      <c r="S334" s="5">
        <f t="shared" si="23"/>
        <v>122.43602525</v>
      </c>
    </row>
    <row r="335" spans="3:19" ht="18.75" customHeight="1" x14ac:dyDescent="0.25">
      <c r="C335" t="s">
        <v>73</v>
      </c>
      <c r="D335" s="6">
        <v>1968</v>
      </c>
      <c r="E335" t="s">
        <v>63</v>
      </c>
      <c r="F335" s="5">
        <v>101.11</v>
      </c>
      <c r="G335" s="5">
        <v>23.347749853886615</v>
      </c>
      <c r="H335" s="5">
        <v>135.41022319999999</v>
      </c>
      <c r="L335" s="5">
        <v>101.11</v>
      </c>
      <c r="N335" s="5">
        <v>1.7110000000000001</v>
      </c>
      <c r="O335" s="5">
        <f t="shared" si="22"/>
        <v>23.347749853886615</v>
      </c>
      <c r="R335" s="5">
        <v>1380.8</v>
      </c>
      <c r="S335" s="5">
        <f t="shared" si="23"/>
        <v>135.41022319999999</v>
      </c>
    </row>
    <row r="336" spans="3:19" ht="18.75" customHeight="1" x14ac:dyDescent="0.25">
      <c r="C336" t="s">
        <v>73</v>
      </c>
      <c r="D336" s="6">
        <v>1968</v>
      </c>
      <c r="E336" t="s">
        <v>63</v>
      </c>
      <c r="F336" s="5">
        <v>101.11</v>
      </c>
      <c r="G336" s="5">
        <v>23.266161910308679</v>
      </c>
      <c r="H336" s="5">
        <v>138.01879210000001</v>
      </c>
      <c r="L336" s="5">
        <v>101.11</v>
      </c>
      <c r="N336" s="5">
        <v>1.7170000000000001</v>
      </c>
      <c r="O336" s="5">
        <f t="shared" si="22"/>
        <v>23.266161910308679</v>
      </c>
      <c r="R336" s="5">
        <v>1407.4</v>
      </c>
      <c r="S336" s="5">
        <f t="shared" si="23"/>
        <v>138.01879210000001</v>
      </c>
    </row>
    <row r="337" spans="3:19" ht="18.75" customHeight="1" x14ac:dyDescent="0.25">
      <c r="C337" t="s">
        <v>73</v>
      </c>
      <c r="D337" s="6">
        <v>1968</v>
      </c>
      <c r="E337" t="s">
        <v>63</v>
      </c>
      <c r="F337" s="5">
        <v>101.11</v>
      </c>
      <c r="G337" s="5">
        <v>23.185142193847938</v>
      </c>
      <c r="H337" s="5">
        <v>150.38497774999999</v>
      </c>
      <c r="L337" s="5">
        <v>101.11</v>
      </c>
      <c r="N337" s="5">
        <v>1.7230000000000001</v>
      </c>
      <c r="O337" s="5">
        <f t="shared" si="22"/>
        <v>23.185142193847938</v>
      </c>
      <c r="R337" s="5">
        <v>1533.5</v>
      </c>
      <c r="S337" s="5">
        <f t="shared" si="23"/>
        <v>150.38497774999999</v>
      </c>
    </row>
    <row r="338" spans="3:19" ht="18.75" customHeight="1" x14ac:dyDescent="0.25">
      <c r="C338" t="s">
        <v>73</v>
      </c>
      <c r="D338" s="6">
        <v>1968</v>
      </c>
      <c r="E338" t="s">
        <v>63</v>
      </c>
      <c r="F338" s="5">
        <v>101.11</v>
      </c>
      <c r="G338" s="5">
        <v>23.158260869565215</v>
      </c>
      <c r="H338" s="5">
        <v>152.54244075</v>
      </c>
      <c r="L338" s="5">
        <v>101.11</v>
      </c>
      <c r="N338" s="5">
        <v>1.7250000000000001</v>
      </c>
      <c r="O338" s="5">
        <f t="shared" si="22"/>
        <v>23.158260869565215</v>
      </c>
      <c r="R338" s="5">
        <v>1555.5</v>
      </c>
      <c r="S338" s="5">
        <f t="shared" si="23"/>
        <v>152.54244075</v>
      </c>
    </row>
    <row r="339" spans="3:19" ht="18.75" customHeight="1" x14ac:dyDescent="0.25">
      <c r="C339" t="s">
        <v>73</v>
      </c>
      <c r="D339" s="6">
        <v>1968</v>
      </c>
      <c r="E339" t="s">
        <v>63</v>
      </c>
      <c r="F339" s="5">
        <v>105.81</v>
      </c>
      <c r="G339" s="5">
        <v>23.892344497607656</v>
      </c>
      <c r="H339" s="5">
        <v>102.76388535000001</v>
      </c>
      <c r="L339" s="5">
        <v>105.81</v>
      </c>
      <c r="N339" s="5">
        <v>1.6719999999999999</v>
      </c>
      <c r="O339" s="5">
        <f t="shared" si="22"/>
        <v>23.892344497607656</v>
      </c>
      <c r="R339" s="5">
        <v>1047.9000000000001</v>
      </c>
      <c r="S339" s="5">
        <f t="shared" si="23"/>
        <v>102.76388535000001</v>
      </c>
    </row>
    <row r="340" spans="3:19" ht="18.75" customHeight="1" x14ac:dyDescent="0.25">
      <c r="C340" t="s">
        <v>73</v>
      </c>
      <c r="D340" s="6">
        <v>1968</v>
      </c>
      <c r="E340" t="s">
        <v>63</v>
      </c>
      <c r="F340" s="5">
        <v>105.81</v>
      </c>
      <c r="G340" s="5">
        <v>23.835322195704059</v>
      </c>
      <c r="H340" s="5">
        <v>109.9521598</v>
      </c>
      <c r="L340" s="5">
        <v>105.81</v>
      </c>
      <c r="N340" s="5">
        <v>1.6759999999999999</v>
      </c>
      <c r="O340" s="5">
        <f t="shared" si="22"/>
        <v>23.835322195704059</v>
      </c>
      <c r="R340" s="5">
        <v>1121.2</v>
      </c>
      <c r="S340" s="5">
        <f t="shared" si="23"/>
        <v>109.9521598</v>
      </c>
    </row>
    <row r="341" spans="3:19" ht="18.75" customHeight="1" x14ac:dyDescent="0.25">
      <c r="C341" t="s">
        <v>73</v>
      </c>
      <c r="D341" s="6">
        <v>1968</v>
      </c>
      <c r="E341" t="s">
        <v>63</v>
      </c>
      <c r="F341" s="5">
        <v>105.81</v>
      </c>
      <c r="G341" s="5">
        <v>23.679905157083581</v>
      </c>
      <c r="H341" s="5">
        <v>119.2880906</v>
      </c>
      <c r="L341" s="5">
        <v>105.81</v>
      </c>
      <c r="N341" s="5">
        <v>1.6870000000000001</v>
      </c>
      <c r="O341" s="5">
        <f t="shared" si="22"/>
        <v>23.679905157083581</v>
      </c>
      <c r="R341" s="5">
        <v>1216.4000000000001</v>
      </c>
      <c r="S341" s="5">
        <f t="shared" si="23"/>
        <v>119.2880906</v>
      </c>
    </row>
    <row r="342" spans="3:19" ht="18.75" customHeight="1" x14ac:dyDescent="0.25">
      <c r="C342" t="s">
        <v>73</v>
      </c>
      <c r="D342" s="6">
        <v>1968</v>
      </c>
      <c r="E342" t="s">
        <v>63</v>
      </c>
      <c r="F342" s="5">
        <v>105.81</v>
      </c>
      <c r="G342" s="5">
        <v>23.679905157083581</v>
      </c>
      <c r="H342" s="5">
        <v>120.14126914999999</v>
      </c>
      <c r="L342" s="5">
        <v>105.81</v>
      </c>
      <c r="N342" s="5">
        <v>1.6870000000000001</v>
      </c>
      <c r="O342" s="5">
        <f t="shared" si="22"/>
        <v>23.679905157083581</v>
      </c>
      <c r="R342" s="5">
        <v>1225.0999999999999</v>
      </c>
      <c r="S342" s="5">
        <f t="shared" si="23"/>
        <v>120.14126914999999</v>
      </c>
    </row>
    <row r="343" spans="3:19" ht="18.75" customHeight="1" x14ac:dyDescent="0.25">
      <c r="C343" t="s">
        <v>73</v>
      </c>
      <c r="D343" s="6">
        <v>1968</v>
      </c>
      <c r="E343" t="s">
        <v>63</v>
      </c>
      <c r="F343" s="5">
        <v>105.81</v>
      </c>
      <c r="G343" s="5">
        <v>23.485008818342152</v>
      </c>
      <c r="H343" s="5">
        <v>134.80221090000001</v>
      </c>
      <c r="L343" s="5">
        <v>105.81</v>
      </c>
      <c r="N343" s="5">
        <v>1.7010000000000001</v>
      </c>
      <c r="O343" s="5">
        <f t="shared" si="22"/>
        <v>23.485008818342152</v>
      </c>
      <c r="R343" s="5">
        <v>1374.6</v>
      </c>
      <c r="S343" s="5">
        <f t="shared" si="23"/>
        <v>134.80221090000001</v>
      </c>
    </row>
    <row r="344" spans="3:19" ht="18.75" customHeight="1" x14ac:dyDescent="0.25">
      <c r="C344" t="s">
        <v>73</v>
      </c>
      <c r="D344" s="6">
        <v>1968</v>
      </c>
      <c r="E344" t="s">
        <v>63</v>
      </c>
      <c r="F344" s="5">
        <v>105.81</v>
      </c>
      <c r="G344" s="5">
        <v>23.457428068115089</v>
      </c>
      <c r="H344" s="5">
        <v>135.1160237</v>
      </c>
      <c r="L344" s="5">
        <v>105.81</v>
      </c>
      <c r="N344" s="5">
        <v>1.7030000000000001</v>
      </c>
      <c r="O344" s="5">
        <f t="shared" si="22"/>
        <v>23.457428068115089</v>
      </c>
      <c r="R344" s="5">
        <v>1377.8</v>
      </c>
      <c r="S344" s="5">
        <f t="shared" si="23"/>
        <v>135.1160237</v>
      </c>
    </row>
    <row r="345" spans="3:19" ht="18.75" customHeight="1" x14ac:dyDescent="0.25">
      <c r="C345" t="s">
        <v>73</v>
      </c>
      <c r="D345" s="6">
        <v>1968</v>
      </c>
      <c r="E345" t="s">
        <v>63</v>
      </c>
      <c r="F345" s="5">
        <v>105.81</v>
      </c>
      <c r="G345" s="5">
        <v>23.320490367775832</v>
      </c>
      <c r="H345" s="5">
        <v>149.26701964999998</v>
      </c>
      <c r="L345" s="5">
        <v>105.81</v>
      </c>
      <c r="N345" s="5">
        <v>1.7130000000000001</v>
      </c>
      <c r="O345" s="5">
        <f t="shared" si="22"/>
        <v>23.320490367775832</v>
      </c>
      <c r="R345" s="5">
        <v>1522.1</v>
      </c>
      <c r="S345" s="5">
        <f t="shared" si="23"/>
        <v>149.26701964999998</v>
      </c>
    </row>
    <row r="346" spans="3:19" ht="18.75" customHeight="1" x14ac:dyDescent="0.25">
      <c r="C346" t="s">
        <v>73</v>
      </c>
      <c r="D346" s="6">
        <v>1968</v>
      </c>
      <c r="E346" t="s">
        <v>63</v>
      </c>
      <c r="F346" s="5">
        <v>105.81</v>
      </c>
      <c r="G346" s="5">
        <v>23.158260869565215</v>
      </c>
      <c r="H346" s="5">
        <v>161.79991835000001</v>
      </c>
      <c r="L346" s="5">
        <v>105.81</v>
      </c>
      <c r="N346" s="5">
        <v>1.7250000000000001</v>
      </c>
      <c r="O346" s="5">
        <f t="shared" si="22"/>
        <v>23.158260869565215</v>
      </c>
      <c r="R346" s="5">
        <v>1649.9</v>
      </c>
      <c r="S346" s="5">
        <f t="shared" si="23"/>
        <v>161.79991835000001</v>
      </c>
    </row>
    <row r="347" spans="3:19" ht="18.75" customHeight="1" x14ac:dyDescent="0.25">
      <c r="C347" t="s">
        <v>73</v>
      </c>
      <c r="D347" s="6">
        <v>1968</v>
      </c>
      <c r="E347" t="s">
        <v>63</v>
      </c>
      <c r="F347" s="5">
        <v>110.55</v>
      </c>
      <c r="G347" s="5">
        <v>23.750297265160523</v>
      </c>
      <c r="H347" s="5">
        <v>132.88991414999998</v>
      </c>
      <c r="L347" s="5">
        <v>110.55</v>
      </c>
      <c r="N347" s="5">
        <v>1.6819999999999999</v>
      </c>
      <c r="O347" s="5">
        <f t="shared" si="22"/>
        <v>23.750297265160523</v>
      </c>
      <c r="R347" s="5">
        <v>1355.1</v>
      </c>
      <c r="S347" s="5">
        <f t="shared" si="23"/>
        <v>132.88991414999998</v>
      </c>
    </row>
    <row r="348" spans="3:19" ht="18.75" customHeight="1" x14ac:dyDescent="0.25">
      <c r="C348" t="s">
        <v>73</v>
      </c>
      <c r="D348" s="6">
        <v>1968</v>
      </c>
      <c r="E348" t="s">
        <v>63</v>
      </c>
      <c r="F348" s="5">
        <v>110.55</v>
      </c>
      <c r="G348" s="5">
        <v>23.485008818342152</v>
      </c>
      <c r="H348" s="5">
        <v>147.54104925000001</v>
      </c>
      <c r="L348" s="5">
        <v>110.55</v>
      </c>
      <c r="N348" s="5">
        <v>1.7010000000000001</v>
      </c>
      <c r="O348" s="5">
        <f t="shared" si="22"/>
        <v>23.485008818342152</v>
      </c>
      <c r="R348" s="5">
        <v>1504.5</v>
      </c>
      <c r="S348" s="5">
        <f t="shared" si="23"/>
        <v>147.54104925000001</v>
      </c>
    </row>
    <row r="349" spans="3:19" ht="18.75" customHeight="1" x14ac:dyDescent="0.25">
      <c r="C349" t="s">
        <v>73</v>
      </c>
      <c r="D349" s="6">
        <v>1968</v>
      </c>
      <c r="E349" t="s">
        <v>63</v>
      </c>
      <c r="F349" s="5">
        <v>110.55</v>
      </c>
      <c r="G349" s="5">
        <v>23.457428068115089</v>
      </c>
      <c r="H349" s="5">
        <v>147.7862155</v>
      </c>
      <c r="L349" s="5">
        <v>110.55</v>
      </c>
      <c r="N349" s="5">
        <v>1.7030000000000001</v>
      </c>
      <c r="O349" s="5">
        <f t="shared" si="22"/>
        <v>23.457428068115089</v>
      </c>
      <c r="R349" s="6">
        <v>1507</v>
      </c>
      <c r="S349" s="5">
        <f t="shared" si="23"/>
        <v>147.7862155</v>
      </c>
    </row>
    <row r="350" spans="3:19" ht="18.75" customHeight="1" x14ac:dyDescent="0.25">
      <c r="C350" t="s">
        <v>73</v>
      </c>
      <c r="D350" s="6">
        <v>1968</v>
      </c>
      <c r="E350" t="s">
        <v>63</v>
      </c>
      <c r="F350" s="5">
        <v>110.55</v>
      </c>
      <c r="G350" s="5">
        <v>23.334112149532711</v>
      </c>
      <c r="H350" s="5">
        <v>158.16165119999999</v>
      </c>
      <c r="L350" s="5">
        <v>110.55</v>
      </c>
      <c r="N350" s="5">
        <v>1.712</v>
      </c>
      <c r="O350" s="5">
        <f t="shared" si="22"/>
        <v>23.334112149532711</v>
      </c>
      <c r="R350" s="5">
        <v>1612.8</v>
      </c>
      <c r="S350" s="5">
        <f t="shared" si="23"/>
        <v>158.16165119999999</v>
      </c>
    </row>
    <row r="351" spans="3:19" ht="18.75" customHeight="1" x14ac:dyDescent="0.25">
      <c r="C351" t="s">
        <v>73</v>
      </c>
      <c r="D351" s="6">
        <v>1968</v>
      </c>
      <c r="E351" t="s">
        <v>63</v>
      </c>
      <c r="F351" s="5">
        <v>110.55</v>
      </c>
      <c r="G351" s="5">
        <v>23.306884480746792</v>
      </c>
      <c r="H351" s="5">
        <v>162.16276439999999</v>
      </c>
      <c r="L351" s="5">
        <v>110.55</v>
      </c>
      <c r="N351" s="5">
        <v>1.714</v>
      </c>
      <c r="O351" s="5">
        <f t="shared" si="22"/>
        <v>23.306884480746792</v>
      </c>
      <c r="R351" s="5">
        <v>1653.6</v>
      </c>
      <c r="S351" s="5">
        <f t="shared" si="23"/>
        <v>162.16276439999999</v>
      </c>
    </row>
    <row r="352" spans="3:19" ht="18.75" customHeight="1" x14ac:dyDescent="0.25">
      <c r="C352" t="s">
        <v>73</v>
      </c>
      <c r="D352" s="6">
        <v>1968</v>
      </c>
      <c r="E352" t="s">
        <v>63</v>
      </c>
      <c r="F352" s="5">
        <v>110.55</v>
      </c>
      <c r="G352" s="5">
        <v>23.225581395348836</v>
      </c>
      <c r="H352" s="5">
        <v>169.62562505</v>
      </c>
      <c r="L352" s="5">
        <v>110.55</v>
      </c>
      <c r="N352" s="5">
        <v>1.72</v>
      </c>
      <c r="O352" s="5">
        <f t="shared" si="22"/>
        <v>23.225581395348836</v>
      </c>
      <c r="R352" s="5">
        <v>1729.7</v>
      </c>
      <c r="S352" s="5">
        <f t="shared" si="23"/>
        <v>169.62562505</v>
      </c>
    </row>
    <row r="353" spans="3:19" ht="18.75" customHeight="1" x14ac:dyDescent="0.25">
      <c r="C353" t="s">
        <v>73</v>
      </c>
      <c r="D353" s="6">
        <v>1968</v>
      </c>
      <c r="E353" t="s">
        <v>63</v>
      </c>
      <c r="F353" s="5">
        <v>110.55</v>
      </c>
      <c r="G353" s="5">
        <v>23.171693735498842</v>
      </c>
      <c r="H353" s="5">
        <v>176.54911995000001</v>
      </c>
      <c r="L353" s="5">
        <v>110.55</v>
      </c>
      <c r="N353" s="5">
        <v>1.724</v>
      </c>
      <c r="O353" s="5">
        <f t="shared" ref="O353:O369" si="24">$O$2/N353</f>
        <v>23.171693735498842</v>
      </c>
      <c r="R353" s="5">
        <v>1800.3</v>
      </c>
      <c r="S353" s="5">
        <f t="shared" ref="S353:S369" si="25">0.0980665*R353</f>
        <v>176.54911995000001</v>
      </c>
    </row>
    <row r="354" spans="3:19" ht="18.75" customHeight="1" x14ac:dyDescent="0.25">
      <c r="C354" t="s">
        <v>73</v>
      </c>
      <c r="D354" s="6">
        <v>1968</v>
      </c>
      <c r="E354" t="s">
        <v>63</v>
      </c>
      <c r="F354" s="5">
        <v>110.55</v>
      </c>
      <c r="G354" s="5">
        <v>23.011520737327189</v>
      </c>
      <c r="H354" s="5">
        <v>192.65163924999999</v>
      </c>
      <c r="L354" s="5">
        <v>110.55</v>
      </c>
      <c r="N354" s="5">
        <v>1.736</v>
      </c>
      <c r="O354" s="5">
        <f t="shared" si="24"/>
        <v>23.011520737327189</v>
      </c>
      <c r="R354" s="5">
        <v>1964.5</v>
      </c>
      <c r="S354" s="5">
        <f t="shared" si="25"/>
        <v>192.65163924999999</v>
      </c>
    </row>
    <row r="355" spans="3:19" ht="18.75" customHeight="1" x14ac:dyDescent="0.25">
      <c r="C355" t="s">
        <v>73</v>
      </c>
      <c r="D355" s="6">
        <v>1968</v>
      </c>
      <c r="E355" t="s">
        <v>63</v>
      </c>
      <c r="F355" s="5">
        <v>110.55</v>
      </c>
      <c r="G355" s="5">
        <v>22.945433658816771</v>
      </c>
      <c r="H355" s="5">
        <v>196.99598520000001</v>
      </c>
      <c r="L355" s="5">
        <v>110.55</v>
      </c>
      <c r="N355" s="5">
        <v>1.7410000000000001</v>
      </c>
      <c r="O355" s="5">
        <f t="shared" si="24"/>
        <v>22.945433658816771</v>
      </c>
      <c r="R355" s="5">
        <v>2008.8</v>
      </c>
      <c r="S355" s="5">
        <f t="shared" si="25"/>
        <v>196.99598520000001</v>
      </c>
    </row>
    <row r="356" spans="3:19" ht="18.75" customHeight="1" x14ac:dyDescent="0.25">
      <c r="C356" t="s">
        <v>73</v>
      </c>
      <c r="D356" s="6">
        <v>1968</v>
      </c>
      <c r="E356" t="s">
        <v>63</v>
      </c>
      <c r="F356" s="5">
        <v>110.55</v>
      </c>
      <c r="G356" s="5">
        <v>22.945433658816771</v>
      </c>
      <c r="H356" s="5">
        <v>197.43728444999999</v>
      </c>
      <c r="L356" s="5">
        <v>110.55</v>
      </c>
      <c r="N356" s="5">
        <v>1.7410000000000001</v>
      </c>
      <c r="O356" s="5">
        <f t="shared" si="24"/>
        <v>22.945433658816771</v>
      </c>
      <c r="R356" s="5">
        <v>2013.3</v>
      </c>
      <c r="S356" s="5">
        <f t="shared" si="25"/>
        <v>197.43728444999999</v>
      </c>
    </row>
    <row r="357" spans="3:19" ht="18.75" customHeight="1" x14ac:dyDescent="0.25">
      <c r="C357" t="s">
        <v>73</v>
      </c>
      <c r="D357" s="6">
        <v>1968</v>
      </c>
      <c r="E357" t="s">
        <v>63</v>
      </c>
      <c r="F357" s="5">
        <v>115.3</v>
      </c>
      <c r="G357" s="5">
        <v>23.806912991656734</v>
      </c>
      <c r="H357" s="5">
        <v>148.27654799999999</v>
      </c>
      <c r="L357" s="5">
        <v>115.3</v>
      </c>
      <c r="N357" s="5">
        <v>1.6779999999999999</v>
      </c>
      <c r="O357" s="5">
        <f t="shared" si="24"/>
        <v>23.806912991656734</v>
      </c>
      <c r="R357" s="6">
        <v>1512</v>
      </c>
      <c r="S357" s="5">
        <f t="shared" si="25"/>
        <v>148.27654799999999</v>
      </c>
    </row>
    <row r="358" spans="3:19" ht="18.75" customHeight="1" x14ac:dyDescent="0.25">
      <c r="C358" t="s">
        <v>73</v>
      </c>
      <c r="D358" s="6">
        <v>1968</v>
      </c>
      <c r="E358" t="s">
        <v>63</v>
      </c>
      <c r="F358" s="5">
        <v>115.3</v>
      </c>
      <c r="G358" s="5">
        <v>23.609929078014186</v>
      </c>
      <c r="H358" s="5">
        <v>151.1204765</v>
      </c>
      <c r="L358" s="5">
        <v>115.3</v>
      </c>
      <c r="N358" s="5">
        <v>1.6919999999999999</v>
      </c>
      <c r="O358" s="5">
        <f t="shared" si="24"/>
        <v>23.609929078014186</v>
      </c>
      <c r="R358" s="6">
        <v>1541</v>
      </c>
      <c r="S358" s="5">
        <f t="shared" si="25"/>
        <v>151.1204765</v>
      </c>
    </row>
    <row r="359" spans="3:19" ht="18.75" customHeight="1" x14ac:dyDescent="0.25">
      <c r="C359" t="s">
        <v>73</v>
      </c>
      <c r="D359" s="6">
        <v>1968</v>
      </c>
      <c r="E359" t="s">
        <v>63</v>
      </c>
      <c r="F359" s="5">
        <v>115.3</v>
      </c>
      <c r="G359" s="5">
        <v>23.485008818342152</v>
      </c>
      <c r="H359" s="5">
        <v>161.27035925000001</v>
      </c>
      <c r="L359" s="5">
        <v>115.3</v>
      </c>
      <c r="N359" s="5">
        <v>1.7010000000000001</v>
      </c>
      <c r="O359" s="5">
        <f t="shared" si="24"/>
        <v>23.485008818342152</v>
      </c>
      <c r="R359" s="5">
        <v>1644.5</v>
      </c>
      <c r="S359" s="5">
        <f t="shared" si="25"/>
        <v>161.27035925000001</v>
      </c>
    </row>
    <row r="360" spans="3:19" ht="18.75" customHeight="1" x14ac:dyDescent="0.25">
      <c r="C360" t="s">
        <v>73</v>
      </c>
      <c r="D360" s="6">
        <v>1968</v>
      </c>
      <c r="E360" t="s">
        <v>63</v>
      </c>
      <c r="F360" s="5">
        <v>115.3</v>
      </c>
      <c r="G360" s="5">
        <v>23.42991202346041</v>
      </c>
      <c r="H360" s="5">
        <v>163.57492200000002</v>
      </c>
      <c r="L360" s="5">
        <v>115.3</v>
      </c>
      <c r="N360" s="5">
        <v>1.7050000000000001</v>
      </c>
      <c r="O360" s="5">
        <f t="shared" si="24"/>
        <v>23.42991202346041</v>
      </c>
      <c r="R360" s="6">
        <v>1668</v>
      </c>
      <c r="S360" s="5">
        <f t="shared" si="25"/>
        <v>163.57492200000002</v>
      </c>
    </row>
    <row r="361" spans="3:19" ht="18.75" customHeight="1" x14ac:dyDescent="0.25">
      <c r="C361" t="s">
        <v>73</v>
      </c>
      <c r="D361" s="6">
        <v>1968</v>
      </c>
      <c r="E361" t="s">
        <v>63</v>
      </c>
      <c r="F361" s="5">
        <v>115.3</v>
      </c>
      <c r="G361" s="5">
        <v>23.306884480746792</v>
      </c>
      <c r="H361" s="5">
        <v>176.3627936</v>
      </c>
      <c r="L361" s="5">
        <v>115.3</v>
      </c>
      <c r="N361" s="5">
        <v>1.714</v>
      </c>
      <c r="O361" s="5">
        <f t="shared" si="24"/>
        <v>23.306884480746792</v>
      </c>
      <c r="R361" s="5">
        <v>1798.4</v>
      </c>
      <c r="S361" s="5">
        <f t="shared" si="25"/>
        <v>176.3627936</v>
      </c>
    </row>
    <row r="362" spans="3:19" ht="18.75" customHeight="1" x14ac:dyDescent="0.25">
      <c r="C362" t="s">
        <v>73</v>
      </c>
      <c r="D362" s="6">
        <v>1968</v>
      </c>
      <c r="E362" t="s">
        <v>63</v>
      </c>
      <c r="F362" s="5">
        <v>115.3</v>
      </c>
      <c r="G362" s="5">
        <v>23.266161910308679</v>
      </c>
      <c r="H362" s="5">
        <v>177.70630464999999</v>
      </c>
      <c r="L362" s="5">
        <v>115.3</v>
      </c>
      <c r="N362" s="5">
        <v>1.7170000000000001</v>
      </c>
      <c r="O362" s="5">
        <f t="shared" si="24"/>
        <v>23.266161910308679</v>
      </c>
      <c r="R362" s="5">
        <v>1812.1</v>
      </c>
      <c r="S362" s="5">
        <f t="shared" si="25"/>
        <v>177.70630464999999</v>
      </c>
    </row>
    <row r="363" spans="3:19" ht="18.75" customHeight="1" x14ac:dyDescent="0.25">
      <c r="C363" t="s">
        <v>73</v>
      </c>
      <c r="D363" s="6">
        <v>1968</v>
      </c>
      <c r="E363" t="s">
        <v>63</v>
      </c>
      <c r="F363" s="5">
        <v>115.3</v>
      </c>
      <c r="G363" s="5">
        <v>23.104684788895316</v>
      </c>
      <c r="H363" s="5">
        <v>192.7398991</v>
      </c>
      <c r="L363" s="5">
        <v>115.3</v>
      </c>
      <c r="N363" s="5">
        <v>1.7290000000000001</v>
      </c>
      <c r="O363" s="5">
        <f t="shared" si="24"/>
        <v>23.104684788895316</v>
      </c>
      <c r="R363" s="5">
        <v>1965.4</v>
      </c>
      <c r="S363" s="5">
        <f t="shared" si="25"/>
        <v>192.7398991</v>
      </c>
    </row>
    <row r="364" spans="3:19" ht="18.75" customHeight="1" x14ac:dyDescent="0.25">
      <c r="C364" t="s">
        <v>73</v>
      </c>
      <c r="D364" s="6">
        <v>1968</v>
      </c>
      <c r="E364" t="s">
        <v>63</v>
      </c>
      <c r="F364" s="5">
        <v>115.3</v>
      </c>
      <c r="G364" s="5">
        <v>23.118055555555557</v>
      </c>
      <c r="H364" s="5">
        <v>194.59335594999999</v>
      </c>
      <c r="L364" s="5">
        <v>115.3</v>
      </c>
      <c r="N364" s="5">
        <v>1.728</v>
      </c>
      <c r="O364" s="5">
        <f t="shared" si="24"/>
        <v>23.118055555555557</v>
      </c>
      <c r="R364" s="5">
        <v>1984.3</v>
      </c>
      <c r="S364" s="5">
        <f t="shared" si="25"/>
        <v>194.59335594999999</v>
      </c>
    </row>
    <row r="365" spans="3:19" ht="18.75" customHeight="1" x14ac:dyDescent="0.25">
      <c r="C365" t="s">
        <v>73</v>
      </c>
      <c r="D365" s="6">
        <v>1968</v>
      </c>
      <c r="E365" t="s">
        <v>63</v>
      </c>
      <c r="F365" s="5">
        <v>120.08</v>
      </c>
      <c r="G365" s="5">
        <v>23.582054309327038</v>
      </c>
      <c r="H365" s="5">
        <v>175.39193524999999</v>
      </c>
      <c r="L365" s="5">
        <v>120.08</v>
      </c>
      <c r="N365" s="5">
        <v>1.694</v>
      </c>
      <c r="O365" s="5">
        <f t="shared" si="24"/>
        <v>23.582054309327038</v>
      </c>
      <c r="R365" s="5">
        <v>1788.5</v>
      </c>
      <c r="S365" s="5">
        <f t="shared" si="25"/>
        <v>175.39193524999999</v>
      </c>
    </row>
    <row r="366" spans="3:19" ht="18.75" customHeight="1" x14ac:dyDescent="0.25">
      <c r="C366" t="s">
        <v>73</v>
      </c>
      <c r="D366" s="6">
        <v>1968</v>
      </c>
      <c r="E366" t="s">
        <v>63</v>
      </c>
      <c r="F366" s="5">
        <v>120.08</v>
      </c>
      <c r="G366" s="5">
        <v>23.375073142188413</v>
      </c>
      <c r="H366" s="5">
        <v>183.92372075</v>
      </c>
      <c r="L366" s="5">
        <v>120.08</v>
      </c>
      <c r="N366" s="5">
        <v>1.7090000000000001</v>
      </c>
      <c r="O366" s="5">
        <f t="shared" si="24"/>
        <v>23.375073142188413</v>
      </c>
      <c r="R366" s="5">
        <v>1875.5</v>
      </c>
      <c r="S366" s="5">
        <f t="shared" si="25"/>
        <v>183.92372075</v>
      </c>
    </row>
    <row r="367" spans="3:19" ht="18.75" customHeight="1" x14ac:dyDescent="0.25">
      <c r="C367" t="s">
        <v>73</v>
      </c>
      <c r="D367" s="6">
        <v>1968</v>
      </c>
      <c r="E367" t="s">
        <v>63</v>
      </c>
      <c r="F367" s="5">
        <v>120.08</v>
      </c>
      <c r="G367" s="5">
        <v>23.361403508771932</v>
      </c>
      <c r="H367" s="5">
        <v>184.72786605000002</v>
      </c>
      <c r="L367" s="5">
        <v>120.08</v>
      </c>
      <c r="N367" s="5">
        <v>1.71</v>
      </c>
      <c r="O367" s="5">
        <f t="shared" si="24"/>
        <v>23.361403508771932</v>
      </c>
      <c r="R367" s="5">
        <v>1883.7</v>
      </c>
      <c r="S367" s="5">
        <f t="shared" si="25"/>
        <v>184.72786605000002</v>
      </c>
    </row>
    <row r="368" spans="3:19" ht="18.75" customHeight="1" x14ac:dyDescent="0.25">
      <c r="C368" t="s">
        <v>73</v>
      </c>
      <c r="D368" s="6">
        <v>1968</v>
      </c>
      <c r="E368" t="s">
        <v>63</v>
      </c>
      <c r="F368" s="5">
        <v>120.08</v>
      </c>
      <c r="G368" s="5">
        <v>23.225581395348836</v>
      </c>
      <c r="H368" s="5">
        <v>195.12291505000002</v>
      </c>
      <c r="L368" s="5">
        <v>120.08</v>
      </c>
      <c r="N368" s="5">
        <v>1.72</v>
      </c>
      <c r="O368" s="5">
        <f t="shared" si="24"/>
        <v>23.225581395348836</v>
      </c>
      <c r="R368" s="5">
        <v>1989.7</v>
      </c>
      <c r="S368" s="5">
        <f t="shared" si="25"/>
        <v>195.12291505000002</v>
      </c>
    </row>
    <row r="369" spans="1:19" ht="18.75" customHeight="1" x14ac:dyDescent="0.25">
      <c r="C369" t="s">
        <v>73</v>
      </c>
      <c r="D369" s="6">
        <v>1968</v>
      </c>
      <c r="E369" t="s">
        <v>63</v>
      </c>
      <c r="F369" s="5">
        <v>120.08</v>
      </c>
      <c r="G369" s="5">
        <v>23.198606271777003</v>
      </c>
      <c r="H369" s="5">
        <v>199.29074130000001</v>
      </c>
      <c r="L369" s="5">
        <v>120.08</v>
      </c>
      <c r="N369" s="5">
        <v>1.722</v>
      </c>
      <c r="O369" s="5">
        <f t="shared" si="24"/>
        <v>23.198606271777003</v>
      </c>
      <c r="R369" s="5">
        <v>2032.2</v>
      </c>
      <c r="S369" s="5">
        <f t="shared" si="25"/>
        <v>199.29074130000001</v>
      </c>
    </row>
    <row r="370" spans="1:19" ht="18.75" customHeight="1" x14ac:dyDescent="0.25">
      <c r="A370" t="s">
        <v>74</v>
      </c>
      <c r="D370" s="6">
        <v>1974</v>
      </c>
      <c r="E370" t="s">
        <v>52</v>
      </c>
      <c r="F370" s="6">
        <v>210</v>
      </c>
      <c r="G370" s="5">
        <v>21.39</v>
      </c>
      <c r="H370" s="6">
        <f t="shared" ref="H370:H401" si="26">I370*100</f>
        <v>695</v>
      </c>
      <c r="I370" s="5">
        <v>6.95</v>
      </c>
    </row>
    <row r="371" spans="1:19" ht="18.75" customHeight="1" x14ac:dyDescent="0.25">
      <c r="A371" t="s">
        <v>75</v>
      </c>
      <c r="D371" s="6">
        <v>1974</v>
      </c>
      <c r="E371" t="s">
        <v>52</v>
      </c>
      <c r="F371" s="6">
        <v>200</v>
      </c>
      <c r="G371" s="5">
        <v>21.39</v>
      </c>
      <c r="H371" s="6">
        <f t="shared" si="26"/>
        <v>669</v>
      </c>
      <c r="I371" s="5">
        <v>6.69</v>
      </c>
    </row>
    <row r="372" spans="1:19" ht="18.75" customHeight="1" x14ac:dyDescent="0.25">
      <c r="D372" s="6">
        <v>1974</v>
      </c>
      <c r="E372" t="s">
        <v>52</v>
      </c>
      <c r="F372" s="6">
        <v>190</v>
      </c>
      <c r="G372" s="5">
        <v>21.39</v>
      </c>
      <c r="H372" s="6">
        <f t="shared" si="26"/>
        <v>642</v>
      </c>
      <c r="I372" s="5">
        <v>6.42</v>
      </c>
    </row>
    <row r="373" spans="1:19" ht="18.75" customHeight="1" x14ac:dyDescent="0.25">
      <c r="D373" s="6">
        <v>1974</v>
      </c>
      <c r="E373" t="s">
        <v>52</v>
      </c>
      <c r="F373" s="6">
        <v>180</v>
      </c>
      <c r="G373" s="5">
        <v>21.39</v>
      </c>
      <c r="H373" s="6">
        <f t="shared" si="26"/>
        <v>615</v>
      </c>
      <c r="I373" s="5">
        <v>6.15</v>
      </c>
    </row>
    <row r="374" spans="1:19" ht="18.75" customHeight="1" x14ac:dyDescent="0.25">
      <c r="D374" s="6">
        <v>1974</v>
      </c>
      <c r="E374" t="s">
        <v>52</v>
      </c>
      <c r="F374" s="6">
        <v>170</v>
      </c>
      <c r="G374" s="5">
        <v>21.39</v>
      </c>
      <c r="H374" s="6">
        <f t="shared" si="26"/>
        <v>589</v>
      </c>
      <c r="I374" s="5">
        <v>5.89</v>
      </c>
    </row>
    <row r="375" spans="1:19" ht="18.75" customHeight="1" x14ac:dyDescent="0.25">
      <c r="D375" s="6">
        <v>1974</v>
      </c>
      <c r="E375" t="s">
        <v>52</v>
      </c>
      <c r="F375" s="6">
        <v>160</v>
      </c>
      <c r="G375" s="5">
        <v>21.39</v>
      </c>
      <c r="H375" s="6">
        <f t="shared" si="26"/>
        <v>562</v>
      </c>
      <c r="I375" s="5">
        <v>5.62</v>
      </c>
    </row>
    <row r="376" spans="1:19" ht="18.75" customHeight="1" x14ac:dyDescent="0.25">
      <c r="D376" s="6">
        <v>1974</v>
      </c>
      <c r="E376" t="s">
        <v>52</v>
      </c>
      <c r="F376" s="6">
        <v>150</v>
      </c>
      <c r="G376" s="5">
        <v>21.39</v>
      </c>
      <c r="H376" s="6">
        <f t="shared" si="26"/>
        <v>536</v>
      </c>
      <c r="I376" s="5">
        <v>5.36</v>
      </c>
    </row>
    <row r="377" spans="1:19" ht="18.75" customHeight="1" x14ac:dyDescent="0.25">
      <c r="D377" s="6">
        <v>1974</v>
      </c>
      <c r="E377" t="s">
        <v>52</v>
      </c>
      <c r="F377" s="6">
        <v>140</v>
      </c>
      <c r="G377" s="5">
        <v>21.39</v>
      </c>
      <c r="H377" s="6">
        <f t="shared" si="26"/>
        <v>508</v>
      </c>
      <c r="I377" s="5">
        <v>5.08</v>
      </c>
    </row>
    <row r="378" spans="1:19" ht="18.75" customHeight="1" x14ac:dyDescent="0.25">
      <c r="D378" s="6">
        <v>1974</v>
      </c>
      <c r="E378" t="s">
        <v>52</v>
      </c>
      <c r="F378" s="6">
        <v>130</v>
      </c>
      <c r="G378" s="5">
        <v>21.39</v>
      </c>
      <c r="H378" s="6">
        <f t="shared" si="26"/>
        <v>482</v>
      </c>
      <c r="I378" s="5">
        <v>4.82</v>
      </c>
    </row>
    <row r="379" spans="1:19" ht="18.75" customHeight="1" x14ac:dyDescent="0.25">
      <c r="D379" s="6">
        <v>1974</v>
      </c>
      <c r="E379" t="s">
        <v>52</v>
      </c>
      <c r="F379" s="6">
        <v>120</v>
      </c>
      <c r="G379" s="5">
        <v>21.39</v>
      </c>
      <c r="H379" s="6">
        <f t="shared" si="26"/>
        <v>455</v>
      </c>
      <c r="I379" s="5">
        <v>4.55</v>
      </c>
    </row>
    <row r="380" spans="1:19" ht="18.75" customHeight="1" x14ac:dyDescent="0.25">
      <c r="D380" s="6">
        <v>1974</v>
      </c>
      <c r="E380" t="s">
        <v>52</v>
      </c>
      <c r="F380" s="6">
        <v>110</v>
      </c>
      <c r="G380" s="5">
        <v>21.39</v>
      </c>
      <c r="H380" s="6">
        <f t="shared" si="26"/>
        <v>428</v>
      </c>
      <c r="I380" s="5">
        <v>4.28</v>
      </c>
    </row>
    <row r="381" spans="1:19" ht="18.75" customHeight="1" x14ac:dyDescent="0.25">
      <c r="D381" s="6">
        <v>1974</v>
      </c>
      <c r="E381" t="s">
        <v>52</v>
      </c>
      <c r="F381" s="6">
        <v>100</v>
      </c>
      <c r="G381" s="5">
        <v>21.39</v>
      </c>
      <c r="H381" s="6">
        <f t="shared" si="26"/>
        <v>401</v>
      </c>
      <c r="I381" s="5">
        <v>4.01</v>
      </c>
    </row>
    <row r="382" spans="1:19" ht="18.75" customHeight="1" x14ac:dyDescent="0.25">
      <c r="D382" s="6">
        <v>1974</v>
      </c>
      <c r="E382" t="s">
        <v>52</v>
      </c>
      <c r="F382" s="6">
        <v>90</v>
      </c>
      <c r="G382" s="5">
        <v>21.39</v>
      </c>
      <c r="H382" s="6">
        <f t="shared" si="26"/>
        <v>374</v>
      </c>
      <c r="I382" s="5">
        <v>3.74</v>
      </c>
    </row>
    <row r="383" spans="1:19" ht="18.75" customHeight="1" x14ac:dyDescent="0.25">
      <c r="D383" s="6">
        <v>1974</v>
      </c>
      <c r="E383" t="s">
        <v>52</v>
      </c>
      <c r="F383" s="6">
        <v>80</v>
      </c>
      <c r="G383" s="5">
        <v>21.39</v>
      </c>
      <c r="H383" s="6">
        <f t="shared" si="26"/>
        <v>347</v>
      </c>
      <c r="I383" s="5">
        <v>3.47</v>
      </c>
    </row>
    <row r="384" spans="1:19" ht="18.75" customHeight="1" x14ac:dyDescent="0.25">
      <c r="D384" s="6">
        <v>1974</v>
      </c>
      <c r="E384" t="s">
        <v>52</v>
      </c>
      <c r="F384" s="6">
        <v>170</v>
      </c>
      <c r="G384" s="5">
        <v>22.11</v>
      </c>
      <c r="H384" s="6">
        <f t="shared" si="26"/>
        <v>463</v>
      </c>
      <c r="I384" s="5">
        <v>4.63</v>
      </c>
    </row>
    <row r="385" spans="4:9" ht="18.75" customHeight="1" x14ac:dyDescent="0.25">
      <c r="D385" s="6">
        <v>1974</v>
      </c>
      <c r="E385" t="s">
        <v>52</v>
      </c>
      <c r="F385" s="6">
        <v>160</v>
      </c>
      <c r="G385" s="5">
        <v>22.11</v>
      </c>
      <c r="H385" s="5">
        <f t="shared" si="26"/>
        <v>436.00000000000006</v>
      </c>
      <c r="I385" s="5">
        <v>4.3600000000000003</v>
      </c>
    </row>
    <row r="386" spans="4:9" ht="18.75" customHeight="1" x14ac:dyDescent="0.25">
      <c r="D386" s="6">
        <v>1974</v>
      </c>
      <c r="E386" t="s">
        <v>52</v>
      </c>
      <c r="F386" s="6">
        <v>150</v>
      </c>
      <c r="G386" s="5">
        <v>22.11</v>
      </c>
      <c r="H386" s="6">
        <f t="shared" si="26"/>
        <v>408</v>
      </c>
      <c r="I386" s="5">
        <v>4.08</v>
      </c>
    </row>
    <row r="387" spans="4:9" ht="18.75" customHeight="1" x14ac:dyDescent="0.25">
      <c r="D387" s="6">
        <v>1974</v>
      </c>
      <c r="E387" t="s">
        <v>52</v>
      </c>
      <c r="F387" s="6">
        <v>140</v>
      </c>
      <c r="G387" s="5">
        <v>22.11</v>
      </c>
      <c r="H387" s="6">
        <f t="shared" si="26"/>
        <v>381</v>
      </c>
      <c r="I387" s="5">
        <v>3.81</v>
      </c>
    </row>
    <row r="388" spans="4:9" ht="18.75" customHeight="1" x14ac:dyDescent="0.25">
      <c r="D388" s="6">
        <v>1974</v>
      </c>
      <c r="E388" t="s">
        <v>52</v>
      </c>
      <c r="F388" s="6">
        <v>130</v>
      </c>
      <c r="G388" s="5">
        <v>22.11</v>
      </c>
      <c r="H388" s="6">
        <f t="shared" si="26"/>
        <v>354</v>
      </c>
      <c r="I388" s="5">
        <v>3.54</v>
      </c>
    </row>
    <row r="389" spans="4:9" ht="18.75" customHeight="1" x14ac:dyDescent="0.25">
      <c r="D389" s="6">
        <v>1974</v>
      </c>
      <c r="E389" t="s">
        <v>52</v>
      </c>
      <c r="F389" s="6">
        <v>120</v>
      </c>
      <c r="G389" s="5">
        <v>22.11</v>
      </c>
      <c r="H389" s="6">
        <f t="shared" si="26"/>
        <v>327</v>
      </c>
      <c r="I389" s="5">
        <v>3.27</v>
      </c>
    </row>
    <row r="390" spans="4:9" ht="18.75" customHeight="1" x14ac:dyDescent="0.25">
      <c r="D390" s="6">
        <v>1974</v>
      </c>
      <c r="E390" t="s">
        <v>52</v>
      </c>
      <c r="F390" s="6">
        <v>110</v>
      </c>
      <c r="G390" s="5">
        <v>22.11</v>
      </c>
      <c r="H390" s="6">
        <f t="shared" si="26"/>
        <v>300</v>
      </c>
      <c r="I390" s="6">
        <v>3</v>
      </c>
    </row>
    <row r="391" spans="4:9" ht="18.75" customHeight="1" x14ac:dyDescent="0.25">
      <c r="D391" s="6">
        <v>1974</v>
      </c>
      <c r="E391" t="s">
        <v>52</v>
      </c>
      <c r="F391" s="6">
        <v>100</v>
      </c>
      <c r="G391" s="5">
        <v>22.11</v>
      </c>
      <c r="H391" s="6">
        <f t="shared" si="26"/>
        <v>273</v>
      </c>
      <c r="I391" s="5">
        <v>2.73</v>
      </c>
    </row>
    <row r="392" spans="4:9" ht="18.75" customHeight="1" x14ac:dyDescent="0.25">
      <c r="D392" s="6">
        <v>1974</v>
      </c>
      <c r="E392" t="s">
        <v>52</v>
      </c>
      <c r="F392" s="6">
        <v>90</v>
      </c>
      <c r="G392" s="5">
        <v>22.11</v>
      </c>
      <c r="H392" s="6">
        <f t="shared" si="26"/>
        <v>246</v>
      </c>
      <c r="I392" s="5">
        <v>2.46</v>
      </c>
    </row>
    <row r="393" spans="4:9" ht="18.75" customHeight="1" x14ac:dyDescent="0.25">
      <c r="D393" s="6">
        <v>1974</v>
      </c>
      <c r="E393" t="s">
        <v>52</v>
      </c>
      <c r="F393" s="6">
        <v>80</v>
      </c>
      <c r="G393" s="5">
        <v>22.11</v>
      </c>
      <c r="H393" s="6">
        <f t="shared" si="26"/>
        <v>219</v>
      </c>
      <c r="I393" s="5">
        <v>2.19</v>
      </c>
    </row>
    <row r="394" spans="4:9" ht="18.75" customHeight="1" x14ac:dyDescent="0.25">
      <c r="D394" s="6">
        <v>1974</v>
      </c>
      <c r="E394" t="s">
        <v>52</v>
      </c>
      <c r="F394" s="6">
        <v>70</v>
      </c>
      <c r="G394" s="5">
        <v>22.11</v>
      </c>
      <c r="H394" s="6">
        <f t="shared" si="26"/>
        <v>193</v>
      </c>
      <c r="I394" s="5">
        <v>1.93</v>
      </c>
    </row>
    <row r="395" spans="4:9" ht="18.75" customHeight="1" x14ac:dyDescent="0.25">
      <c r="D395" s="6">
        <v>1974</v>
      </c>
      <c r="E395" t="s">
        <v>52</v>
      </c>
      <c r="F395" s="6">
        <v>60</v>
      </c>
      <c r="G395" s="5">
        <v>22.11</v>
      </c>
      <c r="H395" s="6">
        <f t="shared" si="26"/>
        <v>167</v>
      </c>
      <c r="I395" s="5">
        <v>1.67</v>
      </c>
    </row>
    <row r="396" spans="4:9" ht="18.75" customHeight="1" x14ac:dyDescent="0.25">
      <c r="D396" s="6">
        <v>1974</v>
      </c>
      <c r="E396" t="s">
        <v>52</v>
      </c>
      <c r="F396" s="6">
        <v>50</v>
      </c>
      <c r="G396" s="5">
        <v>22.11</v>
      </c>
      <c r="H396" s="6">
        <f t="shared" si="26"/>
        <v>142</v>
      </c>
      <c r="I396" s="5">
        <v>1.42</v>
      </c>
    </row>
    <row r="397" spans="4:9" ht="18.75" customHeight="1" x14ac:dyDescent="0.25">
      <c r="D397" s="6">
        <v>1974</v>
      </c>
      <c r="E397" t="s">
        <v>52</v>
      </c>
      <c r="F397" s="6">
        <v>40</v>
      </c>
      <c r="G397" s="5">
        <v>22.11</v>
      </c>
      <c r="H397" s="6">
        <f t="shared" si="26"/>
        <v>119</v>
      </c>
      <c r="I397" s="5">
        <v>1.19</v>
      </c>
    </row>
    <row r="398" spans="4:9" ht="18.75" customHeight="1" x14ac:dyDescent="0.25">
      <c r="D398" s="6">
        <v>1974</v>
      </c>
      <c r="E398" t="s">
        <v>52</v>
      </c>
      <c r="F398" s="6">
        <v>30</v>
      </c>
      <c r="G398" s="5">
        <v>22.11</v>
      </c>
      <c r="H398" s="6">
        <f t="shared" si="26"/>
        <v>98</v>
      </c>
      <c r="I398" s="5">
        <v>0.98</v>
      </c>
    </row>
    <row r="399" spans="4:9" ht="18.75" customHeight="1" x14ac:dyDescent="0.25">
      <c r="D399" s="6">
        <v>1974</v>
      </c>
      <c r="E399" t="s">
        <v>52</v>
      </c>
      <c r="F399" s="6">
        <v>20</v>
      </c>
      <c r="G399" s="5">
        <v>22.11</v>
      </c>
      <c r="H399" s="6">
        <f t="shared" si="26"/>
        <v>81</v>
      </c>
      <c r="I399" s="5">
        <v>0.81</v>
      </c>
    </row>
    <row r="400" spans="4:9" ht="18.75" customHeight="1" x14ac:dyDescent="0.25">
      <c r="D400" s="6">
        <v>1974</v>
      </c>
      <c r="E400" t="s">
        <v>52</v>
      </c>
      <c r="F400" s="6">
        <v>10</v>
      </c>
      <c r="G400" s="5">
        <v>22.11</v>
      </c>
      <c r="H400" s="6">
        <f t="shared" si="26"/>
        <v>73</v>
      </c>
      <c r="I400" s="5">
        <v>0.73</v>
      </c>
    </row>
    <row r="401" spans="4:9" ht="18.75" customHeight="1" x14ac:dyDescent="0.25">
      <c r="D401" s="6">
        <v>1974</v>
      </c>
      <c r="E401" t="s">
        <v>52</v>
      </c>
      <c r="F401" s="6">
        <v>0</v>
      </c>
      <c r="G401" s="5">
        <v>22.11</v>
      </c>
      <c r="H401" s="6">
        <f t="shared" si="26"/>
        <v>72</v>
      </c>
      <c r="I401" s="5">
        <v>0.72</v>
      </c>
    </row>
    <row r="402" spans="4:9" ht="18.75" customHeight="1" x14ac:dyDescent="0.25">
      <c r="D402" s="6">
        <v>1974</v>
      </c>
      <c r="E402" t="s">
        <v>52</v>
      </c>
      <c r="F402" s="6">
        <v>160</v>
      </c>
      <c r="G402" s="5">
        <v>22.46</v>
      </c>
      <c r="H402" s="6">
        <f t="shared" ref="H402:H433" si="27">I402*100</f>
        <v>389</v>
      </c>
      <c r="I402" s="5">
        <v>3.89</v>
      </c>
    </row>
    <row r="403" spans="4:9" ht="18.75" customHeight="1" x14ac:dyDescent="0.25">
      <c r="D403" s="6">
        <v>1974</v>
      </c>
      <c r="E403" t="s">
        <v>52</v>
      </c>
      <c r="F403" s="6">
        <v>150</v>
      </c>
      <c r="G403" s="5">
        <v>22.46</v>
      </c>
      <c r="H403" s="6">
        <f t="shared" si="27"/>
        <v>363</v>
      </c>
      <c r="I403" s="5">
        <v>3.63</v>
      </c>
    </row>
    <row r="404" spans="4:9" ht="18.75" customHeight="1" x14ac:dyDescent="0.25">
      <c r="D404" s="6">
        <v>1974</v>
      </c>
      <c r="E404" t="s">
        <v>52</v>
      </c>
      <c r="F404" s="6">
        <v>140</v>
      </c>
      <c r="G404" s="5">
        <v>22.46</v>
      </c>
      <c r="H404" s="6">
        <f t="shared" si="27"/>
        <v>336</v>
      </c>
      <c r="I404" s="5">
        <v>3.36</v>
      </c>
    </row>
    <row r="405" spans="4:9" ht="18.75" customHeight="1" x14ac:dyDescent="0.25">
      <c r="D405" s="6">
        <v>1974</v>
      </c>
      <c r="E405" t="s">
        <v>52</v>
      </c>
      <c r="F405" s="6">
        <v>130</v>
      </c>
      <c r="G405" s="5">
        <v>22.46</v>
      </c>
      <c r="H405" s="6">
        <f t="shared" si="27"/>
        <v>310</v>
      </c>
      <c r="I405" s="5">
        <v>3.1</v>
      </c>
    </row>
    <row r="406" spans="4:9" ht="18.75" customHeight="1" x14ac:dyDescent="0.25">
      <c r="D406" s="6">
        <v>1974</v>
      </c>
      <c r="E406" t="s">
        <v>52</v>
      </c>
      <c r="F406" s="6">
        <v>120</v>
      </c>
      <c r="G406" s="5">
        <v>22.46</v>
      </c>
      <c r="H406" s="6">
        <f t="shared" si="27"/>
        <v>284</v>
      </c>
      <c r="I406" s="5">
        <v>2.84</v>
      </c>
    </row>
    <row r="407" spans="4:9" ht="18.75" customHeight="1" x14ac:dyDescent="0.25">
      <c r="D407" s="6">
        <v>1974</v>
      </c>
      <c r="E407" t="s">
        <v>52</v>
      </c>
      <c r="F407" s="6">
        <v>110</v>
      </c>
      <c r="G407" s="5">
        <v>22.46</v>
      </c>
      <c r="H407" s="6">
        <f t="shared" si="27"/>
        <v>257</v>
      </c>
      <c r="I407" s="5">
        <v>2.57</v>
      </c>
    </row>
    <row r="408" spans="4:9" ht="18.75" customHeight="1" x14ac:dyDescent="0.25">
      <c r="D408" s="6">
        <v>1974</v>
      </c>
      <c r="E408" t="s">
        <v>52</v>
      </c>
      <c r="F408" s="6">
        <v>100</v>
      </c>
      <c r="G408" s="5">
        <v>22.46</v>
      </c>
      <c r="H408" s="6">
        <f t="shared" si="27"/>
        <v>231</v>
      </c>
      <c r="I408" s="5">
        <v>2.31</v>
      </c>
    </row>
    <row r="409" spans="4:9" ht="18.75" customHeight="1" x14ac:dyDescent="0.25">
      <c r="D409" s="6">
        <v>1974</v>
      </c>
      <c r="E409" t="s">
        <v>52</v>
      </c>
      <c r="F409" s="6">
        <v>90</v>
      </c>
      <c r="G409" s="5">
        <v>22.46</v>
      </c>
      <c r="H409" s="5">
        <f t="shared" si="27"/>
        <v>202.99999999999997</v>
      </c>
      <c r="I409" s="5">
        <v>2.0299999999999998</v>
      </c>
    </row>
    <row r="410" spans="4:9" ht="18.75" customHeight="1" x14ac:dyDescent="0.25">
      <c r="D410" s="6">
        <v>1974</v>
      </c>
      <c r="E410" t="s">
        <v>52</v>
      </c>
      <c r="F410" s="6">
        <v>80</v>
      </c>
      <c r="G410" s="5">
        <v>22.46</v>
      </c>
      <c r="H410" s="6">
        <f t="shared" si="27"/>
        <v>77</v>
      </c>
      <c r="I410" s="5">
        <v>0.77</v>
      </c>
    </row>
    <row r="411" spans="4:9" ht="18.75" customHeight="1" x14ac:dyDescent="0.25">
      <c r="D411" s="6">
        <v>1974</v>
      </c>
      <c r="E411" t="s">
        <v>52</v>
      </c>
      <c r="F411" s="6">
        <v>150</v>
      </c>
      <c r="G411" s="5">
        <v>22.78</v>
      </c>
      <c r="H411" s="6">
        <f t="shared" si="27"/>
        <v>325</v>
      </c>
      <c r="I411" s="5">
        <v>3.25</v>
      </c>
    </row>
    <row r="412" spans="4:9" ht="18.75" customHeight="1" x14ac:dyDescent="0.25">
      <c r="D412" s="6">
        <v>1974</v>
      </c>
      <c r="E412" t="s">
        <v>52</v>
      </c>
      <c r="F412" s="6">
        <v>140</v>
      </c>
      <c r="G412" s="5">
        <v>22.78</v>
      </c>
      <c r="H412" s="6">
        <f t="shared" si="27"/>
        <v>297</v>
      </c>
      <c r="I412" s="5">
        <v>2.97</v>
      </c>
    </row>
    <row r="413" spans="4:9" ht="18.75" customHeight="1" x14ac:dyDescent="0.25">
      <c r="D413" s="6">
        <v>1974</v>
      </c>
      <c r="E413" t="s">
        <v>52</v>
      </c>
      <c r="F413" s="6">
        <v>130</v>
      </c>
      <c r="G413" s="5">
        <v>22.78</v>
      </c>
      <c r="H413" s="6">
        <f t="shared" si="27"/>
        <v>269</v>
      </c>
      <c r="I413" s="5">
        <v>2.69</v>
      </c>
    </row>
    <row r="414" spans="4:9" ht="18.75" customHeight="1" x14ac:dyDescent="0.25">
      <c r="D414" s="6">
        <v>1974</v>
      </c>
      <c r="E414" t="s">
        <v>52</v>
      </c>
      <c r="F414" s="6">
        <v>120</v>
      </c>
      <c r="G414" s="5">
        <v>22.78</v>
      </c>
      <c r="H414" s="6">
        <f t="shared" si="27"/>
        <v>241</v>
      </c>
      <c r="I414" s="5">
        <v>2.41</v>
      </c>
    </row>
    <row r="415" spans="4:9" ht="18.75" customHeight="1" x14ac:dyDescent="0.25">
      <c r="D415" s="6">
        <v>1974</v>
      </c>
      <c r="E415" t="s">
        <v>52</v>
      </c>
      <c r="F415" s="6">
        <v>110</v>
      </c>
      <c r="G415" s="5">
        <v>22.78</v>
      </c>
      <c r="H415" s="6">
        <f t="shared" si="27"/>
        <v>213</v>
      </c>
      <c r="I415" s="5">
        <v>2.13</v>
      </c>
    </row>
    <row r="416" spans="4:9" ht="18.75" customHeight="1" x14ac:dyDescent="0.25">
      <c r="D416" s="6">
        <v>1974</v>
      </c>
      <c r="E416" t="s">
        <v>52</v>
      </c>
      <c r="F416" s="6">
        <v>100</v>
      </c>
      <c r="G416" s="5">
        <v>22.78</v>
      </c>
      <c r="H416" s="6">
        <f t="shared" si="27"/>
        <v>186</v>
      </c>
      <c r="I416" s="5">
        <v>1.86</v>
      </c>
    </row>
    <row r="417" spans="4:9" ht="18.75" customHeight="1" x14ac:dyDescent="0.25">
      <c r="D417" s="6">
        <v>1974</v>
      </c>
      <c r="E417" t="s">
        <v>52</v>
      </c>
      <c r="F417" s="6">
        <v>90</v>
      </c>
      <c r="G417" s="5">
        <v>22.78</v>
      </c>
      <c r="H417" s="6">
        <f t="shared" si="27"/>
        <v>158</v>
      </c>
      <c r="I417" s="5">
        <v>1.58</v>
      </c>
    </row>
    <row r="418" spans="4:9" ht="18.75" customHeight="1" x14ac:dyDescent="0.25">
      <c r="D418" s="6">
        <v>1974</v>
      </c>
      <c r="E418" t="s">
        <v>52</v>
      </c>
      <c r="F418" s="6">
        <v>80</v>
      </c>
      <c r="G418" s="5">
        <v>22.78</v>
      </c>
      <c r="H418" s="6">
        <f t="shared" si="27"/>
        <v>131</v>
      </c>
      <c r="I418" s="5">
        <v>1.31</v>
      </c>
    </row>
    <row r="419" spans="4:9" ht="18.75" customHeight="1" x14ac:dyDescent="0.25">
      <c r="D419" s="6">
        <v>1974</v>
      </c>
      <c r="E419" t="s">
        <v>52</v>
      </c>
      <c r="F419" s="6">
        <v>70</v>
      </c>
      <c r="G419" s="5">
        <v>22.78</v>
      </c>
      <c r="H419" s="6">
        <f t="shared" si="27"/>
        <v>104</v>
      </c>
      <c r="I419" s="5">
        <v>1.04</v>
      </c>
    </row>
    <row r="420" spans="4:9" ht="18.75" customHeight="1" x14ac:dyDescent="0.25">
      <c r="D420" s="6">
        <v>1974</v>
      </c>
      <c r="E420" t="s">
        <v>52</v>
      </c>
      <c r="F420" s="6">
        <v>60</v>
      </c>
      <c r="G420" s="5">
        <v>22.78</v>
      </c>
      <c r="H420" s="6">
        <f t="shared" si="27"/>
        <v>78</v>
      </c>
      <c r="I420" s="5">
        <v>0.78</v>
      </c>
    </row>
    <row r="421" spans="4:9" ht="18.75" customHeight="1" x14ac:dyDescent="0.25">
      <c r="D421" s="6">
        <v>1974</v>
      </c>
      <c r="E421" t="s">
        <v>52</v>
      </c>
      <c r="F421" s="6">
        <v>50</v>
      </c>
      <c r="G421" s="5">
        <v>22.78</v>
      </c>
      <c r="H421" s="6">
        <f t="shared" si="27"/>
        <v>52</v>
      </c>
      <c r="I421" s="5">
        <v>0.52</v>
      </c>
    </row>
    <row r="422" spans="4:9" ht="18.75" customHeight="1" x14ac:dyDescent="0.25">
      <c r="D422" s="6">
        <v>1974</v>
      </c>
      <c r="E422" t="s">
        <v>52</v>
      </c>
      <c r="F422" s="6">
        <v>40</v>
      </c>
      <c r="G422" s="5">
        <v>22.78</v>
      </c>
      <c r="H422" s="5">
        <f t="shared" si="27"/>
        <v>28.000000000000004</v>
      </c>
      <c r="I422" s="5">
        <v>0.28000000000000003</v>
      </c>
    </row>
    <row r="423" spans="4:9" ht="18.75" customHeight="1" x14ac:dyDescent="0.25">
      <c r="D423" s="6">
        <v>1974</v>
      </c>
      <c r="E423" t="s">
        <v>52</v>
      </c>
      <c r="F423" s="6">
        <v>30</v>
      </c>
      <c r="G423" s="5">
        <v>22.78</v>
      </c>
      <c r="H423" s="6">
        <f t="shared" si="27"/>
        <v>5</v>
      </c>
      <c r="I423" s="5">
        <v>0.05</v>
      </c>
    </row>
    <row r="424" spans="4:9" ht="18.75" customHeight="1" x14ac:dyDescent="0.25">
      <c r="D424" s="6">
        <v>1974</v>
      </c>
      <c r="E424" t="s">
        <v>52</v>
      </c>
      <c r="F424" s="6">
        <v>20</v>
      </c>
      <c r="G424" s="5">
        <v>22.78</v>
      </c>
      <c r="H424" s="6">
        <f t="shared" si="27"/>
        <v>-12</v>
      </c>
      <c r="I424" s="5">
        <v>-0.12</v>
      </c>
    </row>
    <row r="425" spans="4:9" ht="18.75" customHeight="1" x14ac:dyDescent="0.25">
      <c r="D425" s="6">
        <v>1974</v>
      </c>
      <c r="E425" t="s">
        <v>52</v>
      </c>
      <c r="F425" s="6">
        <v>10</v>
      </c>
      <c r="G425" s="5">
        <v>22.78</v>
      </c>
      <c r="H425" s="6">
        <f t="shared" si="27"/>
        <v>-21</v>
      </c>
      <c r="I425" s="5">
        <v>-0.21</v>
      </c>
    </row>
    <row r="426" spans="4:9" ht="18.75" customHeight="1" x14ac:dyDescent="0.25">
      <c r="D426" s="6">
        <v>1974</v>
      </c>
      <c r="E426" t="s">
        <v>52</v>
      </c>
      <c r="F426" s="6">
        <v>0</v>
      </c>
      <c r="G426" s="5">
        <v>22.78</v>
      </c>
      <c r="H426" s="6">
        <f t="shared" si="27"/>
        <v>-22</v>
      </c>
      <c r="I426" s="5">
        <v>-0.22</v>
      </c>
    </row>
    <row r="427" spans="4:9" ht="18.75" customHeight="1" x14ac:dyDescent="0.25">
      <c r="D427" s="6">
        <v>1974</v>
      </c>
      <c r="E427" t="s">
        <v>52</v>
      </c>
      <c r="F427" s="6">
        <v>130</v>
      </c>
      <c r="G427" s="5">
        <v>23.34</v>
      </c>
      <c r="H427" s="6">
        <f t="shared" si="27"/>
        <v>216</v>
      </c>
      <c r="I427" s="5">
        <v>2.16</v>
      </c>
    </row>
    <row r="428" spans="4:9" ht="18.75" customHeight="1" x14ac:dyDescent="0.25">
      <c r="D428" s="6">
        <v>1974</v>
      </c>
      <c r="E428" t="s">
        <v>52</v>
      </c>
      <c r="F428" s="6">
        <v>120</v>
      </c>
      <c r="G428" s="5">
        <v>23.34</v>
      </c>
      <c r="H428" s="6">
        <f t="shared" si="27"/>
        <v>190</v>
      </c>
      <c r="I428" s="5">
        <v>1.9</v>
      </c>
    </row>
    <row r="429" spans="4:9" ht="18.75" customHeight="1" x14ac:dyDescent="0.25">
      <c r="D429" s="6">
        <v>1974</v>
      </c>
      <c r="E429" t="s">
        <v>52</v>
      </c>
      <c r="F429" s="6">
        <v>110</v>
      </c>
      <c r="G429" s="5">
        <v>23.34</v>
      </c>
      <c r="H429" s="6">
        <f t="shared" si="27"/>
        <v>163</v>
      </c>
      <c r="I429" s="5">
        <v>1.63</v>
      </c>
    </row>
    <row r="430" spans="4:9" ht="18.75" customHeight="1" x14ac:dyDescent="0.25">
      <c r="D430" s="6">
        <v>1974</v>
      </c>
      <c r="E430" t="s">
        <v>52</v>
      </c>
      <c r="F430" s="6">
        <v>100</v>
      </c>
      <c r="G430" s="5">
        <v>23.34</v>
      </c>
      <c r="H430" s="6">
        <f t="shared" si="27"/>
        <v>136</v>
      </c>
      <c r="I430" s="5">
        <v>1.36</v>
      </c>
    </row>
    <row r="431" spans="4:9" ht="18.75" customHeight="1" x14ac:dyDescent="0.25">
      <c r="D431" s="6">
        <v>1974</v>
      </c>
      <c r="E431" t="s">
        <v>52</v>
      </c>
      <c r="F431" s="6">
        <v>90</v>
      </c>
      <c r="G431" s="5">
        <v>23.34</v>
      </c>
      <c r="H431" s="5">
        <f t="shared" si="27"/>
        <v>110.00000000000001</v>
      </c>
      <c r="I431" s="5">
        <v>1.1000000000000001</v>
      </c>
    </row>
    <row r="432" spans="4:9" ht="18.75" customHeight="1" x14ac:dyDescent="0.25">
      <c r="D432" s="6">
        <v>1974</v>
      </c>
      <c r="E432" t="s">
        <v>52</v>
      </c>
      <c r="F432" s="6">
        <v>80</v>
      </c>
      <c r="G432" s="5">
        <v>23.34</v>
      </c>
      <c r="H432" s="6">
        <f t="shared" si="27"/>
        <v>83</v>
      </c>
      <c r="I432" s="5">
        <v>0.83</v>
      </c>
    </row>
    <row r="433" spans="4:17" ht="18.75" customHeight="1" x14ac:dyDescent="0.25">
      <c r="D433" s="6">
        <v>1974</v>
      </c>
      <c r="E433" t="s">
        <v>52</v>
      </c>
      <c r="F433" s="6">
        <v>70</v>
      </c>
      <c r="G433" s="5">
        <v>23.34</v>
      </c>
      <c r="H433" s="5">
        <f t="shared" si="27"/>
        <v>57.999999999999993</v>
      </c>
      <c r="I433" s="5">
        <v>0.57999999999999996</v>
      </c>
    </row>
    <row r="434" spans="4:17" ht="18.75" customHeight="1" x14ac:dyDescent="0.25">
      <c r="D434" s="6">
        <v>1974</v>
      </c>
      <c r="E434" t="s">
        <v>52</v>
      </c>
      <c r="F434" s="6">
        <v>60</v>
      </c>
      <c r="G434" s="5">
        <v>23.34</v>
      </c>
      <c r="H434" s="6">
        <f t="shared" ref="H434:H445" si="28">I434*100</f>
        <v>32</v>
      </c>
      <c r="I434" s="5">
        <v>0.32</v>
      </c>
    </row>
    <row r="435" spans="4:17" ht="18.75" customHeight="1" x14ac:dyDescent="0.25">
      <c r="D435" s="6">
        <v>1974</v>
      </c>
      <c r="E435" t="s">
        <v>52</v>
      </c>
      <c r="F435" s="6">
        <v>50</v>
      </c>
      <c r="G435" s="5">
        <v>23.34</v>
      </c>
      <c r="H435" s="5">
        <f t="shared" si="28"/>
        <v>7.0000000000000009</v>
      </c>
      <c r="I435" s="5">
        <v>7.0000000000000007E-2</v>
      </c>
    </row>
    <row r="436" spans="4:17" ht="18.75" customHeight="1" x14ac:dyDescent="0.25">
      <c r="D436" s="6">
        <v>1974</v>
      </c>
      <c r="E436" t="s">
        <v>52</v>
      </c>
      <c r="F436" s="6">
        <v>40</v>
      </c>
      <c r="G436" s="5">
        <v>23.34</v>
      </c>
      <c r="H436" s="6">
        <f t="shared" si="28"/>
        <v>-16</v>
      </c>
      <c r="I436" s="5">
        <v>-0.16</v>
      </c>
    </row>
    <row r="437" spans="4:17" ht="18.75" customHeight="1" x14ac:dyDescent="0.25">
      <c r="D437" s="6">
        <v>1974</v>
      </c>
      <c r="E437" t="s">
        <v>52</v>
      </c>
      <c r="F437" s="6">
        <v>120</v>
      </c>
      <c r="G437" s="5">
        <v>23.63</v>
      </c>
      <c r="H437" s="6">
        <f t="shared" si="28"/>
        <v>166</v>
      </c>
      <c r="I437" s="5">
        <v>1.66</v>
      </c>
    </row>
    <row r="438" spans="4:17" ht="18.75" customHeight="1" x14ac:dyDescent="0.25">
      <c r="D438" s="6">
        <v>1974</v>
      </c>
      <c r="E438" t="s">
        <v>52</v>
      </c>
      <c r="F438" s="6">
        <v>110</v>
      </c>
      <c r="G438" s="5">
        <v>23.63</v>
      </c>
      <c r="H438" s="6">
        <f t="shared" si="28"/>
        <v>141</v>
      </c>
      <c r="I438" s="5">
        <v>1.41</v>
      </c>
    </row>
    <row r="439" spans="4:17" ht="18.75" customHeight="1" x14ac:dyDescent="0.25">
      <c r="D439" s="6">
        <v>1974</v>
      </c>
      <c r="E439" t="s">
        <v>52</v>
      </c>
      <c r="F439" s="6">
        <v>100</v>
      </c>
      <c r="G439" s="5">
        <v>23.63</v>
      </c>
      <c r="H439" s="5">
        <f t="shared" si="28"/>
        <v>113.99999999999999</v>
      </c>
      <c r="I439" s="5">
        <v>1.1399999999999999</v>
      </c>
    </row>
    <row r="440" spans="4:17" ht="18.75" customHeight="1" x14ac:dyDescent="0.25">
      <c r="D440" s="6">
        <v>1974</v>
      </c>
      <c r="E440" t="s">
        <v>52</v>
      </c>
      <c r="F440" s="6">
        <v>100</v>
      </c>
      <c r="G440" s="5">
        <v>24.03</v>
      </c>
      <c r="H440" s="6">
        <f t="shared" si="28"/>
        <v>84</v>
      </c>
      <c r="I440" s="5">
        <v>0.84</v>
      </c>
    </row>
    <row r="441" spans="4:17" ht="18.75" customHeight="1" x14ac:dyDescent="0.25">
      <c r="D441" s="6">
        <v>1974</v>
      </c>
      <c r="E441" t="s">
        <v>52</v>
      </c>
      <c r="F441" s="6">
        <v>90</v>
      </c>
      <c r="G441" s="5">
        <v>24.03</v>
      </c>
      <c r="H441" s="6">
        <f t="shared" si="28"/>
        <v>59</v>
      </c>
      <c r="I441" s="5">
        <v>0.59</v>
      </c>
    </row>
    <row r="442" spans="4:17" ht="18.75" customHeight="1" x14ac:dyDescent="0.25">
      <c r="D442" s="6">
        <v>1974</v>
      </c>
      <c r="E442" t="s">
        <v>52</v>
      </c>
      <c r="F442" s="6">
        <v>80</v>
      </c>
      <c r="G442" s="5">
        <v>24.03</v>
      </c>
      <c r="H442" s="6">
        <f t="shared" si="28"/>
        <v>33</v>
      </c>
      <c r="I442" s="5">
        <v>0.33</v>
      </c>
    </row>
    <row r="443" spans="4:17" ht="18.75" customHeight="1" x14ac:dyDescent="0.25">
      <c r="D443" s="6">
        <v>1974</v>
      </c>
      <c r="E443" t="s">
        <v>52</v>
      </c>
      <c r="F443" s="6">
        <v>70</v>
      </c>
      <c r="G443" s="5">
        <v>24.03</v>
      </c>
      <c r="H443" s="6">
        <f t="shared" si="28"/>
        <v>9</v>
      </c>
      <c r="I443" s="5">
        <v>0.09</v>
      </c>
      <c r="O443" s="2" t="s">
        <v>2</v>
      </c>
    </row>
    <row r="444" spans="4:17" ht="18.75" customHeight="1" x14ac:dyDescent="0.25">
      <c r="D444" s="6">
        <v>1974</v>
      </c>
      <c r="E444" t="s">
        <v>52</v>
      </c>
      <c r="F444" s="6">
        <v>90</v>
      </c>
      <c r="G444" s="5">
        <v>24.45</v>
      </c>
      <c r="H444" s="5">
        <f t="shared" si="28"/>
        <v>28.000000000000004</v>
      </c>
      <c r="I444" s="5">
        <v>0.28000000000000003</v>
      </c>
      <c r="O444" s="8" t="s">
        <v>8</v>
      </c>
      <c r="P444" s="8" t="s">
        <v>9</v>
      </c>
      <c r="Q444" s="3" t="s">
        <v>6</v>
      </c>
    </row>
    <row r="445" spans="4:17" ht="18.75" customHeight="1" x14ac:dyDescent="0.25">
      <c r="D445" s="6">
        <v>1974</v>
      </c>
      <c r="E445" t="s">
        <v>52</v>
      </c>
      <c r="F445" s="6">
        <v>80</v>
      </c>
      <c r="G445" s="5">
        <v>24.45</v>
      </c>
      <c r="H445" s="6">
        <f t="shared" si="28"/>
        <v>1</v>
      </c>
      <c r="I445" s="5">
        <v>0.01</v>
      </c>
      <c r="O445" s="2" t="s">
        <v>15</v>
      </c>
      <c r="P445" s="3" t="s">
        <v>16</v>
      </c>
      <c r="Q445" s="3" t="s">
        <v>13</v>
      </c>
    </row>
    <row r="446" spans="4:17" ht="18.75" customHeight="1" x14ac:dyDescent="0.25">
      <c r="D446" s="6">
        <v>1972</v>
      </c>
      <c r="E446" t="s">
        <v>53</v>
      </c>
      <c r="F446" s="5">
        <v>83.43</v>
      </c>
      <c r="G446" s="5">
        <v>24.635000000000002</v>
      </c>
      <c r="H446" s="5">
        <f t="shared" ref="H446:H475" si="29">J446/10</f>
        <v>0.31</v>
      </c>
      <c r="J446" s="5">
        <v>3.1</v>
      </c>
      <c r="O446" s="5">
        <v>5.4670399999999999</v>
      </c>
      <c r="P446" s="5">
        <f>O446^3</f>
        <v>163.40176915992166</v>
      </c>
      <c r="Q446" s="5">
        <f>P446*10^(-30)/4*6.02214*10^23*10^6</f>
        <v>24.600708253218261</v>
      </c>
    </row>
    <row r="447" spans="4:17" ht="18.75" customHeight="1" x14ac:dyDescent="0.25">
      <c r="D447" s="6">
        <v>1972</v>
      </c>
      <c r="E447" t="s">
        <v>53</v>
      </c>
      <c r="F447" s="5">
        <v>83.43</v>
      </c>
      <c r="G447" s="5">
        <v>24.600708253218261</v>
      </c>
      <c r="H447" s="5">
        <f t="shared" si="29"/>
        <v>0.31</v>
      </c>
      <c r="J447" s="5">
        <v>3.1</v>
      </c>
      <c r="O447" s="5">
        <v>5.4670500000000004</v>
      </c>
      <c r="P447" s="5">
        <f>O447^3</f>
        <v>163.40266581735267</v>
      </c>
      <c r="Q447" s="5">
        <f>P447*10^(-30)/4*6.02214*10^23*10^6</f>
        <v>24.600843248132801</v>
      </c>
    </row>
    <row r="448" spans="4:17" ht="18.75" customHeight="1" x14ac:dyDescent="0.25">
      <c r="D448" s="6">
        <v>1972</v>
      </c>
      <c r="E448" t="s">
        <v>53</v>
      </c>
      <c r="F448" s="5">
        <v>83.29</v>
      </c>
      <c r="G448" s="5">
        <v>24.592879393122015</v>
      </c>
      <c r="H448" s="5">
        <f t="shared" si="29"/>
        <v>0.31</v>
      </c>
      <c r="J448" s="5">
        <v>3.1</v>
      </c>
      <c r="O448" s="5">
        <v>5.4664599999999997</v>
      </c>
      <c r="P448" s="5">
        <f>O448^3</f>
        <v>163.34976864119412</v>
      </c>
      <c r="Q448" s="5">
        <f>P448*10^(-30)/4*6.02214*10^23*10^6</f>
        <v>24.592879393122015</v>
      </c>
    </row>
    <row r="449" spans="4:17" ht="18.75" customHeight="1" x14ac:dyDescent="0.25">
      <c r="D449" s="6">
        <v>1972</v>
      </c>
      <c r="E449" t="s">
        <v>53</v>
      </c>
      <c r="F449" s="5">
        <v>83.43</v>
      </c>
      <c r="G449" s="5">
        <v>24.567784253038095</v>
      </c>
      <c r="H449" s="5">
        <f t="shared" si="29"/>
        <v>1.55</v>
      </c>
      <c r="J449" s="5">
        <v>15.5</v>
      </c>
      <c r="O449" s="5">
        <v>5.4645999999999999</v>
      </c>
      <c r="P449" s="5">
        <f>O449^3</f>
        <v>163.183082778136</v>
      </c>
      <c r="Q449" s="5">
        <f>P449*10^(-30)/4*6.02214*10^23*10^6</f>
        <v>24.567784253038095</v>
      </c>
    </row>
    <row r="450" spans="4:17" ht="18.75" customHeight="1" x14ac:dyDescent="0.25">
      <c r="D450" s="6">
        <v>1972</v>
      </c>
      <c r="E450" t="s">
        <v>53</v>
      </c>
      <c r="F450" s="5">
        <v>83.43</v>
      </c>
      <c r="G450" s="5">
        <v>24.491120717058077</v>
      </c>
      <c r="H450" s="5">
        <f t="shared" si="29"/>
        <v>14.73</v>
      </c>
      <c r="J450" s="5">
        <v>147.30000000000001</v>
      </c>
      <c r="N450" s="2" t="s">
        <v>76</v>
      </c>
      <c r="O450" s="5">
        <v>5.4589100000000004</v>
      </c>
      <c r="P450" s="5">
        <f>O450^3</f>
        <v>162.67387152778301</v>
      </c>
      <c r="Q450" s="5">
        <f>P450*10^(-30)/4*6.02214*10^23*10^6</f>
        <v>24.491120717058077</v>
      </c>
    </row>
    <row r="451" spans="4:17" ht="18.75" customHeight="1" x14ac:dyDescent="0.25">
      <c r="D451" s="6">
        <v>1986</v>
      </c>
      <c r="E451" t="s">
        <v>77</v>
      </c>
      <c r="F451" s="5">
        <v>174.45</v>
      </c>
      <c r="G451" s="5">
        <v>48.480582524271846</v>
      </c>
      <c r="H451" s="5">
        <f t="shared" si="29"/>
        <v>16.100000000000001</v>
      </c>
      <c r="J451" s="6">
        <v>161</v>
      </c>
      <c r="N451" s="6">
        <v>824</v>
      </c>
      <c r="O451" s="5">
        <f t="shared" ref="O451:O475" si="30">$O$2/(N451/1000)</f>
        <v>48.480582524271846</v>
      </c>
    </row>
    <row r="452" spans="4:17" ht="18.75" customHeight="1" x14ac:dyDescent="0.25">
      <c r="D452" s="6">
        <v>1986</v>
      </c>
      <c r="E452" t="s">
        <v>77</v>
      </c>
      <c r="F452" s="5">
        <v>174.45</v>
      </c>
      <c r="G452" s="5">
        <v>45.292517006802719</v>
      </c>
      <c r="H452" s="5">
        <f t="shared" si="29"/>
        <v>19.100000000000001</v>
      </c>
      <c r="J452" s="6">
        <v>191</v>
      </c>
      <c r="N452" s="6">
        <v>882</v>
      </c>
      <c r="O452" s="5">
        <f t="shared" si="30"/>
        <v>45.292517006802719</v>
      </c>
    </row>
    <row r="453" spans="4:17" ht="18.75" customHeight="1" x14ac:dyDescent="0.25">
      <c r="D453" s="6">
        <v>1986</v>
      </c>
      <c r="E453" t="s">
        <v>77</v>
      </c>
      <c r="F453" s="5">
        <v>174.45</v>
      </c>
      <c r="G453" s="5">
        <v>43.374592833876221</v>
      </c>
      <c r="H453" s="5">
        <f t="shared" si="29"/>
        <v>21.7</v>
      </c>
      <c r="J453" s="6">
        <v>217</v>
      </c>
      <c r="N453" s="6">
        <v>921</v>
      </c>
      <c r="O453" s="5">
        <f t="shared" si="30"/>
        <v>43.374592833876221</v>
      </c>
    </row>
    <row r="454" spans="4:17" ht="18.75" customHeight="1" x14ac:dyDescent="0.25">
      <c r="D454" s="6">
        <v>1986</v>
      </c>
      <c r="E454" t="s">
        <v>77</v>
      </c>
      <c r="F454" s="5">
        <v>174.45</v>
      </c>
      <c r="G454" s="5">
        <v>41.655891553701778</v>
      </c>
      <c r="H454" s="5">
        <f t="shared" si="29"/>
        <v>24.9</v>
      </c>
      <c r="J454" s="6">
        <v>249</v>
      </c>
      <c r="N454" s="6">
        <v>959</v>
      </c>
      <c r="O454" s="5">
        <f t="shared" si="30"/>
        <v>41.655891553701778</v>
      </c>
    </row>
    <row r="455" spans="4:17" ht="18.75" customHeight="1" x14ac:dyDescent="0.25">
      <c r="D455" s="6">
        <v>1986</v>
      </c>
      <c r="E455" t="s">
        <v>77</v>
      </c>
      <c r="F455" s="5">
        <v>174.45</v>
      </c>
      <c r="G455" s="5">
        <v>44.092715231788077</v>
      </c>
      <c r="H455" s="5">
        <f t="shared" si="29"/>
        <v>28.4</v>
      </c>
      <c r="J455" s="6">
        <v>284</v>
      </c>
      <c r="N455" s="6">
        <v>906</v>
      </c>
      <c r="O455" s="5">
        <f t="shared" si="30"/>
        <v>44.092715231788077</v>
      </c>
    </row>
    <row r="456" spans="4:17" ht="18.75" customHeight="1" x14ac:dyDescent="0.25">
      <c r="D456" s="6">
        <v>1986</v>
      </c>
      <c r="E456" t="s">
        <v>77</v>
      </c>
      <c r="F456" s="5">
        <v>174.45</v>
      </c>
      <c r="G456" s="5">
        <v>38.485549132947973</v>
      </c>
      <c r="H456" s="6">
        <f t="shared" si="29"/>
        <v>34</v>
      </c>
      <c r="J456" s="6">
        <v>340</v>
      </c>
      <c r="N456" s="6">
        <v>1038</v>
      </c>
      <c r="O456" s="5">
        <f t="shared" si="30"/>
        <v>38.485549132947973</v>
      </c>
    </row>
    <row r="457" spans="4:17" ht="18.75" customHeight="1" x14ac:dyDescent="0.25">
      <c r="D457" s="6">
        <v>1986</v>
      </c>
      <c r="E457" t="s">
        <v>77</v>
      </c>
      <c r="F457" s="5">
        <v>174.45</v>
      </c>
      <c r="G457" s="5">
        <v>35.540925266903912</v>
      </c>
      <c r="H457" s="5">
        <f t="shared" si="29"/>
        <v>49.5</v>
      </c>
      <c r="J457" s="6">
        <v>495</v>
      </c>
      <c r="N457" s="6">
        <v>1124</v>
      </c>
      <c r="O457" s="5">
        <f t="shared" si="30"/>
        <v>35.540925266903912</v>
      </c>
    </row>
    <row r="458" spans="4:17" ht="18.75" customHeight="1" x14ac:dyDescent="0.25">
      <c r="D458" s="6">
        <v>1986</v>
      </c>
      <c r="E458" t="s">
        <v>77</v>
      </c>
      <c r="F458" s="5">
        <v>174.45</v>
      </c>
      <c r="G458" s="5">
        <v>31.136399064692132</v>
      </c>
      <c r="H458" s="5">
        <f t="shared" si="29"/>
        <v>100.2</v>
      </c>
      <c r="J458" s="6">
        <v>1002</v>
      </c>
      <c r="N458" s="6">
        <v>1283</v>
      </c>
      <c r="O458" s="5">
        <f t="shared" si="30"/>
        <v>31.136399064692132</v>
      </c>
    </row>
    <row r="459" spans="4:17" ht="18.75" customHeight="1" x14ac:dyDescent="0.25">
      <c r="D459" s="6">
        <v>1986</v>
      </c>
      <c r="E459" t="s">
        <v>77</v>
      </c>
      <c r="F459" s="5">
        <v>174.45</v>
      </c>
      <c r="G459" s="5">
        <v>28.947826086956525</v>
      </c>
      <c r="H459" s="5">
        <f t="shared" si="29"/>
        <v>151.30000000000001</v>
      </c>
      <c r="J459" s="6">
        <v>1513</v>
      </c>
      <c r="N459" s="6">
        <v>1380</v>
      </c>
      <c r="O459" s="5">
        <f t="shared" si="30"/>
        <v>28.947826086956525</v>
      </c>
    </row>
    <row r="460" spans="4:17" ht="18.75" customHeight="1" x14ac:dyDescent="0.25">
      <c r="D460" s="6">
        <v>1986</v>
      </c>
      <c r="E460" t="s">
        <v>77</v>
      </c>
      <c r="F460" s="5">
        <v>174.45</v>
      </c>
      <c r="G460" s="5">
        <v>27.550344827586208</v>
      </c>
      <c r="H460" s="5">
        <f t="shared" si="29"/>
        <v>200.3</v>
      </c>
      <c r="J460" s="6">
        <v>2003</v>
      </c>
      <c r="N460" s="6">
        <v>1450</v>
      </c>
      <c r="O460" s="5">
        <f t="shared" si="30"/>
        <v>27.550344827586208</v>
      </c>
    </row>
    <row r="461" spans="4:17" ht="18.75" customHeight="1" x14ac:dyDescent="0.25">
      <c r="D461" s="6">
        <v>1986</v>
      </c>
      <c r="E461" t="s">
        <v>77</v>
      </c>
      <c r="F461" s="5">
        <v>174.45</v>
      </c>
      <c r="G461" s="5">
        <v>26.991891891891893</v>
      </c>
      <c r="H461" s="6">
        <f t="shared" si="29"/>
        <v>226</v>
      </c>
      <c r="J461" s="6">
        <v>2260</v>
      </c>
      <c r="N461" s="6">
        <v>1480</v>
      </c>
      <c r="O461" s="5">
        <f t="shared" si="30"/>
        <v>26.991891891891893</v>
      </c>
    </row>
    <row r="462" spans="4:17" ht="18.75" customHeight="1" x14ac:dyDescent="0.25">
      <c r="D462" s="6">
        <v>1986</v>
      </c>
      <c r="E462" t="s">
        <v>77</v>
      </c>
      <c r="F462" s="5">
        <v>174.45</v>
      </c>
      <c r="G462" s="5">
        <v>26.50829462508295</v>
      </c>
      <c r="H462" s="5">
        <f t="shared" si="29"/>
        <v>250.3</v>
      </c>
      <c r="J462" s="6">
        <v>2503</v>
      </c>
      <c r="N462" s="6">
        <v>1507</v>
      </c>
      <c r="O462" s="5">
        <f t="shared" si="30"/>
        <v>26.50829462508295</v>
      </c>
    </row>
    <row r="463" spans="4:17" ht="18.75" customHeight="1" x14ac:dyDescent="0.25">
      <c r="D463" s="6">
        <v>1986</v>
      </c>
      <c r="E463" t="s">
        <v>77</v>
      </c>
      <c r="F463" s="5">
        <v>174.45</v>
      </c>
      <c r="G463" s="5">
        <v>26.490716180371354</v>
      </c>
      <c r="H463" s="5">
        <f t="shared" si="29"/>
        <v>251.2</v>
      </c>
      <c r="J463" s="6">
        <v>2512</v>
      </c>
      <c r="N463" s="6">
        <v>1508</v>
      </c>
      <c r="O463" s="5">
        <f t="shared" si="30"/>
        <v>26.490716180371354</v>
      </c>
    </row>
    <row r="464" spans="4:17" ht="18.75" customHeight="1" x14ac:dyDescent="0.25">
      <c r="D464" s="6">
        <v>1986</v>
      </c>
      <c r="E464" t="s">
        <v>77</v>
      </c>
      <c r="F464" s="5">
        <v>174.45</v>
      </c>
      <c r="G464" s="5">
        <v>26.092749836708034</v>
      </c>
      <c r="H464" s="5">
        <f t="shared" si="29"/>
        <v>275.2</v>
      </c>
      <c r="J464" s="6">
        <v>2752</v>
      </c>
      <c r="N464" s="6">
        <v>1531</v>
      </c>
      <c r="O464" s="5">
        <f t="shared" si="30"/>
        <v>26.092749836708034</v>
      </c>
    </row>
    <row r="465" spans="4:20" ht="18.75" customHeight="1" x14ac:dyDescent="0.25">
      <c r="D465" s="6">
        <v>1986</v>
      </c>
      <c r="E465" t="s">
        <v>77</v>
      </c>
      <c r="F465" s="5">
        <v>174.45</v>
      </c>
      <c r="G465" s="5">
        <v>25.706563706563706</v>
      </c>
      <c r="H465" s="5">
        <f t="shared" si="29"/>
        <v>300.10000000000002</v>
      </c>
      <c r="J465" s="6">
        <v>3001</v>
      </c>
      <c r="N465" s="6">
        <v>1554</v>
      </c>
      <c r="O465" s="5">
        <f t="shared" si="30"/>
        <v>25.706563706563706</v>
      </c>
    </row>
    <row r="466" spans="4:20" ht="18.75" customHeight="1" x14ac:dyDescent="0.25">
      <c r="D466" s="6">
        <v>1986</v>
      </c>
      <c r="E466" t="s">
        <v>77</v>
      </c>
      <c r="F466" s="5">
        <v>174.45</v>
      </c>
      <c r="G466" s="5">
        <v>25.347715736040609</v>
      </c>
      <c r="H466" s="5">
        <f t="shared" si="29"/>
        <v>325.7</v>
      </c>
      <c r="J466" s="6">
        <v>3257</v>
      </c>
      <c r="N466" s="6">
        <v>1576</v>
      </c>
      <c r="O466" s="5">
        <f t="shared" si="30"/>
        <v>25.347715736040609</v>
      </c>
    </row>
    <row r="467" spans="4:20" ht="18.75" customHeight="1" x14ac:dyDescent="0.25">
      <c r="D467" s="6">
        <v>1986</v>
      </c>
      <c r="E467" t="s">
        <v>77</v>
      </c>
      <c r="F467" s="5">
        <v>174.45</v>
      </c>
      <c r="G467" s="5">
        <v>25.014402003757045</v>
      </c>
      <c r="H467" s="5">
        <f t="shared" si="29"/>
        <v>350.5</v>
      </c>
      <c r="J467" s="6">
        <v>3505</v>
      </c>
      <c r="N467" s="6">
        <v>1597</v>
      </c>
      <c r="O467" s="5">
        <f t="shared" si="30"/>
        <v>25.014402003757045</v>
      </c>
    </row>
    <row r="468" spans="4:20" ht="18.75" customHeight="1" x14ac:dyDescent="0.25">
      <c r="D468" s="6">
        <v>1986</v>
      </c>
      <c r="E468" t="s">
        <v>77</v>
      </c>
      <c r="F468" s="5">
        <v>174.45</v>
      </c>
      <c r="G468" s="5">
        <v>24.720297029702969</v>
      </c>
      <c r="H468" s="5">
        <f t="shared" si="29"/>
        <v>376.4</v>
      </c>
      <c r="J468" s="6">
        <v>3764</v>
      </c>
      <c r="N468" s="6">
        <v>1616</v>
      </c>
      <c r="O468" s="5">
        <f t="shared" si="30"/>
        <v>24.720297029702969</v>
      </c>
    </row>
    <row r="469" spans="4:20" ht="18.75" customHeight="1" x14ac:dyDescent="0.25">
      <c r="D469" s="6">
        <v>1986</v>
      </c>
      <c r="E469" t="s">
        <v>77</v>
      </c>
      <c r="F469" s="5">
        <v>174.45</v>
      </c>
      <c r="G469" s="5">
        <v>24.447980416156671</v>
      </c>
      <c r="H469" s="5">
        <f t="shared" si="29"/>
        <v>400.4</v>
      </c>
      <c r="J469" s="6">
        <v>4004</v>
      </c>
      <c r="N469" s="6">
        <v>1634</v>
      </c>
      <c r="O469" s="5">
        <f t="shared" si="30"/>
        <v>24.447980416156671</v>
      </c>
    </row>
    <row r="470" spans="4:20" ht="18.75" customHeight="1" x14ac:dyDescent="0.25">
      <c r="D470" s="6">
        <v>1986</v>
      </c>
      <c r="E470" t="s">
        <v>77</v>
      </c>
      <c r="F470" s="5">
        <v>174.45</v>
      </c>
      <c r="G470" s="5">
        <v>24.181598062953995</v>
      </c>
      <c r="H470" s="5">
        <f t="shared" si="29"/>
        <v>425.1</v>
      </c>
      <c r="J470" s="6">
        <v>4251</v>
      </c>
      <c r="N470" s="6">
        <v>1652</v>
      </c>
      <c r="O470" s="5">
        <f t="shared" si="30"/>
        <v>24.181598062953995</v>
      </c>
    </row>
    <row r="471" spans="4:20" ht="18.75" customHeight="1" x14ac:dyDescent="0.25">
      <c r="D471" s="6">
        <v>1986</v>
      </c>
      <c r="E471" t="s">
        <v>77</v>
      </c>
      <c r="F471" s="5">
        <v>174.45</v>
      </c>
      <c r="G471" s="5">
        <v>24.181598062953995</v>
      </c>
      <c r="H471" s="5">
        <f t="shared" si="29"/>
        <v>425.8</v>
      </c>
      <c r="J471" s="6">
        <v>4258</v>
      </c>
      <c r="N471" s="6">
        <v>1652</v>
      </c>
      <c r="O471" s="5">
        <f t="shared" si="30"/>
        <v>24.181598062953995</v>
      </c>
    </row>
    <row r="472" spans="4:20" ht="18.75" customHeight="1" x14ac:dyDescent="0.25">
      <c r="D472" s="6">
        <v>1986</v>
      </c>
      <c r="E472" t="s">
        <v>77</v>
      </c>
      <c r="F472" s="5">
        <v>174.45</v>
      </c>
      <c r="G472" s="5">
        <v>23.935290593169562</v>
      </c>
      <c r="H472" s="5">
        <f t="shared" si="29"/>
        <v>450.3</v>
      </c>
      <c r="J472" s="6">
        <v>4503</v>
      </c>
      <c r="N472" s="6">
        <v>1669</v>
      </c>
      <c r="O472" s="5">
        <f t="shared" si="30"/>
        <v>23.935290593169562</v>
      </c>
    </row>
    <row r="473" spans="4:20" ht="18.75" customHeight="1" x14ac:dyDescent="0.25">
      <c r="D473" s="6">
        <v>1986</v>
      </c>
      <c r="E473" t="s">
        <v>77</v>
      </c>
      <c r="F473" s="5">
        <v>174.45</v>
      </c>
      <c r="G473" s="5">
        <v>23.835322195704059</v>
      </c>
      <c r="H473" s="5">
        <f t="shared" si="29"/>
        <v>460.8</v>
      </c>
      <c r="J473" s="6">
        <v>4608</v>
      </c>
      <c r="N473" s="6">
        <v>1676</v>
      </c>
      <c r="O473" s="5">
        <f t="shared" si="30"/>
        <v>23.835322195704059</v>
      </c>
    </row>
    <row r="474" spans="4:20" ht="18.75" customHeight="1" x14ac:dyDescent="0.25">
      <c r="D474" s="6">
        <v>1986</v>
      </c>
      <c r="E474" t="s">
        <v>77</v>
      </c>
      <c r="F474" s="5">
        <v>174.45</v>
      </c>
      <c r="G474" s="5">
        <v>23.806912991656734</v>
      </c>
      <c r="H474" s="5">
        <f t="shared" si="29"/>
        <v>463.7</v>
      </c>
      <c r="J474" s="6">
        <v>4637</v>
      </c>
      <c r="N474" s="6">
        <v>1678</v>
      </c>
      <c r="O474" s="5">
        <f t="shared" si="30"/>
        <v>23.806912991656734</v>
      </c>
      <c r="Q474" s="3" t="s">
        <v>6</v>
      </c>
    </row>
    <row r="475" spans="4:20" ht="18.75" customHeight="1" x14ac:dyDescent="0.25">
      <c r="D475" s="6">
        <v>1986</v>
      </c>
      <c r="E475" t="s">
        <v>77</v>
      </c>
      <c r="F475" s="5">
        <v>174.45</v>
      </c>
      <c r="G475" s="5">
        <v>23.736185383244205</v>
      </c>
      <c r="H475" s="5">
        <f t="shared" si="29"/>
        <v>470.7</v>
      </c>
      <c r="J475" s="6">
        <v>4707</v>
      </c>
      <c r="N475" s="6">
        <v>1683</v>
      </c>
      <c r="O475" s="5">
        <f t="shared" si="30"/>
        <v>23.736185383244205</v>
      </c>
      <c r="P475" s="3" t="s">
        <v>78</v>
      </c>
      <c r="Q475" s="3" t="s">
        <v>13</v>
      </c>
      <c r="R475" s="4" t="s">
        <v>34</v>
      </c>
      <c r="S475" s="3" t="s">
        <v>35</v>
      </c>
      <c r="T475" s="4" t="s">
        <v>79</v>
      </c>
    </row>
    <row r="476" spans="4:20" ht="18.75" customHeight="1" x14ac:dyDescent="0.25">
      <c r="D476" s="6">
        <v>1935</v>
      </c>
      <c r="E476" t="s">
        <v>80</v>
      </c>
      <c r="F476" s="5">
        <f t="shared" ref="F476:F507" si="31">T476+273.15</f>
        <v>101.24999999999997</v>
      </c>
      <c r="G476" s="5">
        <f t="shared" ref="G476:G507" si="32">Q476</f>
        <v>27.564119999999999</v>
      </c>
      <c r="H476" s="5">
        <f t="shared" ref="H476:H507" si="33">S476</f>
        <v>78.453199999999995</v>
      </c>
      <c r="P476" s="5">
        <v>0.69</v>
      </c>
      <c r="Q476" s="5">
        <f t="shared" ref="Q476:Q507" si="34">$O$2*P476</f>
        <v>27.564119999999999</v>
      </c>
      <c r="R476" s="6">
        <v>800</v>
      </c>
      <c r="S476" s="5">
        <f t="shared" ref="S476:S507" si="35">0.0980665*R476</f>
        <v>78.453199999999995</v>
      </c>
      <c r="T476" s="5">
        <v>-171.9</v>
      </c>
    </row>
    <row r="477" spans="4:20" ht="18.75" customHeight="1" x14ac:dyDescent="0.25">
      <c r="D477" s="6">
        <v>1935</v>
      </c>
      <c r="E477" t="s">
        <v>80</v>
      </c>
      <c r="F477" s="5">
        <f t="shared" si="31"/>
        <v>119.64999999999998</v>
      </c>
      <c r="G477" s="5">
        <f t="shared" si="32"/>
        <v>28.922352</v>
      </c>
      <c r="H477" s="5">
        <f t="shared" si="33"/>
        <v>78.453199999999995</v>
      </c>
      <c r="P477" s="5">
        <v>0.72399999999999998</v>
      </c>
      <c r="Q477" s="5">
        <f t="shared" si="34"/>
        <v>28.922352</v>
      </c>
      <c r="R477" s="6">
        <v>800</v>
      </c>
      <c r="S477" s="5">
        <f t="shared" si="35"/>
        <v>78.453199999999995</v>
      </c>
      <c r="T477" s="5">
        <v>-153.5</v>
      </c>
    </row>
    <row r="478" spans="4:20" ht="18.75" customHeight="1" x14ac:dyDescent="0.25">
      <c r="D478" s="6">
        <v>1935</v>
      </c>
      <c r="E478" t="s">
        <v>80</v>
      </c>
      <c r="F478" s="5">
        <f t="shared" si="31"/>
        <v>119.64999999999998</v>
      </c>
      <c r="G478" s="5">
        <f t="shared" si="32"/>
        <v>27.843755999999999</v>
      </c>
      <c r="H478" s="5">
        <f t="shared" si="33"/>
        <v>98.066500000000005</v>
      </c>
      <c r="P478" s="5">
        <v>0.69699999999999995</v>
      </c>
      <c r="Q478" s="5">
        <f t="shared" si="34"/>
        <v>27.843755999999999</v>
      </c>
      <c r="R478" s="6">
        <v>1000</v>
      </c>
      <c r="S478" s="5">
        <f t="shared" si="35"/>
        <v>98.066500000000005</v>
      </c>
      <c r="T478" s="5">
        <v>-153.5</v>
      </c>
    </row>
    <row r="479" spans="4:20" ht="18.75" customHeight="1" x14ac:dyDescent="0.25">
      <c r="D479" s="6">
        <v>1935</v>
      </c>
      <c r="E479" t="s">
        <v>80</v>
      </c>
      <c r="F479" s="5">
        <f t="shared" si="31"/>
        <v>119.64999999999998</v>
      </c>
      <c r="G479" s="5">
        <f t="shared" si="32"/>
        <v>27.044796000000002</v>
      </c>
      <c r="H479" s="5">
        <f t="shared" si="33"/>
        <v>127.48645</v>
      </c>
      <c r="P479" s="5">
        <v>0.67700000000000005</v>
      </c>
      <c r="Q479" s="5">
        <f t="shared" si="34"/>
        <v>27.044796000000002</v>
      </c>
      <c r="R479" s="6">
        <v>1300</v>
      </c>
      <c r="S479" s="5">
        <f t="shared" si="35"/>
        <v>127.48645</v>
      </c>
      <c r="T479" s="5">
        <v>-153.5</v>
      </c>
    </row>
    <row r="480" spans="4:20" ht="18.75" customHeight="1" x14ac:dyDescent="0.25">
      <c r="D480" s="6">
        <v>1935</v>
      </c>
      <c r="E480" t="s">
        <v>80</v>
      </c>
      <c r="F480" s="5">
        <f t="shared" si="31"/>
        <v>119.64999999999998</v>
      </c>
      <c r="G480" s="5">
        <f t="shared" si="32"/>
        <v>26.245836000000001</v>
      </c>
      <c r="H480" s="5">
        <f t="shared" si="33"/>
        <v>156.90639999999999</v>
      </c>
      <c r="P480" s="5">
        <v>0.65700000000000003</v>
      </c>
      <c r="Q480" s="5">
        <f t="shared" si="34"/>
        <v>26.245836000000001</v>
      </c>
      <c r="R480" s="6">
        <v>1600</v>
      </c>
      <c r="S480" s="5">
        <f t="shared" si="35"/>
        <v>156.90639999999999</v>
      </c>
      <c r="T480" s="5">
        <v>-153.5</v>
      </c>
    </row>
    <row r="481" spans="4:20" ht="18.75" customHeight="1" x14ac:dyDescent="0.25">
      <c r="D481" s="6">
        <v>1935</v>
      </c>
      <c r="E481" t="s">
        <v>80</v>
      </c>
      <c r="F481" s="5">
        <f t="shared" si="31"/>
        <v>138.04999999999998</v>
      </c>
      <c r="G481" s="5">
        <f t="shared" si="32"/>
        <v>26.086044000000001</v>
      </c>
      <c r="H481" s="5">
        <f t="shared" si="33"/>
        <v>245.16624999999999</v>
      </c>
      <c r="P481" s="5">
        <v>0.65300000000000002</v>
      </c>
      <c r="Q481" s="5">
        <f t="shared" si="34"/>
        <v>26.086044000000001</v>
      </c>
      <c r="R481" s="6">
        <v>2500</v>
      </c>
      <c r="S481" s="5">
        <f t="shared" si="35"/>
        <v>245.16624999999999</v>
      </c>
      <c r="T481" s="5">
        <v>-135.1</v>
      </c>
    </row>
    <row r="482" spans="4:20" ht="18.75" customHeight="1" x14ac:dyDescent="0.25">
      <c r="D482" s="6">
        <v>1935</v>
      </c>
      <c r="E482" t="s">
        <v>80</v>
      </c>
      <c r="F482" s="5">
        <f t="shared" si="31"/>
        <v>156.14999999999998</v>
      </c>
      <c r="G482" s="5">
        <f t="shared" si="32"/>
        <v>25.486824000000002</v>
      </c>
      <c r="H482" s="5">
        <f t="shared" si="33"/>
        <v>343.23275000000001</v>
      </c>
      <c r="P482" s="5">
        <v>0.63800000000000001</v>
      </c>
      <c r="Q482" s="5">
        <f t="shared" si="34"/>
        <v>25.486824000000002</v>
      </c>
      <c r="R482" s="6">
        <v>3500</v>
      </c>
      <c r="S482" s="5">
        <f t="shared" si="35"/>
        <v>343.23275000000001</v>
      </c>
      <c r="T482" s="6">
        <v>-117</v>
      </c>
    </row>
    <row r="483" spans="4:20" ht="18.75" customHeight="1" x14ac:dyDescent="0.25">
      <c r="D483" s="6">
        <v>1935</v>
      </c>
      <c r="E483" t="s">
        <v>80</v>
      </c>
      <c r="F483" s="5">
        <f t="shared" si="31"/>
        <v>171.74999999999997</v>
      </c>
      <c r="G483" s="5">
        <f t="shared" si="32"/>
        <v>27.444276000000002</v>
      </c>
      <c r="H483" s="5">
        <f t="shared" si="33"/>
        <v>245.16624999999999</v>
      </c>
      <c r="P483" s="5">
        <v>0.68700000000000006</v>
      </c>
      <c r="Q483" s="5">
        <f t="shared" si="34"/>
        <v>27.444276000000002</v>
      </c>
      <c r="R483" s="6">
        <v>2500</v>
      </c>
      <c r="S483" s="5">
        <f t="shared" si="35"/>
        <v>245.16624999999999</v>
      </c>
      <c r="T483" s="5">
        <v>-101.4</v>
      </c>
    </row>
    <row r="484" spans="4:20" ht="18.75" customHeight="1" x14ac:dyDescent="0.25">
      <c r="D484" s="6">
        <v>1935</v>
      </c>
      <c r="E484" t="s">
        <v>80</v>
      </c>
      <c r="F484" s="5">
        <f t="shared" si="31"/>
        <v>171.74999999999997</v>
      </c>
      <c r="G484" s="5">
        <f t="shared" si="32"/>
        <v>26.645316000000001</v>
      </c>
      <c r="H484" s="5">
        <f t="shared" si="33"/>
        <v>294.1995</v>
      </c>
      <c r="P484" s="5">
        <v>0.66700000000000004</v>
      </c>
      <c r="Q484" s="5">
        <f t="shared" si="34"/>
        <v>26.645316000000001</v>
      </c>
      <c r="R484" s="6">
        <v>3000</v>
      </c>
      <c r="S484" s="5">
        <f t="shared" si="35"/>
        <v>294.1995</v>
      </c>
      <c r="T484" s="5">
        <v>-101.4</v>
      </c>
    </row>
    <row r="485" spans="4:20" ht="18.75" customHeight="1" x14ac:dyDescent="0.25">
      <c r="D485" s="6">
        <v>1935</v>
      </c>
      <c r="E485" t="s">
        <v>80</v>
      </c>
      <c r="F485" s="5">
        <f t="shared" si="31"/>
        <v>171.74999999999997</v>
      </c>
      <c r="G485" s="5">
        <f t="shared" si="32"/>
        <v>26.205888000000002</v>
      </c>
      <c r="H485" s="5">
        <f t="shared" si="33"/>
        <v>343.23275000000001</v>
      </c>
      <c r="P485" s="5">
        <v>0.65600000000000003</v>
      </c>
      <c r="Q485" s="5">
        <f t="shared" si="34"/>
        <v>26.205888000000002</v>
      </c>
      <c r="R485" s="6">
        <v>3500</v>
      </c>
      <c r="S485" s="5">
        <f t="shared" si="35"/>
        <v>343.23275000000001</v>
      </c>
      <c r="T485" s="5">
        <v>-101.4</v>
      </c>
    </row>
    <row r="486" spans="4:20" ht="18.75" customHeight="1" x14ac:dyDescent="0.25">
      <c r="D486" s="6">
        <v>1935</v>
      </c>
      <c r="E486" t="s">
        <v>80</v>
      </c>
      <c r="F486" s="5">
        <f t="shared" si="31"/>
        <v>171.74999999999997</v>
      </c>
      <c r="G486" s="5">
        <f t="shared" si="32"/>
        <v>25.646616000000002</v>
      </c>
      <c r="H486" s="5">
        <f t="shared" si="33"/>
        <v>392.26600000000002</v>
      </c>
      <c r="P486" s="5">
        <v>0.64200000000000002</v>
      </c>
      <c r="Q486" s="5">
        <f t="shared" si="34"/>
        <v>25.646616000000002</v>
      </c>
      <c r="R486" s="6">
        <v>4000</v>
      </c>
      <c r="S486" s="5">
        <f t="shared" si="35"/>
        <v>392.26600000000002</v>
      </c>
      <c r="T486" s="5">
        <v>-101.4</v>
      </c>
    </row>
    <row r="487" spans="4:20" ht="18.75" customHeight="1" x14ac:dyDescent="0.25">
      <c r="D487" s="6">
        <v>1935</v>
      </c>
      <c r="E487" t="s">
        <v>80</v>
      </c>
      <c r="F487" s="5">
        <f t="shared" si="31"/>
        <v>171.74999999999997</v>
      </c>
      <c r="G487" s="5">
        <f t="shared" si="32"/>
        <v>25.247136000000001</v>
      </c>
      <c r="H487" s="5">
        <f t="shared" si="33"/>
        <v>441.29925000000003</v>
      </c>
      <c r="P487" s="5">
        <v>0.63200000000000001</v>
      </c>
      <c r="Q487" s="5">
        <f t="shared" si="34"/>
        <v>25.247136000000001</v>
      </c>
      <c r="R487" s="6">
        <v>4500</v>
      </c>
      <c r="S487" s="5">
        <f t="shared" si="35"/>
        <v>441.29925000000003</v>
      </c>
      <c r="T487" s="5">
        <v>-101.4</v>
      </c>
    </row>
    <row r="488" spans="4:20" ht="18.75" customHeight="1" x14ac:dyDescent="0.25">
      <c r="D488" s="6">
        <v>1935</v>
      </c>
      <c r="E488" t="s">
        <v>80</v>
      </c>
      <c r="F488" s="5">
        <f t="shared" si="31"/>
        <v>183.14999999999998</v>
      </c>
      <c r="G488" s="5">
        <f t="shared" si="32"/>
        <v>26.805108000000001</v>
      </c>
      <c r="H488" s="5">
        <f t="shared" si="33"/>
        <v>294.1995</v>
      </c>
      <c r="P488" s="5">
        <v>0.67100000000000004</v>
      </c>
      <c r="Q488" s="5">
        <f t="shared" si="34"/>
        <v>26.805108000000001</v>
      </c>
      <c r="R488" s="6">
        <v>3000</v>
      </c>
      <c r="S488" s="5">
        <f t="shared" si="35"/>
        <v>294.1995</v>
      </c>
      <c r="T488" s="6">
        <v>-90</v>
      </c>
    </row>
    <row r="489" spans="4:20" ht="18.75" customHeight="1" x14ac:dyDescent="0.25">
      <c r="D489" s="6">
        <v>1935</v>
      </c>
      <c r="E489" t="s">
        <v>80</v>
      </c>
      <c r="F489" s="5">
        <f t="shared" si="31"/>
        <v>183.14999999999998</v>
      </c>
      <c r="G489" s="5">
        <f t="shared" si="32"/>
        <v>26.405628</v>
      </c>
      <c r="H489" s="5">
        <f t="shared" si="33"/>
        <v>343.23275000000001</v>
      </c>
      <c r="P489" s="5">
        <v>0.66100000000000003</v>
      </c>
      <c r="Q489" s="5">
        <f t="shared" si="34"/>
        <v>26.405628</v>
      </c>
      <c r="R489" s="6">
        <v>3500</v>
      </c>
      <c r="S489" s="5">
        <f t="shared" si="35"/>
        <v>343.23275000000001</v>
      </c>
      <c r="T489" s="6">
        <v>-90</v>
      </c>
    </row>
    <row r="490" spans="4:20" ht="18.75" customHeight="1" x14ac:dyDescent="0.25">
      <c r="D490" s="6">
        <v>1935</v>
      </c>
      <c r="E490" t="s">
        <v>80</v>
      </c>
      <c r="F490" s="5">
        <f t="shared" si="31"/>
        <v>183.14999999999998</v>
      </c>
      <c r="G490" s="5">
        <f t="shared" si="32"/>
        <v>25.966200000000001</v>
      </c>
      <c r="H490" s="5">
        <f t="shared" si="33"/>
        <v>392.26600000000002</v>
      </c>
      <c r="P490" s="5">
        <v>0.65</v>
      </c>
      <c r="Q490" s="5">
        <f t="shared" si="34"/>
        <v>25.966200000000001</v>
      </c>
      <c r="R490" s="6">
        <v>4000</v>
      </c>
      <c r="S490" s="5">
        <f t="shared" si="35"/>
        <v>392.26600000000002</v>
      </c>
      <c r="T490" s="6">
        <v>-90</v>
      </c>
    </row>
    <row r="491" spans="4:20" ht="18.75" customHeight="1" x14ac:dyDescent="0.25">
      <c r="D491" s="6">
        <v>1935</v>
      </c>
      <c r="E491" t="s">
        <v>80</v>
      </c>
      <c r="F491" s="5">
        <f t="shared" si="31"/>
        <v>183.14999999999998</v>
      </c>
      <c r="G491" s="5">
        <f t="shared" si="32"/>
        <v>25.606667999999999</v>
      </c>
      <c r="H491" s="5">
        <f t="shared" si="33"/>
        <v>441.29925000000003</v>
      </c>
      <c r="P491" s="5">
        <v>0.64100000000000001</v>
      </c>
      <c r="Q491" s="5">
        <f t="shared" si="34"/>
        <v>25.606667999999999</v>
      </c>
      <c r="R491" s="6">
        <v>4500</v>
      </c>
      <c r="S491" s="5">
        <f t="shared" si="35"/>
        <v>441.29925000000003</v>
      </c>
      <c r="T491" s="6">
        <v>-90</v>
      </c>
    </row>
    <row r="492" spans="4:20" ht="18.75" customHeight="1" x14ac:dyDescent="0.25">
      <c r="D492" s="6">
        <v>1935</v>
      </c>
      <c r="E492" t="s">
        <v>80</v>
      </c>
      <c r="F492" s="5">
        <f t="shared" si="31"/>
        <v>183.14999999999998</v>
      </c>
      <c r="G492" s="5">
        <f t="shared" si="32"/>
        <v>25.207188000000002</v>
      </c>
      <c r="H492" s="5">
        <f t="shared" si="33"/>
        <v>490.33249999999998</v>
      </c>
      <c r="P492" s="5">
        <v>0.63100000000000001</v>
      </c>
      <c r="Q492" s="5">
        <f t="shared" si="34"/>
        <v>25.207188000000002</v>
      </c>
      <c r="R492" s="6">
        <v>5000</v>
      </c>
      <c r="S492" s="5">
        <f t="shared" si="35"/>
        <v>490.33249999999998</v>
      </c>
      <c r="T492" s="6">
        <v>-90</v>
      </c>
    </row>
    <row r="493" spans="4:20" ht="18.75" customHeight="1" x14ac:dyDescent="0.25">
      <c r="D493" s="6">
        <v>1935</v>
      </c>
      <c r="E493" t="s">
        <v>80</v>
      </c>
      <c r="F493" s="5">
        <f t="shared" si="31"/>
        <v>183.14999999999998</v>
      </c>
      <c r="G493" s="5">
        <f t="shared" si="32"/>
        <v>24.927551999999999</v>
      </c>
      <c r="H493" s="5">
        <f t="shared" si="33"/>
        <v>539.36575000000005</v>
      </c>
      <c r="P493" s="5">
        <v>0.624</v>
      </c>
      <c r="Q493" s="5">
        <f t="shared" si="34"/>
        <v>24.927551999999999</v>
      </c>
      <c r="R493" s="6">
        <v>5500</v>
      </c>
      <c r="S493" s="5">
        <f t="shared" si="35"/>
        <v>539.36575000000005</v>
      </c>
      <c r="T493" s="6">
        <v>-90</v>
      </c>
    </row>
    <row r="494" spans="4:20" ht="18.75" customHeight="1" x14ac:dyDescent="0.25">
      <c r="D494" s="6">
        <v>1935</v>
      </c>
      <c r="E494" t="s">
        <v>80</v>
      </c>
      <c r="F494" s="5">
        <f t="shared" si="31"/>
        <v>273.14999999999998</v>
      </c>
      <c r="G494" s="5">
        <f t="shared" si="32"/>
        <v>47.098692</v>
      </c>
      <c r="H494" s="5">
        <f t="shared" si="33"/>
        <v>68.646550000000005</v>
      </c>
      <c r="P494" s="5">
        <v>1.179</v>
      </c>
      <c r="Q494" s="5">
        <f t="shared" si="34"/>
        <v>47.098692</v>
      </c>
      <c r="R494" s="6">
        <v>700</v>
      </c>
      <c r="S494" s="5">
        <f t="shared" si="35"/>
        <v>68.646550000000005</v>
      </c>
      <c r="T494" s="6">
        <v>0</v>
      </c>
    </row>
    <row r="495" spans="4:20" ht="18.75" customHeight="1" x14ac:dyDescent="0.25">
      <c r="D495" s="6">
        <v>1935</v>
      </c>
      <c r="E495" t="s">
        <v>80</v>
      </c>
      <c r="F495" s="5">
        <f t="shared" si="31"/>
        <v>273.14999999999998</v>
      </c>
      <c r="G495" s="5">
        <f t="shared" si="32"/>
        <v>44.142539999999997</v>
      </c>
      <c r="H495" s="5">
        <f t="shared" si="33"/>
        <v>78.453199999999995</v>
      </c>
      <c r="P495" s="5">
        <v>1.105</v>
      </c>
      <c r="Q495" s="5">
        <f t="shared" si="34"/>
        <v>44.142539999999997</v>
      </c>
      <c r="R495" s="6">
        <v>800</v>
      </c>
      <c r="S495" s="5">
        <f t="shared" si="35"/>
        <v>78.453199999999995</v>
      </c>
      <c r="T495" s="6">
        <v>0</v>
      </c>
    </row>
    <row r="496" spans="4:20" ht="18.75" customHeight="1" x14ac:dyDescent="0.25">
      <c r="D496" s="6">
        <v>1935</v>
      </c>
      <c r="E496" t="s">
        <v>80</v>
      </c>
      <c r="F496" s="5">
        <f t="shared" si="31"/>
        <v>273.14999999999998</v>
      </c>
      <c r="G496" s="5">
        <f t="shared" si="32"/>
        <v>41.865504000000001</v>
      </c>
      <c r="H496" s="5">
        <f t="shared" si="33"/>
        <v>88.25985</v>
      </c>
      <c r="P496" s="5">
        <v>1.048</v>
      </c>
      <c r="Q496" s="5">
        <f t="shared" si="34"/>
        <v>41.865504000000001</v>
      </c>
      <c r="R496" s="6">
        <v>900</v>
      </c>
      <c r="S496" s="5">
        <f t="shared" si="35"/>
        <v>88.25985</v>
      </c>
      <c r="T496" s="6">
        <v>0</v>
      </c>
    </row>
    <row r="497" spans="4:20" ht="18.75" customHeight="1" x14ac:dyDescent="0.25">
      <c r="D497" s="6">
        <v>1935</v>
      </c>
      <c r="E497" t="s">
        <v>80</v>
      </c>
      <c r="F497" s="5">
        <f t="shared" si="31"/>
        <v>273.14999999999998</v>
      </c>
      <c r="G497" s="5">
        <f t="shared" si="32"/>
        <v>40.187688000000001</v>
      </c>
      <c r="H497" s="5">
        <f t="shared" si="33"/>
        <v>98.066500000000005</v>
      </c>
      <c r="P497" s="5">
        <v>1.006</v>
      </c>
      <c r="Q497" s="5">
        <f t="shared" si="34"/>
        <v>40.187688000000001</v>
      </c>
      <c r="R497" s="6">
        <v>1000</v>
      </c>
      <c r="S497" s="5">
        <f t="shared" si="35"/>
        <v>98.066500000000005</v>
      </c>
      <c r="T497" s="6">
        <v>0</v>
      </c>
    </row>
    <row r="498" spans="4:20" ht="18.75" customHeight="1" x14ac:dyDescent="0.25">
      <c r="D498" s="6">
        <v>1935</v>
      </c>
      <c r="E498" t="s">
        <v>80</v>
      </c>
      <c r="F498" s="5">
        <f t="shared" si="31"/>
        <v>273.14999999999998</v>
      </c>
      <c r="G498" s="5">
        <f t="shared" si="32"/>
        <v>38.749560000000002</v>
      </c>
      <c r="H498" s="5">
        <f t="shared" si="33"/>
        <v>107.87315</v>
      </c>
      <c r="P498" s="5">
        <v>0.97</v>
      </c>
      <c r="Q498" s="5">
        <f t="shared" si="34"/>
        <v>38.749560000000002</v>
      </c>
      <c r="R498" s="6">
        <v>1100</v>
      </c>
      <c r="S498" s="5">
        <f t="shared" si="35"/>
        <v>107.87315</v>
      </c>
      <c r="T498" s="6">
        <v>0</v>
      </c>
    </row>
    <row r="499" spans="4:20" ht="18.75" customHeight="1" x14ac:dyDescent="0.25">
      <c r="D499" s="6">
        <v>1935</v>
      </c>
      <c r="E499" t="s">
        <v>80</v>
      </c>
      <c r="F499" s="5">
        <f t="shared" si="31"/>
        <v>273.14999999999998</v>
      </c>
      <c r="G499" s="5">
        <f t="shared" si="32"/>
        <v>37.670963999999998</v>
      </c>
      <c r="H499" s="5">
        <f t="shared" si="33"/>
        <v>117.6798</v>
      </c>
      <c r="P499" s="5">
        <v>0.94299999999999995</v>
      </c>
      <c r="Q499" s="5">
        <f t="shared" si="34"/>
        <v>37.670963999999998</v>
      </c>
      <c r="R499" s="6">
        <v>1200</v>
      </c>
      <c r="S499" s="5">
        <f t="shared" si="35"/>
        <v>117.6798</v>
      </c>
      <c r="T499" s="6">
        <v>0</v>
      </c>
    </row>
    <row r="500" spans="4:20" ht="18.75" customHeight="1" x14ac:dyDescent="0.25">
      <c r="D500" s="6">
        <v>1935</v>
      </c>
      <c r="E500" t="s">
        <v>80</v>
      </c>
      <c r="F500" s="5">
        <f t="shared" si="31"/>
        <v>273.14999999999998</v>
      </c>
      <c r="G500" s="5">
        <f t="shared" si="32"/>
        <v>36.752160000000003</v>
      </c>
      <c r="H500" s="5">
        <f t="shared" si="33"/>
        <v>127.48645</v>
      </c>
      <c r="P500" s="5">
        <v>0.92</v>
      </c>
      <c r="Q500" s="5">
        <f t="shared" si="34"/>
        <v>36.752160000000003</v>
      </c>
      <c r="R500" s="6">
        <v>1300</v>
      </c>
      <c r="S500" s="5">
        <f t="shared" si="35"/>
        <v>127.48645</v>
      </c>
      <c r="T500" s="6">
        <v>0</v>
      </c>
    </row>
    <row r="501" spans="4:20" ht="18.75" customHeight="1" x14ac:dyDescent="0.25">
      <c r="D501" s="6">
        <v>1935</v>
      </c>
      <c r="E501" t="s">
        <v>80</v>
      </c>
      <c r="F501" s="5">
        <f t="shared" si="31"/>
        <v>273.14999999999998</v>
      </c>
      <c r="G501" s="5">
        <f t="shared" si="32"/>
        <v>35.913252</v>
      </c>
      <c r="H501" s="5">
        <f t="shared" si="33"/>
        <v>137.29310000000001</v>
      </c>
      <c r="P501" s="5">
        <v>0.89900000000000002</v>
      </c>
      <c r="Q501" s="5">
        <f t="shared" si="34"/>
        <v>35.913252</v>
      </c>
      <c r="R501" s="6">
        <v>1400</v>
      </c>
      <c r="S501" s="5">
        <f t="shared" si="35"/>
        <v>137.29310000000001</v>
      </c>
      <c r="T501" s="6">
        <v>0</v>
      </c>
    </row>
    <row r="502" spans="4:20" ht="18.75" customHeight="1" x14ac:dyDescent="0.25">
      <c r="D502" s="6">
        <v>1935</v>
      </c>
      <c r="E502" t="s">
        <v>80</v>
      </c>
      <c r="F502" s="5">
        <f t="shared" si="31"/>
        <v>273.14999999999998</v>
      </c>
      <c r="G502" s="5">
        <f t="shared" si="32"/>
        <v>35.154240000000001</v>
      </c>
      <c r="H502" s="5">
        <f t="shared" si="33"/>
        <v>147.09975</v>
      </c>
      <c r="P502" s="5">
        <v>0.88</v>
      </c>
      <c r="Q502" s="5">
        <f t="shared" si="34"/>
        <v>35.154240000000001</v>
      </c>
      <c r="R502" s="6">
        <v>1500</v>
      </c>
      <c r="S502" s="5">
        <f t="shared" si="35"/>
        <v>147.09975</v>
      </c>
      <c r="T502" s="6">
        <v>0</v>
      </c>
    </row>
    <row r="503" spans="4:20" ht="18.75" customHeight="1" x14ac:dyDescent="0.25">
      <c r="D503" s="6">
        <v>1935</v>
      </c>
      <c r="E503" t="s">
        <v>80</v>
      </c>
      <c r="F503" s="5">
        <f t="shared" si="31"/>
        <v>273.14999999999998</v>
      </c>
      <c r="G503" s="5">
        <f t="shared" si="32"/>
        <v>34.515071999999996</v>
      </c>
      <c r="H503" s="5">
        <f t="shared" si="33"/>
        <v>156.90639999999999</v>
      </c>
      <c r="P503" s="5">
        <v>0.86399999999999999</v>
      </c>
      <c r="Q503" s="5">
        <f t="shared" si="34"/>
        <v>34.515071999999996</v>
      </c>
      <c r="R503" s="6">
        <v>1600</v>
      </c>
      <c r="S503" s="5">
        <f t="shared" si="35"/>
        <v>156.90639999999999</v>
      </c>
      <c r="T503" s="6">
        <v>0</v>
      </c>
    </row>
    <row r="504" spans="4:20" ht="18.75" customHeight="1" x14ac:dyDescent="0.25">
      <c r="D504" s="6">
        <v>1935</v>
      </c>
      <c r="E504" t="s">
        <v>80</v>
      </c>
      <c r="F504" s="5">
        <f t="shared" si="31"/>
        <v>273.14999999999998</v>
      </c>
      <c r="G504" s="5">
        <f t="shared" si="32"/>
        <v>34.035696000000002</v>
      </c>
      <c r="H504" s="5">
        <f t="shared" si="33"/>
        <v>166.71305000000001</v>
      </c>
      <c r="P504" s="5">
        <v>0.85199999999999998</v>
      </c>
      <c r="Q504" s="5">
        <f t="shared" si="34"/>
        <v>34.035696000000002</v>
      </c>
      <c r="R504" s="6">
        <v>1700</v>
      </c>
      <c r="S504" s="5">
        <f t="shared" si="35"/>
        <v>166.71305000000001</v>
      </c>
      <c r="T504" s="6">
        <v>0</v>
      </c>
    </row>
    <row r="505" spans="4:20" ht="18.75" customHeight="1" x14ac:dyDescent="0.25">
      <c r="D505" s="6">
        <v>1935</v>
      </c>
      <c r="E505" t="s">
        <v>80</v>
      </c>
      <c r="F505" s="5">
        <f t="shared" si="31"/>
        <v>273.14999999999998</v>
      </c>
      <c r="G505" s="5">
        <f t="shared" si="32"/>
        <v>33.556319999999999</v>
      </c>
      <c r="H505" s="5">
        <f t="shared" si="33"/>
        <v>176.5197</v>
      </c>
      <c r="P505" s="5">
        <v>0.84</v>
      </c>
      <c r="Q505" s="5">
        <f t="shared" si="34"/>
        <v>33.556319999999999</v>
      </c>
      <c r="R505" s="6">
        <v>1800</v>
      </c>
      <c r="S505" s="5">
        <f t="shared" si="35"/>
        <v>176.5197</v>
      </c>
      <c r="T505" s="6">
        <v>0</v>
      </c>
    </row>
    <row r="506" spans="4:20" ht="18.75" customHeight="1" x14ac:dyDescent="0.25">
      <c r="D506" s="6">
        <v>1935</v>
      </c>
      <c r="E506" t="s">
        <v>80</v>
      </c>
      <c r="F506" s="5">
        <f t="shared" si="31"/>
        <v>273.14999999999998</v>
      </c>
      <c r="G506" s="5">
        <f t="shared" si="32"/>
        <v>33.076943999999997</v>
      </c>
      <c r="H506" s="5">
        <f t="shared" si="33"/>
        <v>186.32634999999999</v>
      </c>
      <c r="P506" s="5">
        <v>0.82799999999999996</v>
      </c>
      <c r="Q506" s="5">
        <f t="shared" si="34"/>
        <v>33.076943999999997</v>
      </c>
      <c r="R506" s="6">
        <v>1900</v>
      </c>
      <c r="S506" s="5">
        <f t="shared" si="35"/>
        <v>186.32634999999999</v>
      </c>
      <c r="T506" s="6">
        <v>0</v>
      </c>
    </row>
    <row r="507" spans="4:20" ht="18.75" customHeight="1" x14ac:dyDescent="0.25">
      <c r="D507" s="6">
        <v>1935</v>
      </c>
      <c r="E507" t="s">
        <v>80</v>
      </c>
      <c r="F507" s="5">
        <f t="shared" si="31"/>
        <v>273.14999999999998</v>
      </c>
      <c r="G507" s="5">
        <f t="shared" si="32"/>
        <v>32.677464000000001</v>
      </c>
      <c r="H507" s="5">
        <f t="shared" si="33"/>
        <v>196.13300000000001</v>
      </c>
      <c r="P507" s="5">
        <v>0.81799999999999995</v>
      </c>
      <c r="Q507" s="5">
        <f t="shared" si="34"/>
        <v>32.677464000000001</v>
      </c>
      <c r="R507" s="6">
        <v>2000</v>
      </c>
      <c r="S507" s="5">
        <f t="shared" si="35"/>
        <v>196.13300000000001</v>
      </c>
      <c r="T507" s="6">
        <v>0</v>
      </c>
    </row>
    <row r="508" spans="4:20" ht="18.75" customHeight="1" x14ac:dyDescent="0.25">
      <c r="D508" s="6">
        <v>1935</v>
      </c>
      <c r="E508" t="s">
        <v>80</v>
      </c>
      <c r="F508" s="5">
        <f t="shared" ref="F508:F539" si="36">T508+273.15</f>
        <v>273.14999999999998</v>
      </c>
      <c r="G508" s="5">
        <f t="shared" ref="G508:G539" si="37">Q508</f>
        <v>31.359180000000002</v>
      </c>
      <c r="H508" s="5">
        <f t="shared" ref="H508:H539" si="38">S508</f>
        <v>245.16624999999999</v>
      </c>
      <c r="P508" s="5">
        <v>0.78500000000000003</v>
      </c>
      <c r="Q508" s="5">
        <f t="shared" ref="Q508:Q539" si="39">$O$2*P508</f>
        <v>31.359180000000002</v>
      </c>
      <c r="R508" s="6">
        <v>2500</v>
      </c>
      <c r="S508" s="5">
        <f t="shared" ref="S508:S539" si="40">0.0980665*R508</f>
        <v>245.16624999999999</v>
      </c>
      <c r="T508" s="6">
        <v>0</v>
      </c>
    </row>
    <row r="509" spans="4:20" ht="18.75" customHeight="1" x14ac:dyDescent="0.25">
      <c r="D509" s="6">
        <v>1935</v>
      </c>
      <c r="E509" t="s">
        <v>80</v>
      </c>
      <c r="F509" s="5">
        <f t="shared" si="36"/>
        <v>273.14999999999998</v>
      </c>
      <c r="G509" s="5">
        <f t="shared" si="37"/>
        <v>30.080843999999999</v>
      </c>
      <c r="H509" s="5">
        <f t="shared" si="38"/>
        <v>294.1995</v>
      </c>
      <c r="P509" s="5">
        <v>0.753</v>
      </c>
      <c r="Q509" s="5">
        <f t="shared" si="39"/>
        <v>30.080843999999999</v>
      </c>
      <c r="R509" s="6">
        <v>3000</v>
      </c>
      <c r="S509" s="5">
        <f t="shared" si="40"/>
        <v>294.1995</v>
      </c>
      <c r="T509" s="6">
        <v>0</v>
      </c>
    </row>
    <row r="510" spans="4:20" ht="18.75" customHeight="1" x14ac:dyDescent="0.25">
      <c r="D510" s="6">
        <v>1935</v>
      </c>
      <c r="E510" t="s">
        <v>80</v>
      </c>
      <c r="F510" s="5">
        <f t="shared" si="36"/>
        <v>273.14999999999998</v>
      </c>
      <c r="G510" s="5">
        <f t="shared" si="37"/>
        <v>29.281883999999998</v>
      </c>
      <c r="H510" s="5">
        <f t="shared" si="38"/>
        <v>343.23275000000001</v>
      </c>
      <c r="P510" s="5">
        <v>0.73299999999999998</v>
      </c>
      <c r="Q510" s="5">
        <f t="shared" si="39"/>
        <v>29.281883999999998</v>
      </c>
      <c r="R510" s="6">
        <v>3500</v>
      </c>
      <c r="S510" s="5">
        <f t="shared" si="40"/>
        <v>343.23275000000001</v>
      </c>
      <c r="T510" s="6">
        <v>0</v>
      </c>
    </row>
    <row r="511" spans="4:20" ht="18.75" customHeight="1" x14ac:dyDescent="0.25">
      <c r="D511" s="6">
        <v>1935</v>
      </c>
      <c r="E511" t="s">
        <v>80</v>
      </c>
      <c r="F511" s="5">
        <f t="shared" si="36"/>
        <v>273.14999999999998</v>
      </c>
      <c r="G511" s="5">
        <f t="shared" si="37"/>
        <v>28.482924000000001</v>
      </c>
      <c r="H511" s="5">
        <f t="shared" si="38"/>
        <v>392.26600000000002</v>
      </c>
      <c r="P511" s="5">
        <v>0.71299999999999997</v>
      </c>
      <c r="Q511" s="5">
        <f t="shared" si="39"/>
        <v>28.482924000000001</v>
      </c>
      <c r="R511" s="6">
        <v>4000</v>
      </c>
      <c r="S511" s="5">
        <f t="shared" si="40"/>
        <v>392.26600000000002</v>
      </c>
      <c r="T511" s="6">
        <v>0</v>
      </c>
    </row>
    <row r="512" spans="4:20" ht="18.75" customHeight="1" x14ac:dyDescent="0.25">
      <c r="D512" s="6">
        <v>1935</v>
      </c>
      <c r="E512" t="s">
        <v>80</v>
      </c>
      <c r="F512" s="5">
        <f t="shared" si="36"/>
        <v>273.14999999999998</v>
      </c>
      <c r="G512" s="5">
        <f t="shared" si="37"/>
        <v>27.843755999999999</v>
      </c>
      <c r="H512" s="5">
        <f t="shared" si="38"/>
        <v>441.29925000000003</v>
      </c>
      <c r="P512" s="5">
        <v>0.69699999999999995</v>
      </c>
      <c r="Q512" s="5">
        <f t="shared" si="39"/>
        <v>27.843755999999999</v>
      </c>
      <c r="R512" s="6">
        <v>4500</v>
      </c>
      <c r="S512" s="5">
        <f t="shared" si="40"/>
        <v>441.29925000000003</v>
      </c>
      <c r="T512" s="6">
        <v>0</v>
      </c>
    </row>
    <row r="513" spans="4:20" ht="18.75" customHeight="1" x14ac:dyDescent="0.25">
      <c r="D513" s="6">
        <v>1935</v>
      </c>
      <c r="E513" t="s">
        <v>80</v>
      </c>
      <c r="F513" s="5">
        <f t="shared" si="36"/>
        <v>273.14999999999998</v>
      </c>
      <c r="G513" s="5">
        <f t="shared" si="37"/>
        <v>27.204588000000001</v>
      </c>
      <c r="H513" s="5">
        <f t="shared" si="38"/>
        <v>490.33249999999998</v>
      </c>
      <c r="P513" s="5">
        <v>0.68100000000000005</v>
      </c>
      <c r="Q513" s="5">
        <f t="shared" si="39"/>
        <v>27.204588000000001</v>
      </c>
      <c r="R513" s="6">
        <v>5000</v>
      </c>
      <c r="S513" s="5">
        <f t="shared" si="40"/>
        <v>490.33249999999998</v>
      </c>
      <c r="T513" s="6">
        <v>0</v>
      </c>
    </row>
    <row r="514" spans="4:20" ht="18.75" customHeight="1" x14ac:dyDescent="0.25">
      <c r="D514" s="6">
        <v>1935</v>
      </c>
      <c r="E514" t="s">
        <v>80</v>
      </c>
      <c r="F514" s="5">
        <f t="shared" si="36"/>
        <v>273.14999999999998</v>
      </c>
      <c r="G514" s="5">
        <f t="shared" si="37"/>
        <v>26.725212000000003</v>
      </c>
      <c r="H514" s="5">
        <f t="shared" si="38"/>
        <v>539.36575000000005</v>
      </c>
      <c r="P514" s="5">
        <v>0.66900000000000004</v>
      </c>
      <c r="Q514" s="5">
        <f t="shared" si="39"/>
        <v>26.725212000000003</v>
      </c>
      <c r="R514" s="6">
        <v>5500</v>
      </c>
      <c r="S514" s="5">
        <f t="shared" si="40"/>
        <v>539.36575000000005</v>
      </c>
      <c r="T514" s="6">
        <v>0</v>
      </c>
    </row>
    <row r="515" spans="4:20" ht="18.75" customHeight="1" x14ac:dyDescent="0.25">
      <c r="D515" s="6">
        <v>1935</v>
      </c>
      <c r="E515" t="s">
        <v>80</v>
      </c>
      <c r="F515" s="5">
        <f t="shared" si="36"/>
        <v>298.14999999999998</v>
      </c>
      <c r="G515" s="5">
        <f t="shared" si="37"/>
        <v>50.414376000000004</v>
      </c>
      <c r="H515" s="5">
        <f t="shared" si="38"/>
        <v>68.646550000000005</v>
      </c>
      <c r="P515" s="5">
        <v>1.262</v>
      </c>
      <c r="Q515" s="5">
        <f t="shared" si="39"/>
        <v>50.414376000000004</v>
      </c>
      <c r="R515" s="6">
        <v>700</v>
      </c>
      <c r="S515" s="5">
        <f t="shared" si="40"/>
        <v>68.646550000000005</v>
      </c>
      <c r="T515" s="6">
        <v>25</v>
      </c>
    </row>
    <row r="516" spans="4:20" ht="18.75" customHeight="1" x14ac:dyDescent="0.25">
      <c r="D516" s="6">
        <v>1935</v>
      </c>
      <c r="E516" t="s">
        <v>80</v>
      </c>
      <c r="F516" s="5">
        <f t="shared" si="36"/>
        <v>298.14999999999998</v>
      </c>
      <c r="G516" s="5">
        <f t="shared" si="37"/>
        <v>46.938900000000004</v>
      </c>
      <c r="H516" s="5">
        <f t="shared" si="38"/>
        <v>78.453199999999995</v>
      </c>
      <c r="P516" s="5">
        <v>1.175</v>
      </c>
      <c r="Q516" s="5">
        <f t="shared" si="39"/>
        <v>46.938900000000004</v>
      </c>
      <c r="R516" s="6">
        <v>800</v>
      </c>
      <c r="S516" s="5">
        <f t="shared" si="40"/>
        <v>78.453199999999995</v>
      </c>
      <c r="T516" s="6">
        <v>25</v>
      </c>
    </row>
    <row r="517" spans="4:20" ht="18.75" customHeight="1" x14ac:dyDescent="0.25">
      <c r="D517" s="6">
        <v>1935</v>
      </c>
      <c r="E517" t="s">
        <v>80</v>
      </c>
      <c r="F517" s="5">
        <f t="shared" si="36"/>
        <v>298.14999999999998</v>
      </c>
      <c r="G517" s="5">
        <f t="shared" si="37"/>
        <v>44.342280000000002</v>
      </c>
      <c r="H517" s="5">
        <f t="shared" si="38"/>
        <v>88.25985</v>
      </c>
      <c r="P517" s="5">
        <v>1.1100000000000001</v>
      </c>
      <c r="Q517" s="5">
        <f t="shared" si="39"/>
        <v>44.342280000000002</v>
      </c>
      <c r="R517" s="6">
        <v>900</v>
      </c>
      <c r="S517" s="5">
        <f t="shared" si="40"/>
        <v>88.25985</v>
      </c>
      <c r="T517" s="6">
        <v>25</v>
      </c>
    </row>
    <row r="518" spans="4:20" ht="18.75" customHeight="1" x14ac:dyDescent="0.25">
      <c r="D518" s="6">
        <v>1935</v>
      </c>
      <c r="E518" t="s">
        <v>80</v>
      </c>
      <c r="F518" s="5">
        <f t="shared" si="36"/>
        <v>298.14999999999998</v>
      </c>
      <c r="G518" s="5">
        <f t="shared" si="37"/>
        <v>42.344880000000003</v>
      </c>
      <c r="H518" s="5">
        <f t="shared" si="38"/>
        <v>98.066500000000005</v>
      </c>
      <c r="P518" s="5">
        <v>1.06</v>
      </c>
      <c r="Q518" s="5">
        <f t="shared" si="39"/>
        <v>42.344880000000003</v>
      </c>
      <c r="R518" s="6">
        <v>1000</v>
      </c>
      <c r="S518" s="5">
        <f t="shared" si="40"/>
        <v>98.066500000000005</v>
      </c>
      <c r="T518" s="6">
        <v>25</v>
      </c>
    </row>
    <row r="519" spans="4:20" ht="18.75" customHeight="1" x14ac:dyDescent="0.25">
      <c r="D519" s="6">
        <v>1935</v>
      </c>
      <c r="E519" t="s">
        <v>80</v>
      </c>
      <c r="F519" s="5">
        <f t="shared" si="36"/>
        <v>298.14999999999998</v>
      </c>
      <c r="G519" s="5">
        <f t="shared" si="37"/>
        <v>40.746960000000001</v>
      </c>
      <c r="H519" s="5">
        <f t="shared" si="38"/>
        <v>107.87315</v>
      </c>
      <c r="P519" s="5">
        <v>1.02</v>
      </c>
      <c r="Q519" s="5">
        <f t="shared" si="39"/>
        <v>40.746960000000001</v>
      </c>
      <c r="R519" s="6">
        <v>1100</v>
      </c>
      <c r="S519" s="5">
        <f t="shared" si="40"/>
        <v>107.87315</v>
      </c>
      <c r="T519" s="6">
        <v>25</v>
      </c>
    </row>
    <row r="520" spans="4:20" ht="18.75" customHeight="1" x14ac:dyDescent="0.25">
      <c r="D520" s="6">
        <v>1935</v>
      </c>
      <c r="E520" t="s">
        <v>80</v>
      </c>
      <c r="F520" s="5">
        <f t="shared" si="36"/>
        <v>298.14999999999998</v>
      </c>
      <c r="G520" s="5">
        <f t="shared" si="37"/>
        <v>39.508572000000001</v>
      </c>
      <c r="H520" s="5">
        <f t="shared" si="38"/>
        <v>117.6798</v>
      </c>
      <c r="P520" s="5">
        <v>0.98899999999999999</v>
      </c>
      <c r="Q520" s="5">
        <f t="shared" si="39"/>
        <v>39.508572000000001</v>
      </c>
      <c r="R520" s="6">
        <v>1200</v>
      </c>
      <c r="S520" s="5">
        <f t="shared" si="40"/>
        <v>117.6798</v>
      </c>
      <c r="T520" s="6">
        <v>25</v>
      </c>
    </row>
    <row r="521" spans="4:20" ht="18.75" customHeight="1" x14ac:dyDescent="0.25">
      <c r="D521" s="6">
        <v>1935</v>
      </c>
      <c r="E521" t="s">
        <v>80</v>
      </c>
      <c r="F521" s="5">
        <f t="shared" si="36"/>
        <v>298.14999999999998</v>
      </c>
      <c r="G521" s="5">
        <f t="shared" si="37"/>
        <v>38.429975999999996</v>
      </c>
      <c r="H521" s="5">
        <f t="shared" si="38"/>
        <v>127.48645</v>
      </c>
      <c r="P521" s="5">
        <v>0.96199999999999997</v>
      </c>
      <c r="Q521" s="5">
        <f t="shared" si="39"/>
        <v>38.429975999999996</v>
      </c>
      <c r="R521" s="6">
        <v>1300</v>
      </c>
      <c r="S521" s="5">
        <f t="shared" si="40"/>
        <v>127.48645</v>
      </c>
      <c r="T521" s="6">
        <v>25</v>
      </c>
    </row>
    <row r="522" spans="4:20" ht="18.75" customHeight="1" x14ac:dyDescent="0.25">
      <c r="D522" s="6">
        <v>1935</v>
      </c>
      <c r="E522" t="s">
        <v>80</v>
      </c>
      <c r="F522" s="5">
        <f t="shared" si="36"/>
        <v>298.14999999999998</v>
      </c>
      <c r="G522" s="5">
        <f t="shared" si="37"/>
        <v>37.471223999999999</v>
      </c>
      <c r="H522" s="5">
        <f t="shared" si="38"/>
        <v>137.29310000000001</v>
      </c>
      <c r="P522" s="5">
        <v>0.93799999999999994</v>
      </c>
      <c r="Q522" s="5">
        <f t="shared" si="39"/>
        <v>37.471223999999999</v>
      </c>
      <c r="R522" s="6">
        <v>1400</v>
      </c>
      <c r="S522" s="5">
        <f t="shared" si="40"/>
        <v>137.29310000000001</v>
      </c>
      <c r="T522" s="6">
        <v>25</v>
      </c>
    </row>
    <row r="523" spans="4:20" ht="18.75" customHeight="1" x14ac:dyDescent="0.25">
      <c r="D523" s="6">
        <v>1935</v>
      </c>
      <c r="E523" t="s">
        <v>80</v>
      </c>
      <c r="F523" s="5">
        <f t="shared" si="36"/>
        <v>298.14999999999998</v>
      </c>
      <c r="G523" s="5">
        <f t="shared" si="37"/>
        <v>36.592368</v>
      </c>
      <c r="H523" s="5">
        <f t="shared" si="38"/>
        <v>147.09975</v>
      </c>
      <c r="P523" s="5">
        <v>0.91600000000000004</v>
      </c>
      <c r="Q523" s="5">
        <f t="shared" si="39"/>
        <v>36.592368</v>
      </c>
      <c r="R523" s="6">
        <v>1500</v>
      </c>
      <c r="S523" s="5">
        <f t="shared" si="40"/>
        <v>147.09975</v>
      </c>
      <c r="T523" s="6">
        <v>25</v>
      </c>
    </row>
    <row r="524" spans="4:20" ht="18.75" customHeight="1" x14ac:dyDescent="0.25">
      <c r="D524" s="6">
        <v>1935</v>
      </c>
      <c r="E524" t="s">
        <v>80</v>
      </c>
      <c r="F524" s="5">
        <f t="shared" si="36"/>
        <v>298.14999999999998</v>
      </c>
      <c r="G524" s="5">
        <f t="shared" si="37"/>
        <v>35.873304000000005</v>
      </c>
      <c r="H524" s="5">
        <f t="shared" si="38"/>
        <v>156.90639999999999</v>
      </c>
      <c r="P524" s="5">
        <v>0.89800000000000002</v>
      </c>
      <c r="Q524" s="5">
        <f t="shared" si="39"/>
        <v>35.873304000000005</v>
      </c>
      <c r="R524" s="6">
        <v>1600</v>
      </c>
      <c r="S524" s="5">
        <f t="shared" si="40"/>
        <v>156.90639999999999</v>
      </c>
      <c r="T524" s="6">
        <v>25</v>
      </c>
    </row>
    <row r="525" spans="4:20" ht="18.75" customHeight="1" x14ac:dyDescent="0.25">
      <c r="D525" s="6">
        <v>1935</v>
      </c>
      <c r="E525" t="s">
        <v>80</v>
      </c>
      <c r="F525" s="5">
        <f t="shared" si="36"/>
        <v>298.14999999999998</v>
      </c>
      <c r="G525" s="5">
        <f t="shared" si="37"/>
        <v>35.274084000000002</v>
      </c>
      <c r="H525" s="5">
        <f t="shared" si="38"/>
        <v>166.71305000000001</v>
      </c>
      <c r="P525" s="5">
        <v>0.88300000000000001</v>
      </c>
      <c r="Q525" s="5">
        <f t="shared" si="39"/>
        <v>35.274084000000002</v>
      </c>
      <c r="R525" s="6">
        <v>1700</v>
      </c>
      <c r="S525" s="5">
        <f t="shared" si="40"/>
        <v>166.71305000000001</v>
      </c>
      <c r="T525" s="6">
        <v>25</v>
      </c>
    </row>
    <row r="526" spans="4:20" ht="18.75" customHeight="1" x14ac:dyDescent="0.25">
      <c r="D526" s="6">
        <v>1935</v>
      </c>
      <c r="E526" t="s">
        <v>80</v>
      </c>
      <c r="F526" s="5">
        <f t="shared" si="36"/>
        <v>298.14999999999998</v>
      </c>
      <c r="G526" s="5">
        <f t="shared" si="37"/>
        <v>34.754759999999997</v>
      </c>
      <c r="H526" s="5">
        <f t="shared" si="38"/>
        <v>176.5197</v>
      </c>
      <c r="P526" s="5">
        <v>0.87</v>
      </c>
      <c r="Q526" s="5">
        <f t="shared" si="39"/>
        <v>34.754759999999997</v>
      </c>
      <c r="R526" s="6">
        <v>1800</v>
      </c>
      <c r="S526" s="5">
        <f t="shared" si="40"/>
        <v>176.5197</v>
      </c>
      <c r="T526" s="6">
        <v>25</v>
      </c>
    </row>
    <row r="527" spans="4:20" ht="18.75" customHeight="1" x14ac:dyDescent="0.25">
      <c r="D527" s="6">
        <v>1935</v>
      </c>
      <c r="E527" t="s">
        <v>80</v>
      </c>
      <c r="F527" s="5">
        <f t="shared" si="36"/>
        <v>298.14999999999998</v>
      </c>
      <c r="G527" s="5">
        <f t="shared" si="37"/>
        <v>34.235436</v>
      </c>
      <c r="H527" s="5">
        <f t="shared" si="38"/>
        <v>186.32634999999999</v>
      </c>
      <c r="P527" s="5">
        <v>0.85699999999999998</v>
      </c>
      <c r="Q527" s="5">
        <f t="shared" si="39"/>
        <v>34.235436</v>
      </c>
      <c r="R527" s="6">
        <v>1900</v>
      </c>
      <c r="S527" s="5">
        <f t="shared" si="40"/>
        <v>186.32634999999999</v>
      </c>
      <c r="T527" s="6">
        <v>25</v>
      </c>
    </row>
    <row r="528" spans="4:20" ht="18.75" customHeight="1" x14ac:dyDescent="0.25">
      <c r="D528" s="6">
        <v>1935</v>
      </c>
      <c r="E528" t="s">
        <v>80</v>
      </c>
      <c r="F528" s="5">
        <f t="shared" si="36"/>
        <v>298.14999999999998</v>
      </c>
      <c r="G528" s="5">
        <f t="shared" si="37"/>
        <v>33.796008</v>
      </c>
      <c r="H528" s="5">
        <f t="shared" si="38"/>
        <v>196.13300000000001</v>
      </c>
      <c r="P528" s="5">
        <v>0.84599999999999997</v>
      </c>
      <c r="Q528" s="5">
        <f t="shared" si="39"/>
        <v>33.796008</v>
      </c>
      <c r="R528" s="6">
        <v>2000</v>
      </c>
      <c r="S528" s="5">
        <f t="shared" si="40"/>
        <v>196.13300000000001</v>
      </c>
      <c r="T528" s="6">
        <v>25</v>
      </c>
    </row>
    <row r="529" spans="4:20" ht="18.75" customHeight="1" x14ac:dyDescent="0.25">
      <c r="D529" s="6">
        <v>1935</v>
      </c>
      <c r="E529" t="s">
        <v>80</v>
      </c>
      <c r="F529" s="5">
        <f t="shared" si="36"/>
        <v>298.14999999999998</v>
      </c>
      <c r="G529" s="5">
        <f t="shared" si="37"/>
        <v>32.277984000000004</v>
      </c>
      <c r="H529" s="5">
        <f t="shared" si="38"/>
        <v>245.16624999999999</v>
      </c>
      <c r="P529" s="5">
        <v>0.80800000000000005</v>
      </c>
      <c r="Q529" s="5">
        <f t="shared" si="39"/>
        <v>32.277984000000004</v>
      </c>
      <c r="R529" s="6">
        <v>2500</v>
      </c>
      <c r="S529" s="5">
        <f t="shared" si="40"/>
        <v>245.16624999999999</v>
      </c>
      <c r="T529" s="6">
        <v>25</v>
      </c>
    </row>
    <row r="530" spans="4:20" ht="18.75" customHeight="1" x14ac:dyDescent="0.25">
      <c r="D530" s="6">
        <v>1935</v>
      </c>
      <c r="E530" t="s">
        <v>80</v>
      </c>
      <c r="F530" s="5">
        <f t="shared" si="36"/>
        <v>298.14999999999998</v>
      </c>
      <c r="G530" s="5">
        <f t="shared" si="37"/>
        <v>30.879804</v>
      </c>
      <c r="H530" s="5">
        <f t="shared" si="38"/>
        <v>294.1995</v>
      </c>
      <c r="P530" s="5">
        <v>0.77300000000000002</v>
      </c>
      <c r="Q530" s="5">
        <f t="shared" si="39"/>
        <v>30.879804</v>
      </c>
      <c r="R530" s="6">
        <v>3000</v>
      </c>
      <c r="S530" s="5">
        <f t="shared" si="40"/>
        <v>294.1995</v>
      </c>
      <c r="T530" s="6">
        <v>25</v>
      </c>
    </row>
    <row r="531" spans="4:20" ht="18.75" customHeight="1" x14ac:dyDescent="0.25">
      <c r="D531" s="6">
        <v>1935</v>
      </c>
      <c r="E531" t="s">
        <v>80</v>
      </c>
      <c r="F531" s="5">
        <f t="shared" si="36"/>
        <v>298.14999999999998</v>
      </c>
      <c r="G531" s="5">
        <f t="shared" si="37"/>
        <v>30.000948000000001</v>
      </c>
      <c r="H531" s="5">
        <f t="shared" si="38"/>
        <v>343.23275000000001</v>
      </c>
      <c r="P531" s="5">
        <v>0.751</v>
      </c>
      <c r="Q531" s="5">
        <f t="shared" si="39"/>
        <v>30.000948000000001</v>
      </c>
      <c r="R531" s="6">
        <v>3500</v>
      </c>
      <c r="S531" s="5">
        <f t="shared" si="40"/>
        <v>343.23275000000001</v>
      </c>
      <c r="T531" s="6">
        <v>25</v>
      </c>
    </row>
    <row r="532" spans="4:20" ht="18.75" customHeight="1" x14ac:dyDescent="0.25">
      <c r="D532" s="6">
        <v>1935</v>
      </c>
      <c r="E532" t="s">
        <v>80</v>
      </c>
      <c r="F532" s="5">
        <f t="shared" si="36"/>
        <v>298.14999999999998</v>
      </c>
      <c r="G532" s="5">
        <f t="shared" si="37"/>
        <v>29.122091999999999</v>
      </c>
      <c r="H532" s="5">
        <f t="shared" si="38"/>
        <v>392.26600000000002</v>
      </c>
      <c r="P532" s="5">
        <v>0.72899999999999998</v>
      </c>
      <c r="Q532" s="5">
        <f t="shared" si="39"/>
        <v>29.122091999999999</v>
      </c>
      <c r="R532" s="6">
        <v>4000</v>
      </c>
      <c r="S532" s="5">
        <f t="shared" si="40"/>
        <v>392.26600000000002</v>
      </c>
      <c r="T532" s="6">
        <v>25</v>
      </c>
    </row>
    <row r="533" spans="4:20" ht="18.75" customHeight="1" x14ac:dyDescent="0.25">
      <c r="D533" s="6">
        <v>1935</v>
      </c>
      <c r="E533" t="s">
        <v>80</v>
      </c>
      <c r="F533" s="5">
        <f t="shared" si="36"/>
        <v>298.14999999999998</v>
      </c>
      <c r="G533" s="5">
        <f t="shared" si="37"/>
        <v>28.442975999999998</v>
      </c>
      <c r="H533" s="5">
        <f t="shared" si="38"/>
        <v>441.29925000000003</v>
      </c>
      <c r="P533" s="5">
        <v>0.71199999999999997</v>
      </c>
      <c r="Q533" s="5">
        <f t="shared" si="39"/>
        <v>28.442975999999998</v>
      </c>
      <c r="R533" s="6">
        <v>4500</v>
      </c>
      <c r="S533" s="5">
        <f t="shared" si="40"/>
        <v>441.29925000000003</v>
      </c>
      <c r="T533" s="6">
        <v>25</v>
      </c>
    </row>
    <row r="534" spans="4:20" ht="18.75" customHeight="1" x14ac:dyDescent="0.25">
      <c r="D534" s="6">
        <v>1935</v>
      </c>
      <c r="E534" t="s">
        <v>80</v>
      </c>
      <c r="F534" s="5">
        <f t="shared" si="36"/>
        <v>298.14999999999998</v>
      </c>
      <c r="G534" s="5">
        <f t="shared" si="37"/>
        <v>27.763859999999998</v>
      </c>
      <c r="H534" s="5">
        <f t="shared" si="38"/>
        <v>490.33249999999998</v>
      </c>
      <c r="P534" s="5">
        <v>0.69499999999999995</v>
      </c>
      <c r="Q534" s="5">
        <f t="shared" si="39"/>
        <v>27.763859999999998</v>
      </c>
      <c r="R534" s="6">
        <v>5000</v>
      </c>
      <c r="S534" s="5">
        <f t="shared" si="40"/>
        <v>490.33249999999998</v>
      </c>
      <c r="T534" s="6">
        <v>25</v>
      </c>
    </row>
    <row r="535" spans="4:20" ht="18.75" customHeight="1" x14ac:dyDescent="0.25">
      <c r="D535" s="6">
        <v>1935</v>
      </c>
      <c r="E535" t="s">
        <v>80</v>
      </c>
      <c r="F535" s="5">
        <f t="shared" si="36"/>
        <v>298.14999999999998</v>
      </c>
      <c r="G535" s="5">
        <f t="shared" si="37"/>
        <v>27.244536000000004</v>
      </c>
      <c r="H535" s="5">
        <f t="shared" si="38"/>
        <v>539.36575000000005</v>
      </c>
      <c r="P535" s="5">
        <v>0.68200000000000005</v>
      </c>
      <c r="Q535" s="5">
        <f t="shared" si="39"/>
        <v>27.244536000000004</v>
      </c>
      <c r="R535" s="6">
        <v>5500</v>
      </c>
      <c r="S535" s="5">
        <f t="shared" si="40"/>
        <v>539.36575000000005</v>
      </c>
      <c r="T535" s="6">
        <v>25</v>
      </c>
    </row>
    <row r="536" spans="4:20" ht="18.75" customHeight="1" x14ac:dyDescent="0.25">
      <c r="D536" s="6">
        <v>1935</v>
      </c>
      <c r="E536" t="s">
        <v>80</v>
      </c>
      <c r="F536" s="5">
        <f t="shared" si="36"/>
        <v>328.15</v>
      </c>
      <c r="G536" s="5">
        <f t="shared" si="37"/>
        <v>35.154240000000001</v>
      </c>
      <c r="H536" s="5">
        <f t="shared" si="38"/>
        <v>196.13300000000001</v>
      </c>
      <c r="P536" s="5">
        <v>0.88</v>
      </c>
      <c r="Q536" s="5">
        <f t="shared" si="39"/>
        <v>35.154240000000001</v>
      </c>
      <c r="R536" s="6">
        <v>2000</v>
      </c>
      <c r="S536" s="5">
        <f t="shared" si="40"/>
        <v>196.13300000000001</v>
      </c>
      <c r="T536" s="6">
        <v>55</v>
      </c>
    </row>
    <row r="537" spans="4:20" ht="18.75" customHeight="1" x14ac:dyDescent="0.25">
      <c r="D537" s="6">
        <v>1935</v>
      </c>
      <c r="E537" t="s">
        <v>80</v>
      </c>
      <c r="F537" s="5">
        <f t="shared" si="36"/>
        <v>328.15</v>
      </c>
      <c r="G537" s="5">
        <f t="shared" si="37"/>
        <v>33.196787999999998</v>
      </c>
      <c r="H537" s="5">
        <f t="shared" si="38"/>
        <v>245.16624999999999</v>
      </c>
      <c r="P537" s="5">
        <v>0.83099999999999996</v>
      </c>
      <c r="Q537" s="5">
        <f t="shared" si="39"/>
        <v>33.196787999999998</v>
      </c>
      <c r="R537" s="6">
        <v>2500</v>
      </c>
      <c r="S537" s="5">
        <f t="shared" si="40"/>
        <v>245.16624999999999</v>
      </c>
      <c r="T537" s="6">
        <v>55</v>
      </c>
    </row>
    <row r="538" spans="4:20" ht="18.75" customHeight="1" x14ac:dyDescent="0.25">
      <c r="D538" s="6">
        <v>1935</v>
      </c>
      <c r="E538" t="s">
        <v>80</v>
      </c>
      <c r="F538" s="5">
        <f t="shared" si="36"/>
        <v>328.15</v>
      </c>
      <c r="G538" s="5">
        <f t="shared" si="37"/>
        <v>31.838556000000001</v>
      </c>
      <c r="H538" s="5">
        <f t="shared" si="38"/>
        <v>294.1995</v>
      </c>
      <c r="P538" s="5">
        <v>0.79700000000000004</v>
      </c>
      <c r="Q538" s="5">
        <f t="shared" si="39"/>
        <v>31.838556000000001</v>
      </c>
      <c r="R538" s="6">
        <v>3000</v>
      </c>
      <c r="S538" s="5">
        <f t="shared" si="40"/>
        <v>294.1995</v>
      </c>
      <c r="T538" s="6">
        <v>55</v>
      </c>
    </row>
    <row r="539" spans="4:20" ht="18.75" customHeight="1" x14ac:dyDescent="0.25">
      <c r="D539" s="6">
        <v>1935</v>
      </c>
      <c r="E539" t="s">
        <v>80</v>
      </c>
      <c r="F539" s="5">
        <f t="shared" si="36"/>
        <v>328.15</v>
      </c>
      <c r="G539" s="5">
        <f t="shared" si="37"/>
        <v>30.839856000000001</v>
      </c>
      <c r="H539" s="5">
        <f t="shared" si="38"/>
        <v>343.23275000000001</v>
      </c>
      <c r="P539" s="5">
        <v>0.77200000000000002</v>
      </c>
      <c r="Q539" s="5">
        <f t="shared" si="39"/>
        <v>30.839856000000001</v>
      </c>
      <c r="R539" s="6">
        <v>3500</v>
      </c>
      <c r="S539" s="5">
        <f t="shared" si="40"/>
        <v>343.23275000000001</v>
      </c>
      <c r="T539" s="6">
        <v>55</v>
      </c>
    </row>
    <row r="540" spans="4:20" ht="18.75" customHeight="1" x14ac:dyDescent="0.25">
      <c r="D540" s="6">
        <v>1935</v>
      </c>
      <c r="E540" t="s">
        <v>80</v>
      </c>
      <c r="F540" s="5">
        <f t="shared" ref="F540:F553" si="41">T540+273.15</f>
        <v>328.15</v>
      </c>
      <c r="G540" s="5">
        <f t="shared" ref="G540:G553" si="42">Q540</f>
        <v>29.881104000000001</v>
      </c>
      <c r="H540" s="5">
        <f t="shared" ref="H540:H553" si="43">S540</f>
        <v>392.26600000000002</v>
      </c>
      <c r="P540" s="5">
        <v>0.748</v>
      </c>
      <c r="Q540" s="5">
        <f t="shared" ref="Q540:Q553" si="44">$O$2*P540</f>
        <v>29.881104000000001</v>
      </c>
      <c r="R540" s="6">
        <v>4000</v>
      </c>
      <c r="S540" s="5">
        <f t="shared" ref="S540:S553" si="45">0.0980665*R540</f>
        <v>392.26600000000002</v>
      </c>
      <c r="T540" s="6">
        <v>55</v>
      </c>
    </row>
    <row r="541" spans="4:20" ht="18.75" customHeight="1" x14ac:dyDescent="0.25">
      <c r="D541" s="6">
        <v>1935</v>
      </c>
      <c r="E541" t="s">
        <v>80</v>
      </c>
      <c r="F541" s="5">
        <f t="shared" si="41"/>
        <v>328.15</v>
      </c>
      <c r="G541" s="5">
        <f t="shared" si="42"/>
        <v>29.162040000000001</v>
      </c>
      <c r="H541" s="5">
        <f t="shared" si="43"/>
        <v>441.29925000000003</v>
      </c>
      <c r="P541" s="5">
        <v>0.73</v>
      </c>
      <c r="Q541" s="5">
        <f t="shared" si="44"/>
        <v>29.162040000000001</v>
      </c>
      <c r="R541" s="6">
        <v>4500</v>
      </c>
      <c r="S541" s="5">
        <f t="shared" si="45"/>
        <v>441.29925000000003</v>
      </c>
      <c r="T541" s="6">
        <v>55</v>
      </c>
    </row>
    <row r="542" spans="4:20" ht="18.75" customHeight="1" x14ac:dyDescent="0.25">
      <c r="D542" s="6">
        <v>1935</v>
      </c>
      <c r="E542" t="s">
        <v>80</v>
      </c>
      <c r="F542" s="5">
        <f t="shared" si="41"/>
        <v>328.15</v>
      </c>
      <c r="G542" s="5">
        <f t="shared" si="42"/>
        <v>28.442975999999998</v>
      </c>
      <c r="H542" s="5">
        <f t="shared" si="43"/>
        <v>490.33249999999998</v>
      </c>
      <c r="P542" s="5">
        <v>0.71199999999999997</v>
      </c>
      <c r="Q542" s="5">
        <f t="shared" si="44"/>
        <v>28.442975999999998</v>
      </c>
      <c r="R542" s="6">
        <v>5000</v>
      </c>
      <c r="S542" s="5">
        <f t="shared" si="45"/>
        <v>490.33249999999998</v>
      </c>
      <c r="T542" s="6">
        <v>55</v>
      </c>
    </row>
    <row r="543" spans="4:20" ht="18.75" customHeight="1" x14ac:dyDescent="0.25">
      <c r="D543" s="6">
        <v>1935</v>
      </c>
      <c r="E543" t="s">
        <v>80</v>
      </c>
      <c r="F543" s="5">
        <f t="shared" si="41"/>
        <v>328.15</v>
      </c>
      <c r="G543" s="5">
        <f t="shared" si="42"/>
        <v>27.883703999999998</v>
      </c>
      <c r="H543" s="5">
        <f t="shared" si="43"/>
        <v>539.36575000000005</v>
      </c>
      <c r="P543" s="5">
        <v>0.69799999999999995</v>
      </c>
      <c r="Q543" s="5">
        <f t="shared" si="44"/>
        <v>27.883703999999998</v>
      </c>
      <c r="R543" s="6">
        <v>5500</v>
      </c>
      <c r="S543" s="5">
        <f t="shared" si="45"/>
        <v>539.36575000000005</v>
      </c>
      <c r="T543" s="6">
        <v>55</v>
      </c>
    </row>
    <row r="544" spans="4:20" ht="18.75" customHeight="1" x14ac:dyDescent="0.25">
      <c r="D544" s="6">
        <v>1935</v>
      </c>
      <c r="E544" t="s">
        <v>80</v>
      </c>
      <c r="F544" s="5">
        <f t="shared" si="41"/>
        <v>328.15</v>
      </c>
      <c r="G544" s="5">
        <f t="shared" si="42"/>
        <v>27.364380000000004</v>
      </c>
      <c r="H544" s="5">
        <f t="shared" si="43"/>
        <v>588.399</v>
      </c>
      <c r="P544" s="5">
        <v>0.68500000000000005</v>
      </c>
      <c r="Q544" s="5">
        <f t="shared" si="44"/>
        <v>27.364380000000004</v>
      </c>
      <c r="R544" s="6">
        <v>6000</v>
      </c>
      <c r="S544" s="5">
        <f t="shared" si="45"/>
        <v>588.399</v>
      </c>
      <c r="T544" s="6">
        <v>55</v>
      </c>
    </row>
    <row r="545" spans="4:20" ht="18.75" customHeight="1" x14ac:dyDescent="0.25">
      <c r="D545" s="6">
        <v>1935</v>
      </c>
      <c r="E545" t="s">
        <v>80</v>
      </c>
      <c r="F545" s="5">
        <f t="shared" si="41"/>
        <v>328.15</v>
      </c>
      <c r="G545" s="5">
        <f t="shared" si="42"/>
        <v>26.485524000000002</v>
      </c>
      <c r="H545" s="5">
        <f t="shared" si="43"/>
        <v>686.46550000000002</v>
      </c>
      <c r="P545" s="5">
        <v>0.66300000000000003</v>
      </c>
      <c r="Q545" s="5">
        <f t="shared" si="44"/>
        <v>26.485524000000002</v>
      </c>
      <c r="R545" s="6">
        <v>7000</v>
      </c>
      <c r="S545" s="5">
        <f t="shared" si="45"/>
        <v>686.46550000000002</v>
      </c>
      <c r="T545" s="6">
        <v>55</v>
      </c>
    </row>
    <row r="546" spans="4:20" ht="18.75" customHeight="1" x14ac:dyDescent="0.25">
      <c r="D546" s="6">
        <v>1935</v>
      </c>
      <c r="E546" t="s">
        <v>80</v>
      </c>
      <c r="F546" s="5">
        <f t="shared" si="41"/>
        <v>328.15</v>
      </c>
      <c r="G546" s="5">
        <f t="shared" si="42"/>
        <v>25.766460000000002</v>
      </c>
      <c r="H546" s="5">
        <f t="shared" si="43"/>
        <v>784.53200000000004</v>
      </c>
      <c r="P546" s="5">
        <v>0.64500000000000002</v>
      </c>
      <c r="Q546" s="5">
        <f t="shared" si="44"/>
        <v>25.766460000000002</v>
      </c>
      <c r="R546" s="6">
        <v>8000</v>
      </c>
      <c r="S546" s="5">
        <f t="shared" si="45"/>
        <v>784.53200000000004</v>
      </c>
      <c r="T546" s="6">
        <v>55</v>
      </c>
    </row>
    <row r="547" spans="4:20" ht="18.75" customHeight="1" x14ac:dyDescent="0.25">
      <c r="D547" s="6">
        <v>1935</v>
      </c>
      <c r="E547" t="s">
        <v>80</v>
      </c>
      <c r="F547" s="5">
        <f t="shared" si="41"/>
        <v>328.15</v>
      </c>
      <c r="G547" s="5">
        <f t="shared" si="42"/>
        <v>25.16724</v>
      </c>
      <c r="H547" s="5">
        <f t="shared" si="43"/>
        <v>882.59850000000006</v>
      </c>
      <c r="P547" s="5">
        <v>0.63</v>
      </c>
      <c r="Q547" s="5">
        <f t="shared" si="44"/>
        <v>25.16724</v>
      </c>
      <c r="R547" s="6">
        <v>9000</v>
      </c>
      <c r="S547" s="5">
        <f t="shared" si="45"/>
        <v>882.59850000000006</v>
      </c>
      <c r="T547" s="6">
        <v>55</v>
      </c>
    </row>
    <row r="548" spans="4:20" ht="18.75" customHeight="1" x14ac:dyDescent="0.25">
      <c r="D548" s="6">
        <v>1935</v>
      </c>
      <c r="E548" t="s">
        <v>80</v>
      </c>
      <c r="F548" s="5">
        <f t="shared" si="41"/>
        <v>328.15</v>
      </c>
      <c r="G548" s="5">
        <f t="shared" si="42"/>
        <v>24.647915999999999</v>
      </c>
      <c r="H548" s="5">
        <f t="shared" si="43"/>
        <v>980.66499999999996</v>
      </c>
      <c r="P548" s="5">
        <v>0.61699999999999999</v>
      </c>
      <c r="Q548" s="5">
        <f t="shared" si="44"/>
        <v>24.647915999999999</v>
      </c>
      <c r="R548" s="6">
        <v>10000</v>
      </c>
      <c r="S548" s="5">
        <f t="shared" si="45"/>
        <v>980.66499999999996</v>
      </c>
      <c r="T548" s="6">
        <v>55</v>
      </c>
    </row>
    <row r="549" spans="4:20" ht="18.75" customHeight="1" x14ac:dyDescent="0.25">
      <c r="D549" s="6">
        <v>1935</v>
      </c>
      <c r="E549" t="s">
        <v>80</v>
      </c>
      <c r="F549" s="5">
        <f t="shared" si="41"/>
        <v>328.15</v>
      </c>
      <c r="G549" s="5">
        <f t="shared" si="42"/>
        <v>24.248435999999998</v>
      </c>
      <c r="H549" s="5">
        <f t="shared" si="43"/>
        <v>1078.7315000000001</v>
      </c>
      <c r="P549" s="5">
        <v>0.60699999999999998</v>
      </c>
      <c r="Q549" s="5">
        <f t="shared" si="44"/>
        <v>24.248435999999998</v>
      </c>
      <c r="R549" s="6">
        <v>11000</v>
      </c>
      <c r="S549" s="5">
        <f t="shared" si="45"/>
        <v>1078.7315000000001</v>
      </c>
      <c r="T549" s="6">
        <v>55</v>
      </c>
    </row>
    <row r="550" spans="4:20" ht="18.75" customHeight="1" x14ac:dyDescent="0.25">
      <c r="D550" s="6">
        <v>1935</v>
      </c>
      <c r="E550" t="s">
        <v>80</v>
      </c>
      <c r="F550" s="5">
        <f t="shared" si="41"/>
        <v>328.15</v>
      </c>
      <c r="G550" s="5">
        <f t="shared" si="42"/>
        <v>23.809007999999999</v>
      </c>
      <c r="H550" s="5">
        <f t="shared" si="43"/>
        <v>1176.798</v>
      </c>
      <c r="P550" s="5">
        <v>0.59599999999999997</v>
      </c>
      <c r="Q550" s="5">
        <f t="shared" si="44"/>
        <v>23.809007999999999</v>
      </c>
      <c r="R550" s="6">
        <v>12000</v>
      </c>
      <c r="S550" s="5">
        <f t="shared" si="45"/>
        <v>1176.798</v>
      </c>
      <c r="T550" s="6">
        <v>55</v>
      </c>
    </row>
    <row r="551" spans="4:20" ht="18.75" customHeight="1" x14ac:dyDescent="0.25">
      <c r="D551" s="6">
        <v>1935</v>
      </c>
      <c r="E551" t="s">
        <v>80</v>
      </c>
      <c r="F551" s="5">
        <f t="shared" si="41"/>
        <v>328.15</v>
      </c>
      <c r="G551" s="5">
        <f t="shared" si="42"/>
        <v>23.489424</v>
      </c>
      <c r="H551" s="5">
        <f t="shared" si="43"/>
        <v>1274.8644999999999</v>
      </c>
      <c r="P551" s="5">
        <v>0.58799999999999997</v>
      </c>
      <c r="Q551" s="5">
        <f t="shared" si="44"/>
        <v>23.489424</v>
      </c>
      <c r="R551" s="6">
        <v>13000</v>
      </c>
      <c r="S551" s="5">
        <f t="shared" si="45"/>
        <v>1274.8644999999999</v>
      </c>
      <c r="T551" s="6">
        <v>55</v>
      </c>
    </row>
    <row r="552" spans="4:20" ht="18.75" customHeight="1" x14ac:dyDescent="0.25">
      <c r="D552" s="6">
        <v>1935</v>
      </c>
      <c r="E552" t="s">
        <v>80</v>
      </c>
      <c r="F552" s="5">
        <f t="shared" si="41"/>
        <v>328.15</v>
      </c>
      <c r="G552" s="5">
        <f t="shared" si="42"/>
        <v>23.169839999999997</v>
      </c>
      <c r="H552" s="5">
        <f t="shared" si="43"/>
        <v>1372.931</v>
      </c>
      <c r="M552" s="8" t="s">
        <v>8</v>
      </c>
      <c r="N552" s="8" t="s">
        <v>9</v>
      </c>
      <c r="P552" s="5">
        <v>0.57999999999999996</v>
      </c>
      <c r="Q552" s="5">
        <f t="shared" si="44"/>
        <v>23.169839999999997</v>
      </c>
      <c r="R552" s="6">
        <v>14000</v>
      </c>
      <c r="S552" s="5">
        <f t="shared" si="45"/>
        <v>1372.931</v>
      </c>
      <c r="T552" s="6">
        <v>55</v>
      </c>
    </row>
    <row r="553" spans="4:20" ht="18.75" customHeight="1" x14ac:dyDescent="0.25">
      <c r="D553" s="6">
        <v>1935</v>
      </c>
      <c r="E553" t="s">
        <v>80</v>
      </c>
      <c r="F553" s="5">
        <f t="shared" si="41"/>
        <v>328.15</v>
      </c>
      <c r="G553" s="5">
        <f t="shared" si="42"/>
        <v>22.890203999999997</v>
      </c>
      <c r="H553" s="5">
        <f t="shared" si="43"/>
        <v>1470.9974999999999</v>
      </c>
      <c r="M553" s="2" t="s">
        <v>15</v>
      </c>
      <c r="N553" s="2" t="s">
        <v>16</v>
      </c>
      <c r="P553" s="5">
        <v>0.57299999999999995</v>
      </c>
      <c r="Q553" s="5">
        <f t="shared" si="44"/>
        <v>22.890203999999997</v>
      </c>
      <c r="R553" s="6">
        <v>15000</v>
      </c>
      <c r="S553" s="5">
        <f t="shared" si="45"/>
        <v>1470.9974999999999</v>
      </c>
      <c r="T553" s="6">
        <v>55</v>
      </c>
    </row>
    <row r="554" spans="4:20" ht="18.75" customHeight="1" x14ac:dyDescent="0.25">
      <c r="D554" s="6">
        <v>1973</v>
      </c>
      <c r="E554" t="s">
        <v>81</v>
      </c>
      <c r="F554" s="5">
        <v>13.27</v>
      </c>
      <c r="G554" s="5">
        <v>22.567525461311973</v>
      </c>
      <c r="H554" s="5">
        <f t="shared" ref="H554:H588" si="46">J554/10</f>
        <v>1.0329999999999999</v>
      </c>
      <c r="J554" s="5">
        <v>10.33</v>
      </c>
      <c r="M554" s="5">
        <v>5.3120770000000004</v>
      </c>
      <c r="N554" s="5">
        <f t="shared" ref="N554:N588" si="47">M554^3</f>
        <v>149.89704962894902</v>
      </c>
      <c r="O554" s="5">
        <f t="shared" ref="O554:O588" si="48">N554*10^(-30)/4*6.02214*10^23*10^6</f>
        <v>22.567525461311973</v>
      </c>
    </row>
    <row r="555" spans="4:20" ht="18.75" customHeight="1" x14ac:dyDescent="0.25">
      <c r="D555" s="6">
        <v>1973</v>
      </c>
      <c r="E555" t="s">
        <v>81</v>
      </c>
      <c r="F555" s="5">
        <v>13.27</v>
      </c>
      <c r="G555" s="5">
        <v>22.562415090402801</v>
      </c>
      <c r="H555" s="5">
        <f t="shared" si="46"/>
        <v>1.6059999999999999</v>
      </c>
      <c r="J555" s="5">
        <v>16.059999999999999</v>
      </c>
      <c r="M555" s="5">
        <v>5.3116760000000003</v>
      </c>
      <c r="N555" s="5">
        <f t="shared" si="47"/>
        <v>149.86310574249555</v>
      </c>
      <c r="O555" s="5">
        <f t="shared" si="48"/>
        <v>22.562415090402801</v>
      </c>
    </row>
    <row r="556" spans="4:20" ht="18.75" customHeight="1" x14ac:dyDescent="0.25">
      <c r="D556" s="6">
        <v>1973</v>
      </c>
      <c r="E556" t="s">
        <v>81</v>
      </c>
      <c r="F556" s="5">
        <v>13.27</v>
      </c>
      <c r="G556" s="5">
        <v>22.559611723404903</v>
      </c>
      <c r="H556" s="5">
        <f t="shared" si="46"/>
        <v>2.0670000000000002</v>
      </c>
      <c r="J556" s="5">
        <v>20.67</v>
      </c>
      <c r="M556" s="5">
        <v>5.3114559999999997</v>
      </c>
      <c r="N556" s="5">
        <f t="shared" si="47"/>
        <v>149.84448533846708</v>
      </c>
      <c r="O556" s="5">
        <f t="shared" si="48"/>
        <v>22.559611723404903</v>
      </c>
    </row>
    <row r="557" spans="4:20" ht="18.75" customHeight="1" x14ac:dyDescent="0.25">
      <c r="D557" s="6">
        <v>1973</v>
      </c>
      <c r="E557" t="s">
        <v>81</v>
      </c>
      <c r="F557" s="5">
        <v>13.27</v>
      </c>
      <c r="G557" s="5">
        <v>22.543254886636412</v>
      </c>
      <c r="H557" s="5">
        <f t="shared" si="46"/>
        <v>4.1229999999999993</v>
      </c>
      <c r="J557" s="5">
        <v>41.23</v>
      </c>
      <c r="M557" s="5">
        <v>5.3101719999999997</v>
      </c>
      <c r="N557" s="5">
        <f t="shared" si="47"/>
        <v>149.73584065887817</v>
      </c>
      <c r="O557" s="5">
        <f t="shared" si="48"/>
        <v>22.543254886636412</v>
      </c>
    </row>
    <row r="558" spans="4:20" ht="18.75" customHeight="1" x14ac:dyDescent="0.25">
      <c r="D558" s="6">
        <v>1973</v>
      </c>
      <c r="E558" t="s">
        <v>81</v>
      </c>
      <c r="F558" s="5">
        <v>13.27</v>
      </c>
      <c r="G558" s="5">
        <v>22.527275122349337</v>
      </c>
      <c r="H558" s="5">
        <f t="shared" si="46"/>
        <v>6.1340000000000003</v>
      </c>
      <c r="J558" s="5">
        <v>61.34</v>
      </c>
      <c r="M558" s="5">
        <v>5.3089170000000001</v>
      </c>
      <c r="N558" s="5">
        <f t="shared" si="47"/>
        <v>149.62970055395152</v>
      </c>
      <c r="O558" s="5">
        <f t="shared" si="48"/>
        <v>22.527275122349337</v>
      </c>
    </row>
    <row r="559" spans="4:20" ht="18.75" customHeight="1" x14ac:dyDescent="0.25">
      <c r="D559" s="6">
        <v>1973</v>
      </c>
      <c r="E559" t="s">
        <v>81</v>
      </c>
      <c r="F559" s="5">
        <v>13.27</v>
      </c>
      <c r="G559" s="5">
        <v>22.512460801775614</v>
      </c>
      <c r="H559" s="5">
        <f t="shared" si="46"/>
        <v>8.1359999999999992</v>
      </c>
      <c r="J559" s="5">
        <v>81.36</v>
      </c>
      <c r="M559" s="5">
        <v>5.3077529999999999</v>
      </c>
      <c r="N559" s="5">
        <f t="shared" si="47"/>
        <v>149.53130150926825</v>
      </c>
      <c r="O559" s="5">
        <f t="shared" si="48"/>
        <v>22.512460801775614</v>
      </c>
    </row>
    <row r="560" spans="4:20" ht="18.75" customHeight="1" x14ac:dyDescent="0.25">
      <c r="D560" s="6">
        <v>1973</v>
      </c>
      <c r="E560" t="s">
        <v>81</v>
      </c>
      <c r="F560" s="5">
        <v>13.27</v>
      </c>
      <c r="G560" s="5">
        <v>22.497042484904021</v>
      </c>
      <c r="H560" s="5">
        <f t="shared" si="46"/>
        <v>10.135</v>
      </c>
      <c r="J560" s="5">
        <v>101.35</v>
      </c>
      <c r="M560" s="5">
        <v>5.3065410000000002</v>
      </c>
      <c r="N560" s="5">
        <f t="shared" si="47"/>
        <v>149.42889062628251</v>
      </c>
      <c r="O560" s="5">
        <f t="shared" si="48"/>
        <v>22.497042484904021</v>
      </c>
    </row>
    <row r="561" spans="4:15" ht="18.75" customHeight="1" x14ac:dyDescent="0.25">
      <c r="D561" s="6">
        <v>1973</v>
      </c>
      <c r="E561" t="s">
        <v>81</v>
      </c>
      <c r="F561" s="5">
        <v>13.27</v>
      </c>
      <c r="G561" s="5">
        <v>22.481198981440517</v>
      </c>
      <c r="H561" s="5">
        <f t="shared" si="46"/>
        <v>12.131</v>
      </c>
      <c r="J561" s="5">
        <v>121.31</v>
      </c>
      <c r="M561" s="5">
        <v>5.3052950000000001</v>
      </c>
      <c r="N561" s="5">
        <f t="shared" si="47"/>
        <v>149.32365558715355</v>
      </c>
      <c r="O561" s="5">
        <f t="shared" si="48"/>
        <v>22.481198981440517</v>
      </c>
    </row>
    <row r="562" spans="4:15" ht="18.75" customHeight="1" x14ac:dyDescent="0.25">
      <c r="D562" s="6">
        <v>1973</v>
      </c>
      <c r="E562" t="s">
        <v>81</v>
      </c>
      <c r="F562" s="5">
        <v>13.27</v>
      </c>
      <c r="G562" s="5">
        <v>22.466430284145282</v>
      </c>
      <c r="H562" s="5">
        <f t="shared" si="46"/>
        <v>13.983000000000001</v>
      </c>
      <c r="J562" s="5">
        <v>139.83000000000001</v>
      </c>
      <c r="M562" s="5">
        <v>5.3041330000000002</v>
      </c>
      <c r="N562" s="5">
        <f t="shared" si="47"/>
        <v>149.22555957945374</v>
      </c>
      <c r="O562" s="5">
        <f t="shared" si="48"/>
        <v>22.466430284145282</v>
      </c>
    </row>
    <row r="563" spans="4:15" ht="18.75" customHeight="1" x14ac:dyDescent="0.25">
      <c r="D563" s="6">
        <v>1973</v>
      </c>
      <c r="E563" t="s">
        <v>81</v>
      </c>
      <c r="F563" s="5">
        <v>13.27</v>
      </c>
      <c r="G563" s="5">
        <v>22.450804374141224</v>
      </c>
      <c r="H563" s="5">
        <f t="shared" si="46"/>
        <v>15.988999999999999</v>
      </c>
      <c r="J563" s="5">
        <v>159.88999999999999</v>
      </c>
      <c r="M563" s="5">
        <v>5.3029029999999997</v>
      </c>
      <c r="N563" s="5">
        <f t="shared" si="47"/>
        <v>149.12176983026785</v>
      </c>
      <c r="O563" s="5">
        <f t="shared" si="48"/>
        <v>22.450804374141224</v>
      </c>
    </row>
    <row r="564" spans="4:15" ht="18.75" customHeight="1" x14ac:dyDescent="0.25">
      <c r="D564" s="6">
        <v>1973</v>
      </c>
      <c r="E564" t="s">
        <v>81</v>
      </c>
      <c r="F564" s="5">
        <v>13.27</v>
      </c>
      <c r="G564" s="5">
        <v>22.436099774794329</v>
      </c>
      <c r="H564" s="5">
        <f t="shared" si="46"/>
        <v>17.994999999999997</v>
      </c>
      <c r="J564" s="5">
        <v>179.95</v>
      </c>
      <c r="M564" s="5">
        <v>5.3017450000000004</v>
      </c>
      <c r="N564" s="5">
        <f t="shared" si="47"/>
        <v>149.02409957121111</v>
      </c>
      <c r="O564" s="5">
        <f t="shared" si="48"/>
        <v>22.436099774794329</v>
      </c>
    </row>
    <row r="565" spans="4:15" ht="18.75" customHeight="1" x14ac:dyDescent="0.25">
      <c r="D565" s="6">
        <v>1973</v>
      </c>
      <c r="E565" t="s">
        <v>81</v>
      </c>
      <c r="F565" s="5">
        <v>13.91</v>
      </c>
      <c r="G565" s="5">
        <v>22.567525461311973</v>
      </c>
      <c r="H565" s="5">
        <f t="shared" si="46"/>
        <v>1.5640000000000001</v>
      </c>
      <c r="J565" s="5">
        <v>15.64</v>
      </c>
      <c r="M565" s="5">
        <v>5.3120770000000004</v>
      </c>
      <c r="N565" s="5">
        <f t="shared" si="47"/>
        <v>149.89704962894902</v>
      </c>
      <c r="O565" s="5">
        <f t="shared" si="48"/>
        <v>22.567525461311973</v>
      </c>
    </row>
    <row r="566" spans="4:15" ht="18.75" customHeight="1" x14ac:dyDescent="0.25">
      <c r="D566" s="6">
        <v>1973</v>
      </c>
      <c r="E566" t="s">
        <v>81</v>
      </c>
      <c r="F566" s="5">
        <v>13.91</v>
      </c>
      <c r="G566" s="5">
        <v>22.562415090402801</v>
      </c>
      <c r="H566" s="5">
        <f t="shared" si="46"/>
        <v>2.137</v>
      </c>
      <c r="J566" s="5">
        <v>21.37</v>
      </c>
      <c r="M566" s="5">
        <v>5.3116760000000003</v>
      </c>
      <c r="N566" s="5">
        <f t="shared" si="47"/>
        <v>149.86310574249555</v>
      </c>
      <c r="O566" s="5">
        <f t="shared" si="48"/>
        <v>22.562415090402801</v>
      </c>
    </row>
    <row r="567" spans="4:15" ht="18.75" customHeight="1" x14ac:dyDescent="0.25">
      <c r="D567" s="6">
        <v>1973</v>
      </c>
      <c r="E567" t="s">
        <v>81</v>
      </c>
      <c r="F567" s="5">
        <v>13.91</v>
      </c>
      <c r="G567" s="5">
        <v>22.559611723404903</v>
      </c>
      <c r="H567" s="5">
        <f t="shared" si="46"/>
        <v>2.5979999999999999</v>
      </c>
      <c r="J567" s="5">
        <v>25.98</v>
      </c>
      <c r="M567" s="5">
        <v>5.3114559999999997</v>
      </c>
      <c r="N567" s="5">
        <f t="shared" si="47"/>
        <v>149.84448533846708</v>
      </c>
      <c r="O567" s="5">
        <f t="shared" si="48"/>
        <v>22.559611723404903</v>
      </c>
    </row>
    <row r="568" spans="4:15" ht="18.75" customHeight="1" x14ac:dyDescent="0.25">
      <c r="D568" s="6">
        <v>1973</v>
      </c>
      <c r="E568" t="s">
        <v>81</v>
      </c>
      <c r="F568" s="5">
        <v>13.91</v>
      </c>
      <c r="G568" s="5">
        <v>22.543254886636412</v>
      </c>
      <c r="H568" s="5">
        <f t="shared" si="46"/>
        <v>4.6539999999999999</v>
      </c>
      <c r="J568" s="5">
        <v>46.54</v>
      </c>
      <c r="M568" s="5">
        <v>5.3101719999999997</v>
      </c>
      <c r="N568" s="5">
        <f t="shared" si="47"/>
        <v>149.73584065887817</v>
      </c>
      <c r="O568" s="5">
        <f t="shared" si="48"/>
        <v>22.543254886636412</v>
      </c>
    </row>
    <row r="569" spans="4:15" ht="18.75" customHeight="1" x14ac:dyDescent="0.25">
      <c r="D569" s="6">
        <v>1973</v>
      </c>
      <c r="E569" t="s">
        <v>81</v>
      </c>
      <c r="F569" s="5">
        <v>13.91</v>
      </c>
      <c r="G569" s="5">
        <v>22.529655691964514</v>
      </c>
      <c r="H569" s="5">
        <f t="shared" si="46"/>
        <v>6.37</v>
      </c>
      <c r="J569" s="5">
        <v>63.7</v>
      </c>
      <c r="M569" s="5">
        <v>5.3091039999999996</v>
      </c>
      <c r="N569" s="5">
        <f t="shared" si="47"/>
        <v>149.64551267133953</v>
      </c>
      <c r="O569" s="5">
        <f t="shared" si="48"/>
        <v>22.529655691964514</v>
      </c>
    </row>
    <row r="570" spans="4:15" ht="18.75" customHeight="1" x14ac:dyDescent="0.25">
      <c r="D570" s="6">
        <v>1973</v>
      </c>
      <c r="E570" t="s">
        <v>81</v>
      </c>
      <c r="F570" s="5">
        <v>13.91</v>
      </c>
      <c r="G570" s="5">
        <v>22.527275122349337</v>
      </c>
      <c r="H570" s="5">
        <f t="shared" si="46"/>
        <v>6.6650000000000009</v>
      </c>
      <c r="J570" s="5">
        <v>66.650000000000006</v>
      </c>
      <c r="M570" s="5">
        <v>5.3089170000000001</v>
      </c>
      <c r="N570" s="5">
        <f t="shared" si="47"/>
        <v>149.62970055395152</v>
      </c>
      <c r="O570" s="5">
        <f t="shared" si="48"/>
        <v>22.527275122349337</v>
      </c>
    </row>
    <row r="571" spans="4:15" ht="18.75" customHeight="1" x14ac:dyDescent="0.25">
      <c r="D571" s="6">
        <v>1973</v>
      </c>
      <c r="E571" t="s">
        <v>81</v>
      </c>
      <c r="F571" s="5">
        <v>13.91</v>
      </c>
      <c r="G571" s="5">
        <v>22.512460801775614</v>
      </c>
      <c r="H571" s="5">
        <f t="shared" si="46"/>
        <v>8.6669999999999998</v>
      </c>
      <c r="J571" s="5">
        <v>86.67</v>
      </c>
      <c r="M571" s="5">
        <v>5.3077529999999999</v>
      </c>
      <c r="N571" s="5">
        <f t="shared" si="47"/>
        <v>149.53130150926825</v>
      </c>
      <c r="O571" s="5">
        <f t="shared" si="48"/>
        <v>22.512460801775614</v>
      </c>
    </row>
    <row r="572" spans="4:15" ht="18.75" customHeight="1" x14ac:dyDescent="0.25">
      <c r="D572" s="6">
        <v>1973</v>
      </c>
      <c r="E572" t="s">
        <v>81</v>
      </c>
      <c r="F572" s="5">
        <v>13.91</v>
      </c>
      <c r="G572" s="5">
        <v>22.506824412262752</v>
      </c>
      <c r="H572" s="5">
        <f t="shared" si="46"/>
        <v>9.3559999999999999</v>
      </c>
      <c r="J572" s="5">
        <v>93.56</v>
      </c>
      <c r="M572" s="5">
        <v>5.3073100000000002</v>
      </c>
      <c r="N572" s="5">
        <f t="shared" si="47"/>
        <v>149.49386372460791</v>
      </c>
      <c r="O572" s="5">
        <f t="shared" si="48"/>
        <v>22.506824412262752</v>
      </c>
    </row>
    <row r="573" spans="4:15" ht="18.75" customHeight="1" x14ac:dyDescent="0.25">
      <c r="D573" s="6">
        <v>1973</v>
      </c>
      <c r="E573" t="s">
        <v>81</v>
      </c>
      <c r="F573" s="5">
        <v>13.91</v>
      </c>
      <c r="G573" s="5">
        <v>22.497042484904021</v>
      </c>
      <c r="H573" s="5">
        <f t="shared" si="46"/>
        <v>10.666</v>
      </c>
      <c r="J573" s="5">
        <v>106.66</v>
      </c>
      <c r="M573" s="5">
        <v>5.3065410000000002</v>
      </c>
      <c r="N573" s="5">
        <f t="shared" si="47"/>
        <v>149.42889062628251</v>
      </c>
      <c r="O573" s="5">
        <f t="shared" si="48"/>
        <v>22.497042484904021</v>
      </c>
    </row>
    <row r="574" spans="4:15" ht="18.75" customHeight="1" x14ac:dyDescent="0.25">
      <c r="D574" s="6">
        <v>1973</v>
      </c>
      <c r="E574" t="s">
        <v>81</v>
      </c>
      <c r="F574" s="5">
        <v>13.91</v>
      </c>
      <c r="G574" s="5">
        <v>22.494180948582439</v>
      </c>
      <c r="H574" s="5">
        <f t="shared" si="46"/>
        <v>10.962999999999999</v>
      </c>
      <c r="J574" s="5">
        <v>109.63</v>
      </c>
      <c r="M574" s="5">
        <v>5.3063159999999998</v>
      </c>
      <c r="N574" s="5">
        <f t="shared" si="47"/>
        <v>149.40988385246735</v>
      </c>
      <c r="O574" s="5">
        <f t="shared" si="48"/>
        <v>22.494180948582439</v>
      </c>
    </row>
    <row r="575" spans="4:15" ht="18.75" customHeight="1" x14ac:dyDescent="0.25">
      <c r="D575" s="6">
        <v>1973</v>
      </c>
      <c r="E575" t="s">
        <v>81</v>
      </c>
      <c r="F575" s="5">
        <v>13.91</v>
      </c>
      <c r="G575" s="5">
        <v>22.481198981440517</v>
      </c>
      <c r="H575" s="5">
        <f t="shared" si="46"/>
        <v>12.662000000000001</v>
      </c>
      <c r="J575" s="5">
        <v>126.62</v>
      </c>
      <c r="M575" s="5">
        <v>5.3052950000000001</v>
      </c>
      <c r="N575" s="5">
        <f t="shared" si="47"/>
        <v>149.32365558715355</v>
      </c>
      <c r="O575" s="5">
        <f t="shared" si="48"/>
        <v>22.481198981440517</v>
      </c>
    </row>
    <row r="576" spans="4:15" ht="18.75" customHeight="1" x14ac:dyDescent="0.25">
      <c r="D576" s="6">
        <v>1973</v>
      </c>
      <c r="E576" t="s">
        <v>81</v>
      </c>
      <c r="F576" s="5">
        <v>13.91</v>
      </c>
      <c r="G576" s="5">
        <v>22.478427768907942</v>
      </c>
      <c r="H576" s="5">
        <f t="shared" si="46"/>
        <v>13.031000000000001</v>
      </c>
      <c r="J576" s="5">
        <v>130.31</v>
      </c>
      <c r="M576" s="5">
        <v>5.3050769999999998</v>
      </c>
      <c r="N576" s="5">
        <f t="shared" si="47"/>
        <v>149.30524875813546</v>
      </c>
      <c r="O576" s="5">
        <f t="shared" si="48"/>
        <v>22.478427768907942</v>
      </c>
    </row>
    <row r="577" spans="4:15" ht="18.75" customHeight="1" x14ac:dyDescent="0.25">
      <c r="D577" s="6">
        <v>1973</v>
      </c>
      <c r="E577" t="s">
        <v>81</v>
      </c>
      <c r="F577" s="5">
        <v>13.91</v>
      </c>
      <c r="G577" s="5">
        <v>22.466430284145282</v>
      </c>
      <c r="H577" s="5">
        <f t="shared" si="46"/>
        <v>14.513999999999999</v>
      </c>
      <c r="J577" s="5">
        <v>145.13999999999999</v>
      </c>
      <c r="M577" s="5">
        <v>5.3041330000000002</v>
      </c>
      <c r="N577" s="5">
        <f t="shared" si="47"/>
        <v>149.22555957945374</v>
      </c>
      <c r="O577" s="5">
        <f t="shared" si="48"/>
        <v>22.466430284145282</v>
      </c>
    </row>
    <row r="578" spans="4:15" ht="18.75" customHeight="1" x14ac:dyDescent="0.25">
      <c r="D578" s="6">
        <v>1973</v>
      </c>
      <c r="E578" t="s">
        <v>81</v>
      </c>
      <c r="F578" s="5">
        <v>13.91</v>
      </c>
      <c r="G578" s="5">
        <v>22.450804374141224</v>
      </c>
      <c r="H578" s="5">
        <f t="shared" si="46"/>
        <v>16.52</v>
      </c>
      <c r="J578" s="5">
        <v>165.2</v>
      </c>
      <c r="M578" s="5">
        <v>5.3029029999999997</v>
      </c>
      <c r="N578" s="5">
        <f t="shared" si="47"/>
        <v>149.12176983026785</v>
      </c>
      <c r="O578" s="5">
        <f t="shared" si="48"/>
        <v>22.450804374141224</v>
      </c>
    </row>
    <row r="579" spans="4:15" ht="18.75" customHeight="1" x14ac:dyDescent="0.25">
      <c r="D579" s="6">
        <v>1973</v>
      </c>
      <c r="E579" t="s">
        <v>81</v>
      </c>
      <c r="F579" s="5">
        <v>13.91</v>
      </c>
      <c r="G579" s="5">
        <v>22.447260968837302</v>
      </c>
      <c r="H579" s="5">
        <f t="shared" si="46"/>
        <v>17.015999999999998</v>
      </c>
      <c r="J579" s="5">
        <v>170.16</v>
      </c>
      <c r="M579" s="5">
        <v>5.3026239999999998</v>
      </c>
      <c r="N579" s="5">
        <f t="shared" si="47"/>
        <v>149.09823397554561</v>
      </c>
      <c r="O579" s="5">
        <f t="shared" si="48"/>
        <v>22.447260968837302</v>
      </c>
    </row>
    <row r="580" spans="4:15" ht="18.75" customHeight="1" x14ac:dyDescent="0.25">
      <c r="D580" s="6">
        <v>1973</v>
      </c>
      <c r="E580" t="s">
        <v>81</v>
      </c>
      <c r="F580" s="5">
        <v>13.91</v>
      </c>
      <c r="G580" s="5">
        <v>22.436099774794329</v>
      </c>
      <c r="H580" s="5">
        <f t="shared" si="46"/>
        <v>18.526</v>
      </c>
      <c r="J580" s="5">
        <v>185.26</v>
      </c>
      <c r="M580" s="5">
        <v>5.3017450000000004</v>
      </c>
      <c r="N580" s="5">
        <f t="shared" si="47"/>
        <v>149.02409957121111</v>
      </c>
      <c r="O580" s="5">
        <f t="shared" si="48"/>
        <v>22.436099774794329</v>
      </c>
    </row>
    <row r="581" spans="4:15" ht="18.75" customHeight="1" x14ac:dyDescent="0.25">
      <c r="D581" s="6">
        <v>1973</v>
      </c>
      <c r="E581" t="s">
        <v>81</v>
      </c>
      <c r="F581" s="5">
        <v>13.91</v>
      </c>
      <c r="G581" s="5">
        <v>22.431390074182751</v>
      </c>
      <c r="H581" s="5">
        <f t="shared" si="46"/>
        <v>19.015000000000001</v>
      </c>
      <c r="J581" s="5">
        <v>190.15</v>
      </c>
      <c r="M581" s="5">
        <v>5.301374</v>
      </c>
      <c r="N581" s="5">
        <f t="shared" si="47"/>
        <v>148.99281699982234</v>
      </c>
      <c r="O581" s="5">
        <f t="shared" si="48"/>
        <v>22.431390074182751</v>
      </c>
    </row>
    <row r="582" spans="4:15" ht="18.75" customHeight="1" x14ac:dyDescent="0.25">
      <c r="D582" s="6">
        <v>1973</v>
      </c>
      <c r="E582" t="s">
        <v>81</v>
      </c>
      <c r="F582" s="5">
        <v>13.91</v>
      </c>
      <c r="G582" s="5">
        <v>22.422315286655472</v>
      </c>
      <c r="H582" s="5">
        <f t="shared" si="46"/>
        <v>19.988</v>
      </c>
      <c r="J582" s="5">
        <v>199.88</v>
      </c>
      <c r="M582" s="5">
        <v>5.3006589999999996</v>
      </c>
      <c r="N582" s="5">
        <f t="shared" si="47"/>
        <v>148.93254083535405</v>
      </c>
      <c r="O582" s="5">
        <f t="shared" si="48"/>
        <v>22.422315286655472</v>
      </c>
    </row>
    <row r="583" spans="4:15" ht="18.75" customHeight="1" x14ac:dyDescent="0.25">
      <c r="D583" s="6">
        <v>1973</v>
      </c>
      <c r="E583" t="s">
        <v>81</v>
      </c>
      <c r="F583" s="5">
        <v>13.91</v>
      </c>
      <c r="G583" s="5">
        <v>22.412177266335775</v>
      </c>
      <c r="H583" s="5">
        <f t="shared" si="46"/>
        <v>21.25</v>
      </c>
      <c r="J583" s="5">
        <v>212.5</v>
      </c>
      <c r="M583" s="5">
        <v>5.2998599999999998</v>
      </c>
      <c r="N583" s="5">
        <f t="shared" si="47"/>
        <v>148.86520251163722</v>
      </c>
      <c r="O583" s="5">
        <f t="shared" si="48"/>
        <v>22.412177266335775</v>
      </c>
    </row>
    <row r="584" spans="4:15" ht="18.75" customHeight="1" x14ac:dyDescent="0.25">
      <c r="D584" s="6">
        <v>1973</v>
      </c>
      <c r="E584" t="s">
        <v>81</v>
      </c>
      <c r="F584" s="5">
        <v>13.91</v>
      </c>
      <c r="G584" s="5">
        <v>22.404071587341555</v>
      </c>
      <c r="H584" s="5">
        <f t="shared" si="46"/>
        <v>22.545999999999999</v>
      </c>
      <c r="J584" s="5">
        <v>225.46</v>
      </c>
      <c r="M584" s="5">
        <v>5.2992210000000002</v>
      </c>
      <c r="N584" s="5">
        <f t="shared" si="47"/>
        <v>148.81136331829919</v>
      </c>
      <c r="O584" s="5">
        <f t="shared" si="48"/>
        <v>22.404071587341555</v>
      </c>
    </row>
    <row r="585" spans="4:15" ht="18.75" customHeight="1" x14ac:dyDescent="0.25">
      <c r="D585" s="6">
        <v>1973</v>
      </c>
      <c r="E585" t="s">
        <v>81</v>
      </c>
      <c r="F585" s="5">
        <v>13.91</v>
      </c>
      <c r="G585" s="5">
        <v>22.385419463649637</v>
      </c>
      <c r="H585" s="5">
        <f t="shared" si="46"/>
        <v>25.013999999999999</v>
      </c>
      <c r="J585" s="5">
        <v>250.14</v>
      </c>
      <c r="M585" s="5">
        <v>5.2977499999999997</v>
      </c>
      <c r="N585" s="5">
        <f t="shared" si="47"/>
        <v>148.68747298235937</v>
      </c>
      <c r="O585" s="5">
        <f t="shared" si="48"/>
        <v>22.385419463649637</v>
      </c>
    </row>
    <row r="586" spans="4:15" ht="18.75" customHeight="1" x14ac:dyDescent="0.25">
      <c r="D586" s="6">
        <v>1973</v>
      </c>
      <c r="E586" t="s">
        <v>81</v>
      </c>
      <c r="F586" s="5">
        <v>13.91</v>
      </c>
      <c r="G586" s="5">
        <v>22.377142811933048</v>
      </c>
      <c r="H586" s="5">
        <f t="shared" si="46"/>
        <v>25.937999999999999</v>
      </c>
      <c r="J586" s="5">
        <v>259.38</v>
      </c>
      <c r="M586" s="5">
        <v>5.2970969999999999</v>
      </c>
      <c r="N586" s="5">
        <f t="shared" si="47"/>
        <v>148.63249816133833</v>
      </c>
      <c r="O586" s="5">
        <f t="shared" si="48"/>
        <v>22.377142811933048</v>
      </c>
    </row>
    <row r="587" spans="4:15" ht="18.75" customHeight="1" x14ac:dyDescent="0.25">
      <c r="D587" s="6">
        <v>1973</v>
      </c>
      <c r="E587" t="s">
        <v>81</v>
      </c>
      <c r="F587" s="5">
        <v>13.91</v>
      </c>
      <c r="G587" s="5">
        <v>22.364193250369983</v>
      </c>
      <c r="H587" s="5">
        <f t="shared" si="46"/>
        <v>27.579000000000001</v>
      </c>
      <c r="J587" s="5">
        <v>275.79000000000002</v>
      </c>
      <c r="M587" s="5">
        <v>5.2960750000000001</v>
      </c>
      <c r="N587" s="5">
        <f t="shared" si="47"/>
        <v>148.54648513897044</v>
      </c>
      <c r="O587" s="5">
        <f t="shared" si="48"/>
        <v>22.364193250369983</v>
      </c>
    </row>
    <row r="588" spans="4:15" ht="18.75" customHeight="1" x14ac:dyDescent="0.25">
      <c r="D588" s="6">
        <v>1973</v>
      </c>
      <c r="E588" t="s">
        <v>81</v>
      </c>
      <c r="F588" s="5">
        <v>13.91</v>
      </c>
      <c r="G588" s="5">
        <v>22.347070000935304</v>
      </c>
      <c r="H588" s="5">
        <f t="shared" si="46"/>
        <v>29.979000000000003</v>
      </c>
      <c r="J588" s="5">
        <v>299.79000000000002</v>
      </c>
      <c r="M588" s="5">
        <v>5.2947230000000003</v>
      </c>
      <c r="N588" s="5">
        <f t="shared" si="47"/>
        <v>148.43274982604393</v>
      </c>
      <c r="O588" s="5">
        <f t="shared" si="48"/>
        <v>22.347070000935304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  <outlinePr summaryBelow="0"/>
  </sheetPr>
  <dimension ref="B1:AC135"/>
  <sheetViews>
    <sheetView workbookViewId="0"/>
  </sheetViews>
  <sheetFormatPr defaultRowHeight="15" x14ac:dyDescent="0.25"/>
  <cols>
    <col min="1" max="2" width="13.5703125" bestFit="1" customWidth="1"/>
    <col min="3" max="3" width="13.5703125" style="1" bestFit="1" customWidth="1"/>
    <col min="4" max="4" width="13.5703125" bestFit="1" customWidth="1"/>
    <col min="5" max="5" width="13.5703125" style="2" bestFit="1" customWidth="1"/>
    <col min="6" max="6" width="8.85546875" style="17" bestFit="1" customWidth="1"/>
    <col min="7" max="7" width="13.5703125" style="3" bestFit="1" customWidth="1"/>
    <col min="8" max="9" width="8.85546875" style="2" bestFit="1" customWidth="1"/>
    <col min="10" max="11" width="13.5703125" style="2" bestFit="1" customWidth="1"/>
    <col min="12" max="13" width="13.5703125" style="3" bestFit="1" customWidth="1"/>
    <col min="14" max="14" width="13.5703125" style="4" bestFit="1" customWidth="1"/>
    <col min="15" max="15" width="13.5703125" style="3" bestFit="1" customWidth="1"/>
    <col min="16" max="16" width="13.5703125" bestFit="1" customWidth="1"/>
    <col min="17" max="17" width="13.5703125" style="4" bestFit="1" customWidth="1"/>
    <col min="18" max="18" width="13.5703125" bestFit="1" customWidth="1"/>
    <col min="19" max="19" width="13.5703125" style="4" bestFit="1" customWidth="1"/>
    <col min="20" max="24" width="13.5703125" style="3" bestFit="1" customWidth="1"/>
    <col min="25" max="25" width="13.5703125" style="4" bestFit="1" customWidth="1"/>
    <col min="26" max="27" width="13.5703125" bestFit="1" customWidth="1"/>
    <col min="28" max="29" width="13.5703125" style="3" bestFit="1" customWidth="1"/>
  </cols>
  <sheetData>
    <row r="1" spans="3:22" ht="18.75" customHeight="1" x14ac:dyDescent="0.25">
      <c r="C1" s="1" t="s">
        <v>92</v>
      </c>
      <c r="F1" s="16" t="s">
        <v>93</v>
      </c>
    </row>
    <row r="2" spans="3:22" ht="18.75" customHeight="1" x14ac:dyDescent="0.25"/>
    <row r="3" spans="3:22" ht="18.75" customHeight="1" x14ac:dyDescent="0.25">
      <c r="C3" s="1" t="s">
        <v>3</v>
      </c>
      <c r="D3" t="s">
        <v>4</v>
      </c>
      <c r="E3" s="2" t="s">
        <v>5</v>
      </c>
      <c r="F3" s="16" t="s">
        <v>94</v>
      </c>
      <c r="G3" s="3" t="s">
        <v>94</v>
      </c>
      <c r="I3" s="2" t="s">
        <v>34</v>
      </c>
      <c r="J3" s="2" t="s">
        <v>35</v>
      </c>
      <c r="L3" s="3" t="s">
        <v>95</v>
      </c>
      <c r="Q3" s="4" t="s">
        <v>3</v>
      </c>
      <c r="R3" t="s">
        <v>4</v>
      </c>
      <c r="S3" s="4" t="s">
        <v>5</v>
      </c>
      <c r="T3" s="11" t="s">
        <v>96</v>
      </c>
      <c r="U3" s="3" t="s">
        <v>97</v>
      </c>
    </row>
    <row r="4" spans="3:22" ht="18.75" customHeight="1" x14ac:dyDescent="0.25">
      <c r="E4" s="2" t="s">
        <v>12</v>
      </c>
      <c r="F4" s="16" t="s">
        <v>98</v>
      </c>
      <c r="G4" s="3" t="s">
        <v>99</v>
      </c>
      <c r="L4" s="3" t="s">
        <v>100</v>
      </c>
      <c r="S4" s="4" t="s">
        <v>12</v>
      </c>
      <c r="T4" s="11" t="s">
        <v>98</v>
      </c>
      <c r="U4" s="3" t="s">
        <v>100</v>
      </c>
      <c r="V4" s="3" t="s">
        <v>101</v>
      </c>
    </row>
    <row r="5" spans="3:22" ht="18.75" customHeight="1" x14ac:dyDescent="0.25">
      <c r="C5" s="6">
        <v>1955</v>
      </c>
      <c r="D5" t="s">
        <v>36</v>
      </c>
      <c r="Q5" s="6">
        <v>1967</v>
      </c>
      <c r="R5" t="s">
        <v>89</v>
      </c>
      <c r="S5" s="6">
        <v>0</v>
      </c>
      <c r="T5" s="5">
        <f t="shared" ref="T5:T41" si="0">U5*10^(-4)</f>
        <v>3.6800000000000005E-4</v>
      </c>
      <c r="U5" s="5">
        <v>3.68</v>
      </c>
    </row>
    <row r="6" spans="3:22" ht="18.75" customHeight="1" x14ac:dyDescent="0.25">
      <c r="C6" s="6">
        <v>1955</v>
      </c>
      <c r="D6" t="s">
        <v>36</v>
      </c>
      <c r="E6" s="6">
        <v>65</v>
      </c>
      <c r="F6" s="15">
        <f t="shared" ref="F6:F12" si="1">G6*10^-5</f>
        <v>5.5000000000000002E-5</v>
      </c>
      <c r="G6" s="5">
        <v>5.5</v>
      </c>
      <c r="I6" s="6">
        <v>200</v>
      </c>
      <c r="J6" s="5">
        <f t="shared" ref="J6:J12" si="2">0.0980665*I6</f>
        <v>19.613299999999999</v>
      </c>
      <c r="Q6" s="6">
        <v>1967</v>
      </c>
      <c r="R6" t="s">
        <v>89</v>
      </c>
      <c r="S6" s="6">
        <v>15</v>
      </c>
      <c r="T6" s="5">
        <f t="shared" si="0"/>
        <v>3.7000000000000005E-4</v>
      </c>
      <c r="U6" s="5">
        <v>3.7</v>
      </c>
    </row>
    <row r="7" spans="3:22" ht="18.75" customHeight="1" x14ac:dyDescent="0.25">
      <c r="C7" s="6">
        <v>1955</v>
      </c>
      <c r="D7" t="s">
        <v>36</v>
      </c>
      <c r="E7" s="6">
        <v>65</v>
      </c>
      <c r="F7" s="15">
        <f t="shared" si="1"/>
        <v>5.0000000000000002E-5</v>
      </c>
      <c r="G7" s="6">
        <v>5</v>
      </c>
      <c r="I7" s="6">
        <v>400</v>
      </c>
      <c r="J7" s="5">
        <f t="shared" si="2"/>
        <v>39.226599999999998</v>
      </c>
      <c r="Q7" s="6">
        <v>1967</v>
      </c>
      <c r="R7" t="s">
        <v>89</v>
      </c>
      <c r="S7" s="6">
        <v>20</v>
      </c>
      <c r="T7" s="5">
        <f t="shared" si="0"/>
        <v>3.7300000000000001E-4</v>
      </c>
      <c r="U7" s="5">
        <v>3.73</v>
      </c>
    </row>
    <row r="8" spans="3:22" ht="18.75" customHeight="1" x14ac:dyDescent="0.25">
      <c r="C8" s="6">
        <v>1955</v>
      </c>
      <c r="D8" t="s">
        <v>36</v>
      </c>
      <c r="E8" s="6">
        <v>65</v>
      </c>
      <c r="F8" s="15">
        <f t="shared" si="1"/>
        <v>4.5000000000000003E-5</v>
      </c>
      <c r="G8" s="5">
        <v>4.5</v>
      </c>
      <c r="I8" s="6">
        <v>600</v>
      </c>
      <c r="J8" s="5">
        <f t="shared" si="2"/>
        <v>58.8399</v>
      </c>
      <c r="Q8" s="6">
        <v>1967</v>
      </c>
      <c r="R8" t="s">
        <v>89</v>
      </c>
      <c r="S8" s="6">
        <v>25</v>
      </c>
      <c r="T8" s="5">
        <f t="shared" si="0"/>
        <v>3.77E-4</v>
      </c>
      <c r="U8" s="5">
        <v>3.77</v>
      </c>
    </row>
    <row r="9" spans="3:22" ht="18.75" customHeight="1" x14ac:dyDescent="0.25">
      <c r="C9" s="6">
        <v>1955</v>
      </c>
      <c r="D9" t="s">
        <v>36</v>
      </c>
      <c r="E9" s="6">
        <v>65</v>
      </c>
      <c r="F9" s="15">
        <f t="shared" si="1"/>
        <v>3.8000000000000002E-5</v>
      </c>
      <c r="G9" s="5">
        <v>3.8</v>
      </c>
      <c r="I9" s="6">
        <v>1000</v>
      </c>
      <c r="J9" s="5">
        <f t="shared" si="2"/>
        <v>98.066500000000005</v>
      </c>
      <c r="Q9" s="6">
        <v>1967</v>
      </c>
      <c r="R9" t="s">
        <v>89</v>
      </c>
      <c r="S9" s="6">
        <v>30</v>
      </c>
      <c r="T9" s="5">
        <f t="shared" si="0"/>
        <v>3.8400000000000001E-4</v>
      </c>
      <c r="U9" s="5">
        <v>3.84</v>
      </c>
    </row>
    <row r="10" spans="3:22" ht="18.75" customHeight="1" x14ac:dyDescent="0.25">
      <c r="C10" s="6">
        <v>1955</v>
      </c>
      <c r="D10" t="s">
        <v>36</v>
      </c>
      <c r="E10" s="6">
        <v>65</v>
      </c>
      <c r="F10" s="15">
        <f t="shared" si="1"/>
        <v>2.8E-5</v>
      </c>
      <c r="G10" s="5">
        <v>2.8</v>
      </c>
      <c r="I10" s="6">
        <v>2000</v>
      </c>
      <c r="J10" s="5">
        <f t="shared" si="2"/>
        <v>196.13300000000001</v>
      </c>
      <c r="Q10" s="6">
        <v>1967</v>
      </c>
      <c r="R10" t="s">
        <v>89</v>
      </c>
      <c r="S10" s="6">
        <v>35</v>
      </c>
      <c r="T10" s="5">
        <f t="shared" si="0"/>
        <v>3.88E-4</v>
      </c>
      <c r="U10" s="5">
        <v>3.88</v>
      </c>
    </row>
    <row r="11" spans="3:22" ht="18.75" customHeight="1" x14ac:dyDescent="0.25">
      <c r="C11" s="6">
        <v>1955</v>
      </c>
      <c r="D11" t="s">
        <v>36</v>
      </c>
      <c r="E11" s="6">
        <v>65</v>
      </c>
      <c r="F11" s="15">
        <f t="shared" si="1"/>
        <v>2.2000000000000003E-5</v>
      </c>
      <c r="G11" s="5">
        <v>2.2000000000000002</v>
      </c>
      <c r="I11" s="6">
        <v>3000</v>
      </c>
      <c r="J11" s="5">
        <f t="shared" si="2"/>
        <v>294.1995</v>
      </c>
      <c r="Q11" s="6">
        <v>1967</v>
      </c>
      <c r="R11" t="s">
        <v>89</v>
      </c>
      <c r="S11" s="6">
        <v>40</v>
      </c>
      <c r="T11" s="5">
        <f t="shared" si="0"/>
        <v>3.9300000000000001E-4</v>
      </c>
      <c r="U11" s="5">
        <v>3.93</v>
      </c>
    </row>
    <row r="12" spans="3:22" ht="18.75" customHeight="1" x14ac:dyDescent="0.25">
      <c r="C12" s="6">
        <v>1955</v>
      </c>
      <c r="D12" t="s">
        <v>36</v>
      </c>
      <c r="E12" s="6">
        <v>65</v>
      </c>
      <c r="F12" s="15">
        <f t="shared" si="1"/>
        <v>1.9000000000000001E-5</v>
      </c>
      <c r="G12" s="5">
        <v>1.9</v>
      </c>
      <c r="I12" s="6">
        <v>4000</v>
      </c>
      <c r="J12" s="5">
        <f t="shared" si="2"/>
        <v>392.26600000000002</v>
      </c>
      <c r="Q12" s="6">
        <v>1967</v>
      </c>
      <c r="R12" t="s">
        <v>89</v>
      </c>
      <c r="S12" s="6">
        <v>45</v>
      </c>
      <c r="T12" s="5">
        <f t="shared" si="0"/>
        <v>4.0000000000000002E-4</v>
      </c>
      <c r="U12" s="6">
        <v>4</v>
      </c>
    </row>
    <row r="13" spans="3:22" ht="18.75" customHeight="1" x14ac:dyDescent="0.25">
      <c r="Q13" s="6">
        <v>1967</v>
      </c>
      <c r="R13" t="s">
        <v>89</v>
      </c>
      <c r="S13" s="6">
        <v>48</v>
      </c>
      <c r="T13" s="5">
        <f t="shared" si="0"/>
        <v>4.0400000000000001E-4</v>
      </c>
      <c r="U13" s="5">
        <v>4.04</v>
      </c>
    </row>
    <row r="14" spans="3:22" ht="18.75" customHeight="1" x14ac:dyDescent="0.25">
      <c r="C14" s="6">
        <v>1955</v>
      </c>
      <c r="D14" t="s">
        <v>36</v>
      </c>
      <c r="E14" s="6">
        <v>75</v>
      </c>
      <c r="F14" s="15">
        <f t="shared" ref="F14:F20" si="3">G14*10^-5</f>
        <v>7.0000000000000007E-5</v>
      </c>
      <c r="G14" s="6">
        <v>7</v>
      </c>
      <c r="I14" s="6">
        <v>200</v>
      </c>
      <c r="J14" s="5">
        <f t="shared" ref="J14:J20" si="4">0.0980665*I14</f>
        <v>19.613299999999999</v>
      </c>
      <c r="Q14" s="6">
        <v>1961</v>
      </c>
      <c r="R14" t="s">
        <v>38</v>
      </c>
      <c r="S14" s="6">
        <v>0</v>
      </c>
      <c r="T14" s="5">
        <f t="shared" si="0"/>
        <v>3.9800000000000002E-4</v>
      </c>
      <c r="U14" s="5">
        <v>3.98</v>
      </c>
    </row>
    <row r="15" spans="3:22" ht="18.75" customHeight="1" x14ac:dyDescent="0.25">
      <c r="C15" s="6">
        <v>1955</v>
      </c>
      <c r="D15" t="s">
        <v>36</v>
      </c>
      <c r="E15" s="6">
        <v>75</v>
      </c>
      <c r="F15" s="15">
        <f t="shared" si="3"/>
        <v>5.9000000000000011E-5</v>
      </c>
      <c r="G15" s="5">
        <v>5.9</v>
      </c>
      <c r="I15" s="6">
        <v>400</v>
      </c>
      <c r="J15" s="5">
        <f t="shared" si="4"/>
        <v>39.226599999999998</v>
      </c>
      <c r="Q15" s="6">
        <v>1961</v>
      </c>
      <c r="R15" t="s">
        <v>38</v>
      </c>
      <c r="S15" s="6">
        <v>5</v>
      </c>
      <c r="T15" s="5">
        <f t="shared" si="0"/>
        <v>4.0000000000000002E-4</v>
      </c>
      <c r="U15" s="6">
        <v>4</v>
      </c>
    </row>
    <row r="16" spans="3:22" ht="18.75" customHeight="1" x14ac:dyDescent="0.25">
      <c r="C16" s="6">
        <v>1955</v>
      </c>
      <c r="D16" t="s">
        <v>36</v>
      </c>
      <c r="E16" s="6">
        <v>75</v>
      </c>
      <c r="F16" s="15">
        <f t="shared" si="3"/>
        <v>5.2000000000000004E-5</v>
      </c>
      <c r="G16" s="5">
        <v>5.2</v>
      </c>
      <c r="I16" s="6">
        <v>600</v>
      </c>
      <c r="J16" s="5">
        <f t="shared" si="4"/>
        <v>58.8399</v>
      </c>
      <c r="Q16" s="6">
        <v>1961</v>
      </c>
      <c r="R16" t="s">
        <v>38</v>
      </c>
      <c r="S16" s="6">
        <v>10</v>
      </c>
      <c r="T16" s="5">
        <f t="shared" si="0"/>
        <v>4.0400000000000001E-4</v>
      </c>
      <c r="U16" s="5">
        <v>4.04</v>
      </c>
    </row>
    <row r="17" spans="3:21" ht="18.75" customHeight="1" x14ac:dyDescent="0.25">
      <c r="C17" s="6">
        <v>1955</v>
      </c>
      <c r="D17" t="s">
        <v>36</v>
      </c>
      <c r="E17" s="6">
        <v>75</v>
      </c>
      <c r="F17" s="15">
        <f t="shared" si="3"/>
        <v>4.2000000000000004E-5</v>
      </c>
      <c r="G17" s="5">
        <v>4.2</v>
      </c>
      <c r="I17" s="6">
        <v>1000</v>
      </c>
      <c r="J17" s="5">
        <f t="shared" si="4"/>
        <v>98.066500000000005</v>
      </c>
      <c r="Q17" s="6">
        <v>1961</v>
      </c>
      <c r="R17" t="s">
        <v>38</v>
      </c>
      <c r="S17" s="6">
        <v>15</v>
      </c>
      <c r="T17" s="5">
        <f t="shared" si="0"/>
        <v>4.0999999999999999E-4</v>
      </c>
      <c r="U17" s="5">
        <v>4.0999999999999996</v>
      </c>
    </row>
    <row r="18" spans="3:21" ht="18.75" customHeight="1" x14ac:dyDescent="0.25">
      <c r="C18" s="6">
        <v>1955</v>
      </c>
      <c r="D18" t="s">
        <v>36</v>
      </c>
      <c r="E18" s="6">
        <v>75</v>
      </c>
      <c r="F18" s="15">
        <f t="shared" si="3"/>
        <v>3.0000000000000004E-5</v>
      </c>
      <c r="G18" s="6">
        <v>3</v>
      </c>
      <c r="I18" s="6">
        <v>2000</v>
      </c>
      <c r="J18" s="5">
        <f t="shared" si="4"/>
        <v>196.13300000000001</v>
      </c>
      <c r="Q18" s="6">
        <v>1961</v>
      </c>
      <c r="R18" t="s">
        <v>38</v>
      </c>
      <c r="S18" s="6">
        <v>20</v>
      </c>
      <c r="T18" s="5">
        <f t="shared" si="0"/>
        <v>4.2000000000000002E-4</v>
      </c>
      <c r="U18" s="5">
        <v>4.2</v>
      </c>
    </row>
    <row r="19" spans="3:21" ht="18.75" customHeight="1" x14ac:dyDescent="0.25">
      <c r="C19" s="6">
        <v>1955</v>
      </c>
      <c r="D19" t="s">
        <v>36</v>
      </c>
      <c r="E19" s="6">
        <v>75</v>
      </c>
      <c r="F19" s="15">
        <f t="shared" si="3"/>
        <v>2.3E-5</v>
      </c>
      <c r="G19" s="5">
        <v>2.2999999999999998</v>
      </c>
      <c r="I19" s="6">
        <v>3000</v>
      </c>
      <c r="J19" s="5">
        <f t="shared" si="4"/>
        <v>294.1995</v>
      </c>
      <c r="Q19" s="6">
        <v>1961</v>
      </c>
      <c r="R19" t="s">
        <v>38</v>
      </c>
      <c r="S19" s="6">
        <v>25</v>
      </c>
      <c r="T19" s="5">
        <f t="shared" si="0"/>
        <v>4.3300000000000001E-4</v>
      </c>
      <c r="U19" s="5">
        <v>4.33</v>
      </c>
    </row>
    <row r="20" spans="3:21" ht="18.75" customHeight="1" x14ac:dyDescent="0.25">
      <c r="C20" s="6">
        <v>1955</v>
      </c>
      <c r="D20" t="s">
        <v>36</v>
      </c>
      <c r="E20" s="6">
        <v>75</v>
      </c>
      <c r="F20" s="15">
        <f t="shared" si="3"/>
        <v>1.9000000000000001E-5</v>
      </c>
      <c r="G20" s="5">
        <v>1.9</v>
      </c>
      <c r="I20" s="6">
        <v>4000</v>
      </c>
      <c r="J20" s="5">
        <f t="shared" si="4"/>
        <v>392.26600000000002</v>
      </c>
      <c r="Q20" s="6">
        <v>1961</v>
      </c>
      <c r="R20" t="s">
        <v>38</v>
      </c>
      <c r="S20" s="6">
        <v>30</v>
      </c>
      <c r="T20" s="5">
        <f t="shared" si="0"/>
        <v>4.4800000000000005E-4</v>
      </c>
      <c r="U20" s="5">
        <v>4.4800000000000004</v>
      </c>
    </row>
    <row r="21" spans="3:21" ht="18.75" customHeight="1" x14ac:dyDescent="0.25">
      <c r="Q21" s="6">
        <v>1961</v>
      </c>
      <c r="R21" t="s">
        <v>38</v>
      </c>
      <c r="S21" s="6">
        <v>40</v>
      </c>
      <c r="T21" s="5">
        <f t="shared" si="0"/>
        <v>4.8300000000000003E-4</v>
      </c>
      <c r="U21" s="5">
        <v>4.83</v>
      </c>
    </row>
    <row r="22" spans="3:21" ht="18.75" customHeight="1" x14ac:dyDescent="0.25">
      <c r="Q22" s="6">
        <v>1961</v>
      </c>
      <c r="R22" t="s">
        <v>38</v>
      </c>
      <c r="S22" s="6">
        <v>50</v>
      </c>
      <c r="T22" s="5">
        <f t="shared" si="0"/>
        <v>5.2800000000000004E-4</v>
      </c>
      <c r="U22" s="5">
        <v>5.28</v>
      </c>
    </row>
    <row r="23" spans="3:21" ht="18.75" customHeight="1" x14ac:dyDescent="0.25">
      <c r="C23" s="6">
        <v>1967</v>
      </c>
      <c r="D23" t="s">
        <v>89</v>
      </c>
      <c r="E23" s="6">
        <v>0</v>
      </c>
      <c r="F23" s="15">
        <f t="shared" ref="F23:F37" si="5">L23*10^(-4)</f>
        <v>3.6800000000000005E-4</v>
      </c>
      <c r="L23" s="5">
        <v>3.68</v>
      </c>
      <c r="Q23" s="6">
        <v>1966</v>
      </c>
      <c r="R23" t="s">
        <v>18</v>
      </c>
      <c r="S23" s="6">
        <v>0</v>
      </c>
      <c r="T23" s="5">
        <f t="shared" si="0"/>
        <v>3.7500000000000001E-4</v>
      </c>
      <c r="U23" s="5">
        <v>3.75</v>
      </c>
    </row>
    <row r="24" spans="3:21" ht="18.75" customHeight="1" x14ac:dyDescent="0.25">
      <c r="C24" s="6">
        <v>1967</v>
      </c>
      <c r="D24" t="s">
        <v>89</v>
      </c>
      <c r="E24" s="6">
        <v>15</v>
      </c>
      <c r="F24" s="15">
        <f t="shared" si="5"/>
        <v>3.7599999999999998E-4</v>
      </c>
      <c r="L24" s="5">
        <v>3.76</v>
      </c>
      <c r="Q24" s="6">
        <v>1966</v>
      </c>
      <c r="R24" t="s">
        <v>18</v>
      </c>
      <c r="S24" s="6">
        <v>10</v>
      </c>
      <c r="T24" s="5">
        <f t="shared" si="0"/>
        <v>3.7599999999999998E-4</v>
      </c>
      <c r="U24" s="5">
        <v>3.76</v>
      </c>
    </row>
    <row r="25" spans="3:21" ht="18.75" customHeight="1" x14ac:dyDescent="0.25">
      <c r="C25" s="6">
        <v>1967</v>
      </c>
      <c r="D25" t="s">
        <v>89</v>
      </c>
      <c r="E25" s="6">
        <v>20</v>
      </c>
      <c r="F25" s="15">
        <f t="shared" si="5"/>
        <v>3.88E-4</v>
      </c>
      <c r="L25" s="5">
        <v>3.88</v>
      </c>
      <c r="Q25" s="6">
        <v>1966</v>
      </c>
      <c r="R25" t="s">
        <v>18</v>
      </c>
      <c r="S25" s="6">
        <v>20</v>
      </c>
      <c r="T25" s="5">
        <f t="shared" si="0"/>
        <v>3.8200000000000002E-4</v>
      </c>
      <c r="U25" s="5">
        <v>3.82</v>
      </c>
    </row>
    <row r="26" spans="3:21" ht="18.75" customHeight="1" x14ac:dyDescent="0.25">
      <c r="C26" s="6">
        <v>1967</v>
      </c>
      <c r="D26" t="s">
        <v>89</v>
      </c>
      <c r="E26" s="6">
        <v>25</v>
      </c>
      <c r="F26" s="15">
        <f t="shared" si="5"/>
        <v>3.9800000000000002E-4</v>
      </c>
      <c r="L26" s="5">
        <v>3.98</v>
      </c>
      <c r="Q26" s="6">
        <v>1966</v>
      </c>
      <c r="R26" t="s">
        <v>18</v>
      </c>
      <c r="S26" s="6">
        <v>30</v>
      </c>
      <c r="T26" s="5">
        <f t="shared" si="0"/>
        <v>3.9400000000000004E-4</v>
      </c>
      <c r="U26" s="5">
        <v>3.94</v>
      </c>
    </row>
    <row r="27" spans="3:21" ht="18.75" customHeight="1" x14ac:dyDescent="0.25">
      <c r="C27" s="6">
        <v>1967</v>
      </c>
      <c r="D27" t="s">
        <v>89</v>
      </c>
      <c r="E27" s="6">
        <v>30</v>
      </c>
      <c r="F27" s="15">
        <f t="shared" si="5"/>
        <v>4.1200000000000004E-4</v>
      </c>
      <c r="L27" s="5">
        <v>4.12</v>
      </c>
      <c r="Q27" s="6">
        <v>1966</v>
      </c>
      <c r="R27" t="s">
        <v>18</v>
      </c>
      <c r="S27" s="6">
        <v>40</v>
      </c>
      <c r="T27" s="5">
        <f t="shared" si="0"/>
        <v>4.1200000000000004E-4</v>
      </c>
      <c r="U27" s="5">
        <v>4.12</v>
      </c>
    </row>
    <row r="28" spans="3:21" ht="18.75" customHeight="1" x14ac:dyDescent="0.25">
      <c r="C28" s="6">
        <v>1967</v>
      </c>
      <c r="D28" t="s">
        <v>89</v>
      </c>
      <c r="E28" s="6">
        <v>35</v>
      </c>
      <c r="F28" s="15">
        <f t="shared" si="5"/>
        <v>4.2500000000000003E-4</v>
      </c>
      <c r="L28" s="5">
        <v>4.25</v>
      </c>
      <c r="Q28" s="6">
        <v>1966</v>
      </c>
      <c r="R28" t="s">
        <v>18</v>
      </c>
      <c r="S28" s="6">
        <v>50</v>
      </c>
      <c r="T28" s="5">
        <f t="shared" si="0"/>
        <v>4.3700000000000005E-4</v>
      </c>
      <c r="U28" s="5">
        <v>4.37</v>
      </c>
    </row>
    <row r="29" spans="3:21" ht="18.75" customHeight="1" x14ac:dyDescent="0.25">
      <c r="C29" s="6">
        <v>1967</v>
      </c>
      <c r="D29" t="s">
        <v>89</v>
      </c>
      <c r="E29" s="6">
        <v>40</v>
      </c>
      <c r="F29" s="15">
        <f t="shared" si="5"/>
        <v>4.4100000000000004E-4</v>
      </c>
      <c r="L29" s="5">
        <v>4.41</v>
      </c>
      <c r="Q29" s="6">
        <v>1966</v>
      </c>
      <c r="R29" t="s">
        <v>18</v>
      </c>
      <c r="S29" s="6">
        <v>60</v>
      </c>
      <c r="T29" s="5">
        <f t="shared" si="0"/>
        <v>4.7199999999999998E-4</v>
      </c>
      <c r="U29" s="5">
        <v>4.72</v>
      </c>
    </row>
    <row r="30" spans="3:21" ht="18.75" customHeight="1" x14ac:dyDescent="0.25">
      <c r="C30" s="6">
        <v>1967</v>
      </c>
      <c r="D30" t="s">
        <v>89</v>
      </c>
      <c r="E30" s="6">
        <v>45</v>
      </c>
      <c r="F30" s="15">
        <f t="shared" si="5"/>
        <v>4.5999999999999996E-4</v>
      </c>
      <c r="L30" s="5">
        <v>4.5999999999999996</v>
      </c>
      <c r="Q30" s="6">
        <v>1966</v>
      </c>
      <c r="R30" t="s">
        <v>18</v>
      </c>
      <c r="S30" s="6">
        <v>70</v>
      </c>
      <c r="T30" s="5">
        <f t="shared" si="0"/>
        <v>5.1900000000000004E-4</v>
      </c>
      <c r="U30" s="5">
        <v>5.19</v>
      </c>
    </row>
    <row r="31" spans="3:21" ht="18.75" customHeight="1" x14ac:dyDescent="0.25">
      <c r="C31" s="6">
        <v>1967</v>
      </c>
      <c r="D31" t="s">
        <v>89</v>
      </c>
      <c r="E31" s="6">
        <v>48</v>
      </c>
      <c r="F31" s="15">
        <f t="shared" si="5"/>
        <v>4.7300000000000006E-4</v>
      </c>
      <c r="L31" s="5">
        <v>4.7300000000000004</v>
      </c>
      <c r="Q31" s="6">
        <v>1966</v>
      </c>
      <c r="R31" t="s">
        <v>18</v>
      </c>
      <c r="S31" s="6">
        <v>80</v>
      </c>
      <c r="T31" s="5">
        <f t="shared" si="0"/>
        <v>5.8E-4</v>
      </c>
      <c r="U31" s="5">
        <v>5.8</v>
      </c>
    </row>
    <row r="32" spans="3:21" ht="18.75" customHeight="1" x14ac:dyDescent="0.25">
      <c r="C32" s="6">
        <v>1955</v>
      </c>
      <c r="D32" t="s">
        <v>37</v>
      </c>
      <c r="E32" s="6">
        <v>0</v>
      </c>
      <c r="F32" s="15">
        <f t="shared" si="5"/>
        <v>4.2000000000000002E-4</v>
      </c>
      <c r="L32" s="5">
        <v>4.2</v>
      </c>
      <c r="Q32" s="6">
        <v>1966</v>
      </c>
      <c r="R32" t="s">
        <v>18</v>
      </c>
      <c r="S32" s="6">
        <v>83</v>
      </c>
      <c r="T32" s="5">
        <f t="shared" si="0"/>
        <v>6.0400000000000004E-4</v>
      </c>
      <c r="U32" s="5">
        <v>6.04</v>
      </c>
    </row>
    <row r="33" spans="2:29" ht="18.75" customHeight="1" x14ac:dyDescent="0.25">
      <c r="C33" s="6">
        <v>1955</v>
      </c>
      <c r="D33" t="s">
        <v>37</v>
      </c>
      <c r="E33" s="6">
        <v>30</v>
      </c>
      <c r="F33" s="15">
        <f t="shared" si="5"/>
        <v>4.4000000000000007E-4</v>
      </c>
      <c r="L33" s="5">
        <v>4.4000000000000004</v>
      </c>
      <c r="Q33" s="6">
        <v>1955</v>
      </c>
      <c r="R33" t="s">
        <v>37</v>
      </c>
      <c r="S33" s="6">
        <v>0</v>
      </c>
      <c r="T33" s="5">
        <f t="shared" si="0"/>
        <v>4.2000000000000002E-4</v>
      </c>
      <c r="U33" s="5">
        <f t="shared" ref="U33:U41" si="6">V33*10</f>
        <v>4.2</v>
      </c>
      <c r="V33" s="5">
        <v>0.42</v>
      </c>
    </row>
    <row r="34" spans="2:29" ht="18.75" customHeight="1" x14ac:dyDescent="0.25">
      <c r="C34" s="6">
        <v>1955</v>
      </c>
      <c r="D34" t="s">
        <v>37</v>
      </c>
      <c r="E34" s="6">
        <v>60</v>
      </c>
      <c r="F34" s="15">
        <f t="shared" si="5"/>
        <v>5.1000000000000004E-4</v>
      </c>
      <c r="L34" s="5">
        <v>5.0999999999999996</v>
      </c>
      <c r="Q34" s="6">
        <v>1955</v>
      </c>
      <c r="R34" t="s">
        <v>37</v>
      </c>
      <c r="S34" s="6">
        <v>30</v>
      </c>
      <c r="T34" s="5">
        <f t="shared" si="0"/>
        <v>4.4000000000000007E-4</v>
      </c>
      <c r="U34" s="5">
        <f t="shared" si="6"/>
        <v>4.4000000000000004</v>
      </c>
      <c r="V34" s="5">
        <v>0.44</v>
      </c>
    </row>
    <row r="35" spans="2:29" ht="18.75" customHeight="1" x14ac:dyDescent="0.25">
      <c r="C35" s="6">
        <v>1955</v>
      </c>
      <c r="D35" t="s">
        <v>37</v>
      </c>
      <c r="E35" s="6">
        <v>70</v>
      </c>
      <c r="F35" s="15">
        <f t="shared" si="5"/>
        <v>5.5999999999999995E-4</v>
      </c>
      <c r="L35" s="5">
        <v>5.6</v>
      </c>
      <c r="Q35" s="6">
        <v>1955</v>
      </c>
      <c r="R35" t="s">
        <v>37</v>
      </c>
      <c r="S35" s="6">
        <v>60</v>
      </c>
      <c r="T35" s="5">
        <f t="shared" si="0"/>
        <v>4.9000000000000009E-4</v>
      </c>
      <c r="U35" s="5">
        <f t="shared" si="6"/>
        <v>4.9000000000000004</v>
      </c>
      <c r="V35" s="5">
        <v>0.49</v>
      </c>
    </row>
    <row r="36" spans="2:29" ht="18.75" customHeight="1" x14ac:dyDescent="0.25">
      <c r="C36" s="6">
        <v>1955</v>
      </c>
      <c r="D36" t="s">
        <v>37</v>
      </c>
      <c r="E36" s="6">
        <v>80</v>
      </c>
      <c r="F36" s="15">
        <f t="shared" si="5"/>
        <v>6.3000000000000003E-4</v>
      </c>
      <c r="H36" s="2" t="s">
        <v>102</v>
      </c>
      <c r="I36" s="2" t="s">
        <v>103</v>
      </c>
      <c r="J36" s="2" t="s">
        <v>104</v>
      </c>
      <c r="L36" s="5">
        <v>6.3</v>
      </c>
      <c r="Q36" s="6">
        <v>1955</v>
      </c>
      <c r="R36" t="s">
        <v>37</v>
      </c>
      <c r="S36" s="6">
        <v>70</v>
      </c>
      <c r="T36" s="5">
        <f t="shared" si="0"/>
        <v>5.3000000000000009E-4</v>
      </c>
      <c r="U36" s="5">
        <f t="shared" si="6"/>
        <v>5.3000000000000007</v>
      </c>
      <c r="V36" s="5">
        <v>0.53</v>
      </c>
    </row>
    <row r="37" spans="2:29" ht="18.75" customHeight="1" x14ac:dyDescent="0.25">
      <c r="C37" s="6">
        <v>1955</v>
      </c>
      <c r="D37" t="s">
        <v>37</v>
      </c>
      <c r="E37" s="5">
        <v>83.805999999999997</v>
      </c>
      <c r="F37" s="15">
        <f t="shared" si="5"/>
        <v>6.7000000000000002E-4</v>
      </c>
      <c r="H37" s="2" t="s">
        <v>105</v>
      </c>
      <c r="I37" s="2" t="s">
        <v>105</v>
      </c>
      <c r="J37" s="2" t="s">
        <v>105</v>
      </c>
      <c r="K37" s="2" t="s">
        <v>47</v>
      </c>
      <c r="L37" s="5">
        <v>6.7</v>
      </c>
      <c r="Q37" s="6">
        <v>1955</v>
      </c>
      <c r="R37" t="s">
        <v>37</v>
      </c>
      <c r="S37" s="6">
        <v>80</v>
      </c>
      <c r="T37" s="5">
        <f t="shared" si="0"/>
        <v>5.8999999999999992E-4</v>
      </c>
      <c r="U37" s="5">
        <f t="shared" si="6"/>
        <v>5.8999999999999995</v>
      </c>
      <c r="V37" s="5">
        <v>0.59</v>
      </c>
    </row>
    <row r="38" spans="2:29" ht="18.75" customHeight="1" x14ac:dyDescent="0.25">
      <c r="B38" s="18" t="s">
        <v>106</v>
      </c>
      <c r="C38" s="6">
        <v>1966</v>
      </c>
      <c r="D38" t="s">
        <v>107</v>
      </c>
      <c r="E38" s="6">
        <v>0</v>
      </c>
      <c r="F38" s="15">
        <f t="shared" ref="F38:F56" si="7">1/K38</f>
        <v>4.0689000406890009E-4</v>
      </c>
      <c r="H38" s="5">
        <v>4.819</v>
      </c>
      <c r="I38" s="5">
        <v>1.2769999999999999</v>
      </c>
      <c r="J38" s="5">
        <f t="shared" ref="J38:J56" si="8">(H38+2*I38)/3</f>
        <v>2.4576666666666664</v>
      </c>
      <c r="K38" s="5">
        <f t="shared" ref="K38:K56" si="9">J38*1000</f>
        <v>2457.6666666666665</v>
      </c>
      <c r="Q38" s="6">
        <v>1955</v>
      </c>
      <c r="R38" t="s">
        <v>37</v>
      </c>
      <c r="S38" s="6">
        <v>84</v>
      </c>
      <c r="T38" s="5">
        <f t="shared" si="0"/>
        <v>6.2E-4</v>
      </c>
      <c r="U38" s="5">
        <f t="shared" si="6"/>
        <v>6.2</v>
      </c>
      <c r="V38" s="5">
        <v>0.62</v>
      </c>
    </row>
    <row r="39" spans="2:29" ht="18.75" customHeight="1" x14ac:dyDescent="0.25">
      <c r="C39" s="6">
        <v>1966</v>
      </c>
      <c r="D39" t="s">
        <v>107</v>
      </c>
      <c r="E39" s="6">
        <v>10</v>
      </c>
      <c r="F39" s="15">
        <f t="shared" si="7"/>
        <v>4.106214070626882E-4</v>
      </c>
      <c r="H39" s="5">
        <v>4.782</v>
      </c>
      <c r="I39" s="5">
        <v>1.262</v>
      </c>
      <c r="J39" s="5">
        <f t="shared" si="8"/>
        <v>2.4353333333333333</v>
      </c>
      <c r="K39" s="5">
        <f t="shared" si="9"/>
        <v>2435.3333333333335</v>
      </c>
      <c r="Q39" s="6">
        <v>1957</v>
      </c>
      <c r="R39" t="s">
        <v>19</v>
      </c>
      <c r="S39" s="6">
        <v>60</v>
      </c>
      <c r="T39" s="5">
        <f t="shared" si="0"/>
        <v>4.680000000000001E-4</v>
      </c>
      <c r="U39" s="5">
        <f t="shared" si="6"/>
        <v>4.6800000000000006</v>
      </c>
      <c r="V39" s="5">
        <v>0.46800000000000003</v>
      </c>
      <c r="W39" s="3" t="s">
        <v>102</v>
      </c>
      <c r="X39" s="3" t="s">
        <v>103</v>
      </c>
      <c r="Y39" s="4" t="s">
        <v>104</v>
      </c>
    </row>
    <row r="40" spans="2:29" ht="18.75" customHeight="1" x14ac:dyDescent="0.25">
      <c r="C40" s="6">
        <v>1966</v>
      </c>
      <c r="D40" t="s">
        <v>107</v>
      </c>
      <c r="E40" s="6">
        <v>20</v>
      </c>
      <c r="F40" s="15">
        <f t="shared" si="7"/>
        <v>4.2016806722689067E-4</v>
      </c>
      <c r="H40" s="5">
        <v>4.6900000000000004</v>
      </c>
      <c r="I40" s="5">
        <v>1.2250000000000001</v>
      </c>
      <c r="J40" s="5">
        <f t="shared" si="8"/>
        <v>2.3800000000000003</v>
      </c>
      <c r="K40" s="5">
        <f t="shared" si="9"/>
        <v>2380.0000000000005</v>
      </c>
      <c r="Q40" s="6">
        <v>1957</v>
      </c>
      <c r="R40" t="s">
        <v>19</v>
      </c>
      <c r="S40" s="6">
        <v>70</v>
      </c>
      <c r="T40" s="5">
        <f t="shared" si="0"/>
        <v>5.1200000000000009E-4</v>
      </c>
      <c r="U40" s="5">
        <f t="shared" si="6"/>
        <v>5.12</v>
      </c>
      <c r="V40" s="5">
        <v>0.51200000000000001</v>
      </c>
      <c r="W40" s="3" t="s">
        <v>105</v>
      </c>
      <c r="X40" s="3" t="s">
        <v>105</v>
      </c>
      <c r="Y40" s="4" t="s">
        <v>105</v>
      </c>
      <c r="Z40" t="s">
        <v>47</v>
      </c>
      <c r="AB40" s="3" t="s">
        <v>108</v>
      </c>
      <c r="AC40" s="3" t="s">
        <v>109</v>
      </c>
    </row>
    <row r="41" spans="2:29" ht="18.75" customHeight="1" x14ac:dyDescent="0.25">
      <c r="C41" s="6">
        <v>1966</v>
      </c>
      <c r="D41" t="s">
        <v>107</v>
      </c>
      <c r="E41" s="6">
        <v>30</v>
      </c>
      <c r="F41" s="15">
        <f t="shared" si="7"/>
        <v>4.335886688827865E-4</v>
      </c>
      <c r="H41" s="5">
        <v>4.5490000000000004</v>
      </c>
      <c r="I41" s="5">
        <v>1.1850000000000001</v>
      </c>
      <c r="J41" s="5">
        <f t="shared" si="8"/>
        <v>2.3063333333333333</v>
      </c>
      <c r="K41" s="5">
        <f t="shared" si="9"/>
        <v>2306.3333333333335</v>
      </c>
      <c r="Q41" s="6">
        <v>1957</v>
      </c>
      <c r="R41" t="s">
        <v>19</v>
      </c>
      <c r="S41" s="6">
        <v>80</v>
      </c>
      <c r="T41" s="5">
        <f t="shared" si="0"/>
        <v>5.8399999999999999E-4</v>
      </c>
      <c r="U41" s="5">
        <f t="shared" si="6"/>
        <v>5.84</v>
      </c>
      <c r="V41" s="5">
        <v>0.58399999999999996</v>
      </c>
      <c r="AB41" s="3" t="s">
        <v>105</v>
      </c>
      <c r="AC41" s="3" t="s">
        <v>105</v>
      </c>
    </row>
    <row r="42" spans="2:29" ht="18.75" customHeight="1" x14ac:dyDescent="0.25">
      <c r="C42" s="6">
        <v>1966</v>
      </c>
      <c r="D42" t="s">
        <v>107</v>
      </c>
      <c r="E42" s="6">
        <v>40</v>
      </c>
      <c r="F42" s="15">
        <f t="shared" si="7"/>
        <v>4.4916903728103006E-4</v>
      </c>
      <c r="H42" s="5">
        <v>4.3890000000000002</v>
      </c>
      <c r="I42" s="5">
        <v>1.145</v>
      </c>
      <c r="J42" s="5">
        <f t="shared" si="8"/>
        <v>2.2263333333333333</v>
      </c>
      <c r="K42" s="5">
        <f t="shared" si="9"/>
        <v>2226.3333333333335</v>
      </c>
      <c r="Q42" s="6">
        <v>1970</v>
      </c>
      <c r="R42" t="s">
        <v>110</v>
      </c>
      <c r="S42" s="6">
        <v>0</v>
      </c>
      <c r="T42" s="15">
        <f t="shared" ref="T42:T70" si="10">1/Y42</f>
        <v>3.7299515106303626E-4</v>
      </c>
      <c r="V42" s="5">
        <v>4.391</v>
      </c>
      <c r="W42" s="5">
        <v>1.8260000000000001</v>
      </c>
      <c r="X42" s="5">
        <f t="shared" ref="X42:X70" si="11">(V42+2*W42)/3</f>
        <v>2.6809999999999996</v>
      </c>
      <c r="Y42" s="5">
        <f t="shared" ref="Y42:Y70" si="12">X42*1000</f>
        <v>2680.9999999999995</v>
      </c>
      <c r="AB42" s="5">
        <v>0.11</v>
      </c>
      <c r="AC42" s="5">
        <v>0.12</v>
      </c>
    </row>
    <row r="43" spans="2:29" ht="18.75" customHeight="1" x14ac:dyDescent="0.25">
      <c r="C43" s="6">
        <v>1966</v>
      </c>
      <c r="D43" t="s">
        <v>107</v>
      </c>
      <c r="E43" s="6">
        <v>50</v>
      </c>
      <c r="F43" s="15">
        <f t="shared" si="7"/>
        <v>4.6816479400749075E-4</v>
      </c>
      <c r="H43" s="5">
        <v>4.0339999999999998</v>
      </c>
      <c r="I43" s="5">
        <v>1.1870000000000001</v>
      </c>
      <c r="J43" s="5">
        <f t="shared" si="8"/>
        <v>2.1359999999999997</v>
      </c>
      <c r="K43" s="5">
        <f t="shared" si="9"/>
        <v>2135.9999999999995</v>
      </c>
      <c r="Q43" s="6">
        <v>1970</v>
      </c>
      <c r="R43" t="s">
        <v>110</v>
      </c>
      <c r="S43" s="6">
        <v>2</v>
      </c>
      <c r="T43" s="15">
        <f t="shared" si="10"/>
        <v>3.7313432835820901E-4</v>
      </c>
      <c r="V43" s="5">
        <v>4.3899999999999997</v>
      </c>
      <c r="W43" s="5">
        <v>1.825</v>
      </c>
      <c r="X43" s="5">
        <f t="shared" si="11"/>
        <v>2.6799999999999997</v>
      </c>
      <c r="Y43" s="5">
        <f t="shared" si="12"/>
        <v>2679.9999999999995</v>
      </c>
      <c r="AB43" s="5">
        <v>0.11</v>
      </c>
      <c r="AC43" s="5">
        <v>0.12</v>
      </c>
    </row>
    <row r="44" spans="2:29" ht="18.75" customHeight="1" x14ac:dyDescent="0.25">
      <c r="C44" s="6">
        <v>1966</v>
      </c>
      <c r="D44" t="s">
        <v>107</v>
      </c>
      <c r="E44" s="6">
        <v>60</v>
      </c>
      <c r="F44" s="15">
        <f t="shared" si="7"/>
        <v>4.8309178743961351E-4</v>
      </c>
      <c r="H44" s="5">
        <v>3.758</v>
      </c>
      <c r="I44" s="5">
        <v>1.226</v>
      </c>
      <c r="J44" s="5">
        <f t="shared" si="8"/>
        <v>2.0699999999999998</v>
      </c>
      <c r="K44" s="6">
        <f t="shared" si="9"/>
        <v>2070</v>
      </c>
      <c r="Q44" s="6">
        <v>1970</v>
      </c>
      <c r="R44" t="s">
        <v>110</v>
      </c>
      <c r="S44" s="6">
        <v>4</v>
      </c>
      <c r="T44" s="15">
        <f t="shared" si="10"/>
        <v>3.7350597609561752E-4</v>
      </c>
      <c r="V44" s="5">
        <v>4.3840000000000003</v>
      </c>
      <c r="W44" s="5">
        <v>1.8240000000000001</v>
      </c>
      <c r="X44" s="5">
        <f t="shared" si="11"/>
        <v>2.6773333333333333</v>
      </c>
      <c r="Y44" s="5">
        <f t="shared" si="12"/>
        <v>2677.3333333333335</v>
      </c>
      <c r="AB44" s="5">
        <v>0.11</v>
      </c>
      <c r="AC44" s="5">
        <v>0.12</v>
      </c>
    </row>
    <row r="45" spans="2:29" ht="18.75" customHeight="1" x14ac:dyDescent="0.25">
      <c r="C45" s="6">
        <v>1966</v>
      </c>
      <c r="D45" t="s">
        <v>107</v>
      </c>
      <c r="E45" s="6">
        <v>70</v>
      </c>
      <c r="F45" s="15">
        <f t="shared" si="7"/>
        <v>4.9718263175339741E-4</v>
      </c>
      <c r="H45" s="5">
        <v>3.38</v>
      </c>
      <c r="I45" s="5">
        <v>1.327</v>
      </c>
      <c r="J45" s="5">
        <f t="shared" si="8"/>
        <v>2.0113333333333334</v>
      </c>
      <c r="K45" s="5">
        <f t="shared" si="9"/>
        <v>2011.3333333333335</v>
      </c>
      <c r="Q45" s="6">
        <v>1970</v>
      </c>
      <c r="R45" t="s">
        <v>110</v>
      </c>
      <c r="S45" s="6">
        <v>6</v>
      </c>
      <c r="T45" s="15">
        <f t="shared" si="10"/>
        <v>3.7406483790523691E-4</v>
      </c>
      <c r="V45" s="5">
        <v>4.3739999999999997</v>
      </c>
      <c r="W45" s="5">
        <v>1.823</v>
      </c>
      <c r="X45" s="5">
        <f t="shared" si="11"/>
        <v>2.6733333333333333</v>
      </c>
      <c r="Y45" s="5">
        <f t="shared" si="12"/>
        <v>2673.3333333333335</v>
      </c>
      <c r="AB45" s="5">
        <v>0.11</v>
      </c>
      <c r="AC45" s="5">
        <v>0.12</v>
      </c>
    </row>
    <row r="46" spans="2:29" ht="18.75" customHeight="1" x14ac:dyDescent="0.25">
      <c r="C46" s="6">
        <v>1966</v>
      </c>
      <c r="D46" t="s">
        <v>107</v>
      </c>
      <c r="E46" s="6">
        <v>74</v>
      </c>
      <c r="F46" s="15">
        <f t="shared" si="7"/>
        <v>5.0284948038887038E-4</v>
      </c>
      <c r="H46" s="5">
        <v>3.206</v>
      </c>
      <c r="I46" s="5">
        <v>1.38</v>
      </c>
      <c r="J46" s="5">
        <f t="shared" si="8"/>
        <v>1.9886666666666664</v>
      </c>
      <c r="K46" s="5">
        <f t="shared" si="9"/>
        <v>1988.6666666666663</v>
      </c>
      <c r="Q46" s="6">
        <v>1970</v>
      </c>
      <c r="R46" t="s">
        <v>110</v>
      </c>
      <c r="S46" s="6">
        <v>8</v>
      </c>
      <c r="T46" s="15">
        <f t="shared" si="10"/>
        <v>3.7490627343164207E-4</v>
      </c>
      <c r="V46" s="5">
        <v>4.3600000000000003</v>
      </c>
      <c r="W46" s="5">
        <v>1.821</v>
      </c>
      <c r="X46" s="5">
        <f t="shared" si="11"/>
        <v>2.6673333333333336</v>
      </c>
      <c r="Y46" s="5">
        <f t="shared" si="12"/>
        <v>2667.3333333333335</v>
      </c>
      <c r="AB46" s="5">
        <v>0.11</v>
      </c>
      <c r="AC46" s="5">
        <v>0.12</v>
      </c>
    </row>
    <row r="47" spans="2:29" ht="18.75" customHeight="1" x14ac:dyDescent="0.25">
      <c r="C47" s="6">
        <v>1966</v>
      </c>
      <c r="D47" t="s">
        <v>107</v>
      </c>
      <c r="E47" s="6">
        <v>75</v>
      </c>
      <c r="F47" s="15">
        <f t="shared" si="7"/>
        <v>5.0428643469490675E-4</v>
      </c>
      <c r="H47" s="5">
        <v>3.161</v>
      </c>
      <c r="I47" s="5">
        <v>1.3939999999999999</v>
      </c>
      <c r="J47" s="5">
        <f t="shared" si="8"/>
        <v>1.9829999999999999</v>
      </c>
      <c r="K47" s="5">
        <f t="shared" si="9"/>
        <v>1982.9999999999998</v>
      </c>
      <c r="Q47" s="6">
        <v>1970</v>
      </c>
      <c r="R47" t="s">
        <v>110</v>
      </c>
      <c r="S47" s="6">
        <v>10</v>
      </c>
      <c r="T47" s="15">
        <f t="shared" si="10"/>
        <v>3.7584565271861693E-4</v>
      </c>
      <c r="V47" s="5">
        <v>4.3419999999999996</v>
      </c>
      <c r="W47" s="5">
        <v>1.82</v>
      </c>
      <c r="X47" s="5">
        <f t="shared" si="11"/>
        <v>2.6606666666666663</v>
      </c>
      <c r="Y47" s="5">
        <f t="shared" si="12"/>
        <v>2660.6666666666665</v>
      </c>
      <c r="AB47" s="5">
        <v>0.11</v>
      </c>
      <c r="AC47" s="5">
        <v>0.12</v>
      </c>
    </row>
    <row r="48" spans="2:29" ht="18.75" customHeight="1" x14ac:dyDescent="0.25">
      <c r="C48" s="6">
        <v>1966</v>
      </c>
      <c r="D48" t="s">
        <v>107</v>
      </c>
      <c r="E48" s="6">
        <v>76</v>
      </c>
      <c r="F48" s="15">
        <f t="shared" si="7"/>
        <v>5.0530570995452253E-4</v>
      </c>
      <c r="H48" s="5">
        <v>3.1150000000000002</v>
      </c>
      <c r="I48" s="5">
        <v>1.411</v>
      </c>
      <c r="J48" s="5">
        <f t="shared" si="8"/>
        <v>1.9790000000000001</v>
      </c>
      <c r="K48" s="6">
        <f t="shared" si="9"/>
        <v>1979</v>
      </c>
      <c r="Q48" s="6">
        <v>1970</v>
      </c>
      <c r="R48" t="s">
        <v>110</v>
      </c>
      <c r="S48" s="6">
        <v>12</v>
      </c>
      <c r="T48" s="15">
        <f t="shared" si="10"/>
        <v>3.7702651753173305E-4</v>
      </c>
      <c r="V48" s="5">
        <v>4.3209999999999997</v>
      </c>
      <c r="W48" s="5">
        <v>1.8180000000000001</v>
      </c>
      <c r="X48" s="5">
        <f t="shared" si="11"/>
        <v>2.6523333333333334</v>
      </c>
      <c r="Y48" s="5">
        <f t="shared" si="12"/>
        <v>2652.3333333333335</v>
      </c>
      <c r="AB48" s="5">
        <v>0.11</v>
      </c>
      <c r="AC48" s="5">
        <v>0.12</v>
      </c>
    </row>
    <row r="49" spans="3:29" ht="18.75" customHeight="1" x14ac:dyDescent="0.25">
      <c r="C49" s="6">
        <v>1966</v>
      </c>
      <c r="D49" t="s">
        <v>107</v>
      </c>
      <c r="E49" s="6">
        <v>77</v>
      </c>
      <c r="F49" s="15">
        <f t="shared" si="7"/>
        <v>5.0522061300101032E-4</v>
      </c>
      <c r="H49" s="5">
        <v>3.0680000000000001</v>
      </c>
      <c r="I49" s="5">
        <v>1.4350000000000001</v>
      </c>
      <c r="J49" s="5">
        <f t="shared" si="8"/>
        <v>1.9793333333333336</v>
      </c>
      <c r="K49" s="5">
        <f t="shared" si="9"/>
        <v>1979.3333333333337</v>
      </c>
      <c r="Q49" s="6">
        <v>1970</v>
      </c>
      <c r="R49" t="s">
        <v>110</v>
      </c>
      <c r="S49" s="6">
        <v>14</v>
      </c>
      <c r="T49" s="15">
        <f t="shared" si="10"/>
        <v>3.7840565085771945E-4</v>
      </c>
      <c r="V49" s="5">
        <v>4.2960000000000003</v>
      </c>
      <c r="W49" s="5">
        <v>1.8160000000000001</v>
      </c>
      <c r="X49" s="5">
        <f t="shared" si="11"/>
        <v>2.6426666666666669</v>
      </c>
      <c r="Y49" s="5">
        <f t="shared" si="12"/>
        <v>2642.666666666667</v>
      </c>
      <c r="AB49" s="5">
        <v>0.11</v>
      </c>
      <c r="AC49" s="5">
        <v>0.12</v>
      </c>
    </row>
    <row r="50" spans="3:29" ht="18.75" customHeight="1" x14ac:dyDescent="0.25">
      <c r="C50" s="6">
        <v>1966</v>
      </c>
      <c r="D50" t="s">
        <v>107</v>
      </c>
      <c r="E50" s="6">
        <v>78</v>
      </c>
      <c r="F50" s="15">
        <f t="shared" si="7"/>
        <v>5.0454086781029264E-4</v>
      </c>
      <c r="H50" s="5">
        <v>3.0219999999999998</v>
      </c>
      <c r="I50" s="5">
        <v>1.462</v>
      </c>
      <c r="J50" s="5">
        <f t="shared" si="8"/>
        <v>1.982</v>
      </c>
      <c r="K50" s="6">
        <f t="shared" si="9"/>
        <v>1982</v>
      </c>
      <c r="Q50" s="6">
        <v>1970</v>
      </c>
      <c r="R50" t="s">
        <v>110</v>
      </c>
      <c r="S50" s="6">
        <v>16</v>
      </c>
      <c r="T50" s="15">
        <f t="shared" si="10"/>
        <v>3.7993920972644377E-4</v>
      </c>
      <c r="V50" s="5">
        <v>4.2679999999999998</v>
      </c>
      <c r="W50" s="5">
        <v>1.8140000000000001</v>
      </c>
      <c r="X50" s="5">
        <f t="shared" si="11"/>
        <v>2.6320000000000001</v>
      </c>
      <c r="Y50" s="6">
        <f t="shared" si="12"/>
        <v>2632</v>
      </c>
      <c r="AB50" s="5">
        <v>0.11</v>
      </c>
      <c r="AC50" s="5">
        <v>0.12</v>
      </c>
    </row>
    <row r="51" spans="3:29" ht="18.75" customHeight="1" x14ac:dyDescent="0.25">
      <c r="C51" s="6">
        <v>1966</v>
      </c>
      <c r="D51" t="s">
        <v>107</v>
      </c>
      <c r="E51" s="6">
        <v>79</v>
      </c>
      <c r="F51" s="15">
        <f t="shared" si="7"/>
        <v>5.0318685005031874E-4</v>
      </c>
      <c r="H51" s="5">
        <v>2.98</v>
      </c>
      <c r="I51" s="5">
        <v>1.4910000000000001</v>
      </c>
      <c r="J51" s="5">
        <f t="shared" si="8"/>
        <v>1.9873333333333332</v>
      </c>
      <c r="K51" s="5">
        <f t="shared" si="9"/>
        <v>1987.3333333333333</v>
      </c>
      <c r="Q51" s="6">
        <v>1970</v>
      </c>
      <c r="R51" t="s">
        <v>110</v>
      </c>
      <c r="S51" s="6">
        <v>18</v>
      </c>
      <c r="T51" s="15">
        <f t="shared" si="10"/>
        <v>3.8172795521058652E-4</v>
      </c>
      <c r="V51" s="5">
        <v>4.2370000000000001</v>
      </c>
      <c r="W51" s="5">
        <v>1.8109999999999999</v>
      </c>
      <c r="X51" s="5">
        <f t="shared" si="11"/>
        <v>2.6196666666666668</v>
      </c>
      <c r="Y51" s="5">
        <f t="shared" si="12"/>
        <v>2619.666666666667</v>
      </c>
      <c r="AB51" s="5">
        <v>0.11</v>
      </c>
      <c r="AC51" s="5">
        <v>0.12</v>
      </c>
    </row>
    <row r="52" spans="3:29" ht="18.75" customHeight="1" x14ac:dyDescent="0.25">
      <c r="C52" s="6">
        <v>1966</v>
      </c>
      <c r="D52" t="s">
        <v>107</v>
      </c>
      <c r="E52" s="6">
        <v>80</v>
      </c>
      <c r="F52" s="15">
        <f t="shared" si="7"/>
        <v>5.0184008029441286E-4</v>
      </c>
      <c r="H52" s="5">
        <v>2.9340000000000002</v>
      </c>
      <c r="I52" s="5">
        <v>1.522</v>
      </c>
      <c r="J52" s="5">
        <f t="shared" si="8"/>
        <v>1.9926666666666666</v>
      </c>
      <c r="K52" s="5">
        <f t="shared" si="9"/>
        <v>1992.6666666666665</v>
      </c>
      <c r="Q52" s="6">
        <v>1970</v>
      </c>
      <c r="R52" t="s">
        <v>110</v>
      </c>
      <c r="S52" s="6">
        <v>20</v>
      </c>
      <c r="T52" s="15">
        <f t="shared" si="10"/>
        <v>3.8353362311429305E-4</v>
      </c>
      <c r="V52" s="5">
        <v>4.2039999999999997</v>
      </c>
      <c r="W52" s="5">
        <v>1.8089999999999999</v>
      </c>
      <c r="X52" s="5">
        <f t="shared" si="11"/>
        <v>2.6073333333333331</v>
      </c>
      <c r="Y52" s="5">
        <f t="shared" si="12"/>
        <v>2607.333333333333</v>
      </c>
      <c r="AB52" s="5">
        <v>0.09</v>
      </c>
      <c r="AC52" s="5">
        <v>0.12</v>
      </c>
    </row>
    <row r="53" spans="3:29" ht="18.75" customHeight="1" x14ac:dyDescent="0.25">
      <c r="C53" s="6">
        <v>1966</v>
      </c>
      <c r="D53" t="s">
        <v>107</v>
      </c>
      <c r="E53" s="6">
        <v>81</v>
      </c>
      <c r="F53" s="15">
        <f t="shared" si="7"/>
        <v>5.0259674987435088E-4</v>
      </c>
      <c r="H53" s="5">
        <v>2.875</v>
      </c>
      <c r="I53" s="5">
        <v>1.5469999999999999</v>
      </c>
      <c r="J53" s="5">
        <f t="shared" si="8"/>
        <v>1.9896666666666665</v>
      </c>
      <c r="K53" s="5">
        <f t="shared" si="9"/>
        <v>1989.6666666666665</v>
      </c>
      <c r="Q53" s="6">
        <v>1970</v>
      </c>
      <c r="R53" t="s">
        <v>110</v>
      </c>
      <c r="S53" s="6">
        <v>25</v>
      </c>
      <c r="T53" s="15">
        <f t="shared" si="10"/>
        <v>3.8880248833592535E-4</v>
      </c>
      <c r="V53" s="5">
        <v>4.1100000000000003</v>
      </c>
      <c r="W53" s="5">
        <v>1.8029999999999999</v>
      </c>
      <c r="X53" s="5">
        <f t="shared" si="11"/>
        <v>2.5720000000000001</v>
      </c>
      <c r="Y53" s="6">
        <f t="shared" si="12"/>
        <v>2572</v>
      </c>
      <c r="AB53" s="5">
        <v>0.09</v>
      </c>
      <c r="AC53" s="5">
        <v>0.12</v>
      </c>
    </row>
    <row r="54" spans="3:29" ht="18.75" customHeight="1" x14ac:dyDescent="0.25">
      <c r="C54" s="6">
        <v>1966</v>
      </c>
      <c r="D54" t="s">
        <v>107</v>
      </c>
      <c r="E54" s="6">
        <v>82</v>
      </c>
      <c r="F54" s="15">
        <f t="shared" si="7"/>
        <v>5.0377833753148613E-4</v>
      </c>
      <c r="H54" s="5">
        <v>2.8130000000000002</v>
      </c>
      <c r="I54" s="5">
        <v>1.571</v>
      </c>
      <c r="J54" s="5">
        <f t="shared" si="8"/>
        <v>1.9850000000000001</v>
      </c>
      <c r="K54" s="6">
        <f t="shared" si="9"/>
        <v>1985</v>
      </c>
      <c r="Q54" s="6">
        <v>1970</v>
      </c>
      <c r="R54" t="s">
        <v>110</v>
      </c>
      <c r="S54" s="6">
        <v>30</v>
      </c>
      <c r="T54" s="15">
        <f t="shared" si="10"/>
        <v>3.950487226757967E-4</v>
      </c>
      <c r="V54" s="5">
        <v>4.0039999999999996</v>
      </c>
      <c r="W54" s="5">
        <v>1.7949999999999999</v>
      </c>
      <c r="X54" s="5">
        <f t="shared" si="11"/>
        <v>2.531333333333333</v>
      </c>
      <c r="Y54" s="5">
        <f t="shared" si="12"/>
        <v>2531.333333333333</v>
      </c>
      <c r="AB54" s="5">
        <v>0.09</v>
      </c>
      <c r="AC54" s="5">
        <v>0.12</v>
      </c>
    </row>
    <row r="55" spans="3:29" ht="18.75" customHeight="1" x14ac:dyDescent="0.25">
      <c r="C55" s="6">
        <v>1966</v>
      </c>
      <c r="D55" t="s">
        <v>107</v>
      </c>
      <c r="E55" s="6">
        <v>83</v>
      </c>
      <c r="F55" s="15">
        <f t="shared" si="7"/>
        <v>5.0942435048395324E-4</v>
      </c>
      <c r="H55" s="5">
        <v>2.7269999999999999</v>
      </c>
      <c r="I55" s="5">
        <v>1.581</v>
      </c>
      <c r="J55" s="5">
        <f t="shared" si="8"/>
        <v>1.9629999999999999</v>
      </c>
      <c r="K55" s="5">
        <f t="shared" si="9"/>
        <v>1962.9999999999998</v>
      </c>
      <c r="Q55" s="6">
        <v>1970</v>
      </c>
      <c r="R55" t="s">
        <v>110</v>
      </c>
      <c r="S55" s="6">
        <v>35</v>
      </c>
      <c r="T55" s="15">
        <f t="shared" si="10"/>
        <v>4.0246847330292464E-4</v>
      </c>
      <c r="V55" s="5">
        <v>3.8879999999999999</v>
      </c>
      <c r="W55" s="5">
        <v>1.7829999999999999</v>
      </c>
      <c r="X55" s="5">
        <f t="shared" si="11"/>
        <v>2.4846666666666666</v>
      </c>
      <c r="Y55" s="5">
        <f t="shared" si="12"/>
        <v>2484.6666666666665</v>
      </c>
      <c r="AB55" s="5">
        <v>0.09</v>
      </c>
      <c r="AC55" s="5">
        <v>0.12</v>
      </c>
    </row>
    <row r="56" spans="3:29" ht="18.75" customHeight="1" x14ac:dyDescent="0.25">
      <c r="C56" s="6">
        <v>1966</v>
      </c>
      <c r="D56" t="s">
        <v>107</v>
      </c>
      <c r="E56" s="5">
        <v>83.7</v>
      </c>
      <c r="F56" s="15">
        <f t="shared" si="7"/>
        <v>5.2659294365455498E-4</v>
      </c>
      <c r="H56" s="5">
        <v>2.609</v>
      </c>
      <c r="I56" s="5">
        <v>1.544</v>
      </c>
      <c r="J56" s="5">
        <f t="shared" si="8"/>
        <v>1.899</v>
      </c>
      <c r="K56" s="6">
        <f t="shared" si="9"/>
        <v>1899</v>
      </c>
      <c r="M56" s="3" t="s">
        <v>111</v>
      </c>
      <c r="N56" s="4" t="s">
        <v>112</v>
      </c>
      <c r="Q56" s="6">
        <v>1970</v>
      </c>
      <c r="R56" t="s">
        <v>110</v>
      </c>
      <c r="S56" s="6">
        <v>40</v>
      </c>
      <c r="T56" s="15">
        <f t="shared" si="10"/>
        <v>4.1107152644560157E-4</v>
      </c>
      <c r="V56" s="5">
        <v>3.766</v>
      </c>
      <c r="W56" s="5">
        <v>1.766</v>
      </c>
      <c r="X56" s="5">
        <f t="shared" si="11"/>
        <v>2.4326666666666665</v>
      </c>
      <c r="Y56" s="5">
        <f t="shared" si="12"/>
        <v>2432.6666666666665</v>
      </c>
      <c r="AB56" s="5">
        <v>0.09</v>
      </c>
      <c r="AC56" s="5">
        <v>0.12</v>
      </c>
    </row>
    <row r="57" spans="3:29" ht="18.75" customHeight="1" x14ac:dyDescent="0.25">
      <c r="C57" s="6">
        <v>1975</v>
      </c>
      <c r="D57" t="s">
        <v>113</v>
      </c>
      <c r="E57" s="6">
        <v>4</v>
      </c>
      <c r="F57" s="15">
        <f>1/N57</f>
        <v>3.4965034965034965E-4</v>
      </c>
      <c r="M57" s="5">
        <v>28.6</v>
      </c>
      <c r="N57" s="6">
        <f>M57*100</f>
        <v>2860</v>
      </c>
      <c r="Q57" s="6">
        <v>1970</v>
      </c>
      <c r="R57" t="s">
        <v>110</v>
      </c>
      <c r="S57" s="6">
        <v>45</v>
      </c>
      <c r="T57" s="15">
        <f t="shared" si="10"/>
        <v>4.2111173498034812E-4</v>
      </c>
      <c r="V57" s="5">
        <v>3.6379999999999999</v>
      </c>
      <c r="W57" s="5">
        <v>1.7430000000000001</v>
      </c>
      <c r="X57" s="5">
        <f t="shared" si="11"/>
        <v>2.3746666666666667</v>
      </c>
      <c r="Y57" s="5">
        <f t="shared" si="12"/>
        <v>2374.6666666666665</v>
      </c>
      <c r="AB57" s="5">
        <v>0.09</v>
      </c>
      <c r="AC57" s="5">
        <v>0.12</v>
      </c>
    </row>
    <row r="58" spans="3:29" ht="18.75" customHeight="1" x14ac:dyDescent="0.25">
      <c r="C58" s="6">
        <v>1975</v>
      </c>
      <c r="D58" t="s">
        <v>113</v>
      </c>
      <c r="E58" s="6">
        <v>20</v>
      </c>
      <c r="F58" s="15">
        <f>1/N58</f>
        <v>3.6231884057971015E-4</v>
      </c>
      <c r="M58" s="5">
        <v>27.6</v>
      </c>
      <c r="N58" s="6">
        <f>M58*100</f>
        <v>2760</v>
      </c>
      <c r="Q58" s="6">
        <v>1970</v>
      </c>
      <c r="R58" t="s">
        <v>110</v>
      </c>
      <c r="S58" s="6">
        <v>50</v>
      </c>
      <c r="T58" s="15">
        <f t="shared" si="10"/>
        <v>4.3283797431828018E-4</v>
      </c>
      <c r="V58" s="5">
        <v>3.5070000000000001</v>
      </c>
      <c r="W58" s="5">
        <v>1.712</v>
      </c>
      <c r="X58" s="5">
        <f t="shared" si="11"/>
        <v>2.3103333333333333</v>
      </c>
      <c r="Y58" s="5">
        <f t="shared" si="12"/>
        <v>2310.3333333333335</v>
      </c>
      <c r="AB58" s="5">
        <v>0.08</v>
      </c>
      <c r="AC58" s="5">
        <v>0.12</v>
      </c>
    </row>
    <row r="59" spans="3:29" ht="18.75" customHeight="1" x14ac:dyDescent="0.25">
      <c r="C59" s="6">
        <v>1975</v>
      </c>
      <c r="D59" t="s">
        <v>113</v>
      </c>
      <c r="E59" s="6">
        <v>40</v>
      </c>
      <c r="F59" s="15">
        <f>1/N59</f>
        <v>4.2553191489361702E-4</v>
      </c>
      <c r="M59" s="5">
        <v>23.5</v>
      </c>
      <c r="N59" s="6">
        <f>M59*100</f>
        <v>2350</v>
      </c>
      <c r="Q59" s="6">
        <v>1970</v>
      </c>
      <c r="R59" t="s">
        <v>110</v>
      </c>
      <c r="S59" s="6">
        <v>55</v>
      </c>
      <c r="T59" s="15">
        <f t="shared" si="10"/>
        <v>4.4629574531389473E-4</v>
      </c>
      <c r="V59" s="5">
        <v>3.3740000000000001</v>
      </c>
      <c r="W59" s="5">
        <v>1.6739999999999999</v>
      </c>
      <c r="X59" s="5">
        <f t="shared" si="11"/>
        <v>2.2406666666666664</v>
      </c>
      <c r="Y59" s="5">
        <f t="shared" si="12"/>
        <v>2240.6666666666665</v>
      </c>
      <c r="AB59" s="5">
        <v>0.08</v>
      </c>
      <c r="AC59" s="5">
        <v>0.12</v>
      </c>
    </row>
    <row r="60" spans="3:29" ht="18.75" customHeight="1" x14ac:dyDescent="0.25">
      <c r="C60" s="6">
        <v>1975</v>
      </c>
      <c r="D60" t="s">
        <v>113</v>
      </c>
      <c r="E60" s="6">
        <v>60</v>
      </c>
      <c r="F60" s="15">
        <f>1/N60</f>
        <v>5.3763440860215043E-4</v>
      </c>
      <c r="M60" s="5">
        <v>18.600000000000001</v>
      </c>
      <c r="N60" s="5">
        <f>M60*100</f>
        <v>1860.0000000000002</v>
      </c>
      <c r="Q60" s="6">
        <v>1970</v>
      </c>
      <c r="R60" t="s">
        <v>110</v>
      </c>
      <c r="S60" s="6">
        <v>60</v>
      </c>
      <c r="T60" s="15">
        <f t="shared" si="10"/>
        <v>4.6182266009852215E-4</v>
      </c>
      <c r="V60" s="5">
        <v>3.24</v>
      </c>
      <c r="W60" s="5">
        <v>1.6279999999999999</v>
      </c>
      <c r="X60" s="5">
        <f t="shared" si="11"/>
        <v>2.1653333333333333</v>
      </c>
      <c r="Y60" s="5">
        <f t="shared" si="12"/>
        <v>2165.3333333333335</v>
      </c>
      <c r="AB60" s="5">
        <v>0.08</v>
      </c>
      <c r="AC60" s="5">
        <v>0.12</v>
      </c>
    </row>
    <row r="61" spans="3:29" ht="18.75" customHeight="1" x14ac:dyDescent="0.25">
      <c r="C61" s="6">
        <v>1975</v>
      </c>
      <c r="D61" t="s">
        <v>113</v>
      </c>
      <c r="E61" s="6">
        <v>77</v>
      </c>
      <c r="F61" s="15">
        <f>1/N61</f>
        <v>7.0921985815602842E-4</v>
      </c>
      <c r="M61" s="5">
        <v>14.1</v>
      </c>
      <c r="N61" s="6">
        <f>M61*100</f>
        <v>1410</v>
      </c>
      <c r="Q61" s="6">
        <v>1970</v>
      </c>
      <c r="R61" t="s">
        <v>110</v>
      </c>
      <c r="S61" s="6">
        <v>65</v>
      </c>
      <c r="T61" s="15">
        <f t="shared" si="10"/>
        <v>4.7953964194373397E-4</v>
      </c>
      <c r="V61" s="5">
        <v>3.1059999999999999</v>
      </c>
      <c r="W61" s="5">
        <v>1.575</v>
      </c>
      <c r="X61" s="5">
        <f t="shared" si="11"/>
        <v>2.0853333333333333</v>
      </c>
      <c r="Y61" s="5">
        <f t="shared" si="12"/>
        <v>2085.3333333333335</v>
      </c>
      <c r="AB61" s="5">
        <v>0.08</v>
      </c>
      <c r="AC61" s="5">
        <v>0.12</v>
      </c>
    </row>
    <row r="62" spans="3:29" ht="18.75" customHeight="1" x14ac:dyDescent="0.25">
      <c r="C62" s="6">
        <v>1966</v>
      </c>
      <c r="D62" t="s">
        <v>18</v>
      </c>
      <c r="E62" s="6">
        <v>4</v>
      </c>
      <c r="F62" s="15">
        <f>L62*10^(-4)</f>
        <v>3.7500000000000001E-4</v>
      </c>
      <c r="L62" s="5">
        <v>3.75</v>
      </c>
      <c r="Q62" s="6">
        <v>1970</v>
      </c>
      <c r="R62" t="s">
        <v>110</v>
      </c>
      <c r="S62" s="6">
        <v>70</v>
      </c>
      <c r="T62" s="15">
        <f t="shared" si="10"/>
        <v>4.9966688874083945E-4</v>
      </c>
      <c r="V62" s="5">
        <v>2.972</v>
      </c>
      <c r="W62" s="5">
        <v>1.516</v>
      </c>
      <c r="X62" s="5">
        <f t="shared" si="11"/>
        <v>2.0013333333333332</v>
      </c>
      <c r="Y62" s="5">
        <f t="shared" si="12"/>
        <v>2001.3333333333333</v>
      </c>
      <c r="AB62" s="5">
        <v>0.08</v>
      </c>
      <c r="AC62" s="5">
        <v>0.12</v>
      </c>
    </row>
    <row r="63" spans="3:29" ht="18.75" customHeight="1" x14ac:dyDescent="0.25">
      <c r="C63" s="6">
        <v>1978</v>
      </c>
      <c r="D63" t="s">
        <v>54</v>
      </c>
      <c r="E63" s="5">
        <v>66.319999999999993</v>
      </c>
      <c r="F63" s="15">
        <f t="shared" ref="F63:F68" si="13">O63*10^-4</f>
        <v>6.0599999999999998E-4</v>
      </c>
      <c r="O63" s="5">
        <v>6.06</v>
      </c>
      <c r="Q63" s="6">
        <v>1970</v>
      </c>
      <c r="R63" t="s">
        <v>110</v>
      </c>
      <c r="S63" s="6">
        <v>75</v>
      </c>
      <c r="T63" s="15">
        <f t="shared" si="10"/>
        <v>5.2219321148825064E-4</v>
      </c>
      <c r="V63" s="5">
        <v>2.8370000000000002</v>
      </c>
      <c r="W63" s="5">
        <v>1.454</v>
      </c>
      <c r="X63" s="5">
        <f t="shared" si="11"/>
        <v>1.915</v>
      </c>
      <c r="Y63" s="6">
        <f t="shared" si="12"/>
        <v>1915</v>
      </c>
      <c r="AB63" s="5">
        <v>0.08</v>
      </c>
      <c r="AC63" s="5">
        <v>0.12</v>
      </c>
    </row>
    <row r="64" spans="3:29" ht="18.75" customHeight="1" x14ac:dyDescent="0.25">
      <c r="C64" s="6">
        <v>1978</v>
      </c>
      <c r="D64" t="s">
        <v>54</v>
      </c>
      <c r="E64" s="5">
        <v>69.69</v>
      </c>
      <c r="F64" s="15">
        <f t="shared" si="13"/>
        <v>6.4300000000000002E-4</v>
      </c>
      <c r="O64" s="5">
        <v>6.43</v>
      </c>
      <c r="Q64" s="6">
        <v>1970</v>
      </c>
      <c r="R64" t="s">
        <v>110</v>
      </c>
      <c r="S64" s="6">
        <v>77</v>
      </c>
      <c r="T64" s="15">
        <f t="shared" si="10"/>
        <v>5.3200922149317261E-4</v>
      </c>
      <c r="V64" s="5">
        <v>2.7829999999999999</v>
      </c>
      <c r="W64" s="5">
        <v>1.4279999999999999</v>
      </c>
      <c r="X64" s="5">
        <f t="shared" si="11"/>
        <v>1.8796666666666664</v>
      </c>
      <c r="Y64" s="5">
        <f t="shared" si="12"/>
        <v>1879.6666666666663</v>
      </c>
      <c r="AB64" s="5">
        <v>0.06</v>
      </c>
      <c r="AC64" s="5">
        <v>0.1</v>
      </c>
    </row>
    <row r="65" spans="3:29" ht="18.75" customHeight="1" x14ac:dyDescent="0.25">
      <c r="C65" s="6">
        <v>1978</v>
      </c>
      <c r="D65" t="s">
        <v>54</v>
      </c>
      <c r="E65" s="5">
        <v>72.88</v>
      </c>
      <c r="F65" s="15">
        <f t="shared" si="13"/>
        <v>6.8099999999999996E-4</v>
      </c>
      <c r="O65" s="5">
        <v>6.81</v>
      </c>
      <c r="Q65" s="6">
        <v>1970</v>
      </c>
      <c r="R65" t="s">
        <v>110</v>
      </c>
      <c r="S65" s="6">
        <v>80</v>
      </c>
      <c r="T65" s="15">
        <f t="shared" si="10"/>
        <v>5.4724553082816498E-4</v>
      </c>
      <c r="V65" s="5">
        <v>2.702</v>
      </c>
      <c r="W65" s="5">
        <v>1.39</v>
      </c>
      <c r="X65" s="5">
        <f t="shared" si="11"/>
        <v>1.827333333333333</v>
      </c>
      <c r="Y65" s="5">
        <f t="shared" si="12"/>
        <v>1827.333333333333</v>
      </c>
      <c r="AB65" s="5">
        <v>0.06</v>
      </c>
      <c r="AC65" s="5">
        <v>0.1</v>
      </c>
    </row>
    <row r="66" spans="3:29" ht="18.75" customHeight="1" x14ac:dyDescent="0.25">
      <c r="C66" s="6">
        <v>1978</v>
      </c>
      <c r="D66" t="s">
        <v>54</v>
      </c>
      <c r="E66" s="5">
        <v>75.89</v>
      </c>
      <c r="F66" s="15">
        <f t="shared" si="13"/>
        <v>7.2199999999999999E-4</v>
      </c>
      <c r="O66" s="5">
        <v>7.22</v>
      </c>
      <c r="Q66" s="6">
        <v>1972</v>
      </c>
      <c r="R66" t="s">
        <v>114</v>
      </c>
      <c r="S66" s="6">
        <v>82</v>
      </c>
      <c r="T66" s="15">
        <f t="shared" si="10"/>
        <v>5.6497175141242929E-4</v>
      </c>
      <c r="V66" s="5">
        <v>2.33</v>
      </c>
      <c r="W66" s="5">
        <v>1.49</v>
      </c>
      <c r="X66" s="5">
        <f t="shared" si="11"/>
        <v>1.7700000000000002</v>
      </c>
      <c r="Y66" s="5">
        <f t="shared" si="12"/>
        <v>1770.0000000000002</v>
      </c>
      <c r="AB66" s="5">
        <v>0.16</v>
      </c>
      <c r="AC66" s="5">
        <v>0.09</v>
      </c>
    </row>
    <row r="67" spans="3:29" ht="18.75" customHeight="1" x14ac:dyDescent="0.25">
      <c r="C67" s="6">
        <v>1978</v>
      </c>
      <c r="D67" t="s">
        <v>54</v>
      </c>
      <c r="E67" s="5">
        <v>78.72</v>
      </c>
      <c r="F67" s="15">
        <f t="shared" si="13"/>
        <v>7.6600000000000008E-4</v>
      </c>
      <c r="O67" s="5">
        <v>7.66</v>
      </c>
      <c r="Q67" s="6">
        <v>1974</v>
      </c>
      <c r="R67" t="s">
        <v>114</v>
      </c>
      <c r="S67" s="5">
        <v>82.3</v>
      </c>
      <c r="T67" s="15">
        <f t="shared" si="10"/>
        <v>5.4545454545454548E-4</v>
      </c>
      <c r="V67" s="5">
        <v>2.38</v>
      </c>
      <c r="W67" s="5">
        <v>1.56</v>
      </c>
      <c r="X67" s="5">
        <f t="shared" si="11"/>
        <v>1.8333333333333333</v>
      </c>
      <c r="Y67" s="5">
        <f t="shared" si="12"/>
        <v>1833.3333333333333</v>
      </c>
      <c r="AB67" s="5">
        <v>0.1</v>
      </c>
      <c r="AC67" s="5">
        <v>0.16</v>
      </c>
    </row>
    <row r="68" spans="3:29" ht="18.75" customHeight="1" x14ac:dyDescent="0.25">
      <c r="C68" s="6">
        <v>1978</v>
      </c>
      <c r="D68" t="s">
        <v>54</v>
      </c>
      <c r="E68" s="5">
        <v>81.400000000000006</v>
      </c>
      <c r="F68" s="15">
        <f t="shared" si="13"/>
        <v>8.0900000000000004E-4</v>
      </c>
      <c r="O68" s="5">
        <v>8.09</v>
      </c>
      <c r="Q68" s="6">
        <v>1971</v>
      </c>
      <c r="R68" t="s">
        <v>115</v>
      </c>
      <c r="S68" s="5">
        <v>4.2</v>
      </c>
      <c r="T68" s="15">
        <f t="shared" si="10"/>
        <v>4.1958041958041958E-4</v>
      </c>
      <c r="V68" s="5">
        <v>3.67</v>
      </c>
      <c r="W68" s="5">
        <v>1.74</v>
      </c>
      <c r="X68" s="5">
        <f t="shared" si="11"/>
        <v>2.3833333333333333</v>
      </c>
      <c r="Y68" s="5">
        <f t="shared" si="12"/>
        <v>2383.3333333333335</v>
      </c>
    </row>
    <row r="69" spans="3:29" ht="18.75" customHeight="1" x14ac:dyDescent="0.25">
      <c r="C69" s="6">
        <v>1970</v>
      </c>
      <c r="D69" t="s">
        <v>116</v>
      </c>
      <c r="E69" s="6">
        <v>4</v>
      </c>
      <c r="F69" s="15">
        <f>1/K69</f>
        <v>4.0268456375838925E-4</v>
      </c>
      <c r="H69" s="5">
        <v>3.91</v>
      </c>
      <c r="I69" s="5">
        <v>1.77</v>
      </c>
      <c r="J69" s="5">
        <f>(H69+2*I69)/3</f>
        <v>2.4833333333333334</v>
      </c>
      <c r="K69" s="5">
        <f>J69*1000</f>
        <v>2483.3333333333335</v>
      </c>
      <c r="Q69" s="6">
        <v>1968</v>
      </c>
      <c r="R69" t="s">
        <v>117</v>
      </c>
      <c r="S69" s="5">
        <v>4.2</v>
      </c>
      <c r="T69" s="15">
        <f t="shared" si="10"/>
        <v>3.7546933667083853E-4</v>
      </c>
      <c r="V69" s="5">
        <v>5.29</v>
      </c>
      <c r="W69" s="5">
        <v>1.35</v>
      </c>
      <c r="X69" s="5">
        <f t="shared" si="11"/>
        <v>2.6633333333333336</v>
      </c>
      <c r="Y69" s="5">
        <f t="shared" si="12"/>
        <v>2663.3333333333335</v>
      </c>
    </row>
    <row r="70" spans="3:29" ht="18.75" customHeight="1" x14ac:dyDescent="0.25">
      <c r="C70" s="6">
        <v>1970</v>
      </c>
      <c r="D70" t="s">
        <v>116</v>
      </c>
      <c r="E70" s="6">
        <v>4</v>
      </c>
      <c r="F70" s="15">
        <f>1/K70</f>
        <v>3.7926675094816689E-4</v>
      </c>
      <c r="H70" s="5">
        <v>4.1100000000000003</v>
      </c>
      <c r="I70" s="5">
        <v>1.9</v>
      </c>
      <c r="J70" s="5">
        <f>(H70+2*I70)/3</f>
        <v>2.6366666666666667</v>
      </c>
      <c r="K70" s="5">
        <f>J70*1000</f>
        <v>2636.6666666666665</v>
      </c>
      <c r="Q70" s="6">
        <v>1968</v>
      </c>
      <c r="R70" t="s">
        <v>117</v>
      </c>
      <c r="S70" s="5">
        <v>76.8</v>
      </c>
      <c r="T70" s="15">
        <f t="shared" si="10"/>
        <v>5.5865921787709492E-4</v>
      </c>
      <c r="V70" s="5">
        <v>3.35</v>
      </c>
      <c r="W70" s="5">
        <v>1.01</v>
      </c>
      <c r="X70" s="5">
        <f t="shared" si="11"/>
        <v>1.79</v>
      </c>
      <c r="Y70" s="6">
        <f t="shared" si="12"/>
        <v>1790</v>
      </c>
    </row>
    <row r="71" spans="3:29" ht="18.75" customHeight="1" x14ac:dyDescent="0.25">
      <c r="Q71" s="6">
        <v>1965</v>
      </c>
      <c r="R71" t="s">
        <v>118</v>
      </c>
      <c r="S71" s="6">
        <v>0</v>
      </c>
      <c r="T71" s="5">
        <f t="shared" ref="T71:T79" si="14">U71*10^(-4)</f>
        <v>3.8400000000000001E-4</v>
      </c>
      <c r="U71" s="5">
        <v>3.84</v>
      </c>
    </row>
    <row r="72" spans="3:29" ht="18.75" customHeight="1" x14ac:dyDescent="0.25">
      <c r="Q72" s="6">
        <v>1965</v>
      </c>
      <c r="R72" t="s">
        <v>118</v>
      </c>
      <c r="S72" s="6">
        <v>10</v>
      </c>
      <c r="T72" s="5">
        <f t="shared" si="14"/>
        <v>3.8500000000000003E-4</v>
      </c>
      <c r="U72" s="5">
        <v>3.85</v>
      </c>
    </row>
    <row r="73" spans="3:29" ht="18.75" customHeight="1" x14ac:dyDescent="0.25">
      <c r="C73" s="6">
        <v>1963</v>
      </c>
      <c r="D73" t="s">
        <v>25</v>
      </c>
      <c r="E73" s="5">
        <v>78.099999999999994</v>
      </c>
      <c r="F73" s="15">
        <f>L73*10^(-4)</f>
        <v>6.6500000000000012E-4</v>
      </c>
      <c r="L73" s="5">
        <v>6.65</v>
      </c>
      <c r="Q73" s="6">
        <v>1965</v>
      </c>
      <c r="R73" t="s">
        <v>118</v>
      </c>
      <c r="S73" s="6">
        <v>20</v>
      </c>
      <c r="T73" s="5">
        <f t="shared" si="14"/>
        <v>3.8999999999999999E-4</v>
      </c>
      <c r="U73" s="5">
        <v>3.9</v>
      </c>
    </row>
    <row r="74" spans="3:29" ht="18.75" customHeight="1" x14ac:dyDescent="0.25">
      <c r="C74" s="6">
        <v>1963</v>
      </c>
      <c r="D74" t="s">
        <v>25</v>
      </c>
      <c r="E74" s="5">
        <v>78.13</v>
      </c>
      <c r="F74" s="15">
        <f>L74*10^(-4)</f>
        <v>6.8499999999999995E-4</v>
      </c>
      <c r="L74" s="5">
        <v>6.85</v>
      </c>
      <c r="Q74" s="6">
        <v>1965</v>
      </c>
      <c r="R74" t="s">
        <v>118</v>
      </c>
      <c r="S74" s="6">
        <v>30</v>
      </c>
      <c r="T74" s="5">
        <f t="shared" si="14"/>
        <v>3.9900000000000005E-4</v>
      </c>
      <c r="U74" s="5">
        <v>3.99</v>
      </c>
    </row>
    <row r="75" spans="3:29" ht="18.75" customHeight="1" x14ac:dyDescent="0.25">
      <c r="C75" s="6">
        <v>1963</v>
      </c>
      <c r="D75" t="s">
        <v>25</v>
      </c>
      <c r="E75" s="5">
        <v>83.21</v>
      </c>
      <c r="F75" s="15">
        <f>L75*10^(-4)</f>
        <v>7.3800000000000005E-4</v>
      </c>
      <c r="L75" s="5">
        <v>7.38</v>
      </c>
      <c r="Q75" s="6">
        <v>1965</v>
      </c>
      <c r="R75" t="s">
        <v>118</v>
      </c>
      <c r="S75" s="6">
        <v>40</v>
      </c>
      <c r="T75" s="5">
        <f t="shared" si="14"/>
        <v>4.1399999999999998E-4</v>
      </c>
      <c r="U75" s="5">
        <v>4.1399999999999997</v>
      </c>
    </row>
    <row r="76" spans="3:29" ht="18.75" customHeight="1" x14ac:dyDescent="0.25">
      <c r="C76" s="6">
        <v>1963</v>
      </c>
      <c r="D76" t="s">
        <v>25</v>
      </c>
      <c r="E76" s="5">
        <v>83.81</v>
      </c>
      <c r="F76" s="15">
        <f>L76*10^(-4)</f>
        <v>7.9500000000000003E-4</v>
      </c>
      <c r="L76" s="5">
        <v>7.95</v>
      </c>
      <c r="N76" s="4" t="s">
        <v>101</v>
      </c>
      <c r="Q76" s="6">
        <v>1965</v>
      </c>
      <c r="R76" t="s">
        <v>118</v>
      </c>
      <c r="S76" s="6">
        <v>50</v>
      </c>
      <c r="T76" s="5">
        <f t="shared" si="14"/>
        <v>4.3600000000000003E-4</v>
      </c>
      <c r="U76" s="5">
        <v>4.3600000000000003</v>
      </c>
    </row>
    <row r="77" spans="3:29" ht="18.75" customHeight="1" x14ac:dyDescent="0.25">
      <c r="C77" s="6">
        <v>1957</v>
      </c>
      <c r="D77" t="s">
        <v>19</v>
      </c>
      <c r="E77" s="6">
        <v>60</v>
      </c>
      <c r="F77" s="15">
        <f>N77*10^-3</f>
        <v>5.8500000000000002E-4</v>
      </c>
      <c r="N77" s="5">
        <v>0.58499999999999996</v>
      </c>
      <c r="Q77" s="6">
        <v>1965</v>
      </c>
      <c r="R77" t="s">
        <v>118</v>
      </c>
      <c r="S77" s="6">
        <v>60</v>
      </c>
      <c r="T77" s="5">
        <f t="shared" si="14"/>
        <v>4.6799999999999999E-4</v>
      </c>
      <c r="U77" s="5">
        <v>4.68</v>
      </c>
    </row>
    <row r="78" spans="3:29" ht="18.75" customHeight="1" x14ac:dyDescent="0.25">
      <c r="C78" s="6">
        <v>1957</v>
      </c>
      <c r="D78" t="s">
        <v>19</v>
      </c>
      <c r="E78" s="6">
        <v>70</v>
      </c>
      <c r="F78" s="15">
        <f>N78*10^-3</f>
        <v>6.6200000000000005E-4</v>
      </c>
      <c r="N78" s="5">
        <v>0.66200000000000003</v>
      </c>
      <c r="Q78" s="6">
        <v>1965</v>
      </c>
      <c r="R78" t="s">
        <v>118</v>
      </c>
      <c r="S78" s="6">
        <v>70</v>
      </c>
      <c r="T78" s="5">
        <f t="shared" si="14"/>
        <v>5.1000000000000004E-4</v>
      </c>
      <c r="U78" s="5">
        <v>5.0999999999999996</v>
      </c>
    </row>
    <row r="79" spans="3:29" ht="18.75" customHeight="1" x14ac:dyDescent="0.25">
      <c r="C79" s="6">
        <v>1957</v>
      </c>
      <c r="D79" t="s">
        <v>19</v>
      </c>
      <c r="E79" s="6">
        <v>80</v>
      </c>
      <c r="F79" s="15">
        <f>N79*10^-3</f>
        <v>7.8100000000000001E-4</v>
      </c>
      <c r="N79" s="5">
        <v>0.78100000000000003</v>
      </c>
      <c r="Q79" s="6">
        <v>1965</v>
      </c>
      <c r="R79" t="s">
        <v>118</v>
      </c>
      <c r="S79" s="6">
        <v>80</v>
      </c>
      <c r="T79" s="5">
        <f t="shared" si="14"/>
        <v>5.6900000000000006E-4</v>
      </c>
      <c r="U79" s="5">
        <v>5.69</v>
      </c>
    </row>
    <row r="80" spans="3:29" ht="18.75" customHeight="1" x14ac:dyDescent="0.25"/>
    <row r="81" spans="2:14" ht="18.75" customHeight="1" x14ac:dyDescent="0.25">
      <c r="C81" s="6">
        <v>1967</v>
      </c>
      <c r="D81" t="s">
        <v>29</v>
      </c>
      <c r="E81" s="6">
        <v>72</v>
      </c>
      <c r="F81" s="15">
        <f>1/N81</f>
        <v>7.1428571428571429E-4</v>
      </c>
      <c r="M81" s="6">
        <v>14</v>
      </c>
      <c r="N81" s="6">
        <f>M81*100</f>
        <v>1400</v>
      </c>
    </row>
    <row r="82" spans="2:14" ht="18.75" customHeight="1" x14ac:dyDescent="0.25">
      <c r="C82" s="6">
        <v>1967</v>
      </c>
      <c r="D82" t="s">
        <v>29</v>
      </c>
      <c r="E82" s="6">
        <v>77</v>
      </c>
      <c r="F82" s="15">
        <f>1/N82</f>
        <v>7.874015748031496E-4</v>
      </c>
      <c r="M82" s="5">
        <v>12.7</v>
      </c>
      <c r="N82" s="6">
        <f>M82*100</f>
        <v>1270</v>
      </c>
    </row>
    <row r="83" spans="2:14" ht="18.75" customHeight="1" x14ac:dyDescent="0.25">
      <c r="B83" t="s">
        <v>119</v>
      </c>
      <c r="C83" s="6">
        <v>1972</v>
      </c>
      <c r="D83" t="s">
        <v>120</v>
      </c>
      <c r="E83" s="6">
        <v>4</v>
      </c>
      <c r="F83" s="15">
        <f t="shared" ref="F83:F98" si="15">1/K83</f>
        <v>3.7313432835820896E-4</v>
      </c>
      <c r="J83" s="5">
        <v>2.68</v>
      </c>
      <c r="K83" s="6">
        <f t="shared" ref="K83:K98" si="16">J83*1000</f>
        <v>2680</v>
      </c>
    </row>
    <row r="84" spans="2:14" ht="18.75" customHeight="1" x14ac:dyDescent="0.25">
      <c r="C84" s="6">
        <v>1972</v>
      </c>
      <c r="D84" t="s">
        <v>120</v>
      </c>
      <c r="E84" s="6">
        <v>6</v>
      </c>
      <c r="F84" s="15">
        <f t="shared" si="15"/>
        <v>3.7453183520599252E-4</v>
      </c>
      <c r="J84" s="5">
        <v>2.67</v>
      </c>
      <c r="K84" s="6">
        <f t="shared" si="16"/>
        <v>2670</v>
      </c>
    </row>
    <row r="85" spans="2:14" ht="18.75" customHeight="1" x14ac:dyDescent="0.25">
      <c r="C85" s="6">
        <v>1972</v>
      </c>
      <c r="D85" t="s">
        <v>120</v>
      </c>
      <c r="E85" s="6">
        <v>8</v>
      </c>
      <c r="F85" s="15">
        <f t="shared" si="15"/>
        <v>3.7593984962406017E-4</v>
      </c>
      <c r="J85" s="5">
        <v>2.66</v>
      </c>
      <c r="K85" s="6">
        <f t="shared" si="16"/>
        <v>2660</v>
      </c>
    </row>
    <row r="86" spans="2:14" ht="18.75" customHeight="1" x14ac:dyDescent="0.25">
      <c r="C86" s="6">
        <v>1972</v>
      </c>
      <c r="D86" t="s">
        <v>120</v>
      </c>
      <c r="E86" s="6">
        <v>10</v>
      </c>
      <c r="F86" s="15">
        <f t="shared" si="15"/>
        <v>3.7735849056603772E-4</v>
      </c>
      <c r="J86" s="5">
        <v>2.65</v>
      </c>
      <c r="K86" s="6">
        <f t="shared" si="16"/>
        <v>2650</v>
      </c>
    </row>
    <row r="87" spans="2:14" ht="18.75" customHeight="1" x14ac:dyDescent="0.25">
      <c r="C87" s="6">
        <v>1972</v>
      </c>
      <c r="D87" t="s">
        <v>120</v>
      </c>
      <c r="E87" s="6">
        <v>15</v>
      </c>
      <c r="F87" s="15">
        <f t="shared" si="15"/>
        <v>3.8461538461538462E-4</v>
      </c>
      <c r="J87" s="5">
        <v>2.6</v>
      </c>
      <c r="K87" s="6">
        <f t="shared" si="16"/>
        <v>2600</v>
      </c>
    </row>
    <row r="88" spans="2:14" ht="18.75" customHeight="1" x14ac:dyDescent="0.25">
      <c r="C88" s="6">
        <v>1972</v>
      </c>
      <c r="D88" t="s">
        <v>120</v>
      </c>
      <c r="E88" s="6">
        <v>20</v>
      </c>
      <c r="F88" s="15">
        <f t="shared" si="15"/>
        <v>3.9525691699604743E-4</v>
      </c>
      <c r="J88" s="5">
        <v>2.5299999999999998</v>
      </c>
      <c r="K88" s="6">
        <f t="shared" si="16"/>
        <v>2530</v>
      </c>
    </row>
    <row r="89" spans="2:14" ht="18.75" customHeight="1" x14ac:dyDescent="0.25">
      <c r="C89" s="6">
        <v>1972</v>
      </c>
      <c r="D89" t="s">
        <v>120</v>
      </c>
      <c r="E89" s="6">
        <v>25</v>
      </c>
      <c r="F89" s="15">
        <f t="shared" si="15"/>
        <v>4.0650406504065041E-4</v>
      </c>
      <c r="J89" s="5">
        <v>2.46</v>
      </c>
      <c r="K89" s="6">
        <f t="shared" si="16"/>
        <v>2460</v>
      </c>
    </row>
    <row r="90" spans="2:14" ht="18.75" customHeight="1" x14ac:dyDescent="0.25">
      <c r="C90" s="6">
        <v>1972</v>
      </c>
      <c r="D90" t="s">
        <v>120</v>
      </c>
      <c r="E90" s="6">
        <v>30</v>
      </c>
      <c r="F90" s="15">
        <f t="shared" si="15"/>
        <v>4.219409282700422E-4</v>
      </c>
      <c r="J90" s="5">
        <v>2.37</v>
      </c>
      <c r="K90" s="6">
        <f t="shared" si="16"/>
        <v>2370</v>
      </c>
    </row>
    <row r="91" spans="2:14" ht="18.75" customHeight="1" x14ac:dyDescent="0.25">
      <c r="C91" s="6">
        <v>1972</v>
      </c>
      <c r="D91" t="s">
        <v>120</v>
      </c>
      <c r="E91" s="6">
        <v>35</v>
      </c>
      <c r="F91" s="15">
        <f t="shared" si="15"/>
        <v>4.3859649122807018E-4</v>
      </c>
      <c r="J91" s="5">
        <v>2.2799999999999998</v>
      </c>
      <c r="K91" s="6">
        <f t="shared" si="16"/>
        <v>2280</v>
      </c>
    </row>
    <row r="92" spans="2:14" ht="18.75" customHeight="1" x14ac:dyDescent="0.25">
      <c r="C92" s="6">
        <v>1972</v>
      </c>
      <c r="D92" t="s">
        <v>120</v>
      </c>
      <c r="E92" s="6">
        <v>40</v>
      </c>
      <c r="F92" s="15">
        <f t="shared" si="15"/>
        <v>4.5871559633027525E-4</v>
      </c>
      <c r="J92" s="5">
        <v>2.1800000000000002</v>
      </c>
      <c r="K92" s="6">
        <f t="shared" si="16"/>
        <v>2180</v>
      </c>
    </row>
    <row r="93" spans="2:14" ht="18.75" customHeight="1" x14ac:dyDescent="0.25">
      <c r="C93" s="6">
        <v>1972</v>
      </c>
      <c r="D93" t="s">
        <v>120</v>
      </c>
      <c r="E93" s="6">
        <v>50</v>
      </c>
      <c r="F93" s="15">
        <f t="shared" si="15"/>
        <v>5.0505050505050505E-4</v>
      </c>
      <c r="J93" s="5">
        <v>1.98</v>
      </c>
      <c r="K93" s="6">
        <f t="shared" si="16"/>
        <v>1980</v>
      </c>
    </row>
    <row r="94" spans="2:14" ht="18.75" customHeight="1" x14ac:dyDescent="0.25">
      <c r="C94" s="6">
        <v>1972</v>
      </c>
      <c r="D94" t="s">
        <v>120</v>
      </c>
      <c r="E94" s="6">
        <v>60</v>
      </c>
      <c r="F94" s="15">
        <f t="shared" si="15"/>
        <v>5.7142857142857147E-4</v>
      </c>
      <c r="J94" s="5">
        <v>1.75</v>
      </c>
      <c r="K94" s="6">
        <f t="shared" si="16"/>
        <v>1750</v>
      </c>
    </row>
    <row r="95" spans="2:14" ht="18.75" customHeight="1" x14ac:dyDescent="0.25">
      <c r="C95" s="6">
        <v>1972</v>
      </c>
      <c r="D95" t="s">
        <v>120</v>
      </c>
      <c r="E95" s="6">
        <v>70</v>
      </c>
      <c r="F95" s="15">
        <f t="shared" si="15"/>
        <v>6.6225165562913907E-4</v>
      </c>
      <c r="J95" s="5">
        <v>1.51</v>
      </c>
      <c r="K95" s="6">
        <f t="shared" si="16"/>
        <v>1510</v>
      </c>
    </row>
    <row r="96" spans="2:14" ht="18.75" customHeight="1" x14ac:dyDescent="0.25">
      <c r="C96" s="6">
        <v>1972</v>
      </c>
      <c r="D96" t="s">
        <v>120</v>
      </c>
      <c r="E96" s="6">
        <v>80</v>
      </c>
      <c r="F96" s="15">
        <f t="shared" si="15"/>
        <v>7.874015748031496E-4</v>
      </c>
      <c r="J96" s="5">
        <v>1.27</v>
      </c>
      <c r="K96" s="6">
        <f t="shared" si="16"/>
        <v>1270</v>
      </c>
    </row>
    <row r="97" spans="3:12" ht="18.75" customHeight="1" x14ac:dyDescent="0.25">
      <c r="C97" s="6">
        <v>1974</v>
      </c>
      <c r="D97" t="s">
        <v>121</v>
      </c>
      <c r="E97" s="6">
        <v>10</v>
      </c>
      <c r="F97" s="15">
        <f t="shared" si="15"/>
        <v>3.4285714285714285E-4</v>
      </c>
      <c r="H97" s="5">
        <v>4.21</v>
      </c>
      <c r="I97" s="5">
        <v>2.27</v>
      </c>
      <c r="J97" s="5">
        <f>(H97+2*I97)/3</f>
        <v>2.9166666666666665</v>
      </c>
      <c r="K97" s="5">
        <f t="shared" si="16"/>
        <v>2916.6666666666665</v>
      </c>
    </row>
    <row r="98" spans="3:12" ht="18.75" customHeight="1" x14ac:dyDescent="0.25">
      <c r="C98" s="6">
        <v>1974</v>
      </c>
      <c r="D98" t="s">
        <v>121</v>
      </c>
      <c r="E98" s="6">
        <v>82</v>
      </c>
      <c r="F98" s="15">
        <f t="shared" si="15"/>
        <v>5.4151624548736462E-4</v>
      </c>
      <c r="H98" s="5">
        <v>2.48</v>
      </c>
      <c r="I98" s="5">
        <v>1.53</v>
      </c>
      <c r="J98" s="5">
        <f>(H98+2*I98)/3</f>
        <v>1.8466666666666667</v>
      </c>
      <c r="K98" s="5">
        <f t="shared" si="16"/>
        <v>1846.6666666666667</v>
      </c>
    </row>
    <row r="99" spans="3:12" ht="18.75" customHeight="1" x14ac:dyDescent="0.25">
      <c r="C99" s="6">
        <v>1965</v>
      </c>
      <c r="D99" t="s">
        <v>118</v>
      </c>
      <c r="E99" s="6">
        <v>0</v>
      </c>
      <c r="F99" s="15">
        <f t="shared" ref="F99:F107" si="17">L99*10^(-4)</f>
        <v>3.8400000000000001E-4</v>
      </c>
      <c r="L99" s="5">
        <v>3.84</v>
      </c>
    </row>
    <row r="100" spans="3:12" ht="18.75" customHeight="1" x14ac:dyDescent="0.25">
      <c r="C100" s="6">
        <v>1965</v>
      </c>
      <c r="D100" t="s">
        <v>118</v>
      </c>
      <c r="E100" s="6">
        <v>10</v>
      </c>
      <c r="F100" s="15">
        <f t="shared" si="17"/>
        <v>3.8700000000000003E-4</v>
      </c>
      <c r="L100" s="5">
        <v>3.87</v>
      </c>
    </row>
    <row r="101" spans="3:12" ht="18.75" customHeight="1" x14ac:dyDescent="0.25">
      <c r="C101" s="6">
        <v>1965</v>
      </c>
      <c r="D101" t="s">
        <v>118</v>
      </c>
      <c r="E101" s="6">
        <v>20</v>
      </c>
      <c r="F101" s="15">
        <f t="shared" si="17"/>
        <v>3.9700000000000005E-4</v>
      </c>
      <c r="L101" s="5">
        <v>3.97</v>
      </c>
    </row>
    <row r="102" spans="3:12" ht="18.75" customHeight="1" x14ac:dyDescent="0.25">
      <c r="C102" s="6">
        <v>1965</v>
      </c>
      <c r="D102" t="s">
        <v>118</v>
      </c>
      <c r="E102" s="6">
        <v>30</v>
      </c>
      <c r="F102" s="15">
        <f t="shared" si="17"/>
        <v>4.2200000000000001E-4</v>
      </c>
      <c r="L102" s="5">
        <v>4.22</v>
      </c>
    </row>
    <row r="103" spans="3:12" ht="18.75" customHeight="1" x14ac:dyDescent="0.25">
      <c r="C103" s="6">
        <v>1965</v>
      </c>
      <c r="D103" t="s">
        <v>118</v>
      </c>
      <c r="E103" s="6">
        <v>40</v>
      </c>
      <c r="F103" s="15">
        <f t="shared" si="17"/>
        <v>4.6500000000000008E-4</v>
      </c>
      <c r="L103" s="5">
        <v>4.6500000000000004</v>
      </c>
    </row>
    <row r="104" spans="3:12" ht="18.75" customHeight="1" x14ac:dyDescent="0.25">
      <c r="C104" s="6">
        <v>1965</v>
      </c>
      <c r="D104" t="s">
        <v>118</v>
      </c>
      <c r="E104" s="6">
        <v>50</v>
      </c>
      <c r="F104" s="15">
        <f t="shared" si="17"/>
        <v>5.2000000000000006E-4</v>
      </c>
      <c r="L104" s="5">
        <v>5.2</v>
      </c>
    </row>
    <row r="105" spans="3:12" ht="18.75" customHeight="1" x14ac:dyDescent="0.25">
      <c r="C105" s="6">
        <v>1965</v>
      </c>
      <c r="D105" t="s">
        <v>118</v>
      </c>
      <c r="E105" s="6">
        <v>60</v>
      </c>
      <c r="F105" s="15">
        <f t="shared" si="17"/>
        <v>5.9100000000000005E-4</v>
      </c>
      <c r="L105" s="5">
        <v>5.91</v>
      </c>
    </row>
    <row r="106" spans="3:12" ht="18.75" customHeight="1" x14ac:dyDescent="0.25">
      <c r="C106" s="6">
        <v>1965</v>
      </c>
      <c r="D106" t="s">
        <v>118</v>
      </c>
      <c r="E106" s="6">
        <v>70</v>
      </c>
      <c r="F106" s="15">
        <f t="shared" si="17"/>
        <v>6.730000000000001E-4</v>
      </c>
      <c r="H106" s="2" t="s">
        <v>102</v>
      </c>
      <c r="I106" s="2" t="s">
        <v>103</v>
      </c>
      <c r="J106" s="2" t="s">
        <v>104</v>
      </c>
      <c r="L106" s="5">
        <v>6.73</v>
      </c>
    </row>
    <row r="107" spans="3:12" ht="18.75" customHeight="1" x14ac:dyDescent="0.25">
      <c r="C107" s="6">
        <v>1965</v>
      </c>
      <c r="D107" t="s">
        <v>118</v>
      </c>
      <c r="E107" s="6">
        <v>80</v>
      </c>
      <c r="F107" s="15">
        <f t="shared" si="17"/>
        <v>7.6800000000000002E-4</v>
      </c>
      <c r="H107" s="2" t="s">
        <v>48</v>
      </c>
      <c r="I107" s="2" t="s">
        <v>48</v>
      </c>
      <c r="J107" s="2" t="s">
        <v>48</v>
      </c>
      <c r="K107" s="2" t="s">
        <v>47</v>
      </c>
      <c r="L107" s="5">
        <v>7.68</v>
      </c>
    </row>
    <row r="108" spans="3:12" ht="18.75" customHeight="1" x14ac:dyDescent="0.25">
      <c r="C108" s="6">
        <v>1971</v>
      </c>
      <c r="D108" t="s">
        <v>122</v>
      </c>
      <c r="E108" s="5">
        <v>3.9409999999999998</v>
      </c>
      <c r="F108" s="15">
        <f t="shared" ref="F108:F135" si="18">1/K108</f>
        <v>3.7189467942678626E-4</v>
      </c>
      <c r="H108" s="5">
        <v>40.351999999999997</v>
      </c>
      <c r="I108" s="5">
        <v>20.158000000000001</v>
      </c>
      <c r="J108" s="5">
        <f t="shared" ref="J108:J135" si="19">(H108+2*I108)/3</f>
        <v>26.889333333333337</v>
      </c>
      <c r="K108" s="5">
        <f t="shared" ref="K108:K135" si="20">J108*100</f>
        <v>2688.9333333333338</v>
      </c>
    </row>
    <row r="109" spans="3:12" ht="18.75" customHeight="1" x14ac:dyDescent="0.25">
      <c r="C109" s="6">
        <v>1971</v>
      </c>
      <c r="D109" t="s">
        <v>122</v>
      </c>
      <c r="E109" s="5">
        <v>3.9409999999999998</v>
      </c>
      <c r="F109" s="15">
        <f t="shared" si="18"/>
        <v>3.7243485493662398E-4</v>
      </c>
      <c r="H109" s="5">
        <v>40.234999999999999</v>
      </c>
      <c r="I109" s="5">
        <v>20.158000000000001</v>
      </c>
      <c r="J109" s="5">
        <f t="shared" si="19"/>
        <v>26.850333333333335</v>
      </c>
      <c r="K109" s="5">
        <f t="shared" si="20"/>
        <v>2685.0333333333333</v>
      </c>
    </row>
    <row r="110" spans="3:12" ht="18.75" customHeight="1" x14ac:dyDescent="0.25">
      <c r="C110" s="6">
        <v>1971</v>
      </c>
      <c r="D110" t="s">
        <v>122</v>
      </c>
      <c r="E110" s="5">
        <v>3.5470000000000002</v>
      </c>
      <c r="F110" s="15">
        <f t="shared" si="18"/>
        <v>3.740788308789606E-4</v>
      </c>
      <c r="H110" s="5">
        <v>39.960999999999999</v>
      </c>
      <c r="I110" s="5">
        <v>20.117999999999999</v>
      </c>
      <c r="J110" s="5">
        <f t="shared" si="19"/>
        <v>26.732333333333333</v>
      </c>
      <c r="K110" s="5">
        <f t="shared" si="20"/>
        <v>2673.2333333333331</v>
      </c>
    </row>
    <row r="111" spans="3:12" ht="18.75" customHeight="1" x14ac:dyDescent="0.25">
      <c r="C111" s="6">
        <v>1971</v>
      </c>
      <c r="D111" t="s">
        <v>122</v>
      </c>
      <c r="E111" s="5">
        <v>4.9260000000000002</v>
      </c>
      <c r="F111" s="15">
        <f t="shared" si="18"/>
        <v>3.7463473113714127E-4</v>
      </c>
      <c r="H111" s="5">
        <v>40.078000000000003</v>
      </c>
      <c r="I111" s="6">
        <v>20</v>
      </c>
      <c r="J111" s="5">
        <f t="shared" si="19"/>
        <v>26.692666666666668</v>
      </c>
      <c r="K111" s="5">
        <f t="shared" si="20"/>
        <v>2669.2666666666669</v>
      </c>
    </row>
    <row r="112" spans="3:12" ht="18.75" customHeight="1" x14ac:dyDescent="0.25">
      <c r="C112" s="6">
        <v>1971</v>
      </c>
      <c r="D112" t="s">
        <v>122</v>
      </c>
      <c r="E112" s="5">
        <v>7.2910000000000004</v>
      </c>
      <c r="F112" s="15">
        <f t="shared" si="18"/>
        <v>3.7524390854055137E-4</v>
      </c>
      <c r="H112" s="5">
        <v>39.921999999999997</v>
      </c>
      <c r="I112" s="5">
        <v>20.013000000000002</v>
      </c>
      <c r="J112" s="5">
        <f t="shared" si="19"/>
        <v>26.649333333333335</v>
      </c>
      <c r="K112" s="5">
        <f t="shared" si="20"/>
        <v>2664.9333333333334</v>
      </c>
    </row>
    <row r="113" spans="3:11" ht="18.75" customHeight="1" x14ac:dyDescent="0.25">
      <c r="C113" s="6">
        <v>1971</v>
      </c>
      <c r="D113" t="s">
        <v>122</v>
      </c>
      <c r="E113" s="5">
        <v>10.64</v>
      </c>
      <c r="F113" s="15">
        <f t="shared" si="18"/>
        <v>3.7542704826740424E-4</v>
      </c>
      <c r="H113" s="5">
        <v>39.960999999999999</v>
      </c>
      <c r="I113" s="5">
        <v>19.974</v>
      </c>
      <c r="J113" s="5">
        <f t="shared" si="19"/>
        <v>26.636333333333329</v>
      </c>
      <c r="K113" s="5">
        <f t="shared" si="20"/>
        <v>2663.6333333333328</v>
      </c>
    </row>
    <row r="114" spans="3:11" ht="18.75" customHeight="1" x14ac:dyDescent="0.25">
      <c r="C114" s="6">
        <v>1971</v>
      </c>
      <c r="D114" t="s">
        <v>122</v>
      </c>
      <c r="E114" s="5">
        <v>17.734000000000002</v>
      </c>
      <c r="F114" s="15">
        <f t="shared" si="18"/>
        <v>3.7821005786613888E-4</v>
      </c>
      <c r="H114" s="5">
        <v>39.453000000000003</v>
      </c>
      <c r="I114" s="5">
        <v>19.934000000000001</v>
      </c>
      <c r="J114" s="5">
        <f t="shared" si="19"/>
        <v>26.440333333333331</v>
      </c>
      <c r="K114" s="5">
        <f t="shared" si="20"/>
        <v>2644.0333333333333</v>
      </c>
    </row>
    <row r="115" spans="3:11" ht="18.75" customHeight="1" x14ac:dyDescent="0.25">
      <c r="C115" s="6">
        <v>1971</v>
      </c>
      <c r="D115" t="s">
        <v>122</v>
      </c>
      <c r="E115" s="5">
        <v>21.478000000000002</v>
      </c>
      <c r="F115" s="15">
        <f t="shared" si="18"/>
        <v>3.8199042477335231E-4</v>
      </c>
      <c r="H115" s="5">
        <v>38.984000000000002</v>
      </c>
      <c r="I115" s="5">
        <v>19.776</v>
      </c>
      <c r="J115" s="5">
        <f t="shared" si="19"/>
        <v>26.178666666666668</v>
      </c>
      <c r="K115" s="5">
        <f t="shared" si="20"/>
        <v>2617.8666666666668</v>
      </c>
    </row>
    <row r="116" spans="3:11" ht="18.75" customHeight="1" x14ac:dyDescent="0.25">
      <c r="C116" s="6">
        <v>1971</v>
      </c>
      <c r="D116" t="s">
        <v>122</v>
      </c>
      <c r="E116" s="5">
        <v>25.616</v>
      </c>
      <c r="F116" s="15">
        <f t="shared" si="18"/>
        <v>3.8662783204886981E-4</v>
      </c>
      <c r="H116" s="5">
        <v>38.436</v>
      </c>
      <c r="I116" s="5">
        <v>19.579000000000001</v>
      </c>
      <c r="J116" s="5">
        <f t="shared" si="19"/>
        <v>25.864666666666665</v>
      </c>
      <c r="K116" s="5">
        <f t="shared" si="20"/>
        <v>2586.4666666666662</v>
      </c>
    </row>
    <row r="117" spans="3:11" ht="18.75" customHeight="1" x14ac:dyDescent="0.25">
      <c r="C117" s="6">
        <v>1971</v>
      </c>
      <c r="D117" t="s">
        <v>122</v>
      </c>
      <c r="E117" s="5">
        <v>28.966000000000001</v>
      </c>
      <c r="F117" s="15">
        <f t="shared" si="18"/>
        <v>3.8936261340186113E-4</v>
      </c>
      <c r="H117" s="5">
        <v>37.732999999999997</v>
      </c>
      <c r="I117" s="5">
        <v>19.658000000000001</v>
      </c>
      <c r="J117" s="5">
        <f t="shared" si="19"/>
        <v>25.683000000000003</v>
      </c>
      <c r="K117" s="5">
        <f t="shared" si="20"/>
        <v>2568.3000000000002</v>
      </c>
    </row>
    <row r="118" spans="3:11" ht="18.75" customHeight="1" x14ac:dyDescent="0.25">
      <c r="C118" s="6">
        <v>1971</v>
      </c>
      <c r="D118" t="s">
        <v>122</v>
      </c>
      <c r="E118" s="5">
        <v>35.862000000000002</v>
      </c>
      <c r="F118" s="15">
        <f t="shared" si="18"/>
        <v>3.9996800255979526E-4</v>
      </c>
      <c r="H118" s="5">
        <v>36.637999999999998</v>
      </c>
      <c r="I118" s="5">
        <v>19.184000000000001</v>
      </c>
      <c r="J118" s="5">
        <f t="shared" si="19"/>
        <v>25.001999999999999</v>
      </c>
      <c r="K118" s="5">
        <f t="shared" si="20"/>
        <v>2500.1999999999998</v>
      </c>
    </row>
    <row r="119" spans="3:11" ht="18.75" customHeight="1" x14ac:dyDescent="0.25">
      <c r="C119" s="6">
        <v>1971</v>
      </c>
      <c r="D119" t="s">
        <v>122</v>
      </c>
      <c r="E119" s="5">
        <v>39.802999999999997</v>
      </c>
      <c r="F119" s="15">
        <f t="shared" si="18"/>
        <v>4.0809108593037964E-4</v>
      </c>
      <c r="H119" s="5">
        <v>36.012999999999998</v>
      </c>
      <c r="I119" s="5">
        <v>18.75</v>
      </c>
      <c r="J119" s="5">
        <f t="shared" si="19"/>
        <v>24.504333333333335</v>
      </c>
      <c r="K119" s="5">
        <f t="shared" si="20"/>
        <v>2450.4333333333334</v>
      </c>
    </row>
    <row r="120" spans="3:11" ht="18.75" customHeight="1" x14ac:dyDescent="0.25">
      <c r="C120" s="6">
        <v>1971</v>
      </c>
      <c r="D120" t="s">
        <v>122</v>
      </c>
      <c r="E120" s="5">
        <v>42.365000000000002</v>
      </c>
      <c r="F120" s="15">
        <f t="shared" si="18"/>
        <v>4.1094201608153088E-4</v>
      </c>
      <c r="H120" s="5">
        <v>35.661000000000001</v>
      </c>
      <c r="I120" s="5">
        <v>18.670999999999999</v>
      </c>
      <c r="J120" s="5">
        <f t="shared" si="19"/>
        <v>24.334333333333333</v>
      </c>
      <c r="K120" s="5">
        <f t="shared" si="20"/>
        <v>2433.4333333333334</v>
      </c>
    </row>
    <row r="121" spans="3:11" ht="18.75" customHeight="1" x14ac:dyDescent="0.25">
      <c r="C121" s="6">
        <v>1971</v>
      </c>
      <c r="D121" t="s">
        <v>122</v>
      </c>
      <c r="E121" s="5">
        <v>42.167000000000002</v>
      </c>
      <c r="F121" s="15">
        <f t="shared" si="18"/>
        <v>4.1631973355537054E-4</v>
      </c>
      <c r="H121" s="5">
        <v>35.270000000000003</v>
      </c>
      <c r="I121" s="5">
        <v>18.395</v>
      </c>
      <c r="J121" s="5">
        <f t="shared" si="19"/>
        <v>24.02</v>
      </c>
      <c r="K121" s="6">
        <f t="shared" si="20"/>
        <v>2402</v>
      </c>
    </row>
    <row r="122" spans="3:11" ht="18.75" customHeight="1" x14ac:dyDescent="0.25">
      <c r="C122" s="6">
        <v>1971</v>
      </c>
      <c r="D122" t="s">
        <v>122</v>
      </c>
      <c r="E122" s="5">
        <v>48.472999999999999</v>
      </c>
      <c r="F122" s="15">
        <f t="shared" si="18"/>
        <v>4.3015069612720993E-4</v>
      </c>
      <c r="H122" s="5">
        <v>34.137</v>
      </c>
      <c r="I122" s="5">
        <v>17.803000000000001</v>
      </c>
      <c r="J122" s="5">
        <f t="shared" si="19"/>
        <v>23.247666666666664</v>
      </c>
      <c r="K122" s="5">
        <f t="shared" si="20"/>
        <v>2324.7666666666664</v>
      </c>
    </row>
    <row r="123" spans="3:11" ht="18.75" customHeight="1" x14ac:dyDescent="0.25">
      <c r="C123" s="6">
        <v>1971</v>
      </c>
      <c r="D123" t="s">
        <v>122</v>
      </c>
      <c r="E123" s="5">
        <v>53.005000000000003</v>
      </c>
      <c r="F123" s="15">
        <f t="shared" si="18"/>
        <v>4.4319037981415549E-4</v>
      </c>
      <c r="H123" s="5">
        <v>33.511000000000003</v>
      </c>
      <c r="I123" s="5">
        <v>17.09</v>
      </c>
      <c r="J123" s="5">
        <f t="shared" si="19"/>
        <v>22.563666666666666</v>
      </c>
      <c r="K123" s="5">
        <f t="shared" si="20"/>
        <v>2256.3666666666668</v>
      </c>
    </row>
    <row r="124" spans="3:11" ht="18.75" customHeight="1" x14ac:dyDescent="0.25">
      <c r="C124" s="6">
        <v>1971</v>
      </c>
      <c r="D124" t="s">
        <v>122</v>
      </c>
      <c r="E124" s="5">
        <v>54.581000000000003</v>
      </c>
      <c r="F124" s="15">
        <f t="shared" si="18"/>
        <v>4.5051133035995858E-4</v>
      </c>
      <c r="H124" s="5">
        <v>33.354999999999997</v>
      </c>
      <c r="I124" s="5">
        <v>16.617999999999999</v>
      </c>
      <c r="J124" s="5">
        <f t="shared" si="19"/>
        <v>22.196999999999999</v>
      </c>
      <c r="K124" s="5">
        <f t="shared" si="20"/>
        <v>2219.6999999999998</v>
      </c>
    </row>
    <row r="125" spans="3:11" ht="18.75" customHeight="1" x14ac:dyDescent="0.25">
      <c r="C125" s="6">
        <v>1971</v>
      </c>
      <c r="D125" t="s">
        <v>122</v>
      </c>
      <c r="E125" s="5">
        <v>60.295999999999999</v>
      </c>
      <c r="F125" s="15">
        <f t="shared" si="18"/>
        <v>4.7400853215357868E-4</v>
      </c>
      <c r="H125" s="5">
        <v>31.948</v>
      </c>
      <c r="I125" s="5">
        <v>15.670999999999999</v>
      </c>
      <c r="J125" s="5">
        <f t="shared" si="19"/>
        <v>21.096666666666668</v>
      </c>
      <c r="K125" s="5">
        <f t="shared" si="20"/>
        <v>2109.666666666667</v>
      </c>
    </row>
    <row r="126" spans="3:11" ht="18.75" customHeight="1" x14ac:dyDescent="0.25">
      <c r="C126" s="6">
        <v>1971</v>
      </c>
      <c r="D126" t="s">
        <v>122</v>
      </c>
      <c r="E126" s="5">
        <v>61.674999999999997</v>
      </c>
      <c r="F126" s="15">
        <f t="shared" si="18"/>
        <v>4.8027663934426234E-4</v>
      </c>
      <c r="H126" s="5">
        <v>31.596</v>
      </c>
      <c r="I126" s="5">
        <v>15.433999999999999</v>
      </c>
      <c r="J126" s="5">
        <f t="shared" si="19"/>
        <v>20.821333333333332</v>
      </c>
      <c r="K126" s="5">
        <f t="shared" si="20"/>
        <v>2082.1333333333332</v>
      </c>
    </row>
    <row r="127" spans="3:11" ht="18.75" customHeight="1" x14ac:dyDescent="0.25">
      <c r="C127" s="6">
        <v>1971</v>
      </c>
      <c r="D127" t="s">
        <v>122</v>
      </c>
      <c r="E127" s="5">
        <v>62.463000000000001</v>
      </c>
      <c r="F127" s="15">
        <f t="shared" si="18"/>
        <v>4.8423805142608107E-4</v>
      </c>
      <c r="H127" s="5">
        <v>31.478999999999999</v>
      </c>
      <c r="I127" s="5">
        <v>15.237</v>
      </c>
      <c r="J127" s="5">
        <f t="shared" si="19"/>
        <v>20.651</v>
      </c>
      <c r="K127" s="5">
        <f t="shared" si="20"/>
        <v>2065.1</v>
      </c>
    </row>
    <row r="128" spans="3:11" ht="18.75" customHeight="1" x14ac:dyDescent="0.25">
      <c r="C128" s="6">
        <v>1971</v>
      </c>
      <c r="D128" t="s">
        <v>122</v>
      </c>
      <c r="E128" s="5">
        <v>64.828000000000003</v>
      </c>
      <c r="F128" s="15">
        <f t="shared" si="18"/>
        <v>4.9461691919608266E-4</v>
      </c>
      <c r="H128" s="5">
        <v>31.126999999999999</v>
      </c>
      <c r="I128" s="5">
        <v>14.763</v>
      </c>
      <c r="J128" s="5">
        <f t="shared" si="19"/>
        <v>20.217666666666666</v>
      </c>
      <c r="K128" s="5">
        <f t="shared" si="20"/>
        <v>2021.7666666666667</v>
      </c>
    </row>
    <row r="129" spans="3:11" ht="18.75" customHeight="1" x14ac:dyDescent="0.25">
      <c r="C129" s="6">
        <v>1971</v>
      </c>
      <c r="D129" t="s">
        <v>122</v>
      </c>
      <c r="E129" s="5">
        <v>67.388999999999996</v>
      </c>
      <c r="F129" s="15">
        <f t="shared" si="18"/>
        <v>5.0540786414636604E-4</v>
      </c>
      <c r="H129" s="5">
        <v>30.384</v>
      </c>
      <c r="I129" s="5">
        <v>14.487</v>
      </c>
      <c r="J129" s="5">
        <f t="shared" si="19"/>
        <v>19.786000000000001</v>
      </c>
      <c r="K129" s="5">
        <f t="shared" si="20"/>
        <v>1978.6000000000001</v>
      </c>
    </row>
    <row r="130" spans="3:11" ht="18.75" customHeight="1" x14ac:dyDescent="0.25">
      <c r="C130" s="6">
        <v>1971</v>
      </c>
      <c r="D130" t="s">
        <v>122</v>
      </c>
      <c r="E130" s="5">
        <v>67.783000000000001</v>
      </c>
      <c r="F130" s="15">
        <f t="shared" si="18"/>
        <v>5.0844872294629083E-4</v>
      </c>
      <c r="H130" s="5">
        <v>30.344999999999999</v>
      </c>
      <c r="I130" s="5">
        <v>14.329000000000001</v>
      </c>
      <c r="J130" s="5">
        <f t="shared" si="19"/>
        <v>19.667666666666666</v>
      </c>
      <c r="K130" s="5">
        <f t="shared" si="20"/>
        <v>1966.7666666666667</v>
      </c>
    </row>
    <row r="131" spans="3:11" ht="18.75" customHeight="1" x14ac:dyDescent="0.25">
      <c r="C131" s="6">
        <v>1971</v>
      </c>
      <c r="D131" t="s">
        <v>122</v>
      </c>
      <c r="E131" s="5">
        <v>70.542000000000002</v>
      </c>
      <c r="F131" s="15">
        <f t="shared" si="18"/>
        <v>5.2344145307347374E-4</v>
      </c>
      <c r="H131" s="5">
        <v>29.681000000000001</v>
      </c>
      <c r="I131" s="5">
        <v>13.816000000000001</v>
      </c>
      <c r="J131" s="5">
        <f t="shared" si="19"/>
        <v>19.104333333333333</v>
      </c>
      <c r="K131" s="5">
        <f t="shared" si="20"/>
        <v>1910.4333333333334</v>
      </c>
    </row>
    <row r="132" spans="3:11" ht="18.75" customHeight="1" x14ac:dyDescent="0.25">
      <c r="C132" s="6">
        <v>1971</v>
      </c>
      <c r="D132" t="s">
        <v>122</v>
      </c>
      <c r="E132" s="5">
        <v>70.542000000000002</v>
      </c>
      <c r="F132" s="15">
        <f t="shared" si="18"/>
        <v>5.2487927776611373E-4</v>
      </c>
      <c r="H132" s="5">
        <v>29.524000000000001</v>
      </c>
      <c r="I132" s="5">
        <v>13.816000000000001</v>
      </c>
      <c r="J132" s="5">
        <f t="shared" si="19"/>
        <v>19.052000000000003</v>
      </c>
      <c r="K132" s="5">
        <f t="shared" si="20"/>
        <v>1905.2000000000003</v>
      </c>
    </row>
    <row r="133" spans="3:11" ht="18.75" customHeight="1" x14ac:dyDescent="0.25">
      <c r="C133" s="6">
        <v>1971</v>
      </c>
      <c r="D133" t="s">
        <v>122</v>
      </c>
      <c r="E133" s="5">
        <v>71.921000000000006</v>
      </c>
      <c r="F133" s="15">
        <f t="shared" si="18"/>
        <v>5.3146258503401365E-4</v>
      </c>
      <c r="H133" s="5">
        <v>29.212</v>
      </c>
      <c r="I133" s="5">
        <v>13.618</v>
      </c>
      <c r="J133" s="5">
        <f t="shared" si="19"/>
        <v>18.815999999999999</v>
      </c>
      <c r="K133" s="5">
        <f t="shared" si="20"/>
        <v>1881.6</v>
      </c>
    </row>
    <row r="134" spans="3:11" ht="18.75" customHeight="1" x14ac:dyDescent="0.25">
      <c r="C134" s="6">
        <v>1971</v>
      </c>
      <c r="D134" t="s">
        <v>122</v>
      </c>
      <c r="E134" s="5">
        <v>76.846999999999994</v>
      </c>
      <c r="F134" s="15">
        <f t="shared" si="18"/>
        <v>5.5874245697683093E-4</v>
      </c>
      <c r="H134" s="5">
        <v>28.507999999999999</v>
      </c>
      <c r="I134" s="5">
        <v>12.592000000000001</v>
      </c>
      <c r="J134" s="5">
        <f t="shared" si="19"/>
        <v>17.897333333333332</v>
      </c>
      <c r="K134" s="5">
        <f t="shared" si="20"/>
        <v>1789.7333333333331</v>
      </c>
    </row>
    <row r="135" spans="3:11" ht="18.75" customHeight="1" x14ac:dyDescent="0.25">
      <c r="C135" s="6">
        <v>1971</v>
      </c>
      <c r="D135" t="s">
        <v>122</v>
      </c>
      <c r="E135" s="5">
        <v>76.846999999999994</v>
      </c>
      <c r="F135" s="15">
        <f t="shared" si="18"/>
        <v>5.5874245697683093E-4</v>
      </c>
      <c r="H135" s="5">
        <v>28.507999999999999</v>
      </c>
      <c r="I135" s="5">
        <v>12.592000000000001</v>
      </c>
      <c r="J135" s="5">
        <f t="shared" si="19"/>
        <v>17.897333333333332</v>
      </c>
      <c r="K135" s="5">
        <f t="shared" si="20"/>
        <v>1789.7333333333331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  <outlinePr summaryBelow="0"/>
  </sheetPr>
  <dimension ref="B1:N542"/>
  <sheetViews>
    <sheetView workbookViewId="0">
      <selection activeCell="G470" sqref="B42:G470"/>
    </sheetView>
  </sheetViews>
  <sheetFormatPr defaultRowHeight="15" x14ac:dyDescent="0.25"/>
  <cols>
    <col min="1" max="1" width="13.5703125" bestFit="1" customWidth="1"/>
    <col min="2" max="2" width="13.5703125" style="35" bestFit="1" customWidth="1"/>
    <col min="3" max="3" width="13.5703125" bestFit="1" customWidth="1"/>
    <col min="4" max="4" width="21.7109375" style="26" bestFit="1" customWidth="1"/>
    <col min="5" max="5" width="11.85546875" style="2" bestFit="1" customWidth="1"/>
    <col min="6" max="6" width="13.42578125" style="2" bestFit="1" customWidth="1"/>
    <col min="7" max="7" width="15.5703125" style="2" bestFit="1" customWidth="1"/>
    <col min="8" max="8" width="13.5703125" style="13" bestFit="1" customWidth="1"/>
    <col min="9" max="10" width="13.5703125" style="3" bestFit="1" customWidth="1"/>
    <col min="11" max="11" width="11" style="3" bestFit="1" customWidth="1"/>
    <col min="12" max="14" width="13.5703125" style="3" bestFit="1" customWidth="1"/>
  </cols>
  <sheetData>
    <row r="1" spans="2:7" ht="18.75" customHeight="1" x14ac:dyDescent="0.25"/>
    <row r="2" spans="2:7" ht="18.75" customHeight="1" x14ac:dyDescent="0.25">
      <c r="B2" s="35" t="s">
        <v>82</v>
      </c>
      <c r="C2" t="s">
        <v>83</v>
      </c>
      <c r="D2" s="34" t="s">
        <v>85</v>
      </c>
      <c r="E2" s="2" t="s">
        <v>128</v>
      </c>
      <c r="F2" s="2" t="s">
        <v>129</v>
      </c>
      <c r="G2" s="2" t="s">
        <v>130</v>
      </c>
    </row>
    <row r="3" spans="2:7" ht="18.75" customHeight="1" x14ac:dyDescent="0.25">
      <c r="B3" s="36">
        <v>1978</v>
      </c>
      <c r="C3" t="s">
        <v>23</v>
      </c>
      <c r="D3" s="7"/>
      <c r="E3" s="5"/>
      <c r="F3" s="5"/>
    </row>
    <row r="4" spans="2:7" ht="18.75" customHeight="1" x14ac:dyDescent="0.25">
      <c r="B4" s="36">
        <v>1978</v>
      </c>
      <c r="C4" t="s">
        <v>23</v>
      </c>
      <c r="D4" s="7"/>
      <c r="E4" s="5"/>
      <c r="F4" s="5"/>
    </row>
    <row r="5" spans="2:7" ht="18.75" customHeight="1" x14ac:dyDescent="0.25">
      <c r="B5" s="36">
        <v>1978</v>
      </c>
      <c r="C5" t="s">
        <v>23</v>
      </c>
      <c r="D5" s="7"/>
      <c r="E5" s="5"/>
      <c r="F5" s="5"/>
    </row>
    <row r="6" spans="2:7" ht="18.75" customHeight="1" x14ac:dyDescent="0.25">
      <c r="B6" s="36">
        <v>1978</v>
      </c>
      <c r="C6" t="s">
        <v>23</v>
      </c>
      <c r="D6" s="7"/>
      <c r="E6" s="5"/>
      <c r="F6" s="5"/>
    </row>
    <row r="7" spans="2:7" ht="18.75" customHeight="1" x14ac:dyDescent="0.25">
      <c r="B7" s="36">
        <v>1978</v>
      </c>
      <c r="C7" t="s">
        <v>23</v>
      </c>
      <c r="D7" s="7"/>
      <c r="E7" s="5"/>
      <c r="F7" s="5"/>
    </row>
    <row r="8" spans="2:7" ht="18.75" customHeight="1" x14ac:dyDescent="0.25">
      <c r="B8" s="36">
        <v>1978</v>
      </c>
      <c r="C8" t="s">
        <v>23</v>
      </c>
      <c r="D8" s="7"/>
      <c r="E8" s="5"/>
      <c r="F8" s="5"/>
    </row>
    <row r="9" spans="2:7" ht="18.75" customHeight="1" x14ac:dyDescent="0.25">
      <c r="B9" s="36">
        <v>1978</v>
      </c>
      <c r="C9" t="s">
        <v>23</v>
      </c>
      <c r="D9" s="7"/>
      <c r="E9" s="5"/>
      <c r="F9" s="5"/>
    </row>
    <row r="10" spans="2:7" ht="18.75" customHeight="1" x14ac:dyDescent="0.25">
      <c r="B10" s="36">
        <v>1978</v>
      </c>
      <c r="C10" t="s">
        <v>23</v>
      </c>
      <c r="D10" s="7"/>
      <c r="E10" s="5"/>
      <c r="F10" s="5"/>
    </row>
    <row r="11" spans="2:7" ht="18.75" customHeight="1" x14ac:dyDescent="0.25">
      <c r="B11" s="36">
        <v>1978</v>
      </c>
      <c r="C11" t="s">
        <v>23</v>
      </c>
      <c r="D11" s="7"/>
      <c r="E11" s="5"/>
      <c r="F11" s="5"/>
    </row>
    <row r="12" spans="2:7" ht="18.75" customHeight="1" x14ac:dyDescent="0.25">
      <c r="B12" s="36">
        <v>1978</v>
      </c>
      <c r="C12" t="s">
        <v>23</v>
      </c>
      <c r="D12" s="7"/>
      <c r="E12" s="5"/>
      <c r="F12" s="5"/>
    </row>
    <row r="13" spans="2:7" ht="18.75" customHeight="1" x14ac:dyDescent="0.25">
      <c r="B13" s="36">
        <v>1978</v>
      </c>
      <c r="C13" t="s">
        <v>23</v>
      </c>
      <c r="D13" s="7"/>
      <c r="E13" s="5"/>
      <c r="F13" s="5"/>
    </row>
    <row r="14" spans="2:7" ht="18.75" customHeight="1" x14ac:dyDescent="0.25">
      <c r="B14" s="36">
        <v>1978</v>
      </c>
      <c r="C14" t="s">
        <v>23</v>
      </c>
      <c r="D14" s="7"/>
      <c r="E14" s="5"/>
      <c r="F14" s="5"/>
    </row>
    <row r="15" spans="2:7" ht="18.75" customHeight="1" x14ac:dyDescent="0.25">
      <c r="B15" s="36">
        <v>1978</v>
      </c>
      <c r="C15" t="s">
        <v>23</v>
      </c>
      <c r="D15" s="7"/>
      <c r="E15" s="5"/>
      <c r="F15" s="5"/>
    </row>
    <row r="16" spans="2:7" ht="18.75" customHeight="1" x14ac:dyDescent="0.25">
      <c r="B16" s="36">
        <v>1978</v>
      </c>
      <c r="C16" t="s">
        <v>23</v>
      </c>
      <c r="D16" s="7"/>
      <c r="E16" s="5"/>
      <c r="F16" s="5"/>
    </row>
    <row r="17" spans="2:6" ht="18.75" customHeight="1" x14ac:dyDescent="0.25">
      <c r="B17" s="36">
        <v>1978</v>
      </c>
      <c r="C17" t="s">
        <v>23</v>
      </c>
      <c r="D17" s="7"/>
      <c r="E17" s="5"/>
      <c r="F17" s="5"/>
    </row>
    <row r="18" spans="2:6" ht="18.75" customHeight="1" x14ac:dyDescent="0.25">
      <c r="B18" s="36">
        <v>1978</v>
      </c>
      <c r="C18" t="s">
        <v>23</v>
      </c>
      <c r="D18" s="7"/>
      <c r="E18" s="5"/>
      <c r="F18" s="5"/>
    </row>
    <row r="19" spans="2:6" ht="18.75" customHeight="1" x14ac:dyDescent="0.25">
      <c r="B19" s="36">
        <v>1978</v>
      </c>
      <c r="C19" t="s">
        <v>23</v>
      </c>
      <c r="D19" s="7"/>
      <c r="E19" s="5"/>
      <c r="F19" s="5"/>
    </row>
    <row r="20" spans="2:6" ht="18.75" customHeight="1" x14ac:dyDescent="0.25">
      <c r="B20" s="36">
        <v>1978</v>
      </c>
      <c r="C20" t="s">
        <v>23</v>
      </c>
      <c r="D20" s="7"/>
      <c r="E20" s="5"/>
      <c r="F20" s="5"/>
    </row>
    <row r="21" spans="2:6" ht="18.75" customHeight="1" x14ac:dyDescent="0.25">
      <c r="B21" s="36">
        <v>1978</v>
      </c>
      <c r="C21" t="s">
        <v>23</v>
      </c>
      <c r="D21" s="7"/>
      <c r="E21" s="5"/>
      <c r="F21" s="5"/>
    </row>
    <row r="22" spans="2:6" ht="18.75" customHeight="1" x14ac:dyDescent="0.25">
      <c r="B22" s="36">
        <v>1978</v>
      </c>
      <c r="C22" t="s">
        <v>23</v>
      </c>
      <c r="D22" s="7"/>
      <c r="E22" s="5"/>
      <c r="F22" s="5"/>
    </row>
    <row r="23" spans="2:6" ht="18.75" customHeight="1" x14ac:dyDescent="0.25">
      <c r="B23" s="36">
        <v>1978</v>
      </c>
      <c r="C23" t="s">
        <v>23</v>
      </c>
      <c r="D23" s="7"/>
      <c r="E23" s="5"/>
      <c r="F23" s="5"/>
    </row>
    <row r="24" spans="2:6" ht="18.75" customHeight="1" x14ac:dyDescent="0.25">
      <c r="B24" s="36">
        <v>1978</v>
      </c>
      <c r="C24" t="s">
        <v>23</v>
      </c>
      <c r="D24" s="7"/>
      <c r="E24" s="5"/>
      <c r="F24" s="5"/>
    </row>
    <row r="25" spans="2:6" ht="18.75" customHeight="1" x14ac:dyDescent="0.25">
      <c r="B25" s="36">
        <v>1978</v>
      </c>
      <c r="C25" t="s">
        <v>23</v>
      </c>
      <c r="D25" s="7"/>
      <c r="E25" s="5"/>
      <c r="F25" s="5"/>
    </row>
    <row r="26" spans="2:6" ht="18.75" customHeight="1" x14ac:dyDescent="0.25">
      <c r="B26" s="36">
        <v>1978</v>
      </c>
      <c r="C26" t="s">
        <v>23</v>
      </c>
      <c r="D26" s="7"/>
      <c r="E26" s="5"/>
      <c r="F26" s="5"/>
    </row>
    <row r="27" spans="2:6" ht="18.75" customHeight="1" x14ac:dyDescent="0.25">
      <c r="B27" s="36">
        <v>1978</v>
      </c>
      <c r="C27" t="s">
        <v>23</v>
      </c>
      <c r="D27" s="7"/>
      <c r="E27" s="5"/>
      <c r="F27" s="5"/>
    </row>
    <row r="28" spans="2:6" ht="18.75" customHeight="1" x14ac:dyDescent="0.25">
      <c r="B28" s="36">
        <v>1978</v>
      </c>
      <c r="C28" t="s">
        <v>23</v>
      </c>
      <c r="D28" s="7"/>
      <c r="E28" s="5"/>
      <c r="F28" s="5"/>
    </row>
    <row r="29" spans="2:6" ht="18.75" customHeight="1" x14ac:dyDescent="0.25">
      <c r="B29" s="36">
        <v>1978</v>
      </c>
      <c r="C29" t="s">
        <v>23</v>
      </c>
      <c r="D29" s="7"/>
      <c r="E29" s="5"/>
      <c r="F29" s="5"/>
    </row>
    <row r="30" spans="2:6" ht="18.75" customHeight="1" x14ac:dyDescent="0.25">
      <c r="B30" s="36">
        <v>1978</v>
      </c>
      <c r="C30" t="s">
        <v>23</v>
      </c>
      <c r="D30" s="7"/>
      <c r="E30" s="5"/>
      <c r="F30" s="5"/>
    </row>
    <row r="31" spans="2:6" ht="18.75" customHeight="1" x14ac:dyDescent="0.25">
      <c r="B31" s="36">
        <v>1978</v>
      </c>
      <c r="C31" t="s">
        <v>23</v>
      </c>
      <c r="D31" s="7"/>
      <c r="E31" s="5"/>
      <c r="F31" s="5"/>
    </row>
    <row r="32" spans="2:6" ht="18.75" customHeight="1" x14ac:dyDescent="0.25">
      <c r="B32" s="36">
        <v>1978</v>
      </c>
      <c r="C32" t="s">
        <v>23</v>
      </c>
      <c r="D32" s="7"/>
      <c r="E32" s="5"/>
      <c r="F32" s="5"/>
    </row>
    <row r="33" spans="2:7" ht="18.75" customHeight="1" x14ac:dyDescent="0.25">
      <c r="B33" s="36">
        <v>1978</v>
      </c>
      <c r="C33" t="s">
        <v>23</v>
      </c>
      <c r="D33" s="7"/>
      <c r="E33" s="5"/>
      <c r="F33" s="5"/>
    </row>
    <row r="34" spans="2:7" ht="18.75" customHeight="1" x14ac:dyDescent="0.25">
      <c r="B34" s="36">
        <v>1978</v>
      </c>
      <c r="C34" t="s">
        <v>23</v>
      </c>
      <c r="D34" s="7"/>
      <c r="E34" s="5"/>
      <c r="F34" s="5"/>
    </row>
    <row r="35" spans="2:7" ht="18.75" customHeight="1" x14ac:dyDescent="0.25">
      <c r="B35" s="36">
        <v>1978</v>
      </c>
      <c r="C35" t="s">
        <v>23</v>
      </c>
      <c r="D35" s="7"/>
      <c r="E35" s="5"/>
      <c r="F35" s="5"/>
    </row>
    <row r="36" spans="2:7" ht="18.75" customHeight="1" x14ac:dyDescent="0.25">
      <c r="B36" s="36">
        <v>1978</v>
      </c>
      <c r="C36" t="s">
        <v>23</v>
      </c>
      <c r="D36" s="7"/>
      <c r="E36" s="5"/>
      <c r="F36" s="5"/>
    </row>
    <row r="37" spans="2:7" ht="18.75" customHeight="1" x14ac:dyDescent="0.25">
      <c r="B37" s="36">
        <v>1978</v>
      </c>
      <c r="C37" t="s">
        <v>23</v>
      </c>
      <c r="D37" s="7"/>
      <c r="E37" s="5"/>
      <c r="F37" s="5"/>
    </row>
    <row r="38" spans="2:7" ht="18.75" customHeight="1" x14ac:dyDescent="0.25">
      <c r="B38" s="36">
        <v>1978</v>
      </c>
      <c r="C38" t="s">
        <v>23</v>
      </c>
      <c r="D38" s="7"/>
      <c r="E38" s="5"/>
      <c r="F38" s="5"/>
    </row>
    <row r="39" spans="2:7" ht="18.75" customHeight="1" x14ac:dyDescent="0.25">
      <c r="B39" s="36">
        <v>1978</v>
      </c>
      <c r="C39" t="s">
        <v>23</v>
      </c>
      <c r="D39" s="7"/>
      <c r="E39" s="5"/>
      <c r="F39" s="5"/>
    </row>
    <row r="40" spans="2:7" ht="18.75" customHeight="1" x14ac:dyDescent="0.25">
      <c r="B40" s="36">
        <v>1978</v>
      </c>
      <c r="C40" t="s">
        <v>23</v>
      </c>
      <c r="D40" s="7"/>
      <c r="E40" s="5"/>
      <c r="F40" s="5"/>
    </row>
    <row r="41" spans="2:7" ht="18.75" customHeight="1" x14ac:dyDescent="0.25">
      <c r="B41" s="36">
        <v>1978</v>
      </c>
      <c r="C41" t="s">
        <v>23</v>
      </c>
      <c r="D41" s="7"/>
      <c r="E41" s="5"/>
      <c r="F41" s="5"/>
    </row>
    <row r="42" spans="2:7" ht="18.75" customHeight="1" x14ac:dyDescent="0.25">
      <c r="B42" s="36"/>
      <c r="D42" s="7"/>
      <c r="E42" s="5"/>
      <c r="G42" s="5"/>
    </row>
    <row r="43" spans="2:7" ht="18.75" customHeight="1" x14ac:dyDescent="0.25">
      <c r="B43" s="36"/>
      <c r="D43" s="7"/>
      <c r="E43" s="5"/>
      <c r="G43" s="5"/>
    </row>
    <row r="44" spans="2:7" ht="18.75" customHeight="1" x14ac:dyDescent="0.25">
      <c r="B44" s="36"/>
      <c r="D44" s="7"/>
      <c r="E44" s="5"/>
      <c r="G44" s="5"/>
    </row>
    <row r="45" spans="2:7" ht="18.75" customHeight="1" x14ac:dyDescent="0.25">
      <c r="B45" s="36"/>
      <c r="D45" s="7"/>
      <c r="E45" s="5"/>
      <c r="G45" s="5"/>
    </row>
    <row r="46" spans="2:7" ht="18.75" customHeight="1" x14ac:dyDescent="0.25">
      <c r="B46" s="36"/>
      <c r="D46" s="7"/>
      <c r="E46" s="5"/>
      <c r="G46" s="5"/>
    </row>
    <row r="47" spans="2:7" ht="18.75" customHeight="1" x14ac:dyDescent="0.25">
      <c r="B47" s="36"/>
      <c r="D47" s="7"/>
      <c r="E47" s="5"/>
      <c r="G47" s="5"/>
    </row>
    <row r="48" spans="2:7" ht="18.75" customHeight="1" x14ac:dyDescent="0.25">
      <c r="B48" s="36"/>
      <c r="D48" s="7"/>
      <c r="E48" s="5"/>
      <c r="G48" s="5"/>
    </row>
    <row r="49" spans="2:7" ht="18.75" customHeight="1" x14ac:dyDescent="0.25">
      <c r="B49" s="36"/>
      <c r="D49" s="7"/>
      <c r="E49" s="5"/>
      <c r="G49" s="5"/>
    </row>
    <row r="50" spans="2:7" ht="18.75" customHeight="1" x14ac:dyDescent="0.25">
      <c r="B50" s="36"/>
      <c r="D50" s="7"/>
      <c r="E50" s="5"/>
      <c r="G50" s="5"/>
    </row>
    <row r="51" spans="2:7" ht="18.75" customHeight="1" x14ac:dyDescent="0.25">
      <c r="B51" s="36"/>
      <c r="D51" s="7"/>
      <c r="E51" s="5"/>
      <c r="G51" s="5"/>
    </row>
    <row r="52" spans="2:7" ht="18.75" customHeight="1" x14ac:dyDescent="0.25">
      <c r="B52" s="36"/>
      <c r="D52" s="7"/>
      <c r="E52" s="5"/>
      <c r="G52" s="5"/>
    </row>
    <row r="53" spans="2:7" ht="18.75" customHeight="1" x14ac:dyDescent="0.25">
      <c r="B53" s="36"/>
      <c r="D53" s="7"/>
      <c r="E53" s="5"/>
      <c r="G53" s="6"/>
    </row>
    <row r="54" spans="2:7" ht="18.75" customHeight="1" x14ac:dyDescent="0.25">
      <c r="B54" s="36"/>
      <c r="D54" s="7"/>
      <c r="E54" s="5"/>
      <c r="G54" s="5"/>
    </row>
    <row r="55" spans="2:7" ht="18.75" customHeight="1" x14ac:dyDescent="0.25">
      <c r="B55" s="36"/>
      <c r="D55" s="7"/>
      <c r="E55" s="5"/>
      <c r="G55" s="5"/>
    </row>
    <row r="56" spans="2:7" ht="18.75" customHeight="1" x14ac:dyDescent="0.25">
      <c r="B56" s="36"/>
      <c r="D56" s="7"/>
      <c r="E56" s="5"/>
      <c r="G56" s="5"/>
    </row>
    <row r="57" spans="2:7" ht="18.75" customHeight="1" x14ac:dyDescent="0.25">
      <c r="B57" s="36"/>
      <c r="D57" s="7"/>
      <c r="E57" s="5"/>
      <c r="G57" s="5"/>
    </row>
    <row r="58" spans="2:7" ht="18.75" customHeight="1" x14ac:dyDescent="0.25">
      <c r="B58" s="36"/>
      <c r="D58" s="7"/>
      <c r="E58" s="5"/>
      <c r="G58" s="5"/>
    </row>
    <row r="59" spans="2:7" ht="18.75" customHeight="1" x14ac:dyDescent="0.25">
      <c r="B59" s="36"/>
      <c r="D59" s="7"/>
      <c r="E59" s="5"/>
      <c r="G59" s="5"/>
    </row>
    <row r="60" spans="2:7" ht="18.75" customHeight="1" x14ac:dyDescent="0.25">
      <c r="B60" s="36"/>
      <c r="D60" s="7"/>
      <c r="E60" s="5"/>
      <c r="G60" s="5"/>
    </row>
    <row r="61" spans="2:7" ht="18.75" customHeight="1" x14ac:dyDescent="0.25">
      <c r="B61" s="36"/>
      <c r="D61" s="7"/>
      <c r="E61" s="5"/>
      <c r="G61" s="5"/>
    </row>
    <row r="62" spans="2:7" ht="18.75" customHeight="1" x14ac:dyDescent="0.25">
      <c r="B62" s="36"/>
      <c r="D62" s="7"/>
      <c r="E62" s="5"/>
      <c r="G62" s="5"/>
    </row>
    <row r="63" spans="2:7" ht="18.75" customHeight="1" x14ac:dyDescent="0.25">
      <c r="B63" s="36"/>
      <c r="D63" s="7"/>
      <c r="E63" s="5"/>
      <c r="G63" s="5"/>
    </row>
    <row r="64" spans="2:7" ht="18.75" customHeight="1" x14ac:dyDescent="0.25">
      <c r="B64" s="36"/>
      <c r="D64" s="7"/>
      <c r="E64" s="5"/>
      <c r="G64" s="5"/>
    </row>
    <row r="65" spans="2:7" ht="18.75" customHeight="1" x14ac:dyDescent="0.25">
      <c r="B65" s="36"/>
      <c r="D65" s="7"/>
      <c r="E65" s="5"/>
      <c r="G65" s="5"/>
    </row>
    <row r="66" spans="2:7" ht="18.75" customHeight="1" x14ac:dyDescent="0.25">
      <c r="B66" s="36"/>
      <c r="D66" s="7"/>
      <c r="E66" s="5"/>
      <c r="G66" s="5"/>
    </row>
    <row r="67" spans="2:7" ht="18.75" customHeight="1" x14ac:dyDescent="0.25">
      <c r="B67" s="36"/>
      <c r="D67" s="7"/>
      <c r="E67" s="5"/>
      <c r="F67" s="5"/>
    </row>
    <row r="68" spans="2:7" ht="18.75" customHeight="1" x14ac:dyDescent="0.25">
      <c r="B68" s="36"/>
      <c r="D68" s="7"/>
      <c r="E68" s="5"/>
      <c r="F68" s="5"/>
    </row>
    <row r="69" spans="2:7" ht="18.75" customHeight="1" x14ac:dyDescent="0.25">
      <c r="B69" s="36"/>
      <c r="D69" s="7"/>
      <c r="E69" s="5"/>
      <c r="F69" s="5"/>
    </row>
    <row r="70" spans="2:7" ht="18.75" customHeight="1" x14ac:dyDescent="0.25">
      <c r="B70" s="36"/>
      <c r="D70" s="7"/>
      <c r="E70" s="5"/>
      <c r="F70" s="5"/>
    </row>
    <row r="71" spans="2:7" ht="18.75" customHeight="1" x14ac:dyDescent="0.25">
      <c r="B71" s="36"/>
      <c r="D71" s="7"/>
      <c r="E71" s="5"/>
      <c r="F71" s="5"/>
    </row>
    <row r="72" spans="2:7" ht="18.75" customHeight="1" x14ac:dyDescent="0.25">
      <c r="B72" s="36"/>
      <c r="D72" s="7"/>
      <c r="E72" s="5"/>
      <c r="F72" s="5"/>
    </row>
    <row r="73" spans="2:7" ht="18.75" customHeight="1" x14ac:dyDescent="0.25">
      <c r="B73" s="36"/>
      <c r="D73" s="7"/>
      <c r="E73" s="5"/>
      <c r="F73" s="5"/>
    </row>
    <row r="74" spans="2:7" ht="18.75" customHeight="1" x14ac:dyDescent="0.25">
      <c r="B74" s="36"/>
      <c r="D74" s="7"/>
      <c r="E74" s="5"/>
      <c r="F74" s="5"/>
    </row>
    <row r="75" spans="2:7" ht="18.75" customHeight="1" x14ac:dyDescent="0.25">
      <c r="B75" s="36"/>
      <c r="D75" s="7"/>
      <c r="E75" s="5"/>
      <c r="F75" s="5"/>
    </row>
    <row r="76" spans="2:7" ht="18.75" customHeight="1" x14ac:dyDescent="0.25">
      <c r="B76" s="36"/>
      <c r="D76" s="7"/>
      <c r="E76" s="5"/>
      <c r="F76" s="5"/>
    </row>
    <row r="77" spans="2:7" ht="18.75" customHeight="1" x14ac:dyDescent="0.25">
      <c r="B77" s="36"/>
      <c r="D77" s="7"/>
      <c r="E77" s="5"/>
      <c r="F77" s="5"/>
    </row>
    <row r="78" spans="2:7" ht="18.75" customHeight="1" x14ac:dyDescent="0.25">
      <c r="B78" s="36"/>
      <c r="D78" s="7"/>
      <c r="E78" s="5"/>
      <c r="F78" s="5"/>
    </row>
    <row r="79" spans="2:7" ht="18.75" customHeight="1" x14ac:dyDescent="0.25">
      <c r="B79" s="36"/>
      <c r="D79" s="7"/>
      <c r="E79" s="5"/>
      <c r="F79" s="5"/>
    </row>
    <row r="80" spans="2:7" ht="18.75" customHeight="1" x14ac:dyDescent="0.25">
      <c r="B80" s="36"/>
      <c r="D80" s="7"/>
      <c r="E80" s="5"/>
      <c r="F80" s="5"/>
    </row>
    <row r="81" spans="2:6" ht="18.75" customHeight="1" x14ac:dyDescent="0.25">
      <c r="B81" s="36"/>
      <c r="D81" s="7"/>
      <c r="E81" s="5"/>
      <c r="F81" s="5"/>
    </row>
    <row r="82" spans="2:6" ht="18.75" customHeight="1" x14ac:dyDescent="0.25">
      <c r="B82" s="36"/>
      <c r="D82" s="7"/>
      <c r="E82" s="5"/>
      <c r="F82" s="5"/>
    </row>
    <row r="83" spans="2:6" ht="18.75" customHeight="1" x14ac:dyDescent="0.25">
      <c r="B83" s="36"/>
      <c r="D83" s="7"/>
      <c r="E83" s="5"/>
      <c r="F83" s="5"/>
    </row>
    <row r="84" spans="2:6" ht="18.75" customHeight="1" x14ac:dyDescent="0.25">
      <c r="B84" s="36"/>
      <c r="D84" s="7"/>
      <c r="E84" s="5"/>
      <c r="F84" s="5"/>
    </row>
    <row r="85" spans="2:6" ht="18.75" customHeight="1" x14ac:dyDescent="0.25">
      <c r="B85" s="36"/>
      <c r="D85" s="7"/>
      <c r="E85" s="5"/>
      <c r="F85" s="5"/>
    </row>
    <row r="86" spans="2:6" ht="18.75" customHeight="1" x14ac:dyDescent="0.25">
      <c r="B86" s="36"/>
      <c r="D86" s="7"/>
      <c r="E86" s="5"/>
      <c r="F86" s="5"/>
    </row>
    <row r="87" spans="2:6" ht="18.75" customHeight="1" x14ac:dyDescent="0.25">
      <c r="B87" s="36"/>
      <c r="D87" s="7"/>
      <c r="E87" s="5"/>
      <c r="F87" s="5"/>
    </row>
    <row r="88" spans="2:6" ht="18.75" customHeight="1" x14ac:dyDescent="0.25">
      <c r="B88" s="36"/>
      <c r="D88" s="7"/>
      <c r="E88" s="5"/>
      <c r="F88" s="5"/>
    </row>
    <row r="89" spans="2:6" ht="18.75" customHeight="1" x14ac:dyDescent="0.25">
      <c r="B89" s="36"/>
      <c r="D89" s="7"/>
      <c r="E89" s="5"/>
      <c r="F89" s="5"/>
    </row>
    <row r="90" spans="2:6" ht="18.75" customHeight="1" x14ac:dyDescent="0.25">
      <c r="B90" s="36"/>
      <c r="D90" s="7"/>
      <c r="E90" s="5"/>
      <c r="F90" s="5"/>
    </row>
    <row r="91" spans="2:6" ht="18.75" customHeight="1" x14ac:dyDescent="0.25">
      <c r="B91" s="36"/>
      <c r="D91" s="7"/>
      <c r="E91" s="5"/>
      <c r="F91" s="5"/>
    </row>
    <row r="92" spans="2:6" ht="18.75" customHeight="1" x14ac:dyDescent="0.25">
      <c r="B92" s="36"/>
      <c r="D92" s="7"/>
      <c r="E92" s="5"/>
      <c r="F92" s="5"/>
    </row>
    <row r="93" spans="2:6" ht="18.75" customHeight="1" x14ac:dyDescent="0.25">
      <c r="B93" s="36"/>
      <c r="D93" s="7"/>
      <c r="E93" s="5"/>
      <c r="F93" s="5"/>
    </row>
    <row r="94" spans="2:6" ht="18.75" customHeight="1" x14ac:dyDescent="0.25">
      <c r="B94" s="36"/>
      <c r="D94" s="7"/>
      <c r="E94" s="5"/>
      <c r="F94" s="5"/>
    </row>
    <row r="95" spans="2:6" ht="18.75" customHeight="1" x14ac:dyDescent="0.25">
      <c r="B95" s="36"/>
      <c r="D95" s="7"/>
      <c r="E95" s="5"/>
      <c r="F95" s="5"/>
    </row>
    <row r="96" spans="2:6" ht="18.75" customHeight="1" x14ac:dyDescent="0.25">
      <c r="B96" s="36"/>
      <c r="D96" s="7"/>
      <c r="E96" s="5"/>
      <c r="F96" s="5"/>
    </row>
    <row r="97" spans="2:6" ht="18.75" customHeight="1" x14ac:dyDescent="0.25">
      <c r="B97" s="36"/>
      <c r="D97" s="7"/>
      <c r="E97" s="5"/>
      <c r="F97" s="5"/>
    </row>
    <row r="98" spans="2:6" ht="18.75" customHeight="1" x14ac:dyDescent="0.25">
      <c r="B98" s="36"/>
      <c r="D98" s="7"/>
      <c r="E98" s="5"/>
      <c r="F98" s="5"/>
    </row>
    <row r="99" spans="2:6" ht="18.75" customHeight="1" x14ac:dyDescent="0.25">
      <c r="B99" s="36"/>
      <c r="D99" s="7"/>
      <c r="E99" s="5"/>
      <c r="F99" s="5"/>
    </row>
    <row r="100" spans="2:6" ht="18.75" customHeight="1" x14ac:dyDescent="0.25">
      <c r="B100" s="36"/>
      <c r="D100" s="7"/>
      <c r="E100" s="5"/>
      <c r="F100" s="5"/>
    </row>
    <row r="101" spans="2:6" ht="18.75" customHeight="1" x14ac:dyDescent="0.25">
      <c r="B101" s="36"/>
      <c r="D101" s="7"/>
      <c r="E101" s="5"/>
      <c r="F101" s="5"/>
    </row>
    <row r="102" spans="2:6" ht="18.75" customHeight="1" x14ac:dyDescent="0.25">
      <c r="B102" s="36"/>
      <c r="D102" s="7"/>
      <c r="E102" s="5"/>
      <c r="F102" s="5"/>
    </row>
    <row r="103" spans="2:6" ht="18.75" customHeight="1" x14ac:dyDescent="0.25">
      <c r="B103" s="36"/>
      <c r="D103" s="7"/>
      <c r="E103" s="5"/>
      <c r="F103" s="5"/>
    </row>
    <row r="104" spans="2:6" ht="18.75" customHeight="1" x14ac:dyDescent="0.25">
      <c r="B104" s="36"/>
      <c r="D104" s="7"/>
      <c r="E104" s="5"/>
      <c r="F104" s="5"/>
    </row>
    <row r="105" spans="2:6" ht="18.75" customHeight="1" x14ac:dyDescent="0.25">
      <c r="B105" s="36"/>
      <c r="D105" s="7"/>
      <c r="E105" s="5"/>
      <c r="F105" s="5"/>
    </row>
    <row r="106" spans="2:6" ht="18.75" customHeight="1" x14ac:dyDescent="0.25">
      <c r="B106" s="36"/>
      <c r="D106" s="7"/>
      <c r="E106" s="5"/>
      <c r="F106" s="5"/>
    </row>
    <row r="107" spans="2:6" ht="18.75" customHeight="1" x14ac:dyDescent="0.25">
      <c r="B107" s="36"/>
      <c r="D107" s="7"/>
      <c r="E107" s="5"/>
      <c r="F107" s="5"/>
    </row>
    <row r="108" spans="2:6" ht="18.75" customHeight="1" x14ac:dyDescent="0.25">
      <c r="B108" s="36"/>
      <c r="D108" s="7"/>
      <c r="E108" s="5"/>
      <c r="F108" s="5"/>
    </row>
    <row r="109" spans="2:6" ht="18.75" customHeight="1" x14ac:dyDescent="0.25">
      <c r="B109" s="36"/>
      <c r="D109" s="7"/>
      <c r="E109" s="5"/>
      <c r="F109" s="5"/>
    </row>
    <row r="110" spans="2:6" ht="18.75" customHeight="1" x14ac:dyDescent="0.25">
      <c r="B110" s="36"/>
      <c r="D110" s="7"/>
      <c r="E110" s="5"/>
      <c r="F110" s="5"/>
    </row>
    <row r="111" spans="2:6" ht="18.75" customHeight="1" x14ac:dyDescent="0.25">
      <c r="B111" s="36"/>
      <c r="D111" s="7"/>
      <c r="E111" s="5"/>
      <c r="F111" s="5"/>
    </row>
    <row r="112" spans="2:6" ht="18.75" customHeight="1" x14ac:dyDescent="0.25">
      <c r="B112" s="36"/>
      <c r="D112" s="7"/>
      <c r="E112" s="5"/>
      <c r="F112" s="5"/>
    </row>
    <row r="113" spans="2:6" ht="18.75" customHeight="1" x14ac:dyDescent="0.25">
      <c r="B113" s="36"/>
      <c r="D113" s="7"/>
      <c r="E113" s="5"/>
      <c r="F113" s="5"/>
    </row>
    <row r="114" spans="2:6" ht="18.75" customHeight="1" x14ac:dyDescent="0.25">
      <c r="B114" s="36"/>
      <c r="D114" s="7"/>
      <c r="E114" s="5"/>
      <c r="F114" s="5"/>
    </row>
    <row r="115" spans="2:6" ht="18.75" customHeight="1" x14ac:dyDescent="0.25">
      <c r="B115" s="36"/>
      <c r="D115" s="7"/>
      <c r="E115" s="5"/>
      <c r="F115" s="5"/>
    </row>
    <row r="116" spans="2:6" ht="18.75" customHeight="1" x14ac:dyDescent="0.25">
      <c r="B116" s="36"/>
      <c r="D116" s="7"/>
      <c r="E116" s="5"/>
      <c r="F116" s="5"/>
    </row>
    <row r="117" spans="2:6" ht="18.75" customHeight="1" x14ac:dyDescent="0.25">
      <c r="B117" s="36"/>
      <c r="D117" s="7"/>
      <c r="E117" s="5"/>
      <c r="F117" s="5"/>
    </row>
    <row r="118" spans="2:6" ht="18.75" customHeight="1" x14ac:dyDescent="0.25">
      <c r="B118" s="36"/>
      <c r="D118" s="7"/>
      <c r="E118" s="5"/>
      <c r="F118" s="5"/>
    </row>
    <row r="119" spans="2:6" ht="18.75" customHeight="1" x14ac:dyDescent="0.25">
      <c r="B119" s="36"/>
      <c r="D119" s="7"/>
      <c r="E119" s="5"/>
      <c r="F119" s="5"/>
    </row>
    <row r="120" spans="2:6" ht="18.75" customHeight="1" x14ac:dyDescent="0.25">
      <c r="B120" s="36"/>
      <c r="D120" s="7"/>
      <c r="E120" s="5"/>
      <c r="F120" s="5"/>
    </row>
    <row r="121" spans="2:6" ht="18.75" customHeight="1" x14ac:dyDescent="0.25">
      <c r="B121" s="36"/>
      <c r="D121" s="7"/>
      <c r="E121" s="5"/>
      <c r="F121" s="5"/>
    </row>
    <row r="122" spans="2:6" ht="18.75" customHeight="1" x14ac:dyDescent="0.25">
      <c r="B122" s="36"/>
      <c r="D122" s="7"/>
      <c r="E122" s="5"/>
      <c r="F122" s="5"/>
    </row>
    <row r="123" spans="2:6" ht="18.75" customHeight="1" x14ac:dyDescent="0.25">
      <c r="B123" s="36"/>
      <c r="D123" s="7"/>
      <c r="E123" s="5"/>
      <c r="F123" s="5"/>
    </row>
    <row r="124" spans="2:6" ht="18.75" customHeight="1" x14ac:dyDescent="0.25">
      <c r="B124" s="36"/>
      <c r="D124" s="7"/>
      <c r="E124" s="5"/>
      <c r="F124" s="5"/>
    </row>
    <row r="125" spans="2:6" ht="18.75" customHeight="1" x14ac:dyDescent="0.25">
      <c r="B125" s="36"/>
      <c r="D125" s="7"/>
      <c r="E125" s="5"/>
      <c r="F125" s="5"/>
    </row>
    <row r="126" spans="2:6" ht="18.75" customHeight="1" x14ac:dyDescent="0.25">
      <c r="B126" s="36"/>
      <c r="D126" s="7"/>
      <c r="E126" s="5"/>
      <c r="F126" s="5"/>
    </row>
    <row r="127" spans="2:6" ht="18.75" customHeight="1" x14ac:dyDescent="0.25">
      <c r="B127" s="36"/>
      <c r="D127" s="7"/>
      <c r="E127" s="5"/>
      <c r="F127" s="5"/>
    </row>
    <row r="128" spans="2:6" ht="18.75" customHeight="1" x14ac:dyDescent="0.25">
      <c r="B128" s="36"/>
      <c r="D128" s="7"/>
      <c r="E128" s="5"/>
      <c r="F128" s="5"/>
    </row>
    <row r="129" spans="2:7" ht="18.75" customHeight="1" x14ac:dyDescent="0.25">
      <c r="B129" s="36"/>
      <c r="D129" s="7"/>
      <c r="E129" s="5"/>
      <c r="F129" s="5"/>
    </row>
    <row r="130" spans="2:7" ht="18.75" customHeight="1" x14ac:dyDescent="0.25">
      <c r="B130" s="36"/>
      <c r="D130" s="7"/>
      <c r="E130" s="5"/>
      <c r="F130" s="5"/>
    </row>
    <row r="131" spans="2:7" ht="18.75" customHeight="1" x14ac:dyDescent="0.25">
      <c r="B131" s="36"/>
      <c r="D131" s="7"/>
      <c r="E131" s="5"/>
      <c r="F131" s="5"/>
    </row>
    <row r="132" spans="2:7" ht="18.75" customHeight="1" x14ac:dyDescent="0.25">
      <c r="B132" s="36"/>
      <c r="D132" s="7"/>
      <c r="E132" s="5"/>
      <c r="F132" s="5"/>
    </row>
    <row r="133" spans="2:7" ht="18.75" customHeight="1" x14ac:dyDescent="0.25">
      <c r="B133" s="36"/>
      <c r="D133" s="7"/>
      <c r="E133" s="5"/>
      <c r="F133" s="5"/>
    </row>
    <row r="134" spans="2:7" ht="18.75" customHeight="1" x14ac:dyDescent="0.25">
      <c r="B134" s="36"/>
      <c r="D134" s="7"/>
      <c r="E134" s="5"/>
      <c r="F134" s="5"/>
    </row>
    <row r="135" spans="2:7" ht="18.75" customHeight="1" x14ac:dyDescent="0.25">
      <c r="B135" s="36"/>
      <c r="D135" s="7"/>
      <c r="E135" s="5"/>
      <c r="F135" s="5"/>
    </row>
    <row r="136" spans="2:7" ht="18.75" customHeight="1" x14ac:dyDescent="0.25">
      <c r="B136" s="36"/>
      <c r="D136" s="7"/>
      <c r="E136" s="5"/>
      <c r="F136" s="5"/>
    </row>
    <row r="137" spans="2:7" ht="18.75" customHeight="1" x14ac:dyDescent="0.25">
      <c r="B137" s="36"/>
      <c r="D137" s="7"/>
      <c r="E137" s="5"/>
      <c r="F137" s="5"/>
      <c r="G137" s="5"/>
    </row>
    <row r="138" spans="2:7" ht="18.75" customHeight="1" x14ac:dyDescent="0.25">
      <c r="B138" s="36"/>
      <c r="D138" s="7"/>
      <c r="E138" s="5"/>
      <c r="F138" s="5"/>
      <c r="G138" s="5"/>
    </row>
    <row r="139" spans="2:7" ht="18.75" customHeight="1" x14ac:dyDescent="0.25">
      <c r="B139" s="36"/>
      <c r="D139" s="7"/>
      <c r="E139" s="5"/>
      <c r="F139" s="5"/>
      <c r="G139" s="6"/>
    </row>
    <row r="140" spans="2:7" ht="18.75" customHeight="1" x14ac:dyDescent="0.25">
      <c r="B140" s="36"/>
      <c r="D140" s="7"/>
      <c r="E140" s="5"/>
      <c r="F140" s="5"/>
      <c r="G140" s="5"/>
    </row>
    <row r="141" spans="2:7" ht="18.75" customHeight="1" x14ac:dyDescent="0.25">
      <c r="B141" s="36"/>
      <c r="D141" s="7"/>
      <c r="E141" s="5"/>
      <c r="F141" s="5"/>
      <c r="G141" s="5"/>
    </row>
    <row r="142" spans="2:7" ht="18.75" customHeight="1" x14ac:dyDescent="0.25">
      <c r="B142" s="36"/>
      <c r="D142" s="7"/>
      <c r="E142" s="5"/>
      <c r="F142" s="5"/>
      <c r="G142" s="5"/>
    </row>
    <row r="143" spans="2:7" ht="18.75" customHeight="1" x14ac:dyDescent="0.25">
      <c r="B143" s="36"/>
      <c r="D143" s="7"/>
      <c r="E143" s="5"/>
      <c r="F143" s="5"/>
      <c r="G143" s="6"/>
    </row>
    <row r="144" spans="2:7" ht="18.75" customHeight="1" x14ac:dyDescent="0.25">
      <c r="B144" s="36"/>
      <c r="D144" s="7"/>
      <c r="E144" s="5"/>
      <c r="F144" s="5"/>
      <c r="G144" s="5"/>
    </row>
    <row r="145" spans="2:7" ht="18.75" customHeight="1" x14ac:dyDescent="0.25">
      <c r="B145" s="36"/>
      <c r="D145" s="7"/>
      <c r="E145" s="5"/>
      <c r="F145" s="5"/>
      <c r="G145" s="5"/>
    </row>
    <row r="146" spans="2:7" ht="18.75" customHeight="1" x14ac:dyDescent="0.25">
      <c r="B146" s="36"/>
      <c r="D146" s="7"/>
      <c r="E146" s="5"/>
      <c r="F146" s="5"/>
      <c r="G146" s="5"/>
    </row>
    <row r="147" spans="2:7" ht="18.75" customHeight="1" x14ac:dyDescent="0.25">
      <c r="B147" s="36"/>
      <c r="D147" s="7"/>
      <c r="E147" s="5"/>
      <c r="F147" s="5"/>
      <c r="G147" s="5"/>
    </row>
    <row r="148" spans="2:7" ht="18.75" customHeight="1" x14ac:dyDescent="0.25">
      <c r="B148" s="36"/>
      <c r="D148" s="7"/>
      <c r="E148" s="5"/>
      <c r="G148" s="5"/>
    </row>
    <row r="149" spans="2:7" ht="18.75" customHeight="1" x14ac:dyDescent="0.25">
      <c r="B149" s="36"/>
      <c r="D149" s="7"/>
      <c r="E149" s="5"/>
      <c r="G149" s="6"/>
    </row>
    <row r="150" spans="2:7" ht="18.75" customHeight="1" x14ac:dyDescent="0.25">
      <c r="B150" s="36"/>
      <c r="D150" s="7"/>
      <c r="E150" s="5"/>
      <c r="G150" s="5"/>
    </row>
    <row r="151" spans="2:7" ht="18.75" customHeight="1" x14ac:dyDescent="0.25">
      <c r="B151" s="36"/>
      <c r="D151" s="7"/>
      <c r="E151" s="5"/>
      <c r="G151" s="6"/>
    </row>
    <row r="152" spans="2:7" ht="18.75" customHeight="1" x14ac:dyDescent="0.25">
      <c r="B152" s="36"/>
      <c r="D152" s="7"/>
      <c r="E152" s="5"/>
      <c r="G152" s="5"/>
    </row>
    <row r="153" spans="2:7" ht="18.75" customHeight="1" x14ac:dyDescent="0.25">
      <c r="B153" s="36"/>
      <c r="D153" s="7"/>
      <c r="E153" s="5"/>
      <c r="G153" s="5"/>
    </row>
    <row r="154" spans="2:7" ht="18.75" customHeight="1" x14ac:dyDescent="0.25">
      <c r="B154" s="36"/>
      <c r="D154" s="7"/>
      <c r="E154" s="5"/>
      <c r="G154" s="5"/>
    </row>
    <row r="155" spans="2:7" ht="18.75" customHeight="1" x14ac:dyDescent="0.25">
      <c r="B155" s="36"/>
      <c r="D155" s="7"/>
      <c r="E155" s="5"/>
      <c r="G155" s="5"/>
    </row>
    <row r="156" spans="2:7" ht="18.75" customHeight="1" x14ac:dyDescent="0.25">
      <c r="B156" s="36"/>
      <c r="D156" s="7"/>
      <c r="E156" s="5"/>
      <c r="G156" s="5"/>
    </row>
    <row r="157" spans="2:7" ht="18.75" customHeight="1" x14ac:dyDescent="0.25">
      <c r="B157" s="36"/>
      <c r="D157" s="7"/>
      <c r="E157" s="5"/>
      <c r="G157" s="5"/>
    </row>
    <row r="158" spans="2:7" ht="18.75" customHeight="1" x14ac:dyDescent="0.25">
      <c r="B158" s="36"/>
      <c r="D158" s="7"/>
      <c r="E158" s="5"/>
      <c r="G158" s="6"/>
    </row>
    <row r="159" spans="2:7" ht="18.75" customHeight="1" x14ac:dyDescent="0.25">
      <c r="B159" s="36"/>
      <c r="D159" s="7"/>
      <c r="E159" s="5"/>
      <c r="G159" s="5"/>
    </row>
    <row r="160" spans="2:7" ht="18.75" customHeight="1" x14ac:dyDescent="0.25">
      <c r="B160" s="36"/>
      <c r="D160" s="7"/>
      <c r="E160" s="5"/>
      <c r="G160" s="5"/>
    </row>
    <row r="161" spans="2:7" ht="18.75" customHeight="1" x14ac:dyDescent="0.25">
      <c r="B161" s="36"/>
      <c r="D161" s="7"/>
      <c r="E161" s="5"/>
      <c r="G161" s="6"/>
    </row>
    <row r="162" spans="2:7" ht="18.75" customHeight="1" x14ac:dyDescent="0.25">
      <c r="B162" s="36"/>
      <c r="D162" s="7"/>
      <c r="E162" s="5"/>
      <c r="G162" s="6"/>
    </row>
    <row r="163" spans="2:7" ht="18.75" customHeight="1" x14ac:dyDescent="0.25">
      <c r="B163" s="36"/>
      <c r="D163" s="7"/>
      <c r="E163" s="5"/>
      <c r="G163" s="6"/>
    </row>
    <row r="164" spans="2:7" ht="18.75" customHeight="1" x14ac:dyDescent="0.25">
      <c r="B164" s="36"/>
      <c r="D164" s="7"/>
      <c r="E164" s="5"/>
      <c r="G164" s="6"/>
    </row>
    <row r="165" spans="2:7" ht="18.75" customHeight="1" x14ac:dyDescent="0.25">
      <c r="B165" s="36"/>
      <c r="D165" s="7"/>
      <c r="E165" s="5"/>
      <c r="G165" s="6"/>
    </row>
    <row r="166" spans="2:7" ht="18.75" customHeight="1" x14ac:dyDescent="0.25">
      <c r="B166" s="36"/>
      <c r="D166" s="7"/>
      <c r="E166" s="5"/>
      <c r="G166" s="6"/>
    </row>
    <row r="167" spans="2:7" ht="18.75" customHeight="1" x14ac:dyDescent="0.25">
      <c r="B167" s="36"/>
      <c r="D167" s="7"/>
      <c r="E167" s="5"/>
      <c r="G167" s="6"/>
    </row>
    <row r="168" spans="2:7" ht="18.75" customHeight="1" x14ac:dyDescent="0.25">
      <c r="B168" s="36"/>
      <c r="D168" s="7"/>
      <c r="E168" s="5"/>
      <c r="G168" s="6"/>
    </row>
    <row r="169" spans="2:7" ht="18.75" customHeight="1" x14ac:dyDescent="0.25">
      <c r="B169" s="36"/>
      <c r="D169" s="7"/>
      <c r="E169" s="5"/>
      <c r="G169" s="5"/>
    </row>
    <row r="170" spans="2:7" ht="18.75" customHeight="1" x14ac:dyDescent="0.25">
      <c r="B170" s="36"/>
      <c r="D170" s="7"/>
      <c r="E170" s="5"/>
      <c r="G170" s="5"/>
    </row>
    <row r="171" spans="2:7" ht="18.75" customHeight="1" x14ac:dyDescent="0.25">
      <c r="B171" s="36"/>
      <c r="D171" s="7"/>
      <c r="E171" s="5"/>
      <c r="G171" s="6"/>
    </row>
    <row r="172" spans="2:7" ht="18.75" customHeight="1" x14ac:dyDescent="0.25">
      <c r="B172" s="36"/>
      <c r="D172" s="7"/>
      <c r="E172" s="5"/>
      <c r="G172" s="5"/>
    </row>
    <row r="173" spans="2:7" ht="18.75" customHeight="1" x14ac:dyDescent="0.25">
      <c r="B173" s="36"/>
      <c r="D173" s="7"/>
      <c r="E173" s="5"/>
      <c r="F173" s="5"/>
    </row>
    <row r="174" spans="2:7" ht="18.75" customHeight="1" x14ac:dyDescent="0.25">
      <c r="B174" s="36"/>
      <c r="D174" s="7"/>
      <c r="E174" s="5"/>
      <c r="F174" s="6"/>
    </row>
    <row r="175" spans="2:7" ht="18.75" customHeight="1" x14ac:dyDescent="0.25">
      <c r="B175" s="36"/>
      <c r="D175" s="7"/>
      <c r="E175" s="5"/>
      <c r="F175" s="6"/>
    </row>
    <row r="176" spans="2:7" ht="18.75" customHeight="1" x14ac:dyDescent="0.25">
      <c r="B176" s="36"/>
      <c r="D176" s="7"/>
      <c r="E176" s="5"/>
      <c r="F176" s="6"/>
    </row>
    <row r="177" spans="2:7" ht="18.75" customHeight="1" x14ac:dyDescent="0.25">
      <c r="B177" s="36"/>
      <c r="D177" s="7"/>
      <c r="E177" s="5"/>
      <c r="F177" s="6"/>
    </row>
    <row r="178" spans="2:7" ht="18.75" customHeight="1" x14ac:dyDescent="0.25">
      <c r="B178" s="36"/>
      <c r="D178" s="7"/>
      <c r="E178" s="5"/>
      <c r="F178" s="6"/>
    </row>
    <row r="179" spans="2:7" ht="18.75" customHeight="1" x14ac:dyDescent="0.25">
      <c r="B179" s="36"/>
      <c r="D179" s="7"/>
      <c r="E179" s="5"/>
      <c r="F179" s="5"/>
    </row>
    <row r="180" spans="2:7" ht="18.75" customHeight="1" x14ac:dyDescent="0.25">
      <c r="B180" s="36"/>
      <c r="D180" s="7"/>
      <c r="E180" s="5"/>
      <c r="F180" s="6"/>
    </row>
    <row r="181" spans="2:7" ht="18.75" customHeight="1" x14ac:dyDescent="0.25">
      <c r="B181" s="36"/>
      <c r="D181" s="7"/>
      <c r="E181" s="5"/>
      <c r="F181" s="6"/>
    </row>
    <row r="182" spans="2:7" ht="18.75" customHeight="1" x14ac:dyDescent="0.25">
      <c r="B182" s="36"/>
      <c r="D182" s="7"/>
      <c r="E182" s="5"/>
      <c r="F182" s="5"/>
    </row>
    <row r="183" spans="2:7" ht="18.75" customHeight="1" x14ac:dyDescent="0.25">
      <c r="B183" s="36"/>
      <c r="D183" s="7"/>
      <c r="E183" s="5"/>
      <c r="F183" s="6"/>
    </row>
    <row r="184" spans="2:7" ht="18.75" customHeight="1" x14ac:dyDescent="0.25">
      <c r="B184" s="36"/>
      <c r="D184" s="7"/>
      <c r="E184" s="5"/>
      <c r="F184" s="6"/>
    </row>
    <row r="185" spans="2:7" ht="18.75" customHeight="1" x14ac:dyDescent="0.25">
      <c r="B185" s="36"/>
      <c r="D185" s="7"/>
      <c r="E185" s="5"/>
      <c r="F185" s="6"/>
    </row>
    <row r="186" spans="2:7" ht="18.75" customHeight="1" x14ac:dyDescent="0.25">
      <c r="B186" s="36"/>
      <c r="D186" s="7"/>
      <c r="E186" s="5"/>
      <c r="G186" s="5"/>
    </row>
    <row r="187" spans="2:7" ht="18.75" customHeight="1" x14ac:dyDescent="0.25">
      <c r="B187" s="36"/>
      <c r="D187" s="7"/>
      <c r="E187" s="5"/>
      <c r="G187" s="5"/>
    </row>
    <row r="188" spans="2:7" ht="18.75" customHeight="1" x14ac:dyDescent="0.25">
      <c r="B188" s="36"/>
      <c r="D188" s="7"/>
      <c r="E188" s="5"/>
      <c r="G188" s="5"/>
    </row>
    <row r="189" spans="2:7" ht="18.75" customHeight="1" x14ac:dyDescent="0.25">
      <c r="B189" s="36"/>
      <c r="D189" s="7"/>
      <c r="E189" s="5"/>
      <c r="G189" s="5"/>
    </row>
    <row r="190" spans="2:7" ht="18.75" customHeight="1" x14ac:dyDescent="0.25">
      <c r="B190" s="36"/>
      <c r="D190" s="7"/>
      <c r="E190" s="5"/>
      <c r="G190" s="5"/>
    </row>
    <row r="191" spans="2:7" ht="18.75" customHeight="1" x14ac:dyDescent="0.25">
      <c r="B191" s="36"/>
      <c r="D191" s="7"/>
      <c r="E191" s="5"/>
      <c r="G191" s="5"/>
    </row>
    <row r="192" spans="2:7" ht="18.75" customHeight="1" x14ac:dyDescent="0.25">
      <c r="B192" s="36"/>
      <c r="D192" s="7"/>
      <c r="E192" s="5"/>
      <c r="G192" s="5"/>
    </row>
    <row r="193" spans="2:7" ht="18.75" customHeight="1" x14ac:dyDescent="0.25">
      <c r="B193" s="36"/>
      <c r="D193" s="7"/>
      <c r="E193" s="5"/>
      <c r="G193" s="5"/>
    </row>
    <row r="194" spans="2:7" ht="18.75" customHeight="1" x14ac:dyDescent="0.25">
      <c r="B194" s="36"/>
      <c r="D194" s="7"/>
      <c r="E194" s="5"/>
      <c r="G194" s="5"/>
    </row>
    <row r="195" spans="2:7" ht="18.75" customHeight="1" x14ac:dyDescent="0.25">
      <c r="B195" s="36"/>
      <c r="D195" s="7"/>
      <c r="E195" s="5"/>
      <c r="G195" s="5"/>
    </row>
    <row r="196" spans="2:7" ht="18.75" customHeight="1" x14ac:dyDescent="0.25">
      <c r="B196" s="36"/>
      <c r="D196" s="7"/>
      <c r="E196" s="5"/>
      <c r="G196" s="5"/>
    </row>
    <row r="197" spans="2:7" ht="18.75" customHeight="1" x14ac:dyDescent="0.25">
      <c r="B197" s="36"/>
      <c r="D197" s="7"/>
      <c r="E197" s="5"/>
      <c r="G197" s="5"/>
    </row>
    <row r="198" spans="2:7" ht="18.75" customHeight="1" x14ac:dyDescent="0.25">
      <c r="B198" s="36"/>
      <c r="D198" s="7"/>
      <c r="E198" s="5"/>
      <c r="G198" s="5"/>
    </row>
    <row r="199" spans="2:7" ht="18.75" customHeight="1" x14ac:dyDescent="0.25">
      <c r="B199" s="36"/>
      <c r="D199" s="7"/>
      <c r="E199" s="5"/>
      <c r="G199" s="5"/>
    </row>
    <row r="200" spans="2:7" ht="18.75" customHeight="1" x14ac:dyDescent="0.25">
      <c r="B200" s="36"/>
      <c r="D200" s="7"/>
      <c r="E200" s="5"/>
      <c r="G200" s="5"/>
    </row>
    <row r="201" spans="2:7" ht="18.75" customHeight="1" x14ac:dyDescent="0.25">
      <c r="B201" s="36"/>
      <c r="D201" s="7"/>
      <c r="E201" s="5"/>
      <c r="G201" s="5"/>
    </row>
    <row r="202" spans="2:7" ht="18.75" customHeight="1" x14ac:dyDescent="0.25">
      <c r="B202" s="36"/>
      <c r="D202" s="7"/>
      <c r="E202" s="5"/>
      <c r="G202" s="5"/>
    </row>
    <row r="203" spans="2:7" ht="18.75" customHeight="1" x14ac:dyDescent="0.25">
      <c r="B203" s="36"/>
      <c r="D203" s="7"/>
      <c r="E203" s="5"/>
      <c r="G203" s="5"/>
    </row>
    <row r="204" spans="2:7" ht="18.75" customHeight="1" x14ac:dyDescent="0.25">
      <c r="B204" s="36"/>
      <c r="D204" s="7"/>
      <c r="E204" s="5"/>
      <c r="G204" s="5"/>
    </row>
    <row r="205" spans="2:7" ht="18.75" customHeight="1" x14ac:dyDescent="0.25">
      <c r="B205" s="36"/>
      <c r="D205" s="7"/>
      <c r="E205" s="5"/>
      <c r="G205" s="5"/>
    </row>
    <row r="206" spans="2:7" ht="18.75" customHeight="1" x14ac:dyDescent="0.25">
      <c r="B206" s="36"/>
      <c r="D206" s="7"/>
      <c r="E206" s="5"/>
      <c r="G206" s="5"/>
    </row>
    <row r="207" spans="2:7" ht="18.75" customHeight="1" x14ac:dyDescent="0.25">
      <c r="B207" s="36"/>
      <c r="D207" s="7"/>
      <c r="E207" s="5"/>
      <c r="G207" s="5"/>
    </row>
    <row r="208" spans="2:7" ht="18.75" customHeight="1" x14ac:dyDescent="0.25">
      <c r="B208" s="36"/>
      <c r="D208" s="7"/>
      <c r="E208" s="5"/>
      <c r="G208" s="5"/>
    </row>
    <row r="209" spans="2:8" ht="18.75" customHeight="1" x14ac:dyDescent="0.25">
      <c r="B209" s="36"/>
      <c r="D209" s="7"/>
      <c r="E209" s="5"/>
      <c r="G209" s="5"/>
      <c r="H209" s="5"/>
    </row>
    <row r="210" spans="2:8" ht="18.75" customHeight="1" x14ac:dyDescent="0.25">
      <c r="B210" s="36"/>
      <c r="D210" s="7"/>
      <c r="E210" s="5"/>
      <c r="G210" s="5"/>
      <c r="H210" s="5"/>
    </row>
    <row r="211" spans="2:8" ht="18.75" customHeight="1" x14ac:dyDescent="0.25">
      <c r="B211" s="36"/>
      <c r="D211" s="7"/>
      <c r="E211" s="5"/>
      <c r="G211" s="5"/>
      <c r="H211" s="5"/>
    </row>
    <row r="212" spans="2:8" ht="18.75" customHeight="1" x14ac:dyDescent="0.25">
      <c r="B212" s="36"/>
      <c r="D212" s="7"/>
      <c r="E212" s="5"/>
      <c r="G212" s="5"/>
      <c r="H212" s="5"/>
    </row>
    <row r="213" spans="2:8" ht="18.75" customHeight="1" x14ac:dyDescent="0.25">
      <c r="B213" s="36"/>
      <c r="D213" s="7"/>
      <c r="E213" s="5"/>
      <c r="G213" s="5"/>
      <c r="H213" s="5"/>
    </row>
    <row r="214" spans="2:8" ht="18.75" customHeight="1" x14ac:dyDescent="0.25">
      <c r="B214" s="36"/>
      <c r="D214" s="7"/>
      <c r="E214" s="5"/>
      <c r="G214" s="5"/>
      <c r="H214" s="15"/>
    </row>
    <row r="215" spans="2:8" ht="18.75" customHeight="1" x14ac:dyDescent="0.25">
      <c r="B215" s="36"/>
      <c r="D215" s="7"/>
      <c r="E215" s="5"/>
      <c r="G215" s="5"/>
      <c r="H215" s="15"/>
    </row>
    <row r="216" spans="2:8" ht="18.75" customHeight="1" x14ac:dyDescent="0.25">
      <c r="B216" s="36"/>
      <c r="D216" s="7"/>
      <c r="E216" s="5"/>
      <c r="G216" s="5"/>
      <c r="H216" s="15"/>
    </row>
    <row r="217" spans="2:8" ht="18.75" customHeight="1" x14ac:dyDescent="0.25">
      <c r="B217" s="36"/>
      <c r="D217" s="7"/>
      <c r="E217" s="5"/>
      <c r="G217" s="5"/>
      <c r="H217" s="15"/>
    </row>
    <row r="218" spans="2:8" ht="18.75" customHeight="1" x14ac:dyDescent="0.25">
      <c r="B218" s="36"/>
      <c r="D218" s="7"/>
      <c r="E218" s="5"/>
      <c r="G218" s="5"/>
      <c r="H218" s="15"/>
    </row>
    <row r="219" spans="2:8" ht="18.75" customHeight="1" x14ac:dyDescent="0.25">
      <c r="B219" s="36"/>
      <c r="D219" s="7"/>
      <c r="E219" s="5"/>
      <c r="G219" s="5"/>
      <c r="H219" s="15"/>
    </row>
    <row r="220" spans="2:8" ht="18.75" customHeight="1" x14ac:dyDescent="0.25">
      <c r="B220" s="36"/>
      <c r="D220" s="7"/>
      <c r="E220" s="5"/>
      <c r="G220" s="5"/>
    </row>
    <row r="221" spans="2:8" ht="18.75" customHeight="1" x14ac:dyDescent="0.25">
      <c r="B221" s="36"/>
      <c r="D221" s="7"/>
      <c r="E221" s="5"/>
      <c r="G221" s="5"/>
    </row>
    <row r="222" spans="2:8" ht="18.75" customHeight="1" x14ac:dyDescent="0.25">
      <c r="B222" s="36"/>
      <c r="D222" s="7"/>
      <c r="E222" s="5"/>
      <c r="G222" s="5"/>
    </row>
    <row r="223" spans="2:8" ht="18.75" customHeight="1" x14ac:dyDescent="0.25">
      <c r="B223" s="36"/>
      <c r="D223" s="7"/>
      <c r="E223" s="5"/>
      <c r="G223" s="5"/>
    </row>
    <row r="224" spans="2:8" ht="18.75" customHeight="1" x14ac:dyDescent="0.25">
      <c r="B224" s="36"/>
      <c r="D224" s="7"/>
      <c r="E224" s="5"/>
      <c r="G224" s="5"/>
    </row>
    <row r="225" spans="2:7" ht="18.75" customHeight="1" x14ac:dyDescent="0.25">
      <c r="B225" s="36"/>
      <c r="D225" s="7"/>
      <c r="E225" s="5"/>
      <c r="G225" s="5"/>
    </row>
    <row r="226" spans="2:7" ht="18.75" customHeight="1" x14ac:dyDescent="0.25">
      <c r="B226" s="36"/>
      <c r="D226" s="7"/>
      <c r="E226" s="5"/>
      <c r="G226" s="5"/>
    </row>
    <row r="227" spans="2:7" ht="18.75" customHeight="1" x14ac:dyDescent="0.25">
      <c r="B227" s="36"/>
      <c r="D227" s="7"/>
      <c r="E227" s="5"/>
      <c r="G227" s="5"/>
    </row>
    <row r="228" spans="2:7" ht="18.75" customHeight="1" x14ac:dyDescent="0.25">
      <c r="B228" s="36"/>
      <c r="D228" s="7"/>
      <c r="E228" s="5"/>
      <c r="G228" s="5"/>
    </row>
    <row r="229" spans="2:7" ht="18.75" customHeight="1" x14ac:dyDescent="0.25">
      <c r="B229" s="36"/>
      <c r="D229" s="7"/>
      <c r="E229" s="5"/>
      <c r="G229" s="5"/>
    </row>
    <row r="230" spans="2:7" ht="18.75" customHeight="1" x14ac:dyDescent="0.25">
      <c r="B230" s="36"/>
      <c r="D230" s="7"/>
      <c r="E230" s="5"/>
      <c r="G230" s="5"/>
    </row>
    <row r="231" spans="2:7" ht="18.75" customHeight="1" x14ac:dyDescent="0.25">
      <c r="B231" s="36"/>
      <c r="D231" s="7"/>
      <c r="E231" s="5"/>
      <c r="G231" s="5"/>
    </row>
    <row r="232" spans="2:7" ht="18.75" customHeight="1" x14ac:dyDescent="0.25">
      <c r="B232" s="36"/>
      <c r="D232" s="7"/>
      <c r="E232" s="5"/>
      <c r="G232" s="5"/>
    </row>
    <row r="233" spans="2:7" ht="18.75" customHeight="1" x14ac:dyDescent="0.25">
      <c r="B233" s="36"/>
      <c r="D233" s="7"/>
      <c r="E233" s="5"/>
      <c r="G233" s="5"/>
    </row>
    <row r="234" spans="2:7" ht="18.75" customHeight="1" x14ac:dyDescent="0.25">
      <c r="B234" s="36"/>
      <c r="D234" s="7"/>
      <c r="E234" s="5"/>
      <c r="G234" s="5"/>
    </row>
    <row r="235" spans="2:7" ht="18.75" customHeight="1" x14ac:dyDescent="0.25">
      <c r="B235" s="36"/>
      <c r="D235" s="7"/>
      <c r="E235" s="5"/>
      <c r="G235" s="5"/>
    </row>
    <row r="236" spans="2:7" ht="18.75" customHeight="1" x14ac:dyDescent="0.25">
      <c r="B236" s="36"/>
      <c r="D236" s="7"/>
      <c r="E236" s="5"/>
      <c r="G236" s="5"/>
    </row>
    <row r="237" spans="2:7" ht="18.75" customHeight="1" x14ac:dyDescent="0.25">
      <c r="B237" s="36"/>
      <c r="D237" s="7"/>
      <c r="E237" s="5"/>
      <c r="G237" s="5"/>
    </row>
    <row r="238" spans="2:7" ht="18.75" customHeight="1" x14ac:dyDescent="0.25">
      <c r="B238" s="36"/>
      <c r="D238" s="7"/>
      <c r="E238" s="5"/>
      <c r="G238" s="5"/>
    </row>
    <row r="239" spans="2:7" ht="18.75" customHeight="1" x14ac:dyDescent="0.25">
      <c r="B239" s="36"/>
      <c r="D239" s="7"/>
      <c r="E239" s="5"/>
      <c r="G239" s="5"/>
    </row>
    <row r="240" spans="2:7" ht="18.75" customHeight="1" x14ac:dyDescent="0.25">
      <c r="B240" s="36"/>
      <c r="D240" s="7"/>
      <c r="E240" s="5"/>
      <c r="G240" s="5"/>
    </row>
    <row r="241" spans="2:7" ht="18.75" customHeight="1" x14ac:dyDescent="0.25">
      <c r="B241" s="36"/>
      <c r="D241" s="7"/>
      <c r="E241" s="5"/>
      <c r="G241" s="5"/>
    </row>
    <row r="242" spans="2:7" ht="18.75" customHeight="1" x14ac:dyDescent="0.25">
      <c r="B242" s="36"/>
      <c r="D242" s="7"/>
      <c r="E242" s="5"/>
      <c r="G242" s="5"/>
    </row>
    <row r="243" spans="2:7" ht="18.75" customHeight="1" x14ac:dyDescent="0.25">
      <c r="B243" s="36"/>
      <c r="D243" s="7"/>
      <c r="E243" s="5"/>
      <c r="G243" s="5"/>
    </row>
    <row r="244" spans="2:7" ht="18.75" customHeight="1" x14ac:dyDescent="0.25">
      <c r="B244" s="36"/>
      <c r="D244" s="7"/>
      <c r="E244" s="5"/>
      <c r="G244" s="5"/>
    </row>
    <row r="245" spans="2:7" ht="18.75" customHeight="1" x14ac:dyDescent="0.25">
      <c r="B245" s="36"/>
      <c r="D245" s="7"/>
      <c r="E245" s="5"/>
      <c r="G245" s="5"/>
    </row>
    <row r="246" spans="2:7" ht="18.75" customHeight="1" x14ac:dyDescent="0.25">
      <c r="B246" s="36"/>
      <c r="D246" s="7"/>
      <c r="E246" s="5"/>
      <c r="G246" s="5"/>
    </row>
    <row r="247" spans="2:7" ht="18.75" customHeight="1" x14ac:dyDescent="0.25">
      <c r="B247" s="36"/>
      <c r="D247" s="7"/>
      <c r="E247" s="5"/>
      <c r="G247" s="5"/>
    </row>
    <row r="248" spans="2:7" ht="18.75" customHeight="1" x14ac:dyDescent="0.25">
      <c r="B248" s="36"/>
      <c r="D248" s="7"/>
      <c r="E248" s="5"/>
      <c r="G248" s="5"/>
    </row>
    <row r="249" spans="2:7" ht="18.75" customHeight="1" x14ac:dyDescent="0.25">
      <c r="B249" s="36"/>
      <c r="D249" s="7"/>
      <c r="E249" s="5"/>
      <c r="G249" s="5"/>
    </row>
    <row r="250" spans="2:7" ht="18.75" customHeight="1" x14ac:dyDescent="0.25">
      <c r="B250" s="36"/>
      <c r="D250" s="7"/>
      <c r="E250" s="5"/>
      <c r="G250" s="5"/>
    </row>
    <row r="251" spans="2:7" ht="18.75" customHeight="1" x14ac:dyDescent="0.25">
      <c r="B251" s="36"/>
      <c r="D251" s="7"/>
      <c r="E251" s="5"/>
      <c r="G251" s="5"/>
    </row>
    <row r="252" spans="2:7" ht="18.75" customHeight="1" x14ac:dyDescent="0.25">
      <c r="B252" s="36"/>
      <c r="D252" s="7"/>
      <c r="E252" s="5"/>
      <c r="G252" s="5"/>
    </row>
    <row r="253" spans="2:7" ht="18.75" customHeight="1" x14ac:dyDescent="0.25">
      <c r="B253" s="36"/>
      <c r="D253" s="7"/>
      <c r="E253" s="5"/>
      <c r="G253" s="5"/>
    </row>
    <row r="254" spans="2:7" ht="18.75" customHeight="1" x14ac:dyDescent="0.25">
      <c r="B254" s="36"/>
      <c r="D254" s="7"/>
      <c r="E254" s="5"/>
      <c r="G254" s="5"/>
    </row>
    <row r="255" spans="2:7" ht="18.75" customHeight="1" x14ac:dyDescent="0.25">
      <c r="B255" s="36"/>
      <c r="D255" s="7"/>
      <c r="E255" s="5"/>
      <c r="G255" s="5"/>
    </row>
    <row r="256" spans="2:7" ht="18.75" customHeight="1" x14ac:dyDescent="0.25">
      <c r="B256" s="36"/>
      <c r="D256" s="7"/>
      <c r="E256" s="5"/>
      <c r="G256" s="5"/>
    </row>
    <row r="257" spans="2:7" ht="18.75" customHeight="1" x14ac:dyDescent="0.25">
      <c r="B257" s="36"/>
      <c r="D257" s="7"/>
      <c r="E257" s="5"/>
      <c r="G257" s="5"/>
    </row>
    <row r="258" spans="2:7" ht="18.75" customHeight="1" x14ac:dyDescent="0.25">
      <c r="B258" s="36"/>
      <c r="D258" s="7"/>
      <c r="E258" s="5"/>
      <c r="G258" s="5"/>
    </row>
    <row r="259" spans="2:7" ht="18.75" customHeight="1" x14ac:dyDescent="0.25">
      <c r="B259" s="36"/>
      <c r="D259" s="7"/>
      <c r="E259" s="5"/>
      <c r="G259" s="5"/>
    </row>
    <row r="260" spans="2:7" ht="18.75" customHeight="1" x14ac:dyDescent="0.25">
      <c r="B260" s="36"/>
      <c r="D260" s="7"/>
      <c r="E260" s="5"/>
      <c r="G260" s="5"/>
    </row>
    <row r="261" spans="2:7" ht="18.75" customHeight="1" x14ac:dyDescent="0.25">
      <c r="B261" s="36"/>
      <c r="D261" s="7"/>
      <c r="E261" s="5"/>
      <c r="G261" s="5"/>
    </row>
    <row r="262" spans="2:7" ht="18.75" customHeight="1" x14ac:dyDescent="0.25">
      <c r="B262" s="36"/>
      <c r="D262" s="7"/>
      <c r="E262" s="5"/>
      <c r="G262" s="5"/>
    </row>
    <row r="263" spans="2:7" ht="18.75" customHeight="1" x14ac:dyDescent="0.25">
      <c r="B263" s="36"/>
      <c r="D263" s="7"/>
      <c r="E263" s="5"/>
      <c r="G263" s="5"/>
    </row>
    <row r="264" spans="2:7" ht="18.75" customHeight="1" x14ac:dyDescent="0.25">
      <c r="B264" s="36"/>
      <c r="D264" s="7"/>
      <c r="E264" s="5"/>
      <c r="G264" s="5"/>
    </row>
    <row r="265" spans="2:7" ht="18.75" customHeight="1" x14ac:dyDescent="0.25">
      <c r="B265" s="36"/>
      <c r="D265" s="7"/>
      <c r="E265" s="5"/>
      <c r="G265" s="5"/>
    </row>
    <row r="266" spans="2:7" ht="18.75" customHeight="1" x14ac:dyDescent="0.25">
      <c r="B266" s="36"/>
      <c r="D266" s="7"/>
      <c r="E266" s="5"/>
      <c r="G266" s="5"/>
    </row>
    <row r="267" spans="2:7" ht="18.75" customHeight="1" x14ac:dyDescent="0.25">
      <c r="B267" s="36"/>
      <c r="D267" s="7"/>
      <c r="E267" s="5"/>
      <c r="G267" s="5"/>
    </row>
    <row r="268" spans="2:7" ht="18.75" customHeight="1" x14ac:dyDescent="0.25">
      <c r="B268" s="36"/>
      <c r="D268" s="7"/>
      <c r="E268" s="5"/>
      <c r="G268" s="5"/>
    </row>
    <row r="269" spans="2:7" ht="18.75" customHeight="1" x14ac:dyDescent="0.25">
      <c r="B269" s="36"/>
      <c r="D269" s="7"/>
      <c r="E269" s="5"/>
      <c r="G269" s="5"/>
    </row>
    <row r="270" spans="2:7" ht="18.75" customHeight="1" x14ac:dyDescent="0.25">
      <c r="B270" s="36"/>
      <c r="D270" s="7"/>
      <c r="E270" s="5"/>
      <c r="G270" s="5"/>
    </row>
    <row r="271" spans="2:7" ht="18.75" customHeight="1" x14ac:dyDescent="0.25">
      <c r="B271" s="36"/>
      <c r="D271" s="7"/>
      <c r="E271" s="5"/>
      <c r="G271" s="5"/>
    </row>
    <row r="272" spans="2:7" ht="18.75" customHeight="1" x14ac:dyDescent="0.25">
      <c r="B272" s="36"/>
      <c r="D272" s="7"/>
      <c r="E272" s="5"/>
      <c r="G272" s="5"/>
    </row>
    <row r="273" spans="2:7" ht="18.75" customHeight="1" x14ac:dyDescent="0.25">
      <c r="B273" s="36"/>
      <c r="D273" s="7"/>
      <c r="E273" s="5"/>
      <c r="G273" s="5"/>
    </row>
    <row r="274" spans="2:7" ht="18.75" customHeight="1" x14ac:dyDescent="0.25">
      <c r="B274" s="36"/>
      <c r="D274" s="7"/>
      <c r="E274" s="5"/>
      <c r="G274" s="5"/>
    </row>
    <row r="275" spans="2:7" ht="18.75" customHeight="1" x14ac:dyDescent="0.25">
      <c r="B275" s="36"/>
      <c r="D275" s="7"/>
      <c r="E275" s="5"/>
      <c r="G275" s="5"/>
    </row>
    <row r="276" spans="2:7" ht="18.75" customHeight="1" x14ac:dyDescent="0.25">
      <c r="B276" s="36"/>
      <c r="D276" s="7"/>
      <c r="E276" s="5"/>
      <c r="G276" s="5"/>
    </row>
    <row r="277" spans="2:7" ht="18.75" customHeight="1" x14ac:dyDescent="0.25">
      <c r="B277" s="36"/>
      <c r="D277" s="7"/>
      <c r="E277" s="5"/>
      <c r="G277" s="5"/>
    </row>
    <row r="278" spans="2:7" ht="18.75" customHeight="1" x14ac:dyDescent="0.25">
      <c r="B278" s="36"/>
      <c r="D278" s="7"/>
      <c r="E278" s="5"/>
      <c r="G278" s="5"/>
    </row>
    <row r="279" spans="2:7" ht="18.75" customHeight="1" x14ac:dyDescent="0.25">
      <c r="B279" s="36"/>
      <c r="D279" s="7"/>
      <c r="E279" s="5"/>
      <c r="G279" s="5"/>
    </row>
    <row r="280" spans="2:7" ht="18.75" customHeight="1" x14ac:dyDescent="0.25">
      <c r="B280" s="36"/>
      <c r="D280" s="7"/>
      <c r="E280" s="5"/>
      <c r="G280" s="5"/>
    </row>
    <row r="281" spans="2:7" ht="18.75" customHeight="1" x14ac:dyDescent="0.25">
      <c r="B281" s="36"/>
      <c r="D281" s="7"/>
      <c r="E281" s="5"/>
      <c r="G281" s="5"/>
    </row>
    <row r="282" spans="2:7" ht="18.75" customHeight="1" x14ac:dyDescent="0.25">
      <c r="B282" s="36"/>
      <c r="D282" s="7"/>
      <c r="E282" s="5"/>
      <c r="G282" s="5"/>
    </row>
    <row r="283" spans="2:7" ht="18.75" customHeight="1" x14ac:dyDescent="0.25">
      <c r="B283" s="36"/>
      <c r="D283" s="7"/>
      <c r="E283" s="5"/>
      <c r="G283" s="5"/>
    </row>
    <row r="284" spans="2:7" ht="18.75" customHeight="1" x14ac:dyDescent="0.25">
      <c r="B284" s="36"/>
      <c r="D284" s="7"/>
      <c r="E284" s="5"/>
      <c r="G284" s="5"/>
    </row>
    <row r="285" spans="2:7" ht="18.75" customHeight="1" x14ac:dyDescent="0.25">
      <c r="B285" s="36"/>
      <c r="D285" s="7"/>
      <c r="E285" s="5"/>
      <c r="G285" s="5"/>
    </row>
    <row r="286" spans="2:7" ht="18.75" customHeight="1" x14ac:dyDescent="0.25">
      <c r="B286" s="36"/>
      <c r="D286" s="7"/>
      <c r="E286" s="5"/>
      <c r="G286" s="5"/>
    </row>
    <row r="287" spans="2:7" ht="18.75" customHeight="1" x14ac:dyDescent="0.25">
      <c r="B287" s="36"/>
      <c r="D287" s="7"/>
      <c r="E287" s="5"/>
      <c r="G287" s="5"/>
    </row>
    <row r="288" spans="2:7" ht="18.75" customHeight="1" x14ac:dyDescent="0.25">
      <c r="B288" s="36"/>
      <c r="D288" s="7"/>
      <c r="E288" s="5"/>
      <c r="G288" s="5"/>
    </row>
    <row r="289" spans="2:7" ht="18.75" customHeight="1" x14ac:dyDescent="0.25">
      <c r="B289" s="36"/>
      <c r="D289" s="7"/>
      <c r="E289" s="5"/>
      <c r="G289" s="5"/>
    </row>
    <row r="290" spans="2:7" ht="18.75" customHeight="1" x14ac:dyDescent="0.25">
      <c r="B290" s="36"/>
      <c r="D290" s="7"/>
      <c r="E290" s="5"/>
      <c r="G290" s="5"/>
    </row>
    <row r="291" spans="2:7" ht="18.75" customHeight="1" x14ac:dyDescent="0.25">
      <c r="B291" s="36"/>
      <c r="D291" s="7"/>
      <c r="E291" s="5"/>
      <c r="G291" s="5"/>
    </row>
    <row r="292" spans="2:7" ht="18.75" customHeight="1" x14ac:dyDescent="0.25">
      <c r="B292" s="36"/>
      <c r="D292" s="7"/>
      <c r="E292" s="5"/>
      <c r="G292" s="5"/>
    </row>
    <row r="293" spans="2:7" ht="18.75" customHeight="1" x14ac:dyDescent="0.25">
      <c r="B293" s="36"/>
      <c r="D293" s="7"/>
      <c r="E293" s="5"/>
      <c r="G293" s="5"/>
    </row>
    <row r="294" spans="2:7" ht="18.75" customHeight="1" x14ac:dyDescent="0.25">
      <c r="B294" s="36"/>
      <c r="D294" s="7"/>
      <c r="E294" s="5"/>
      <c r="G294" s="5"/>
    </row>
    <row r="295" spans="2:7" ht="18.75" customHeight="1" x14ac:dyDescent="0.25">
      <c r="B295" s="36"/>
      <c r="D295" s="7"/>
      <c r="E295" s="5"/>
      <c r="G295" s="5"/>
    </row>
    <row r="296" spans="2:7" ht="18.75" customHeight="1" x14ac:dyDescent="0.25">
      <c r="B296" s="36"/>
      <c r="D296" s="7"/>
      <c r="E296" s="5"/>
      <c r="G296" s="5"/>
    </row>
    <row r="297" spans="2:7" ht="18.75" customHeight="1" x14ac:dyDescent="0.25">
      <c r="B297" s="36"/>
      <c r="D297" s="7"/>
      <c r="E297" s="5"/>
      <c r="G297" s="6"/>
    </row>
    <row r="298" spans="2:7" ht="18.75" customHeight="1" x14ac:dyDescent="0.25">
      <c r="B298" s="36"/>
      <c r="D298" s="7"/>
      <c r="E298" s="5"/>
      <c r="G298" s="5"/>
    </row>
    <row r="299" spans="2:7" ht="18.75" customHeight="1" x14ac:dyDescent="0.25">
      <c r="B299" s="36"/>
      <c r="D299" s="7"/>
      <c r="E299" s="5"/>
      <c r="G299" s="5"/>
    </row>
    <row r="300" spans="2:7" ht="18.75" customHeight="1" x14ac:dyDescent="0.25">
      <c r="B300" s="36"/>
      <c r="D300" s="7"/>
      <c r="E300" s="5"/>
      <c r="G300" s="5"/>
    </row>
    <row r="301" spans="2:7" ht="18.75" customHeight="1" x14ac:dyDescent="0.25">
      <c r="B301" s="36"/>
      <c r="D301" s="7"/>
      <c r="E301" s="5"/>
      <c r="G301" s="5"/>
    </row>
    <row r="302" spans="2:7" ht="18.75" customHeight="1" x14ac:dyDescent="0.25">
      <c r="B302" s="36"/>
      <c r="D302" s="7"/>
      <c r="E302" s="5"/>
      <c r="G302" s="5"/>
    </row>
    <row r="303" spans="2:7" ht="18.75" customHeight="1" x14ac:dyDescent="0.25">
      <c r="B303" s="36"/>
      <c r="D303" s="7"/>
      <c r="E303" s="5"/>
      <c r="G303" s="5"/>
    </row>
    <row r="304" spans="2:7" ht="18.75" customHeight="1" x14ac:dyDescent="0.25">
      <c r="B304" s="36"/>
      <c r="D304" s="7"/>
      <c r="E304" s="5"/>
      <c r="G304" s="5"/>
    </row>
    <row r="305" spans="2:7" ht="18.75" customHeight="1" x14ac:dyDescent="0.25">
      <c r="B305" s="36"/>
      <c r="D305" s="7"/>
      <c r="E305" s="5"/>
      <c r="G305" s="5"/>
    </row>
    <row r="306" spans="2:7" ht="18.75" customHeight="1" x14ac:dyDescent="0.25">
      <c r="B306" s="36"/>
      <c r="D306" s="7"/>
      <c r="E306" s="5"/>
      <c r="G306" s="5"/>
    </row>
    <row r="307" spans="2:7" ht="18.75" customHeight="1" x14ac:dyDescent="0.25">
      <c r="B307" s="36"/>
      <c r="D307" s="7"/>
      <c r="E307" s="5"/>
      <c r="G307" s="5"/>
    </row>
    <row r="308" spans="2:7" ht="18.75" customHeight="1" x14ac:dyDescent="0.25">
      <c r="B308" s="36"/>
      <c r="D308" s="7"/>
      <c r="E308" s="5"/>
      <c r="G308" s="5"/>
    </row>
    <row r="309" spans="2:7" ht="18.75" customHeight="1" x14ac:dyDescent="0.25">
      <c r="B309" s="36"/>
      <c r="D309" s="7"/>
      <c r="E309" s="5"/>
      <c r="G309" s="5"/>
    </row>
    <row r="310" spans="2:7" ht="18.75" customHeight="1" x14ac:dyDescent="0.25">
      <c r="B310" s="36"/>
      <c r="D310" s="7"/>
      <c r="E310" s="5"/>
      <c r="G310" s="5"/>
    </row>
    <row r="311" spans="2:7" ht="18.75" customHeight="1" x14ac:dyDescent="0.25">
      <c r="B311" s="36"/>
      <c r="D311" s="7"/>
      <c r="E311" s="5"/>
      <c r="G311" s="5"/>
    </row>
    <row r="312" spans="2:7" ht="18.75" customHeight="1" x14ac:dyDescent="0.25">
      <c r="B312" s="36"/>
      <c r="D312" s="7"/>
      <c r="E312" s="5"/>
      <c r="G312" s="5"/>
    </row>
    <row r="313" spans="2:7" ht="18.75" customHeight="1" x14ac:dyDescent="0.25">
      <c r="B313" s="36"/>
      <c r="D313" s="7"/>
      <c r="E313" s="5"/>
      <c r="G313" s="5"/>
    </row>
    <row r="314" spans="2:7" ht="18.75" customHeight="1" x14ac:dyDescent="0.25">
      <c r="B314" s="36"/>
      <c r="D314" s="7"/>
      <c r="E314" s="5"/>
      <c r="G314" s="5"/>
    </row>
    <row r="315" spans="2:7" ht="18.75" customHeight="1" x14ac:dyDescent="0.25">
      <c r="B315" s="36"/>
      <c r="D315" s="7"/>
      <c r="E315" s="5"/>
      <c r="G315" s="5"/>
    </row>
    <row r="316" spans="2:7" ht="18.75" customHeight="1" x14ac:dyDescent="0.25">
      <c r="B316" s="36"/>
      <c r="D316" s="7"/>
      <c r="E316" s="5"/>
      <c r="G316" s="5"/>
    </row>
    <row r="317" spans="2:7" ht="18.75" customHeight="1" x14ac:dyDescent="0.25">
      <c r="B317" s="36"/>
      <c r="D317" s="7"/>
      <c r="E317" s="5"/>
      <c r="G317" s="5"/>
    </row>
    <row r="318" spans="2:7" ht="18.75" customHeight="1" x14ac:dyDescent="0.25">
      <c r="B318" s="36"/>
      <c r="D318" s="7"/>
      <c r="E318" s="5"/>
      <c r="G318" s="5"/>
    </row>
    <row r="319" spans="2:7" ht="18.75" customHeight="1" x14ac:dyDescent="0.25">
      <c r="B319" s="36"/>
      <c r="D319" s="7"/>
      <c r="E319" s="5"/>
      <c r="G319" s="5"/>
    </row>
    <row r="320" spans="2:7" ht="18.75" customHeight="1" x14ac:dyDescent="0.25">
      <c r="B320" s="36"/>
      <c r="D320" s="7"/>
      <c r="E320" s="5"/>
      <c r="G320" s="5"/>
    </row>
    <row r="321" spans="2:7" ht="18.75" customHeight="1" x14ac:dyDescent="0.25">
      <c r="B321" s="36"/>
      <c r="D321" s="7"/>
      <c r="E321" s="5"/>
      <c r="G321" s="5"/>
    </row>
    <row r="322" spans="2:7" ht="18.75" customHeight="1" x14ac:dyDescent="0.25">
      <c r="B322" s="36"/>
      <c r="D322" s="7"/>
      <c r="E322" s="5"/>
      <c r="G322" s="5"/>
    </row>
    <row r="323" spans="2:7" ht="18.75" customHeight="1" x14ac:dyDescent="0.25">
      <c r="B323" s="36"/>
      <c r="D323" s="7"/>
      <c r="E323" s="5"/>
      <c r="G323" s="5"/>
    </row>
    <row r="324" spans="2:7" ht="18.75" customHeight="1" x14ac:dyDescent="0.25">
      <c r="B324" s="36"/>
      <c r="D324" s="7"/>
      <c r="E324" s="5"/>
      <c r="G324" s="5"/>
    </row>
    <row r="325" spans="2:7" ht="18.75" customHeight="1" x14ac:dyDescent="0.25">
      <c r="B325" s="36"/>
      <c r="D325" s="7"/>
      <c r="E325" s="5"/>
      <c r="G325" s="5"/>
    </row>
    <row r="326" spans="2:7" ht="18.75" customHeight="1" x14ac:dyDescent="0.25">
      <c r="B326" s="36"/>
      <c r="D326" s="7"/>
      <c r="E326" s="5"/>
      <c r="G326" s="5"/>
    </row>
    <row r="327" spans="2:7" ht="18.75" customHeight="1" x14ac:dyDescent="0.25">
      <c r="B327" s="36"/>
      <c r="D327" s="7"/>
      <c r="E327" s="5"/>
      <c r="G327" s="5"/>
    </row>
    <row r="328" spans="2:7" ht="18.75" customHeight="1" x14ac:dyDescent="0.25">
      <c r="B328" s="36"/>
      <c r="D328" s="7"/>
      <c r="E328" s="5"/>
      <c r="G328" s="5"/>
    </row>
    <row r="329" spans="2:7" ht="18.75" customHeight="1" x14ac:dyDescent="0.25">
      <c r="B329" s="36"/>
      <c r="D329" s="7"/>
      <c r="E329" s="5"/>
      <c r="G329" s="5"/>
    </row>
    <row r="330" spans="2:7" ht="18.75" customHeight="1" x14ac:dyDescent="0.25">
      <c r="B330" s="36"/>
      <c r="D330" s="7"/>
      <c r="E330" s="5"/>
      <c r="G330" s="5"/>
    </row>
    <row r="331" spans="2:7" ht="18.75" customHeight="1" x14ac:dyDescent="0.25">
      <c r="B331" s="36"/>
      <c r="D331" s="7"/>
      <c r="E331" s="5"/>
      <c r="G331" s="5"/>
    </row>
    <row r="332" spans="2:7" ht="18.75" customHeight="1" x14ac:dyDescent="0.25">
      <c r="B332" s="36"/>
      <c r="D332" s="7"/>
      <c r="E332" s="5"/>
      <c r="G332" s="5"/>
    </row>
    <row r="333" spans="2:7" ht="18.75" customHeight="1" x14ac:dyDescent="0.25">
      <c r="B333" s="36"/>
      <c r="D333" s="7"/>
      <c r="E333" s="5"/>
      <c r="G333" s="5"/>
    </row>
    <row r="334" spans="2:7" ht="18.75" customHeight="1" x14ac:dyDescent="0.25">
      <c r="B334" s="36"/>
      <c r="D334" s="7"/>
      <c r="E334" s="5"/>
      <c r="G334" s="5"/>
    </row>
    <row r="335" spans="2:7" ht="18.75" customHeight="1" x14ac:dyDescent="0.25">
      <c r="B335" s="36"/>
      <c r="D335" s="7"/>
      <c r="E335" s="5"/>
      <c r="G335" s="5"/>
    </row>
    <row r="336" spans="2:7" ht="18.75" customHeight="1" x14ac:dyDescent="0.25">
      <c r="B336" s="36"/>
      <c r="D336" s="7"/>
      <c r="E336" s="5"/>
      <c r="G336" s="5"/>
    </row>
    <row r="337" spans="2:7" ht="18.75" customHeight="1" x14ac:dyDescent="0.25">
      <c r="B337" s="36"/>
      <c r="D337" s="7"/>
      <c r="E337" s="5"/>
      <c r="G337" s="5"/>
    </row>
    <row r="338" spans="2:7" ht="18.75" customHeight="1" x14ac:dyDescent="0.25">
      <c r="B338" s="36"/>
      <c r="D338" s="7"/>
      <c r="E338" s="5"/>
      <c r="G338" s="5"/>
    </row>
    <row r="339" spans="2:7" ht="18.75" customHeight="1" x14ac:dyDescent="0.25">
      <c r="B339" s="36"/>
      <c r="D339" s="7"/>
      <c r="E339" s="5"/>
      <c r="G339" s="5"/>
    </row>
    <row r="340" spans="2:7" ht="18.75" customHeight="1" x14ac:dyDescent="0.25">
      <c r="B340" s="36"/>
      <c r="D340" s="7"/>
      <c r="E340" s="5"/>
      <c r="G340" s="5"/>
    </row>
    <row r="341" spans="2:7" ht="18.75" customHeight="1" x14ac:dyDescent="0.25">
      <c r="B341" s="36"/>
      <c r="D341" s="7"/>
      <c r="E341" s="5"/>
      <c r="G341" s="5"/>
    </row>
    <row r="342" spans="2:7" ht="18.75" customHeight="1" x14ac:dyDescent="0.25">
      <c r="B342" s="36"/>
      <c r="D342" s="7"/>
      <c r="E342" s="5"/>
      <c r="G342" s="5"/>
    </row>
    <row r="343" spans="2:7" ht="18.75" customHeight="1" x14ac:dyDescent="0.25">
      <c r="B343" s="36"/>
      <c r="D343" s="7"/>
      <c r="E343" s="5"/>
      <c r="G343" s="5"/>
    </row>
    <row r="344" spans="2:7" ht="18.75" customHeight="1" x14ac:dyDescent="0.25">
      <c r="B344" s="36"/>
      <c r="D344" s="7"/>
      <c r="E344" s="5"/>
      <c r="G344" s="5"/>
    </row>
    <row r="345" spans="2:7" ht="18.75" customHeight="1" x14ac:dyDescent="0.25">
      <c r="B345" s="36"/>
      <c r="D345" s="7"/>
      <c r="E345" s="5"/>
      <c r="G345" s="5"/>
    </row>
    <row r="346" spans="2:7" ht="18.75" customHeight="1" x14ac:dyDescent="0.25">
      <c r="B346" s="36"/>
      <c r="D346" s="7"/>
      <c r="E346" s="5"/>
      <c r="G346" s="5"/>
    </row>
    <row r="347" spans="2:7" ht="18.75" customHeight="1" x14ac:dyDescent="0.25">
      <c r="B347" s="36"/>
      <c r="D347" s="7"/>
      <c r="E347" s="5"/>
      <c r="G347" s="5"/>
    </row>
    <row r="348" spans="2:7" ht="18.75" customHeight="1" x14ac:dyDescent="0.25">
      <c r="B348" s="36"/>
      <c r="D348" s="7"/>
      <c r="E348" s="5"/>
      <c r="G348" s="5"/>
    </row>
    <row r="349" spans="2:7" ht="18.75" customHeight="1" x14ac:dyDescent="0.25">
      <c r="B349" s="36"/>
      <c r="D349" s="7"/>
      <c r="E349" s="5"/>
      <c r="G349" s="6"/>
    </row>
    <row r="350" spans="2:7" ht="18.75" customHeight="1" x14ac:dyDescent="0.25">
      <c r="B350" s="36"/>
      <c r="D350" s="7"/>
      <c r="E350" s="5"/>
      <c r="G350" s="5"/>
    </row>
    <row r="351" spans="2:7" ht="18.75" customHeight="1" x14ac:dyDescent="0.25">
      <c r="B351" s="36"/>
      <c r="D351" s="7"/>
      <c r="E351" s="5"/>
      <c r="G351" s="5"/>
    </row>
    <row r="352" spans="2:7" ht="18.75" customHeight="1" x14ac:dyDescent="0.25">
      <c r="B352" s="36"/>
      <c r="D352" s="7"/>
      <c r="E352" s="5"/>
      <c r="G352" s="5"/>
    </row>
    <row r="353" spans="2:7" ht="18.75" customHeight="1" x14ac:dyDescent="0.25">
      <c r="B353" s="36"/>
      <c r="D353" s="7"/>
      <c r="E353" s="5"/>
      <c r="G353" s="5"/>
    </row>
    <row r="354" spans="2:7" ht="18.75" customHeight="1" x14ac:dyDescent="0.25">
      <c r="B354" s="36"/>
      <c r="D354" s="7"/>
      <c r="E354" s="5"/>
      <c r="G354" s="5"/>
    </row>
    <row r="355" spans="2:7" ht="18.75" customHeight="1" x14ac:dyDescent="0.25">
      <c r="B355" s="36"/>
      <c r="D355" s="7"/>
      <c r="E355" s="5"/>
      <c r="G355" s="5"/>
    </row>
    <row r="356" spans="2:7" ht="18.75" customHeight="1" x14ac:dyDescent="0.25">
      <c r="B356" s="36"/>
      <c r="D356" s="7"/>
      <c r="E356" s="5"/>
      <c r="G356" s="5"/>
    </row>
    <row r="357" spans="2:7" ht="18.75" customHeight="1" x14ac:dyDescent="0.25">
      <c r="B357" s="36"/>
      <c r="D357" s="7"/>
      <c r="E357" s="5"/>
      <c r="G357" s="5"/>
    </row>
    <row r="358" spans="2:7" ht="18.75" customHeight="1" x14ac:dyDescent="0.25">
      <c r="B358" s="36"/>
      <c r="D358" s="7"/>
      <c r="E358" s="5"/>
      <c r="G358" s="5"/>
    </row>
    <row r="359" spans="2:7" ht="18.75" customHeight="1" x14ac:dyDescent="0.25">
      <c r="B359" s="36"/>
      <c r="D359" s="7"/>
      <c r="E359" s="5"/>
      <c r="G359" s="5"/>
    </row>
    <row r="360" spans="2:7" ht="18.75" customHeight="1" x14ac:dyDescent="0.25">
      <c r="B360" s="36"/>
      <c r="D360" s="7"/>
      <c r="E360" s="5"/>
      <c r="G360" s="5"/>
    </row>
    <row r="361" spans="2:7" ht="18.75" customHeight="1" x14ac:dyDescent="0.25">
      <c r="B361" s="36"/>
      <c r="D361" s="7"/>
      <c r="E361" s="5"/>
      <c r="G361" s="5"/>
    </row>
    <row r="362" spans="2:7" ht="18.75" customHeight="1" x14ac:dyDescent="0.25">
      <c r="B362" s="36"/>
      <c r="D362" s="7"/>
      <c r="E362" s="5"/>
      <c r="G362" s="5"/>
    </row>
    <row r="363" spans="2:7" ht="18.75" customHeight="1" x14ac:dyDescent="0.25">
      <c r="B363" s="36"/>
      <c r="D363" s="7"/>
      <c r="E363" s="5"/>
      <c r="G363" s="5"/>
    </row>
    <row r="364" spans="2:7" ht="18.75" customHeight="1" x14ac:dyDescent="0.25">
      <c r="B364" s="36"/>
      <c r="D364" s="7"/>
      <c r="E364" s="5"/>
      <c r="G364" s="5"/>
    </row>
    <row r="365" spans="2:7" ht="18.75" customHeight="1" x14ac:dyDescent="0.25">
      <c r="B365" s="36"/>
      <c r="D365" s="7"/>
      <c r="E365" s="5"/>
      <c r="G365" s="5"/>
    </row>
    <row r="366" spans="2:7" ht="18.75" customHeight="1" x14ac:dyDescent="0.25">
      <c r="B366" s="36"/>
      <c r="D366" s="7"/>
      <c r="E366" s="5"/>
      <c r="G366" s="5"/>
    </row>
    <row r="367" spans="2:7" ht="18.75" customHeight="1" x14ac:dyDescent="0.25">
      <c r="B367" s="36"/>
      <c r="D367" s="7"/>
      <c r="E367" s="5"/>
      <c r="G367" s="5"/>
    </row>
    <row r="368" spans="2:7" ht="18.75" customHeight="1" x14ac:dyDescent="0.25">
      <c r="B368" s="36"/>
      <c r="D368" s="7"/>
      <c r="E368" s="5"/>
      <c r="G368" s="5"/>
    </row>
    <row r="369" spans="2:7" ht="18.75" customHeight="1" x14ac:dyDescent="0.25">
      <c r="B369" s="36"/>
      <c r="D369" s="7"/>
      <c r="E369" s="5"/>
      <c r="G369" s="5"/>
    </row>
    <row r="370" spans="2:7" ht="18.75" customHeight="1" x14ac:dyDescent="0.25">
      <c r="B370" s="36"/>
      <c r="D370" s="7"/>
      <c r="E370" s="5"/>
      <c r="G370" s="5"/>
    </row>
    <row r="371" spans="2:7" ht="18.75" customHeight="1" x14ac:dyDescent="0.25">
      <c r="B371" s="36"/>
      <c r="D371" s="7"/>
      <c r="E371" s="5"/>
      <c r="G371" s="5"/>
    </row>
    <row r="372" spans="2:7" ht="18.75" customHeight="1" x14ac:dyDescent="0.25">
      <c r="B372" s="36"/>
      <c r="D372" s="7"/>
      <c r="E372" s="5"/>
      <c r="G372" s="5"/>
    </row>
    <row r="373" spans="2:7" ht="18.75" customHeight="1" x14ac:dyDescent="0.25">
      <c r="B373" s="36"/>
      <c r="D373" s="7"/>
      <c r="E373" s="5"/>
      <c r="G373" s="5"/>
    </row>
    <row r="374" spans="2:7" ht="18.75" customHeight="1" x14ac:dyDescent="0.25">
      <c r="B374" s="36"/>
      <c r="D374" s="7"/>
      <c r="E374" s="5"/>
      <c r="G374" s="5"/>
    </row>
    <row r="375" spans="2:7" ht="18.75" customHeight="1" x14ac:dyDescent="0.25">
      <c r="B375" s="36"/>
      <c r="D375" s="7"/>
      <c r="E375" s="5"/>
      <c r="G375" s="5"/>
    </row>
    <row r="376" spans="2:7" ht="18.75" customHeight="1" x14ac:dyDescent="0.25">
      <c r="B376" s="36"/>
      <c r="D376" s="7"/>
      <c r="E376" s="5"/>
      <c r="G376" s="5"/>
    </row>
    <row r="377" spans="2:7" ht="18.75" customHeight="1" x14ac:dyDescent="0.25">
      <c r="B377" s="36"/>
      <c r="D377" s="7"/>
      <c r="E377" s="5"/>
      <c r="G377" s="5"/>
    </row>
    <row r="378" spans="2:7" ht="18.75" customHeight="1" x14ac:dyDescent="0.25">
      <c r="B378" s="36"/>
      <c r="D378" s="7"/>
      <c r="E378" s="5"/>
      <c r="G378" s="5"/>
    </row>
    <row r="379" spans="2:7" ht="18.75" customHeight="1" x14ac:dyDescent="0.25">
      <c r="B379" s="36"/>
      <c r="D379" s="7"/>
      <c r="E379" s="5"/>
      <c r="G379" s="5"/>
    </row>
    <row r="380" spans="2:7" ht="18.75" customHeight="1" x14ac:dyDescent="0.25">
      <c r="B380" s="36"/>
      <c r="D380" s="7"/>
      <c r="E380" s="5"/>
      <c r="G380" s="5"/>
    </row>
    <row r="381" spans="2:7" ht="18.75" customHeight="1" x14ac:dyDescent="0.25">
      <c r="B381" s="36"/>
      <c r="D381" s="7"/>
      <c r="E381" s="5"/>
      <c r="G381" s="5"/>
    </row>
    <row r="382" spans="2:7" ht="18.75" customHeight="1" x14ac:dyDescent="0.25">
      <c r="B382" s="36"/>
      <c r="D382" s="7"/>
      <c r="E382" s="5"/>
      <c r="G382" s="5"/>
    </row>
    <row r="383" spans="2:7" ht="18.75" customHeight="1" x14ac:dyDescent="0.25">
      <c r="B383" s="36"/>
      <c r="D383" s="7"/>
      <c r="E383" s="5"/>
      <c r="G383" s="5"/>
    </row>
    <row r="384" spans="2:7" ht="18.75" customHeight="1" x14ac:dyDescent="0.25">
      <c r="B384" s="36"/>
      <c r="D384" s="7"/>
      <c r="E384" s="5"/>
      <c r="G384" s="5"/>
    </row>
    <row r="385" spans="2:7" ht="18.75" customHeight="1" x14ac:dyDescent="0.25">
      <c r="B385" s="36"/>
      <c r="D385" s="7"/>
      <c r="E385" s="5"/>
      <c r="G385" s="5"/>
    </row>
    <row r="386" spans="2:7" ht="18.75" customHeight="1" x14ac:dyDescent="0.25">
      <c r="B386" s="36"/>
      <c r="D386" s="7"/>
      <c r="E386" s="5"/>
      <c r="G386" s="5"/>
    </row>
    <row r="387" spans="2:7" ht="18.75" customHeight="1" x14ac:dyDescent="0.25">
      <c r="B387" s="36"/>
      <c r="D387" s="7"/>
      <c r="E387" s="5"/>
      <c r="G387" s="5"/>
    </row>
    <row r="388" spans="2:7" ht="18.75" customHeight="1" x14ac:dyDescent="0.25">
      <c r="B388" s="36"/>
      <c r="D388" s="7"/>
      <c r="E388" s="5"/>
      <c r="G388" s="5"/>
    </row>
    <row r="389" spans="2:7" ht="18.75" customHeight="1" x14ac:dyDescent="0.25">
      <c r="B389" s="36"/>
      <c r="D389" s="7"/>
      <c r="E389" s="5"/>
      <c r="G389" s="5"/>
    </row>
    <row r="390" spans="2:7" ht="18.75" customHeight="1" x14ac:dyDescent="0.25">
      <c r="B390" s="36"/>
      <c r="D390" s="7"/>
      <c r="E390" s="5"/>
      <c r="G390" s="5"/>
    </row>
    <row r="391" spans="2:7" ht="18.75" customHeight="1" x14ac:dyDescent="0.25">
      <c r="B391" s="36"/>
      <c r="D391" s="7"/>
      <c r="E391" s="5"/>
      <c r="G391" s="5"/>
    </row>
    <row r="392" spans="2:7" ht="18.75" customHeight="1" x14ac:dyDescent="0.25">
      <c r="B392" s="36"/>
      <c r="D392" s="7"/>
      <c r="E392" s="5"/>
      <c r="G392" s="5"/>
    </row>
    <row r="393" spans="2:7" ht="18.75" customHeight="1" x14ac:dyDescent="0.25">
      <c r="B393" s="36"/>
      <c r="D393" s="7"/>
      <c r="E393" s="5"/>
      <c r="G393" s="5"/>
    </row>
    <row r="394" spans="2:7" ht="18.75" customHeight="1" x14ac:dyDescent="0.25">
      <c r="B394" s="36"/>
      <c r="D394" s="7"/>
      <c r="E394" s="5"/>
      <c r="G394" s="5"/>
    </row>
    <row r="395" spans="2:7" ht="18.75" customHeight="1" x14ac:dyDescent="0.25">
      <c r="B395" s="36"/>
      <c r="D395" s="7"/>
      <c r="E395" s="5"/>
      <c r="G395" s="5"/>
    </row>
    <row r="396" spans="2:7" ht="18.75" customHeight="1" x14ac:dyDescent="0.25">
      <c r="B396" s="36"/>
      <c r="D396" s="7"/>
      <c r="E396" s="5"/>
      <c r="G396" s="5"/>
    </row>
    <row r="397" spans="2:7" ht="18.75" customHeight="1" x14ac:dyDescent="0.25">
      <c r="B397" s="36"/>
      <c r="D397" s="7"/>
      <c r="E397" s="5"/>
      <c r="G397" s="5"/>
    </row>
    <row r="398" spans="2:7" ht="18.75" customHeight="1" x14ac:dyDescent="0.25">
      <c r="B398" s="36"/>
      <c r="D398" s="7"/>
      <c r="E398" s="5"/>
      <c r="G398" s="5"/>
    </row>
    <row r="399" spans="2:7" ht="18.75" customHeight="1" x14ac:dyDescent="0.25">
      <c r="B399" s="36"/>
      <c r="D399" s="7"/>
      <c r="E399" s="5"/>
      <c r="G399" s="5"/>
    </row>
    <row r="400" spans="2:7" ht="18.75" customHeight="1" x14ac:dyDescent="0.25">
      <c r="B400" s="36"/>
      <c r="D400" s="7"/>
      <c r="E400" s="5"/>
      <c r="G400" s="5"/>
    </row>
    <row r="401" spans="2:7" ht="18.75" customHeight="1" x14ac:dyDescent="0.25">
      <c r="B401" s="36"/>
      <c r="D401" s="7"/>
      <c r="E401" s="5"/>
      <c r="G401" s="5"/>
    </row>
    <row r="402" spans="2:7" ht="18.75" customHeight="1" x14ac:dyDescent="0.25">
      <c r="B402" s="36"/>
      <c r="D402" s="7"/>
      <c r="E402" s="5"/>
      <c r="G402" s="5"/>
    </row>
    <row r="403" spans="2:7" ht="18.75" customHeight="1" x14ac:dyDescent="0.25">
      <c r="B403" s="36"/>
      <c r="D403" s="7"/>
      <c r="E403" s="5"/>
      <c r="G403" s="5"/>
    </row>
    <row r="404" spans="2:7" ht="18.75" customHeight="1" x14ac:dyDescent="0.25">
      <c r="B404" s="36"/>
      <c r="D404" s="7"/>
      <c r="E404" s="5"/>
      <c r="G404" s="5"/>
    </row>
    <row r="405" spans="2:7" ht="18.75" customHeight="1" x14ac:dyDescent="0.25">
      <c r="B405" s="36"/>
      <c r="D405" s="7"/>
      <c r="E405" s="5"/>
      <c r="G405" s="5"/>
    </row>
    <row r="406" spans="2:7" ht="18.75" customHeight="1" x14ac:dyDescent="0.25">
      <c r="B406" s="36"/>
      <c r="D406" s="7"/>
      <c r="E406" s="5"/>
      <c r="G406" s="5"/>
    </row>
    <row r="407" spans="2:7" ht="18.75" customHeight="1" x14ac:dyDescent="0.25">
      <c r="B407" s="36"/>
      <c r="D407" s="7"/>
      <c r="E407" s="5"/>
      <c r="G407" s="5"/>
    </row>
    <row r="408" spans="2:7" ht="18.75" customHeight="1" x14ac:dyDescent="0.25">
      <c r="B408" s="36"/>
      <c r="D408" s="7"/>
      <c r="E408" s="5"/>
      <c r="G408" s="6"/>
    </row>
    <row r="409" spans="2:7" ht="18.75" customHeight="1" x14ac:dyDescent="0.25">
      <c r="B409" s="36"/>
      <c r="D409" s="7"/>
      <c r="E409" s="5"/>
      <c r="F409" s="5"/>
    </row>
    <row r="410" spans="2:7" ht="18.75" customHeight="1" x14ac:dyDescent="0.25">
      <c r="B410" s="36"/>
      <c r="D410" s="7"/>
      <c r="E410" s="5"/>
      <c r="F410" s="5"/>
    </row>
    <row r="411" spans="2:7" ht="18.75" customHeight="1" x14ac:dyDescent="0.25">
      <c r="B411" s="36"/>
      <c r="D411" s="7"/>
      <c r="E411" s="5"/>
      <c r="F411" s="5"/>
    </row>
    <row r="412" spans="2:7" ht="18.75" customHeight="1" x14ac:dyDescent="0.25">
      <c r="B412" s="36"/>
      <c r="D412" s="7"/>
      <c r="E412" s="5"/>
      <c r="F412" s="5"/>
    </row>
    <row r="413" spans="2:7" ht="18.75" customHeight="1" x14ac:dyDescent="0.25">
      <c r="B413" s="36"/>
      <c r="D413" s="7"/>
      <c r="E413" s="5"/>
      <c r="F413" s="5"/>
    </row>
    <row r="414" spans="2:7" ht="18.75" customHeight="1" x14ac:dyDescent="0.25">
      <c r="B414" s="36"/>
      <c r="D414" s="7"/>
      <c r="E414" s="5"/>
      <c r="F414" s="5"/>
    </row>
    <row r="415" spans="2:7" ht="18.75" customHeight="1" x14ac:dyDescent="0.25">
      <c r="B415" s="36"/>
      <c r="D415" s="7"/>
      <c r="E415" s="5"/>
      <c r="F415" s="5"/>
    </row>
    <row r="416" spans="2:7" ht="18.75" customHeight="1" x14ac:dyDescent="0.25">
      <c r="B416" s="36"/>
      <c r="D416" s="7"/>
      <c r="E416" s="5"/>
      <c r="F416" s="5"/>
    </row>
    <row r="417" spans="2:7" ht="18.75" customHeight="1" x14ac:dyDescent="0.25">
      <c r="B417" s="36"/>
      <c r="D417" s="7"/>
      <c r="E417" s="5"/>
      <c r="F417" s="5"/>
    </row>
    <row r="418" spans="2:7" ht="18.75" customHeight="1" x14ac:dyDescent="0.25">
      <c r="B418" s="36"/>
      <c r="D418" s="7"/>
      <c r="E418" s="5"/>
      <c r="F418" s="5"/>
    </row>
    <row r="419" spans="2:7" ht="18.75" customHeight="1" x14ac:dyDescent="0.25">
      <c r="B419" s="36"/>
      <c r="D419" s="7"/>
      <c r="E419" s="5"/>
      <c r="F419" s="5"/>
    </row>
    <row r="420" spans="2:7" ht="18.75" customHeight="1" x14ac:dyDescent="0.25">
      <c r="B420" s="36"/>
      <c r="D420" s="7"/>
      <c r="E420" s="5"/>
    </row>
    <row r="421" spans="2:7" ht="18.75" customHeight="1" x14ac:dyDescent="0.25">
      <c r="B421" s="36"/>
      <c r="D421" s="7"/>
      <c r="E421" s="5"/>
    </row>
    <row r="422" spans="2:7" ht="18.75" customHeight="1" x14ac:dyDescent="0.25">
      <c r="B422" s="36"/>
      <c r="D422" s="7"/>
      <c r="E422" s="5"/>
    </row>
    <row r="423" spans="2:7" ht="18.75" customHeight="1" x14ac:dyDescent="0.25">
      <c r="B423" s="36"/>
      <c r="D423" s="7"/>
      <c r="E423" s="5"/>
      <c r="G423" s="5"/>
    </row>
    <row r="424" spans="2:7" ht="18.75" customHeight="1" x14ac:dyDescent="0.25">
      <c r="B424" s="36"/>
      <c r="D424" s="7"/>
      <c r="E424" s="5"/>
      <c r="G424" s="5"/>
    </row>
    <row r="425" spans="2:7" ht="18.75" customHeight="1" x14ac:dyDescent="0.25">
      <c r="B425" s="36"/>
      <c r="D425" s="7"/>
      <c r="E425" s="5"/>
      <c r="G425" s="5"/>
    </row>
    <row r="426" spans="2:7" ht="18.75" customHeight="1" x14ac:dyDescent="0.25">
      <c r="B426" s="36"/>
      <c r="D426" s="7"/>
      <c r="E426" s="5"/>
      <c r="G426" s="5"/>
    </row>
    <row r="427" spans="2:7" ht="18.75" customHeight="1" x14ac:dyDescent="0.25">
      <c r="B427" s="36"/>
      <c r="D427" s="7"/>
      <c r="E427" s="5"/>
      <c r="G427" s="5"/>
    </row>
    <row r="428" spans="2:7" ht="18.75" customHeight="1" x14ac:dyDescent="0.25">
      <c r="B428" s="36"/>
      <c r="D428" s="7"/>
      <c r="E428" s="5"/>
      <c r="G428" s="5"/>
    </row>
    <row r="429" spans="2:7" ht="18.75" customHeight="1" x14ac:dyDescent="0.25">
      <c r="B429" s="36"/>
      <c r="D429" s="7"/>
      <c r="E429" s="5"/>
      <c r="G429" s="5"/>
    </row>
    <row r="430" spans="2:7" ht="18.75" customHeight="1" x14ac:dyDescent="0.25">
      <c r="B430" s="36"/>
      <c r="D430" s="7"/>
      <c r="E430" s="5"/>
      <c r="G430" s="5"/>
    </row>
    <row r="431" spans="2:7" ht="18.75" customHeight="1" x14ac:dyDescent="0.25">
      <c r="B431" s="36"/>
      <c r="D431" s="7"/>
      <c r="E431" s="5"/>
      <c r="G431" s="5"/>
    </row>
    <row r="432" spans="2:7" ht="18.75" customHeight="1" x14ac:dyDescent="0.25">
      <c r="B432" s="36"/>
      <c r="D432" s="7"/>
      <c r="E432" s="5"/>
      <c r="G432" s="5"/>
    </row>
    <row r="433" spans="2:7" ht="18.75" customHeight="1" x14ac:dyDescent="0.25">
      <c r="B433" s="36"/>
      <c r="D433" s="7"/>
      <c r="E433" s="5"/>
      <c r="G433" s="5"/>
    </row>
    <row r="434" spans="2:7" ht="18.75" customHeight="1" x14ac:dyDescent="0.25">
      <c r="B434" s="36"/>
      <c r="D434" s="7"/>
      <c r="E434" s="5"/>
      <c r="G434" s="5"/>
    </row>
    <row r="435" spans="2:7" ht="18.75" customHeight="1" x14ac:dyDescent="0.25">
      <c r="B435" s="36"/>
      <c r="D435" s="7"/>
      <c r="E435" s="5"/>
      <c r="G435" s="5"/>
    </row>
    <row r="436" spans="2:7" ht="18.75" customHeight="1" x14ac:dyDescent="0.25"/>
    <row r="437" spans="2:7" ht="18.75" customHeight="1" x14ac:dyDescent="0.25">
      <c r="B437" s="36"/>
      <c r="D437" s="7"/>
      <c r="E437" s="5"/>
    </row>
    <row r="438" spans="2:7" ht="18.75" customHeight="1" x14ac:dyDescent="0.25">
      <c r="B438" s="36"/>
      <c r="D438" s="7"/>
      <c r="E438" s="5"/>
    </row>
    <row r="439" spans="2:7" ht="18.75" customHeight="1" x14ac:dyDescent="0.25">
      <c r="B439" s="36"/>
      <c r="D439" s="7"/>
      <c r="E439" s="5"/>
    </row>
    <row r="440" spans="2:7" ht="18.75" customHeight="1" x14ac:dyDescent="0.25">
      <c r="B440" s="36"/>
      <c r="D440" s="7"/>
      <c r="E440" s="5"/>
    </row>
    <row r="441" spans="2:7" ht="18.75" customHeight="1" x14ac:dyDescent="0.25">
      <c r="B441" s="36"/>
      <c r="D441" s="7"/>
      <c r="E441" s="5"/>
    </row>
    <row r="442" spans="2:7" ht="18.75" customHeight="1" x14ac:dyDescent="0.25">
      <c r="B442" s="36"/>
      <c r="D442" s="7"/>
      <c r="E442" s="5"/>
    </row>
    <row r="443" spans="2:7" ht="18.75" customHeight="1" x14ac:dyDescent="0.25">
      <c r="B443" s="36"/>
      <c r="D443" s="7"/>
      <c r="E443" s="5"/>
    </row>
    <row r="444" spans="2:7" ht="18.75" customHeight="1" x14ac:dyDescent="0.25">
      <c r="B444" s="36"/>
      <c r="D444" s="7"/>
      <c r="E444" s="5"/>
    </row>
    <row r="445" spans="2:7" ht="18.75" customHeight="1" x14ac:dyDescent="0.25">
      <c r="B445" s="36"/>
      <c r="D445" s="7"/>
      <c r="E445" s="5"/>
    </row>
    <row r="446" spans="2:7" ht="18.75" customHeight="1" x14ac:dyDescent="0.25">
      <c r="B446" s="36"/>
      <c r="D446" s="7"/>
      <c r="E446" s="5"/>
    </row>
    <row r="447" spans="2:7" ht="18.75" customHeight="1" x14ac:dyDescent="0.25">
      <c r="B447" s="36"/>
      <c r="D447" s="7"/>
      <c r="E447" s="5"/>
    </row>
    <row r="448" spans="2:7" ht="18.75" customHeight="1" x14ac:dyDescent="0.25">
      <c r="B448" s="36"/>
      <c r="D448" s="7"/>
      <c r="E448" s="5"/>
    </row>
    <row r="449" spans="2:7" ht="18.75" customHeight="1" x14ac:dyDescent="0.25">
      <c r="B449" s="36"/>
      <c r="D449" s="7"/>
      <c r="E449" s="5"/>
    </row>
    <row r="450" spans="2:7" ht="18.75" customHeight="1" x14ac:dyDescent="0.25">
      <c r="B450" s="36"/>
      <c r="D450" s="7"/>
      <c r="E450" s="5"/>
    </row>
    <row r="451" spans="2:7" ht="18.75" customHeight="1" x14ac:dyDescent="0.25">
      <c r="B451" s="36"/>
      <c r="D451" s="7"/>
      <c r="E451" s="5"/>
    </row>
    <row r="452" spans="2:7" ht="18.75" customHeight="1" x14ac:dyDescent="0.25">
      <c r="B452" s="36"/>
      <c r="D452" s="7"/>
      <c r="E452" s="5"/>
    </row>
    <row r="453" spans="2:7" ht="18.75" customHeight="1" x14ac:dyDescent="0.25">
      <c r="B453" s="36"/>
      <c r="D453" s="7"/>
      <c r="E453" s="5"/>
      <c r="F453" s="5"/>
      <c r="G453" s="5"/>
    </row>
    <row r="454" spans="2:7" ht="18.75" customHeight="1" x14ac:dyDescent="0.25">
      <c r="B454" s="36"/>
      <c r="D454" s="7"/>
      <c r="E454" s="5"/>
      <c r="F454" s="5"/>
      <c r="G454" s="5"/>
    </row>
    <row r="455" spans="2:7" ht="18.75" customHeight="1" x14ac:dyDescent="0.25">
      <c r="B455" s="36"/>
      <c r="D455" s="7"/>
      <c r="E455" s="5"/>
      <c r="F455" s="5"/>
      <c r="G455" s="5"/>
    </row>
    <row r="456" spans="2:7" ht="18.75" customHeight="1" x14ac:dyDescent="0.25">
      <c r="B456" s="36"/>
      <c r="D456" s="7"/>
      <c r="E456" s="5"/>
      <c r="F456" s="5"/>
      <c r="G456" s="5"/>
    </row>
    <row r="457" spans="2:7" ht="18.75" customHeight="1" x14ac:dyDescent="0.25">
      <c r="B457" s="36"/>
      <c r="D457" s="7"/>
      <c r="E457" s="5"/>
      <c r="F457" s="5"/>
      <c r="G457" s="5"/>
    </row>
    <row r="458" spans="2:7" ht="18.75" customHeight="1" x14ac:dyDescent="0.25">
      <c r="B458" s="36"/>
      <c r="D458" s="7"/>
      <c r="E458" s="5"/>
      <c r="F458" s="5"/>
      <c r="G458" s="5"/>
    </row>
    <row r="459" spans="2:7" ht="18.75" customHeight="1" x14ac:dyDescent="0.25">
      <c r="B459" s="36"/>
      <c r="D459" s="7"/>
      <c r="E459" s="5"/>
      <c r="F459" s="5"/>
      <c r="G459" s="5"/>
    </row>
    <row r="460" spans="2:7" ht="18.75" customHeight="1" x14ac:dyDescent="0.25">
      <c r="B460" s="36"/>
      <c r="D460" s="7"/>
      <c r="E460" s="5"/>
      <c r="F460" s="5"/>
      <c r="G460" s="5"/>
    </row>
    <row r="461" spans="2:7" ht="18.75" customHeight="1" x14ac:dyDescent="0.25">
      <c r="B461" s="36"/>
      <c r="D461" s="7"/>
      <c r="E461" s="5"/>
      <c r="F461" s="5"/>
      <c r="G461" s="5"/>
    </row>
    <row r="462" spans="2:7" ht="18.75" customHeight="1" x14ac:dyDescent="0.25">
      <c r="B462" s="36"/>
      <c r="D462" s="7"/>
      <c r="E462" s="5"/>
      <c r="F462" s="5"/>
      <c r="G462" s="5"/>
    </row>
    <row r="463" spans="2:7" ht="18.75" customHeight="1" x14ac:dyDescent="0.25">
      <c r="B463" s="36"/>
      <c r="D463" s="7"/>
      <c r="E463" s="5"/>
      <c r="F463" s="5"/>
      <c r="G463" s="5"/>
    </row>
    <row r="464" spans="2:7" ht="18.75" customHeight="1" x14ac:dyDescent="0.25">
      <c r="B464" s="36"/>
      <c r="D464" s="7"/>
      <c r="E464" s="5"/>
      <c r="F464" s="5"/>
      <c r="G464" s="5"/>
    </row>
    <row r="465" spans="2:7" ht="18.75" customHeight="1" x14ac:dyDescent="0.25">
      <c r="B465" s="36"/>
      <c r="D465" s="7"/>
      <c r="E465" s="5"/>
      <c r="F465" s="5"/>
      <c r="G465" s="5"/>
    </row>
    <row r="466" spans="2:7" ht="18.75" customHeight="1" x14ac:dyDescent="0.25">
      <c r="B466" s="36"/>
      <c r="D466" s="7"/>
      <c r="E466" s="5"/>
      <c r="F466" s="5"/>
      <c r="G466" s="5"/>
    </row>
    <row r="467" spans="2:7" ht="18.75" customHeight="1" x14ac:dyDescent="0.25">
      <c r="B467" s="36"/>
      <c r="D467" s="7"/>
      <c r="E467" s="5"/>
      <c r="F467" s="5"/>
      <c r="G467" s="5"/>
    </row>
    <row r="468" spans="2:7" ht="18.75" customHeight="1" x14ac:dyDescent="0.25">
      <c r="B468" s="36"/>
      <c r="D468" s="7"/>
      <c r="E468" s="5"/>
      <c r="F468" s="5"/>
      <c r="G468" s="5"/>
    </row>
    <row r="469" spans="2:7" ht="18.75" customHeight="1" x14ac:dyDescent="0.25">
      <c r="B469" s="36"/>
      <c r="D469" s="7"/>
      <c r="E469" s="5"/>
      <c r="F469" s="5"/>
      <c r="G469" s="5"/>
    </row>
    <row r="470" spans="2:7" ht="18.75" customHeight="1" x14ac:dyDescent="0.25">
      <c r="B470" s="36"/>
      <c r="D470" s="7"/>
      <c r="E470" s="5"/>
      <c r="F470" s="5"/>
      <c r="G470" s="5"/>
    </row>
    <row r="471" spans="2:7" ht="18.75" customHeight="1" x14ac:dyDescent="0.25"/>
    <row r="472" spans="2:7" ht="18.75" customHeight="1" x14ac:dyDescent="0.25"/>
    <row r="473" spans="2:7" ht="18.75" customHeight="1" x14ac:dyDescent="0.25"/>
    <row r="474" spans="2:7" ht="18.75" customHeight="1" x14ac:dyDescent="0.25"/>
    <row r="475" spans="2:7" ht="18.75" customHeight="1" x14ac:dyDescent="0.25"/>
    <row r="476" spans="2:7" ht="18.75" customHeight="1" x14ac:dyDescent="0.25"/>
    <row r="477" spans="2:7" ht="18.75" customHeight="1" x14ac:dyDescent="0.25"/>
    <row r="478" spans="2:7" ht="18.75" customHeight="1" x14ac:dyDescent="0.25"/>
    <row r="479" spans="2:7" ht="18.75" customHeight="1" x14ac:dyDescent="0.25"/>
    <row r="480" spans="2:7" ht="18.75" customHeight="1" x14ac:dyDescent="0.25"/>
    <row r="481" spans="10:14" ht="18.75" customHeight="1" x14ac:dyDescent="0.25">
      <c r="J481" s="5"/>
      <c r="K481" s="5"/>
    </row>
    <row r="482" spans="10:14" ht="18.75" customHeight="1" x14ac:dyDescent="0.25">
      <c r="J482" s="5"/>
    </row>
    <row r="483" spans="10:14" ht="18.75" customHeight="1" x14ac:dyDescent="0.25">
      <c r="J483" s="5"/>
    </row>
    <row r="484" spans="10:14" ht="18.75" customHeight="1" x14ac:dyDescent="0.25">
      <c r="J484" s="5"/>
    </row>
    <row r="485" spans="10:14" ht="18.75" customHeight="1" x14ac:dyDescent="0.25">
      <c r="J485" s="5"/>
    </row>
    <row r="486" spans="10:14" ht="18.75" customHeight="1" x14ac:dyDescent="0.25">
      <c r="J486" s="5"/>
    </row>
    <row r="487" spans="10:14" ht="18.75" customHeight="1" x14ac:dyDescent="0.25">
      <c r="J487" s="5"/>
    </row>
    <row r="488" spans="10:14" ht="18.75" customHeight="1" x14ac:dyDescent="0.25">
      <c r="J488" s="5"/>
    </row>
    <row r="489" spans="10:14" ht="18.75" customHeight="1" x14ac:dyDescent="0.25">
      <c r="J489" s="5"/>
    </row>
    <row r="490" spans="10:14" ht="18.75" customHeight="1" x14ac:dyDescent="0.25">
      <c r="J490" s="5"/>
    </row>
    <row r="491" spans="10:14" ht="18.75" customHeight="1" x14ac:dyDescent="0.25">
      <c r="J491" s="5"/>
    </row>
    <row r="492" spans="10:14" ht="18.75" customHeight="1" x14ac:dyDescent="0.25">
      <c r="L492" s="5"/>
      <c r="M492" s="5"/>
      <c r="N492" s="5"/>
    </row>
    <row r="493" spans="10:14" ht="18.75" customHeight="1" x14ac:dyDescent="0.25">
      <c r="L493" s="5"/>
    </row>
    <row r="494" spans="10:14" ht="18.75" customHeight="1" x14ac:dyDescent="0.25">
      <c r="L494" s="5"/>
    </row>
    <row r="495" spans="10:14" ht="18.75" customHeight="1" x14ac:dyDescent="0.25">
      <c r="M495" s="5"/>
      <c r="N495" s="5"/>
    </row>
    <row r="496" spans="10:14" ht="18.75" customHeight="1" x14ac:dyDescent="0.25"/>
    <row r="497" spans="9:9" ht="18.75" customHeight="1" x14ac:dyDescent="0.25"/>
    <row r="498" spans="9:9" ht="18.75" customHeight="1" x14ac:dyDescent="0.25"/>
    <row r="499" spans="9:9" ht="18.75" customHeight="1" x14ac:dyDescent="0.25"/>
    <row r="500" spans="9:9" ht="18.75" customHeight="1" x14ac:dyDescent="0.25"/>
    <row r="501" spans="9:9" ht="18.75" customHeight="1" x14ac:dyDescent="0.25"/>
    <row r="502" spans="9:9" ht="18.75" customHeight="1" x14ac:dyDescent="0.25"/>
    <row r="503" spans="9:9" ht="18.75" customHeight="1" x14ac:dyDescent="0.25"/>
    <row r="504" spans="9:9" ht="18.75" customHeight="1" x14ac:dyDescent="0.25"/>
    <row r="505" spans="9:9" ht="18.75" customHeight="1" x14ac:dyDescent="0.25"/>
    <row r="506" spans="9:9" ht="18.75" customHeight="1" x14ac:dyDescent="0.25"/>
    <row r="507" spans="9:9" ht="18.75" customHeight="1" x14ac:dyDescent="0.25"/>
    <row r="508" spans="9:9" ht="18.75" customHeight="1" x14ac:dyDescent="0.25"/>
    <row r="509" spans="9:9" ht="18.75" customHeight="1" x14ac:dyDescent="0.25">
      <c r="I509" s="5"/>
    </row>
    <row r="510" spans="9:9" ht="18.75" customHeight="1" x14ac:dyDescent="0.25">
      <c r="I510" s="5"/>
    </row>
    <row r="511" spans="9:9" ht="18.75" customHeight="1" x14ac:dyDescent="0.25">
      <c r="I511" s="5"/>
    </row>
    <row r="512" spans="9:9" ht="18.75" customHeight="1" x14ac:dyDescent="0.25">
      <c r="I512" s="5"/>
    </row>
    <row r="513" spans="9:9" ht="18.75" customHeight="1" x14ac:dyDescent="0.25">
      <c r="I513" s="5"/>
    </row>
    <row r="514" spans="9:9" ht="18.75" customHeight="1" x14ac:dyDescent="0.25">
      <c r="I514" s="5"/>
    </row>
    <row r="515" spans="9:9" ht="18.75" customHeight="1" x14ac:dyDescent="0.25">
      <c r="I515" s="5"/>
    </row>
    <row r="516" spans="9:9" ht="18.75" customHeight="1" x14ac:dyDescent="0.25">
      <c r="I516" s="5"/>
    </row>
    <row r="517" spans="9:9" ht="18.75" customHeight="1" x14ac:dyDescent="0.25">
      <c r="I517" s="5"/>
    </row>
    <row r="518" spans="9:9" ht="18.75" customHeight="1" x14ac:dyDescent="0.25">
      <c r="I518" s="5"/>
    </row>
    <row r="519" spans="9:9" ht="18.75" customHeight="1" x14ac:dyDescent="0.25">
      <c r="I519" s="5"/>
    </row>
    <row r="520" spans="9:9" ht="18.75" customHeight="1" x14ac:dyDescent="0.25">
      <c r="I520" s="5"/>
    </row>
    <row r="521" spans="9:9" ht="18.75" customHeight="1" x14ac:dyDescent="0.25">
      <c r="I521" s="5"/>
    </row>
    <row r="522" spans="9:9" ht="18.75" customHeight="1" x14ac:dyDescent="0.25">
      <c r="I522" s="5"/>
    </row>
    <row r="523" spans="9:9" ht="18.75" customHeight="1" x14ac:dyDescent="0.25">
      <c r="I523" s="5"/>
    </row>
    <row r="524" spans="9:9" ht="18.75" customHeight="1" x14ac:dyDescent="0.25">
      <c r="I524" s="5"/>
    </row>
    <row r="525" spans="9:9" ht="18.75" customHeight="1" x14ac:dyDescent="0.25"/>
    <row r="526" spans="9:9" ht="18.75" customHeight="1" x14ac:dyDescent="0.25"/>
    <row r="527" spans="9:9" ht="18.75" customHeight="1" x14ac:dyDescent="0.25"/>
    <row r="528" spans="9:9" ht="18.75" customHeight="1" x14ac:dyDescent="0.25"/>
    <row r="529" ht="18.75" customHeight="1" x14ac:dyDescent="0.25"/>
    <row r="530" ht="18.75" customHeight="1" x14ac:dyDescent="0.25"/>
    <row r="531" ht="18.75" customHeight="1" x14ac:dyDescent="0.25"/>
    <row r="532" ht="18.75" customHeight="1" x14ac:dyDescent="0.25"/>
    <row r="533" ht="18.75" customHeight="1" x14ac:dyDescent="0.25"/>
    <row r="534" ht="18.75" customHeight="1" x14ac:dyDescent="0.25"/>
    <row r="535" ht="18.75" customHeight="1" x14ac:dyDescent="0.25"/>
    <row r="536" ht="18.75" customHeight="1" x14ac:dyDescent="0.25"/>
    <row r="537" ht="18.75" customHeight="1" x14ac:dyDescent="0.25"/>
    <row r="538" ht="18.75" customHeight="1" x14ac:dyDescent="0.25"/>
    <row r="539" ht="18.75" customHeight="1" x14ac:dyDescent="0.25"/>
    <row r="540" ht="18.75" customHeight="1" x14ac:dyDescent="0.25"/>
    <row r="541" ht="18.75" customHeight="1" x14ac:dyDescent="0.25"/>
    <row r="542" ht="18.75" customHeight="1" x14ac:dyDescent="0.25"/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C0099"/>
    <outlinePr summaryBelow="0"/>
  </sheetPr>
  <dimension ref="B1:I34"/>
  <sheetViews>
    <sheetView workbookViewId="0">
      <selection activeCell="I9" sqref="I9"/>
    </sheetView>
  </sheetViews>
  <sheetFormatPr defaultRowHeight="15" x14ac:dyDescent="0.25"/>
  <cols>
    <col min="1" max="1" width="13.5703125" bestFit="1" customWidth="1"/>
    <col min="2" max="2" width="37.140625" style="1" bestFit="1" customWidth="1"/>
    <col min="3" max="3" width="10.140625" bestFit="1" customWidth="1"/>
    <col min="4" max="4" width="6.140625" style="2" bestFit="1" customWidth="1"/>
    <col min="5" max="5" width="21.7109375" style="2" bestFit="1" customWidth="1"/>
    <col min="6" max="6" width="13.5703125" style="3" bestFit="1" customWidth="1"/>
    <col min="7" max="8" width="13.5703125" style="4" bestFit="1" customWidth="1"/>
    <col min="9" max="9" width="13.5703125" style="3" bestFit="1" customWidth="1"/>
  </cols>
  <sheetData>
    <row r="1" spans="2:9" ht="18.75" customHeight="1" x14ac:dyDescent="0.25"/>
    <row r="2" spans="2:9" ht="18.75" customHeight="1" x14ac:dyDescent="0.25">
      <c r="B2" s="4" t="s">
        <v>82</v>
      </c>
      <c r="C2" t="s">
        <v>83</v>
      </c>
      <c r="D2" t="s">
        <v>84</v>
      </c>
      <c r="E2" s="10" t="s">
        <v>85</v>
      </c>
      <c r="F2" s="37" t="s">
        <v>141</v>
      </c>
      <c r="G2" s="37" t="s">
        <v>142</v>
      </c>
      <c r="H2" s="37" t="s">
        <v>143</v>
      </c>
      <c r="I2" s="37" t="s">
        <v>144</v>
      </c>
    </row>
    <row r="3" spans="2:9" ht="18.75" customHeight="1" x14ac:dyDescent="0.25">
      <c r="B3" s="6">
        <v>1978</v>
      </c>
      <c r="C3" t="s">
        <v>23</v>
      </c>
      <c r="D3"/>
      <c r="E3" s="6">
        <v>74</v>
      </c>
      <c r="F3" s="5">
        <v>7.8720999999999997</v>
      </c>
      <c r="G3" s="5">
        <v>1.26E-2</v>
      </c>
      <c r="I3" s="4"/>
    </row>
    <row r="4" spans="2:9" ht="18.75" customHeight="1" x14ac:dyDescent="0.25">
      <c r="B4" s="6">
        <v>1978</v>
      </c>
      <c r="C4" t="s">
        <v>23</v>
      </c>
      <c r="D4"/>
      <c r="E4" s="5">
        <v>74.5</v>
      </c>
      <c r="F4" s="5">
        <v>7.8669000000000002</v>
      </c>
      <c r="G4" s="5">
        <v>1.21E-2</v>
      </c>
      <c r="I4" s="4"/>
    </row>
    <row r="5" spans="2:9" ht="18.75" customHeight="1" x14ac:dyDescent="0.25">
      <c r="B5" s="6">
        <v>1978</v>
      </c>
      <c r="C5" t="s">
        <v>23</v>
      </c>
      <c r="D5"/>
      <c r="E5" s="6">
        <v>75</v>
      </c>
      <c r="F5" s="5">
        <v>7.8613999999999997</v>
      </c>
      <c r="G5" s="5">
        <v>1.17E-2</v>
      </c>
      <c r="I5" s="4"/>
    </row>
    <row r="6" spans="2:9" ht="18.75" customHeight="1" x14ac:dyDescent="0.25">
      <c r="B6" s="6">
        <v>1978</v>
      </c>
      <c r="C6" t="s">
        <v>23</v>
      </c>
      <c r="D6"/>
      <c r="E6" s="5">
        <v>75.5</v>
      </c>
      <c r="F6" s="5">
        <v>7.8555999999999999</v>
      </c>
      <c r="G6" s="5">
        <v>1.1299999999999999E-2</v>
      </c>
      <c r="I6" s="4"/>
    </row>
    <row r="7" spans="2:9" ht="18.75" customHeight="1" x14ac:dyDescent="0.25">
      <c r="B7" s="6">
        <v>1978</v>
      </c>
      <c r="C7" t="s">
        <v>23</v>
      </c>
      <c r="D7"/>
      <c r="E7" s="6">
        <v>76</v>
      </c>
      <c r="F7" s="5">
        <v>7.8495999999999997</v>
      </c>
      <c r="G7" s="5">
        <v>1.0999999999999999E-2</v>
      </c>
      <c r="I7" s="4"/>
    </row>
    <row r="8" spans="2:9" ht="18.75" customHeight="1" x14ac:dyDescent="0.25">
      <c r="B8" s="6">
        <v>1978</v>
      </c>
      <c r="C8" t="s">
        <v>23</v>
      </c>
      <c r="D8"/>
      <c r="E8" s="5">
        <v>76.5</v>
      </c>
      <c r="F8" s="5">
        <v>7.8432000000000004</v>
      </c>
      <c r="G8" s="5">
        <v>1.0699999999999999E-2</v>
      </c>
      <c r="I8" s="4"/>
    </row>
    <row r="9" spans="2:9" ht="18.75" customHeight="1" x14ac:dyDescent="0.25">
      <c r="B9" s="6">
        <v>1978</v>
      </c>
      <c r="C9" t="s">
        <v>23</v>
      </c>
      <c r="D9"/>
      <c r="E9" s="6">
        <v>77</v>
      </c>
      <c r="F9" s="5">
        <v>7.8365999999999998</v>
      </c>
      <c r="G9" s="5">
        <v>1.0500000000000001E-2</v>
      </c>
      <c r="I9" s="4"/>
    </row>
    <row r="10" spans="2:9" ht="18.75" customHeight="1" x14ac:dyDescent="0.25">
      <c r="B10" s="6">
        <v>1978</v>
      </c>
      <c r="C10" t="s">
        <v>23</v>
      </c>
      <c r="D10"/>
      <c r="E10" s="5">
        <v>77.5</v>
      </c>
      <c r="F10" s="5">
        <v>7.8296999999999999</v>
      </c>
      <c r="G10" s="5">
        <v>1.03E-2</v>
      </c>
      <c r="I10" s="4"/>
    </row>
    <row r="11" spans="2:9" ht="18.75" customHeight="1" x14ac:dyDescent="0.25">
      <c r="B11" s="6">
        <v>1978</v>
      </c>
      <c r="C11" t="s">
        <v>23</v>
      </c>
      <c r="D11"/>
      <c r="E11" s="6">
        <v>78</v>
      </c>
      <c r="F11" s="5">
        <v>7.8224</v>
      </c>
      <c r="G11" s="5">
        <v>1.01E-2</v>
      </c>
      <c r="I11" s="4"/>
    </row>
    <row r="12" spans="2:9" ht="18.75" customHeight="1" x14ac:dyDescent="0.25">
      <c r="B12" s="6">
        <v>1978</v>
      </c>
      <c r="C12" t="s">
        <v>23</v>
      </c>
      <c r="D12"/>
      <c r="E12" s="5">
        <v>78.5</v>
      </c>
      <c r="F12" s="5">
        <v>7.8147000000000002</v>
      </c>
      <c r="G12" s="5">
        <v>0.01</v>
      </c>
      <c r="I12" s="4"/>
    </row>
    <row r="13" spans="2:9" ht="18.75" customHeight="1" x14ac:dyDescent="0.25">
      <c r="B13" s="6">
        <v>1978</v>
      </c>
      <c r="C13" t="s">
        <v>23</v>
      </c>
      <c r="D13"/>
      <c r="E13" s="6">
        <v>79</v>
      </c>
      <c r="F13" s="5">
        <v>7.8066000000000004</v>
      </c>
      <c r="G13" s="5">
        <v>9.9000000000000008E-3</v>
      </c>
      <c r="I13" s="4"/>
    </row>
    <row r="14" spans="2:9" ht="18.75" customHeight="1" x14ac:dyDescent="0.25">
      <c r="B14" s="6">
        <v>1978</v>
      </c>
      <c r="C14" t="s">
        <v>23</v>
      </c>
      <c r="D14"/>
      <c r="E14" s="5">
        <v>79.5</v>
      </c>
      <c r="F14" s="5">
        <v>7.7981999999999996</v>
      </c>
      <c r="G14" s="5">
        <v>9.9000000000000008E-3</v>
      </c>
      <c r="I14" s="4"/>
    </row>
    <row r="15" spans="2:9" ht="18.75" customHeight="1" x14ac:dyDescent="0.25">
      <c r="B15" s="6">
        <v>1978</v>
      </c>
      <c r="C15" t="s">
        <v>23</v>
      </c>
      <c r="D15"/>
      <c r="E15" s="6">
        <v>80</v>
      </c>
      <c r="F15" s="5">
        <v>7.7893999999999997</v>
      </c>
      <c r="G15" s="5">
        <v>9.7999999999999997E-3</v>
      </c>
      <c r="I15" s="4"/>
    </row>
    <row r="16" spans="2:9" ht="18.75" customHeight="1" x14ac:dyDescent="0.25">
      <c r="B16" s="6">
        <v>1978</v>
      </c>
      <c r="C16" t="s">
        <v>23</v>
      </c>
      <c r="D16"/>
      <c r="E16" s="5">
        <v>80.5</v>
      </c>
      <c r="F16" s="5">
        <v>7.7801999999999998</v>
      </c>
      <c r="G16" s="5">
        <v>9.9000000000000008E-3</v>
      </c>
      <c r="I16" s="4"/>
    </row>
    <row r="17" spans="2:9" ht="18.75" customHeight="1" x14ac:dyDescent="0.25">
      <c r="B17" s="6">
        <v>1978</v>
      </c>
      <c r="C17" t="s">
        <v>23</v>
      </c>
      <c r="D17"/>
      <c r="E17" s="6">
        <v>81</v>
      </c>
      <c r="F17" s="5">
        <v>7.7706999999999997</v>
      </c>
      <c r="G17" s="5">
        <v>9.9000000000000008E-3</v>
      </c>
      <c r="I17" s="4"/>
    </row>
    <row r="18" spans="2:9" ht="18.75" customHeight="1" x14ac:dyDescent="0.25">
      <c r="B18" s="6">
        <v>1978</v>
      </c>
      <c r="C18" t="s">
        <v>23</v>
      </c>
      <c r="D18"/>
      <c r="E18" s="5">
        <v>81.5</v>
      </c>
      <c r="F18" s="5">
        <v>7.7607999999999997</v>
      </c>
      <c r="G18" s="5">
        <v>0.01</v>
      </c>
      <c r="I18" s="4"/>
    </row>
    <row r="19" spans="2:9" ht="18.75" customHeight="1" x14ac:dyDescent="0.25">
      <c r="B19" s="6">
        <v>1978</v>
      </c>
      <c r="C19" t="s">
        <v>23</v>
      </c>
      <c r="D19"/>
      <c r="E19" s="6">
        <v>82</v>
      </c>
      <c r="F19" s="5">
        <v>7.7504</v>
      </c>
      <c r="G19" s="5">
        <v>1.01E-2</v>
      </c>
      <c r="I19" s="4"/>
    </row>
    <row r="20" spans="2:9" ht="18.75" customHeight="1" x14ac:dyDescent="0.25">
      <c r="B20" s="6">
        <v>1978</v>
      </c>
      <c r="C20" t="s">
        <v>23</v>
      </c>
      <c r="D20"/>
      <c r="E20" s="5">
        <v>82.5</v>
      </c>
      <c r="F20" s="5">
        <v>7.7394999999999996</v>
      </c>
      <c r="G20" s="5">
        <v>1.0200000000000001E-2</v>
      </c>
      <c r="I20" s="4"/>
    </row>
    <row r="21" spans="2:9" ht="18.75" customHeight="1" x14ac:dyDescent="0.25">
      <c r="B21" s="6">
        <v>1978</v>
      </c>
      <c r="C21" t="s">
        <v>23</v>
      </c>
      <c r="D21"/>
      <c r="E21" s="6">
        <v>83</v>
      </c>
      <c r="F21" s="5">
        <v>7.7282000000000002</v>
      </c>
      <c r="G21" s="5">
        <v>1.04E-2</v>
      </c>
      <c r="I21" s="4"/>
    </row>
    <row r="22" spans="2:9" ht="18.75" customHeight="1" x14ac:dyDescent="0.25">
      <c r="B22" s="6">
        <v>1978</v>
      </c>
      <c r="C22" t="s">
        <v>23</v>
      </c>
      <c r="D22"/>
      <c r="E22" s="5">
        <v>83.5</v>
      </c>
      <c r="F22" s="5">
        <v>7.7163000000000004</v>
      </c>
      <c r="G22" s="5">
        <v>1.06E-2</v>
      </c>
      <c r="I22" s="4"/>
    </row>
    <row r="23" spans="2:9" ht="18.75" customHeight="1" x14ac:dyDescent="0.25">
      <c r="B23" s="6">
        <v>1970</v>
      </c>
      <c r="C23" t="s">
        <v>145</v>
      </c>
      <c r="D23"/>
      <c r="E23" s="5">
        <v>81.2</v>
      </c>
      <c r="F23" s="5">
        <f t="shared" ref="F23:F29" si="0">H23*4.184/1000</f>
        <v>7.7487680000000001</v>
      </c>
      <c r="G23" s="3"/>
      <c r="H23" s="6">
        <v>1852</v>
      </c>
      <c r="I23" s="4"/>
    </row>
    <row r="24" spans="2:9" ht="18.75" customHeight="1" x14ac:dyDescent="0.25">
      <c r="B24" s="6">
        <v>1970</v>
      </c>
      <c r="C24" t="s">
        <v>145</v>
      </c>
      <c r="D24"/>
      <c r="E24" s="6">
        <v>75</v>
      </c>
      <c r="F24" s="5">
        <f t="shared" si="0"/>
        <v>7.9496000000000002</v>
      </c>
      <c r="G24" s="3"/>
      <c r="H24" s="6">
        <v>1900</v>
      </c>
      <c r="I24" s="4"/>
    </row>
    <row r="25" spans="2:9" ht="18.75" customHeight="1" x14ac:dyDescent="0.25">
      <c r="B25" s="6">
        <v>1970</v>
      </c>
      <c r="C25" t="s">
        <v>145</v>
      </c>
      <c r="D25"/>
      <c r="E25" s="6">
        <v>69</v>
      </c>
      <c r="F25" s="5">
        <f t="shared" si="0"/>
        <v>7.9663360000000001</v>
      </c>
      <c r="G25" s="3"/>
      <c r="H25" s="6">
        <v>1904</v>
      </c>
      <c r="I25" s="4"/>
    </row>
    <row r="26" spans="2:9" ht="18.75" customHeight="1" x14ac:dyDescent="0.25">
      <c r="B26" s="6">
        <v>1970</v>
      </c>
      <c r="C26" t="s">
        <v>145</v>
      </c>
      <c r="D26"/>
      <c r="E26" s="6">
        <v>60</v>
      </c>
      <c r="F26" s="5">
        <f t="shared" si="0"/>
        <v>8.0081760000000006</v>
      </c>
      <c r="G26" s="3"/>
      <c r="H26" s="6">
        <v>1914</v>
      </c>
      <c r="I26" s="4"/>
    </row>
    <row r="27" spans="2:9" ht="18.75" customHeight="1" x14ac:dyDescent="0.25">
      <c r="B27" s="6">
        <v>1970</v>
      </c>
      <c r="C27" t="s">
        <v>145</v>
      </c>
      <c r="D27"/>
      <c r="E27" s="6">
        <v>47</v>
      </c>
      <c r="F27" s="5">
        <f t="shared" si="0"/>
        <v>8.6274079999999991</v>
      </c>
      <c r="G27" s="3"/>
      <c r="H27" s="6">
        <v>2062</v>
      </c>
      <c r="I27" s="4"/>
    </row>
    <row r="28" spans="2:9" ht="18.75" customHeight="1" x14ac:dyDescent="0.25">
      <c r="B28" s="6">
        <v>1961</v>
      </c>
      <c r="C28" t="s">
        <v>38</v>
      </c>
      <c r="D28"/>
      <c r="E28" s="6">
        <v>0</v>
      </c>
      <c r="F28" s="5">
        <f t="shared" si="0"/>
        <v>7.7236640000000003</v>
      </c>
      <c r="G28" s="5">
        <f>I28*4.184/1000</f>
        <v>2.9288000000000002E-2</v>
      </c>
      <c r="H28" s="6">
        <v>1846</v>
      </c>
      <c r="I28" s="6">
        <v>7</v>
      </c>
    </row>
    <row r="29" spans="2:9" ht="18.75" customHeight="1" x14ac:dyDescent="0.25">
      <c r="B29" s="6">
        <v>1957</v>
      </c>
      <c r="C29" t="s">
        <v>19</v>
      </c>
      <c r="D29"/>
      <c r="E29" s="6">
        <v>0</v>
      </c>
      <c r="F29" s="5">
        <f t="shared" si="0"/>
        <v>7.7404000000000002</v>
      </c>
      <c r="G29" s="5">
        <f>I29*4.184/1000</f>
        <v>5.0207999999999996E-2</v>
      </c>
      <c r="H29" s="6">
        <v>1850</v>
      </c>
      <c r="I29" s="6">
        <v>12</v>
      </c>
    </row>
    <row r="30" spans="2:9" ht="18.75" customHeight="1" x14ac:dyDescent="0.25">
      <c r="B30" s="1" t="s">
        <v>146</v>
      </c>
    </row>
    <row r="31" spans="2:9" ht="18.75" customHeight="1" x14ac:dyDescent="0.25"/>
    <row r="32" spans="2:9" ht="18.75" customHeight="1" x14ac:dyDescent="0.25">
      <c r="B32" s="6">
        <v>2018</v>
      </c>
      <c r="C32" t="s">
        <v>147</v>
      </c>
      <c r="D32" s="5">
        <f>AVERAGE(27.5,31)</f>
        <v>29.25</v>
      </c>
      <c r="E32" s="5">
        <v>7.79</v>
      </c>
    </row>
    <row r="33" spans="2:5" ht="18.75" customHeight="1" x14ac:dyDescent="0.25">
      <c r="B33" s="6">
        <v>2001</v>
      </c>
      <c r="C33" t="s">
        <v>148</v>
      </c>
      <c r="D33" s="5">
        <f>AVERAGE(20.9,28.2)</f>
        <v>24.549999999999997</v>
      </c>
      <c r="E33" s="5">
        <v>7.8</v>
      </c>
    </row>
    <row r="34" spans="2:5" ht="18.75" customHeight="1" x14ac:dyDescent="0.25"/>
  </sheetData>
  <conditionalFormatting sqref="D2">
    <cfRule type="cellIs" dxfId="2" priority="1" operator="equal">
      <formula>"neon"</formula>
    </cfRule>
    <cfRule type="cellIs" dxfId="1" priority="2" operator="equal">
      <formula>"xenon"</formula>
    </cfRule>
    <cfRule type="cellIs" dxfId="0" priority="3" operator="equal">
      <formula>"krypton"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/>
    <outlinePr summaryBelow="0"/>
  </sheetPr>
  <dimension ref="D1:N40"/>
  <sheetViews>
    <sheetView workbookViewId="0">
      <selection activeCell="M16" sqref="M16"/>
    </sheetView>
  </sheetViews>
  <sheetFormatPr defaultRowHeight="15" x14ac:dyDescent="0.25"/>
  <cols>
    <col min="1" max="3" width="13.5703125" bestFit="1" customWidth="1"/>
    <col min="4" max="4" width="13.5703125" style="1" bestFit="1" customWidth="1"/>
    <col min="5" max="5" width="13.5703125" bestFit="1" customWidth="1"/>
    <col min="6" max="7" width="13.5703125" style="2" bestFit="1" customWidth="1"/>
    <col min="8" max="8" width="13.5703125" style="3" bestFit="1" customWidth="1"/>
    <col min="9" max="9" width="13.5703125" style="4" bestFit="1" customWidth="1"/>
    <col min="10" max="10" width="13.5703125" style="1" bestFit="1" customWidth="1"/>
    <col min="11" max="11" width="13.5703125" bestFit="1" customWidth="1"/>
    <col min="12" max="12" width="13.5703125" style="3" bestFit="1" customWidth="1"/>
    <col min="13" max="13" width="13.5703125" bestFit="1" customWidth="1"/>
    <col min="14" max="14" width="13.5703125" style="3" bestFit="1" customWidth="1"/>
  </cols>
  <sheetData>
    <row r="1" spans="4:14" ht="18.75" customHeight="1" x14ac:dyDescent="0.25">
      <c r="L1" s="3" t="s">
        <v>0</v>
      </c>
    </row>
    <row r="2" spans="4:14" ht="18.75" customHeight="1" x14ac:dyDescent="0.25">
      <c r="D2" s="1" t="s">
        <v>3</v>
      </c>
      <c r="E2" t="s">
        <v>83</v>
      </c>
      <c r="F2" s="2" t="s">
        <v>5</v>
      </c>
      <c r="G2" s="2" t="s">
        <v>149</v>
      </c>
      <c r="H2" s="3" t="s">
        <v>149</v>
      </c>
      <c r="I2" s="4" t="s">
        <v>149</v>
      </c>
      <c r="J2" s="1" t="s">
        <v>149</v>
      </c>
      <c r="L2" s="5">
        <v>39.948</v>
      </c>
      <c r="N2" s="3" t="s">
        <v>150</v>
      </c>
    </row>
    <row r="3" spans="4:14" ht="18.75" customHeight="1" x14ac:dyDescent="0.25">
      <c r="F3" s="2" t="s">
        <v>12</v>
      </c>
      <c r="G3" s="2" t="s">
        <v>151</v>
      </c>
      <c r="H3" s="3" t="s">
        <v>152</v>
      </c>
      <c r="I3" s="4" t="s">
        <v>153</v>
      </c>
      <c r="J3" s="1" t="s">
        <v>154</v>
      </c>
    </row>
    <row r="4" spans="4:14" ht="18.75" customHeight="1" x14ac:dyDescent="0.25">
      <c r="D4" s="6">
        <v>1935</v>
      </c>
      <c r="E4" t="s">
        <v>80</v>
      </c>
      <c r="F4" s="5">
        <v>83.9</v>
      </c>
      <c r="G4" s="5">
        <f t="shared" ref="G4:G10" si="0">H4*$L$2/1000</f>
        <v>109.617312</v>
      </c>
      <c r="H4" s="6">
        <f t="shared" ref="H4:H10" si="1">I4*9.8</f>
        <v>2744</v>
      </c>
      <c r="I4" s="6">
        <v>280</v>
      </c>
    </row>
    <row r="5" spans="4:14" ht="18.75" customHeight="1" x14ac:dyDescent="0.25">
      <c r="D5" s="6">
        <v>1935</v>
      </c>
      <c r="E5" t="s">
        <v>80</v>
      </c>
      <c r="F5" s="5">
        <v>106.4</v>
      </c>
      <c r="G5" s="5">
        <f t="shared" si="0"/>
        <v>109.617312</v>
      </c>
      <c r="H5" s="6">
        <f t="shared" si="1"/>
        <v>2744</v>
      </c>
      <c r="I5" s="6">
        <v>280</v>
      </c>
    </row>
    <row r="6" spans="4:14" ht="18.75" customHeight="1" x14ac:dyDescent="0.25">
      <c r="D6" s="6">
        <v>1935</v>
      </c>
      <c r="E6" t="s">
        <v>80</v>
      </c>
      <c r="F6" s="5">
        <v>126.3</v>
      </c>
      <c r="G6" s="5">
        <f t="shared" si="0"/>
        <v>109.2258216</v>
      </c>
      <c r="H6" s="5">
        <f t="shared" si="1"/>
        <v>2734.2000000000003</v>
      </c>
      <c r="I6" s="6">
        <v>279</v>
      </c>
    </row>
    <row r="7" spans="4:14" ht="18.75" customHeight="1" x14ac:dyDescent="0.25">
      <c r="D7" s="6">
        <v>1935</v>
      </c>
      <c r="E7" t="s">
        <v>80</v>
      </c>
      <c r="F7" s="5">
        <v>144.9</v>
      </c>
      <c r="G7" s="5">
        <f t="shared" si="0"/>
        <v>108.44284080000001</v>
      </c>
      <c r="H7" s="5">
        <f t="shared" si="1"/>
        <v>2714.6000000000004</v>
      </c>
      <c r="I7" s="6">
        <v>277</v>
      </c>
    </row>
    <row r="8" spans="4:14" ht="18.75" customHeight="1" x14ac:dyDescent="0.25">
      <c r="D8" s="6">
        <v>1935</v>
      </c>
      <c r="E8" t="s">
        <v>80</v>
      </c>
      <c r="F8" s="5">
        <v>161.9</v>
      </c>
      <c r="G8" s="5">
        <f t="shared" si="0"/>
        <v>107.65985999999999</v>
      </c>
      <c r="H8" s="6">
        <f t="shared" si="1"/>
        <v>2695</v>
      </c>
      <c r="I8" s="6">
        <v>275</v>
      </c>
    </row>
    <row r="9" spans="4:14" ht="18.75" customHeight="1" x14ac:dyDescent="0.25">
      <c r="D9" s="6">
        <v>1935</v>
      </c>
      <c r="E9" t="s">
        <v>80</v>
      </c>
      <c r="F9" s="5">
        <v>177.8</v>
      </c>
      <c r="G9" s="5">
        <f t="shared" si="0"/>
        <v>108.0513504</v>
      </c>
      <c r="H9" s="5">
        <f t="shared" si="1"/>
        <v>2704.8</v>
      </c>
      <c r="I9" s="6">
        <v>276</v>
      </c>
    </row>
    <row r="10" spans="4:14" ht="18.75" customHeight="1" x14ac:dyDescent="0.25">
      <c r="D10" s="6">
        <v>1935</v>
      </c>
      <c r="E10" t="s">
        <v>80</v>
      </c>
      <c r="F10" s="5">
        <v>192.9</v>
      </c>
      <c r="G10" s="5">
        <f t="shared" si="0"/>
        <v>108.44284080000001</v>
      </c>
      <c r="H10" s="5">
        <f t="shared" si="1"/>
        <v>2714.6000000000004</v>
      </c>
      <c r="I10" s="6">
        <v>277</v>
      </c>
    </row>
    <row r="11" spans="4:14" ht="18.75" customHeight="1" x14ac:dyDescent="0.25">
      <c r="D11" s="6">
        <v>1968</v>
      </c>
      <c r="E11" t="s">
        <v>51</v>
      </c>
      <c r="F11" s="5">
        <v>94.73</v>
      </c>
      <c r="G11" s="5">
        <v>1.2</v>
      </c>
      <c r="L11" s="3" t="s">
        <v>155</v>
      </c>
    </row>
    <row r="12" spans="4:14" ht="18.75" customHeight="1" x14ac:dyDescent="0.25">
      <c r="D12" s="6">
        <v>1968</v>
      </c>
      <c r="E12" t="s">
        <v>51</v>
      </c>
      <c r="F12" s="5">
        <v>108.12</v>
      </c>
      <c r="G12" s="5">
        <v>1.27</v>
      </c>
    </row>
    <row r="13" spans="4:14" ht="18.75" customHeight="1" x14ac:dyDescent="0.25">
      <c r="D13" s="6">
        <v>1968</v>
      </c>
      <c r="E13" t="s">
        <v>51</v>
      </c>
      <c r="F13" s="5">
        <v>120.85</v>
      </c>
      <c r="G13" s="5">
        <v>1.32</v>
      </c>
    </row>
    <row r="14" spans="4:14" ht="18.75" customHeight="1" x14ac:dyDescent="0.25">
      <c r="D14" s="6">
        <v>1968</v>
      </c>
      <c r="E14" t="s">
        <v>51</v>
      </c>
      <c r="F14" s="5">
        <v>140.88</v>
      </c>
      <c r="G14" s="5">
        <v>1.46</v>
      </c>
    </row>
    <row r="15" spans="4:14" ht="18.75" customHeight="1" x14ac:dyDescent="0.25">
      <c r="D15" s="6">
        <v>1968</v>
      </c>
      <c r="E15" t="s">
        <v>51</v>
      </c>
      <c r="F15" s="5">
        <v>160.4</v>
      </c>
      <c r="G15" s="5">
        <v>1.61</v>
      </c>
    </row>
    <row r="16" spans="4:14" ht="18.75" customHeight="1" x14ac:dyDescent="0.25">
      <c r="D16" s="6">
        <v>1968</v>
      </c>
      <c r="E16" t="s">
        <v>51</v>
      </c>
      <c r="F16" s="5">
        <v>180.15</v>
      </c>
      <c r="G16" s="5">
        <v>1.76</v>
      </c>
    </row>
    <row r="17" spans="4:14" ht="18.75" customHeight="1" x14ac:dyDescent="0.25">
      <c r="D17" s="6">
        <v>1968</v>
      </c>
      <c r="E17" t="s">
        <v>51</v>
      </c>
      <c r="F17" s="5">
        <v>180.2</v>
      </c>
      <c r="G17" s="5">
        <v>1.74</v>
      </c>
    </row>
    <row r="18" spans="4:14" ht="18.75" customHeight="1" x14ac:dyDescent="0.25">
      <c r="D18" s="6">
        <v>1968</v>
      </c>
      <c r="E18" t="s">
        <v>51</v>
      </c>
      <c r="F18" s="5">
        <v>201.32</v>
      </c>
      <c r="G18" s="5">
        <v>1.78</v>
      </c>
    </row>
    <row r="19" spans="4:14" ht="18.75" customHeight="1" x14ac:dyDescent="0.25">
      <c r="D19" s="6">
        <v>1968</v>
      </c>
      <c r="E19" t="s">
        <v>63</v>
      </c>
      <c r="F19" s="5">
        <v>96.41</v>
      </c>
      <c r="G19" s="5">
        <f t="shared" ref="G19:G24" si="2">0.004184*J19</f>
        <v>1.2259120000000001</v>
      </c>
      <c r="J19" s="6">
        <v>293</v>
      </c>
    </row>
    <row r="20" spans="4:14" ht="18.75" customHeight="1" x14ac:dyDescent="0.25">
      <c r="D20" s="6">
        <v>1968</v>
      </c>
      <c r="E20" t="s">
        <v>63</v>
      </c>
      <c r="F20" s="5">
        <v>101.11</v>
      </c>
      <c r="G20" s="5">
        <f t="shared" si="2"/>
        <v>1.23428</v>
      </c>
      <c r="J20" s="6">
        <v>295</v>
      </c>
    </row>
    <row r="21" spans="4:14" ht="18.75" customHeight="1" x14ac:dyDescent="0.25">
      <c r="D21" s="6">
        <v>1968</v>
      </c>
      <c r="E21" t="s">
        <v>63</v>
      </c>
      <c r="F21" s="5">
        <v>105.81</v>
      </c>
      <c r="G21" s="5">
        <f t="shared" si="2"/>
        <v>1.2593840000000001</v>
      </c>
      <c r="J21" s="6">
        <v>301</v>
      </c>
    </row>
    <row r="22" spans="4:14" ht="18.75" customHeight="1" x14ac:dyDescent="0.25">
      <c r="D22" s="6">
        <v>1968</v>
      </c>
      <c r="E22" t="s">
        <v>63</v>
      </c>
      <c r="F22" s="5">
        <v>110.55</v>
      </c>
      <c r="G22" s="5">
        <f t="shared" si="2"/>
        <v>1.2844880000000001</v>
      </c>
      <c r="J22" s="6">
        <v>307</v>
      </c>
    </row>
    <row r="23" spans="4:14" ht="18.75" customHeight="1" x14ac:dyDescent="0.25">
      <c r="D23" s="6">
        <v>1968</v>
      </c>
      <c r="E23" t="s">
        <v>63</v>
      </c>
      <c r="F23" s="5">
        <v>115.3</v>
      </c>
      <c r="G23" s="5">
        <f t="shared" si="2"/>
        <v>1.3012240000000002</v>
      </c>
      <c r="J23" s="6">
        <v>311</v>
      </c>
    </row>
    <row r="24" spans="4:14" ht="18.75" customHeight="1" x14ac:dyDescent="0.25">
      <c r="D24" s="6">
        <v>1968</v>
      </c>
      <c r="E24" t="s">
        <v>63</v>
      </c>
      <c r="F24" s="5">
        <v>120.08</v>
      </c>
      <c r="G24" s="5">
        <f t="shared" si="2"/>
        <v>1.3137760000000001</v>
      </c>
      <c r="J24" s="6">
        <v>314</v>
      </c>
    </row>
    <row r="25" spans="4:14" ht="18.75" customHeight="1" x14ac:dyDescent="0.25">
      <c r="D25" s="6">
        <v>1971</v>
      </c>
      <c r="E25" t="s">
        <v>61</v>
      </c>
      <c r="F25" s="7">
        <v>197.79249999999999</v>
      </c>
      <c r="G25" s="5">
        <f t="shared" ref="G25:G36" si="3">F25*N25*8.31446261815324/1000</f>
        <v>1.8632619476054173</v>
      </c>
      <c r="N25" s="5">
        <v>1.133</v>
      </c>
    </row>
    <row r="26" spans="4:14" ht="18.75" customHeight="1" x14ac:dyDescent="0.25">
      <c r="D26" s="6">
        <v>1971</v>
      </c>
      <c r="E26" t="s">
        <v>61</v>
      </c>
      <c r="F26" s="7">
        <v>221.6199</v>
      </c>
      <c r="G26" s="5">
        <f t="shared" si="3"/>
        <v>2.0379713136316786</v>
      </c>
      <c r="N26" s="5">
        <v>1.1060000000000001</v>
      </c>
    </row>
    <row r="27" spans="4:14" ht="18.75" customHeight="1" x14ac:dyDescent="0.25">
      <c r="D27" s="6">
        <v>1971</v>
      </c>
      <c r="E27" t="s">
        <v>61</v>
      </c>
      <c r="F27" s="7">
        <v>222.87970000000001</v>
      </c>
      <c r="G27" s="5">
        <f t="shared" si="3"/>
        <v>2.0402905523287247</v>
      </c>
      <c r="N27" s="5">
        <v>1.101</v>
      </c>
    </row>
    <row r="28" spans="4:14" ht="18.75" customHeight="1" x14ac:dyDescent="0.25">
      <c r="D28" s="6">
        <v>1971</v>
      </c>
      <c r="E28" t="s">
        <v>61</v>
      </c>
      <c r="F28" s="7">
        <v>247.77549999999999</v>
      </c>
      <c r="G28" s="5">
        <f t="shared" si="3"/>
        <v>2.2331702235695428</v>
      </c>
      <c r="N28" s="5">
        <v>1.0840000000000001</v>
      </c>
    </row>
    <row r="29" spans="4:14" ht="18.75" customHeight="1" x14ac:dyDescent="0.25">
      <c r="D29" s="6">
        <v>1971</v>
      </c>
      <c r="E29" t="s">
        <v>61</v>
      </c>
      <c r="F29" s="7">
        <v>247.94550000000001</v>
      </c>
      <c r="G29" s="5">
        <f t="shared" si="3"/>
        <v>2.2388254799229954</v>
      </c>
      <c r="N29" s="5">
        <v>1.0860000000000001</v>
      </c>
    </row>
    <row r="30" spans="4:14" ht="18.75" customHeight="1" x14ac:dyDescent="0.25">
      <c r="D30" s="6">
        <v>1971</v>
      </c>
      <c r="E30" t="s">
        <v>61</v>
      </c>
      <c r="F30" s="7">
        <v>273</v>
      </c>
      <c r="G30" s="5">
        <f t="shared" si="3"/>
        <v>2.437817068567766</v>
      </c>
      <c r="N30" s="5">
        <v>1.0740000000000001</v>
      </c>
    </row>
    <row r="31" spans="4:14" ht="18.75" customHeight="1" x14ac:dyDescent="0.25">
      <c r="D31" s="6">
        <v>1971</v>
      </c>
      <c r="E31" t="s">
        <v>61</v>
      </c>
      <c r="F31" s="7">
        <v>273.12</v>
      </c>
      <c r="G31" s="5">
        <f t="shared" si="3"/>
        <v>2.4343469444494539</v>
      </c>
      <c r="N31" s="5">
        <v>1.0720000000000001</v>
      </c>
    </row>
    <row r="32" spans="4:14" ht="18.75" customHeight="1" x14ac:dyDescent="0.25">
      <c r="D32" s="6">
        <v>1971</v>
      </c>
      <c r="E32" t="s">
        <v>61</v>
      </c>
      <c r="F32" s="7">
        <v>297.92380000000003</v>
      </c>
      <c r="G32" s="5">
        <f t="shared" si="3"/>
        <v>2.6207467234513362</v>
      </c>
      <c r="N32" s="5">
        <v>1.0580000000000001</v>
      </c>
    </row>
    <row r="33" spans="4:14" ht="18.75" customHeight="1" x14ac:dyDescent="0.25">
      <c r="D33" s="6">
        <v>1971</v>
      </c>
      <c r="E33" t="s">
        <v>61</v>
      </c>
      <c r="F33" s="7">
        <v>297.99380000000002</v>
      </c>
      <c r="G33" s="5">
        <f t="shared" si="3"/>
        <v>2.599063567757963</v>
      </c>
      <c r="N33" s="5">
        <v>1.0489999999999999</v>
      </c>
    </row>
    <row r="34" spans="4:14" ht="18.75" customHeight="1" x14ac:dyDescent="0.25">
      <c r="D34" s="6">
        <v>1971</v>
      </c>
      <c r="E34" t="s">
        <v>61</v>
      </c>
      <c r="F34" s="7">
        <v>298.15370000000001</v>
      </c>
      <c r="G34" s="5">
        <f t="shared" si="3"/>
        <v>2.6326850362871488</v>
      </c>
      <c r="N34" s="5">
        <v>1.0620000000000001</v>
      </c>
    </row>
    <row r="35" spans="4:14" ht="18.75" customHeight="1" x14ac:dyDescent="0.25">
      <c r="D35" s="6">
        <v>1971</v>
      </c>
      <c r="E35" t="s">
        <v>61</v>
      </c>
      <c r="F35" s="7">
        <v>322.81720000000001</v>
      </c>
      <c r="G35" s="5">
        <f t="shared" si="3"/>
        <v>2.8155700674498463</v>
      </c>
      <c r="N35" s="5">
        <v>1.0489999999999999</v>
      </c>
    </row>
    <row r="36" spans="4:14" ht="18.75" customHeight="1" x14ac:dyDescent="0.25">
      <c r="D36" s="6">
        <v>1971</v>
      </c>
      <c r="E36" t="s">
        <v>61</v>
      </c>
      <c r="F36" s="7">
        <v>323.13709999999998</v>
      </c>
      <c r="G36" s="5">
        <f t="shared" si="3"/>
        <v>2.8129867713974019</v>
      </c>
      <c r="N36" s="5">
        <v>1.0469999999999999</v>
      </c>
    </row>
    <row r="37" spans="4:14" ht="18.75" customHeight="1" x14ac:dyDescent="0.25">
      <c r="D37" s="6">
        <v>1973</v>
      </c>
      <c r="E37" t="s">
        <v>64</v>
      </c>
      <c r="F37" s="5">
        <v>156.38999999999999</v>
      </c>
      <c r="G37" s="5">
        <f>0.004184*J37</f>
        <v>1.5773680000000001</v>
      </c>
      <c r="J37" s="6">
        <v>377</v>
      </c>
    </row>
    <row r="38" spans="4:14" ht="18.75" customHeight="1" x14ac:dyDescent="0.25">
      <c r="D38" s="6">
        <v>1973</v>
      </c>
      <c r="E38" t="s">
        <v>64</v>
      </c>
      <c r="F38" s="5">
        <v>181.28</v>
      </c>
      <c r="G38" s="5">
        <f>0.004184*J38</f>
        <v>1.7279920000000002</v>
      </c>
      <c r="J38" s="6">
        <v>413</v>
      </c>
    </row>
    <row r="39" spans="4:14" ht="18.75" customHeight="1" x14ac:dyDescent="0.25">
      <c r="D39" s="6">
        <v>1973</v>
      </c>
      <c r="E39" t="s">
        <v>64</v>
      </c>
      <c r="F39" s="5">
        <v>221.41</v>
      </c>
      <c r="G39" s="5">
        <f>0.004184*J39</f>
        <v>2.0041359999999999</v>
      </c>
      <c r="J39" s="6">
        <v>479</v>
      </c>
    </row>
    <row r="40" spans="4:14" ht="18.75" customHeight="1" x14ac:dyDescent="0.25">
      <c r="D40" s="6">
        <v>1973</v>
      </c>
      <c r="E40" t="s">
        <v>64</v>
      </c>
      <c r="F40" s="5">
        <v>253.49</v>
      </c>
      <c r="G40" s="5">
        <f>0.004184*J40</f>
        <v>2.2300720000000003</v>
      </c>
      <c r="J40" s="6">
        <v>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thermal expansion coefficient</vt:lpstr>
      <vt:lpstr>heat capacity</vt:lpstr>
      <vt:lpstr>melting</vt:lpstr>
      <vt:lpstr>cell volume</vt:lpstr>
      <vt:lpstr>compressibility_bulk modulus</vt:lpstr>
      <vt:lpstr>sublimation</vt:lpstr>
      <vt:lpstr>heat of sublimation</vt:lpstr>
      <vt:lpstr>heat of fusion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Iash Bashir (23059859)</cp:lastModifiedBy>
  <cp:revision/>
  <dcterms:created xsi:type="dcterms:W3CDTF">2024-11-22T08:35:29Z</dcterms:created>
  <dcterms:modified xsi:type="dcterms:W3CDTF">2025-05-08T12:23:25Z</dcterms:modified>
  <cp:category/>
  <cp:contentStatus/>
</cp:coreProperties>
</file>