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B9BFE87-65DB-4371-8315-76CBE6FAE3A7}" xr6:coauthVersionLast="45" xr6:coauthVersionMax="45" xr10:uidLastSave="{00000000-0000-0000-0000-000000000000}"/>
  <bookViews>
    <workbookView xWindow="14325" yWindow="135" windowWidth="13995" windowHeight="15015" firstSheet="1" activeTab="4" xr2:uid="{00000000-000D-0000-FFFF-FFFF00000000}"/>
  </bookViews>
  <sheets>
    <sheet name="Mortgage" sheetId="7" r:id="rId1"/>
    <sheet name="Invoice" sheetId="8" r:id="rId2"/>
    <sheet name="Movies" sheetId="3" r:id="rId3"/>
    <sheet name="Estimates" sheetId="4" r:id="rId4"/>
    <sheet name="Commissions" sheetId="5" r:id="rId5"/>
    <sheet name="Forecasting &amp; Charting" sheetId="6" r:id="rId6"/>
  </sheets>
  <externalReferences>
    <externalReference r:id="rId7"/>
  </externalReferences>
  <definedNames>
    <definedName name="AssociateNames" localSheetId="1">[1]Commissions!$F$4:$F$8</definedName>
    <definedName name="AssociateNames" localSheetId="0">[1]Commissions!$F$4:$F$8</definedName>
    <definedName name="AssociateNames">Commissions!$F$3:$F$7</definedName>
    <definedName name="Borrowed_Amount" localSheetId="0">Mortgage!$C$4</definedName>
    <definedName name="Borrowed_Amount">[1]Mortgage!$C$4</definedName>
    <definedName name="Comissions" localSheetId="1">[1]Commissions!$C$23:$C$27</definedName>
    <definedName name="Comissions" localSheetId="0">[1]Commissions!$C$23:$C$27</definedName>
    <definedName name="Comissions">Commissions!$C$22:$C$26</definedName>
    <definedName name="Commission" localSheetId="1">[1]Commissions!$D$4:$D$19</definedName>
    <definedName name="Commission" localSheetId="0">[1]Commissions!$D$4:$D$19</definedName>
    <definedName name="Commission">Commissions!$D$3:$D$18</definedName>
    <definedName name="Commission_Earned" localSheetId="1">[1]Commissions!$I$4:$I$8</definedName>
    <definedName name="Commission_Earned" localSheetId="0">[1]Commissions!$I$4:$I$8</definedName>
    <definedName name="Commission_Earned">Commissions!$I$3:$I$7</definedName>
    <definedName name="Commissions">[1]Commissions!$C$23:$C$27</definedName>
    <definedName name="Deposit" localSheetId="0">Mortgage!$C$5</definedName>
    <definedName name="Deposit">[1]Mortgage!$C$5</definedName>
    <definedName name="Discount_1" localSheetId="1">Invoice!$E$4</definedName>
    <definedName name="Discount_1" localSheetId="0">[1]Invoice!$E$4</definedName>
    <definedName name="Discount_1">#REF!</definedName>
    <definedName name="Discount_2" localSheetId="1">Invoice!$E$5</definedName>
    <definedName name="Discount_2" localSheetId="0">[1]Invoice!$E$5</definedName>
    <definedName name="Discount_2">#REF!</definedName>
    <definedName name="Discount_3" localSheetId="1">Invoice!$E$6</definedName>
    <definedName name="Discount_3" localSheetId="0">[1]Invoice!$E$6</definedName>
    <definedName name="Discount_3">#REF!</definedName>
    <definedName name="Discount_4" localSheetId="1">Invoice!$E$7</definedName>
    <definedName name="Discount_4" localSheetId="0">[1]Invoice!$E$7</definedName>
    <definedName name="Discount_4">#REF!</definedName>
    <definedName name="Discount_Rate" localSheetId="1">Invoice!$B$13</definedName>
    <definedName name="Discount_Rate" localSheetId="0">[1]Invoice!$B$13</definedName>
    <definedName name="Discount_Rate">#REF!</definedName>
    <definedName name="Discount_threshold" localSheetId="1">Invoice!$C$13</definedName>
    <definedName name="Discount_threshold" localSheetId="0">[1]Invoice!$C$13</definedName>
    <definedName name="Discount_threshold">#REF!</definedName>
    <definedName name="Enders">[1]Commissions!$F$4</definedName>
    <definedName name="Enter_Rank">[1]Movies!$D$14</definedName>
    <definedName name="Enter_Rank___to_Search">Movies!$C$13</definedName>
    <definedName name="Financed_Amount" localSheetId="0">Mortgage!$F$4</definedName>
    <definedName name="Financed_Amount">[1]Mortgage!$F$4</definedName>
    <definedName name="Forrest">[1]Commissions!$F$5</definedName>
    <definedName name="HST" localSheetId="1">Invoice!$G$11</definedName>
    <definedName name="HST">[1]Invoice!$G$11</definedName>
    <definedName name="HST_Rate" localSheetId="1">Invoice!$E$13</definedName>
    <definedName name="HST_Rate" localSheetId="0">[1]Invoice!$E$13</definedName>
    <definedName name="HST_Rate">#REF!</definedName>
    <definedName name="Interest_Rate" localSheetId="0">Mortgage!$C$7</definedName>
    <definedName name="Interest_Rate">[1]Mortgage!$C$7</definedName>
    <definedName name="Irons">[1]Commissions!$F$6</definedName>
    <definedName name="Karim">[1]Commissions!$F$7</definedName>
    <definedName name="MarketGrowth" localSheetId="1">'[1]Forecasting &amp; Charting'!$E$6</definedName>
    <definedName name="MarketGrowth" localSheetId="0">'[1]Forecasting &amp; Charting'!$E$6</definedName>
    <definedName name="MarketGrowth">'Forecasting &amp; Charting'!$D$5</definedName>
    <definedName name="Names" localSheetId="1">[1]Commissions!$B$4:$B$19</definedName>
    <definedName name="Names" localSheetId="0">[1]Commissions!$B$4:$B$19</definedName>
    <definedName name="Names">Commissions!$B$3:$B$18</definedName>
    <definedName name="Payment__Month" localSheetId="0">Mortgage!$F$5</definedName>
    <definedName name="Payment__Month">[1]Mortgage!$F$5</definedName>
    <definedName name="payment_monthly" localSheetId="0">Mortgage!$F$5</definedName>
    <definedName name="payment_monthly">[1]Mortgage!$F$5</definedName>
    <definedName name="Price_1" localSheetId="1">Invoice!$D$4</definedName>
    <definedName name="Price_1" localSheetId="0">[1]Invoice!$D$4</definedName>
    <definedName name="Price_1">#REF!</definedName>
    <definedName name="Price_2" localSheetId="1">Invoice!$D$5</definedName>
    <definedName name="Price_2" localSheetId="0">[1]Invoice!$D$5</definedName>
    <definedName name="Price_2">#REF!</definedName>
    <definedName name="Price_3" localSheetId="1">Invoice!$D$6</definedName>
    <definedName name="Price_3" localSheetId="0">[1]Invoice!$D$6</definedName>
    <definedName name="Price_3">#REF!</definedName>
    <definedName name="Price_4" localSheetId="1">Invoice!$D$7</definedName>
    <definedName name="Price_4" localSheetId="0">[1]Invoice!$D$7</definedName>
    <definedName name="Price_4">#REF!</definedName>
    <definedName name="PriceRange" localSheetId="1">[1]Commissions!$B$23:$B$27</definedName>
    <definedName name="PriceRange" localSheetId="0">[1]Commissions!$B$23:$B$27</definedName>
    <definedName name="PriceRange">Commissions!$B$22:$B$26</definedName>
    <definedName name="Properties_Sold" localSheetId="1">[1]Commissions!$G$4:$G$8</definedName>
    <definedName name="Properties_Sold" localSheetId="0">[1]Commissions!$G$4:$G$8</definedName>
    <definedName name="Properties_Sold">Commissions!$G$3:$G$7</definedName>
    <definedName name="Qiu">[1]Commissions!$F$8</definedName>
    <definedName name="Qty_1" localSheetId="1">Invoice!$C$4</definedName>
    <definedName name="Qty_1" localSheetId="0">[1]Invoice!$C$4</definedName>
    <definedName name="Qty_1">#REF!</definedName>
    <definedName name="Qty_2" localSheetId="1">Invoice!$C$5</definedName>
    <definedName name="Qty_2" localSheetId="0">[1]Invoice!$C$5</definedName>
    <definedName name="Qty_2">#REF!</definedName>
    <definedName name="Qty_3" localSheetId="1">Invoice!$C$6</definedName>
    <definedName name="Qty_3" localSheetId="0">[1]Invoice!$C$6</definedName>
    <definedName name="Qty_3">#REF!</definedName>
    <definedName name="Qty_4" localSheetId="1">Invoice!$C$7</definedName>
    <definedName name="Qty_4" localSheetId="0">[1]Invoice!$C$7</definedName>
    <definedName name="Qty_4">#REF!</definedName>
    <definedName name="RemainingCaptured" localSheetId="1">'[1]Forecasting &amp; Charting'!$E$5</definedName>
    <definedName name="RemainingCaptured" localSheetId="0">'[1]Forecasting &amp; Charting'!$E$5</definedName>
    <definedName name="RemainingCaptured">'Forecasting &amp; Charting'!$D$4</definedName>
    <definedName name="Sale_Price1" localSheetId="1">Invoice!$F$4</definedName>
    <definedName name="Sale_Price1">[1]Invoice!$F$4</definedName>
    <definedName name="Sale_Price2" localSheetId="1">Invoice!$F$5</definedName>
    <definedName name="Sale_Price2">[1]Invoice!$F$5</definedName>
    <definedName name="Sale_Price3" localSheetId="1">Invoice!$F$6</definedName>
    <definedName name="Sale_Price3">[1]Invoice!$F$6</definedName>
    <definedName name="Sale_Price4" localSheetId="1">Invoice!$F$7</definedName>
    <definedName name="Sale_Price4">[1]Invoice!$F$7</definedName>
    <definedName name="Sale_Prices" localSheetId="1">[1]Commissions!$C$4:$C$19</definedName>
    <definedName name="Sale_Prices" localSheetId="0">[1]Commissions!$C$4:$C$19</definedName>
    <definedName name="Sale_Prices">Commissions!$C$3:$C$18</definedName>
    <definedName name="Subtotal" localSheetId="1">Invoice!$G$10</definedName>
    <definedName name="Subtotal">[1]Invoice!$G$10</definedName>
    <definedName name="Term__Yrs" localSheetId="0">Mortgage!$C$6</definedName>
    <definedName name="Term__Yrs">[1]Mortgage!$C$6</definedName>
    <definedName name="Tier1" localSheetId="1">[1]Estimates!$C$5</definedName>
    <definedName name="Tier1" localSheetId="0">[1]Estimates!$C$5</definedName>
    <definedName name="Tier1">Estimates!$B$4</definedName>
    <definedName name="Tier1Price" localSheetId="1">[1]Estimates!$I$5</definedName>
    <definedName name="Tier1Price" localSheetId="0">[1]Estimates!$I$5</definedName>
    <definedName name="Tier1Price">Estimates!$H$4</definedName>
    <definedName name="Tier1Qty" localSheetId="1">[1]Estimates!$G$5</definedName>
    <definedName name="Tier1Qty" localSheetId="0">[1]Estimates!$G$5</definedName>
    <definedName name="Tier1Qty">Estimates!$F$4</definedName>
    <definedName name="Tier1Total" localSheetId="1">[1]Estimates!$J$5</definedName>
    <definedName name="Tier1Total" localSheetId="0">[1]Estimates!$J$5</definedName>
    <definedName name="Tier1Total">Estimates!$I$4</definedName>
    <definedName name="Tier2" localSheetId="1">[1]Estimates!$C$6</definedName>
    <definedName name="Tier2" localSheetId="0">[1]Estimates!$C$6</definedName>
    <definedName name="Tier2">Estimates!$B$5</definedName>
    <definedName name="Tier2Price" localSheetId="1">[1]Estimates!$I$6</definedName>
    <definedName name="Tier2Price" localSheetId="0">[1]Estimates!$I$6</definedName>
    <definedName name="Tier2Price">Estimates!$H$5</definedName>
    <definedName name="Tier2Qty" localSheetId="1">[1]Estimates!$G$6</definedName>
    <definedName name="Tier2Qty" localSheetId="0">[1]Estimates!$G$6</definedName>
    <definedName name="Tier2Qty">Estimates!$F$5</definedName>
    <definedName name="Tier2Total">Estimates!$I$5</definedName>
    <definedName name="Tier3">Estimates!$B$6</definedName>
    <definedName name="Tier3Price" localSheetId="1">[1]Estimates!$I$7</definedName>
    <definedName name="Tier3Price" localSheetId="0">[1]Estimates!$I$7</definedName>
    <definedName name="Tier3Price">Estimates!$H$6</definedName>
    <definedName name="Tier3Qty" localSheetId="1">[1]Estimates!$G$7</definedName>
    <definedName name="Tier3Qty" localSheetId="0">[1]Estimates!$G$7</definedName>
    <definedName name="Tier3Qty">Estimates!$F$6</definedName>
    <definedName name="Tier3Total" localSheetId="1">[1]Estimates!$J$7</definedName>
    <definedName name="Tier3Total" localSheetId="0">[1]Estimates!$J$7</definedName>
    <definedName name="Tier3Total">Estimates!$I$6</definedName>
    <definedName name="Top10_Movies" localSheetId="1">[1]Movies!$B$3:$G$12</definedName>
    <definedName name="Top10_Movies" localSheetId="0">[1]Movies!$B$3:$G$12</definedName>
    <definedName name="Top10_Movies">Movies!$A$2:$F$11</definedName>
    <definedName name="Total" localSheetId="1">Invoice!$G$4:$G$7</definedName>
    <definedName name="Total">[1]Invoice!$G$4:$G$7</definedName>
    <definedName name="Total_Interest" localSheetId="0">Mortgage!$F$7</definedName>
    <definedName name="Total_Interest">[1]Mortgage!$F$7</definedName>
    <definedName name="Total_Market_Potential" localSheetId="1">'[1]Forecasting &amp; Charting'!$E$4</definedName>
    <definedName name="Total_Market_Potential" localSheetId="0">'[1]Forecasting &amp; Charting'!$E$4</definedName>
    <definedName name="Total_Market_Potential">'Forecasting &amp; Charting'!$D$3</definedName>
    <definedName name="Total_Payments" localSheetId="0">Mortgage!$F$6</definedName>
    <definedName name="Total_Payments">[1]Mortgage!$F$6</definedName>
    <definedName name="Total_Sales" localSheetId="1">[1]Commissions!$H$4:$H$8</definedName>
    <definedName name="Total_Sales" localSheetId="0">[1]Commissions!$H$4:$H$8</definedName>
    <definedName name="Total_Sales">Commissions!$H$3:$H$7</definedName>
    <definedName name="UnitsOrdered" localSheetId="1">[1]Estimates!$J$3</definedName>
    <definedName name="UnitsOrdered" localSheetId="0">[1]Estimates!$J$3</definedName>
    <definedName name="UnitsOrdered">Estimates!$I$2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Qyfpfit/rdW/llPaa7prTtL/Nlg=="/>
    </ext>
  </extLst>
</workbook>
</file>

<file path=xl/calcChain.xml><?xml version="1.0" encoding="utf-8"?>
<calcChain xmlns="http://schemas.openxmlformats.org/spreadsheetml/2006/main">
  <c r="C19" i="3" l="1"/>
  <c r="C18" i="3"/>
  <c r="C17" i="3"/>
  <c r="C16" i="3"/>
  <c r="C15" i="3"/>
  <c r="E4" i="8"/>
  <c r="F4" i="8" s="1"/>
  <c r="G4" i="8" s="1"/>
  <c r="E5" i="8"/>
  <c r="F5" i="8" s="1"/>
  <c r="G5" i="8" s="1"/>
  <c r="E6" i="8"/>
  <c r="F6" i="8"/>
  <c r="G6" i="8" s="1"/>
  <c r="E7" i="8"/>
  <c r="F7" i="8"/>
  <c r="G7" i="8" s="1"/>
  <c r="F4" i="7"/>
  <c r="F5" i="7"/>
  <c r="C11" i="7" s="1"/>
  <c r="B11" i="7"/>
  <c r="G10" i="8" l="1"/>
  <c r="G11" i="8"/>
  <c r="F6" i="7"/>
  <c r="F5" i="4"/>
  <c r="G13" i="8" l="1"/>
  <c r="D11" i="7"/>
  <c r="F7" i="7"/>
  <c r="E11" i="7" s="1"/>
  <c r="M6" i="6"/>
  <c r="M4" i="6"/>
  <c r="M5" i="6" s="1"/>
  <c r="G4" i="6"/>
  <c r="H4" i="6" s="1"/>
  <c r="G5" i="6" s="1"/>
  <c r="H5" i="6" s="1"/>
  <c r="G6" i="6" s="1"/>
  <c r="H6" i="6" s="1"/>
  <c r="G7" i="6" s="1"/>
  <c r="H7" i="6" s="1"/>
  <c r="G8" i="6" s="1"/>
  <c r="H8" i="6" s="1"/>
  <c r="G9" i="6" s="1"/>
  <c r="H9" i="6" s="1"/>
  <c r="G10" i="6" s="1"/>
  <c r="H10" i="6" s="1"/>
  <c r="G11" i="6" s="1"/>
  <c r="H11" i="6" s="1"/>
  <c r="G12" i="6" s="1"/>
  <c r="H12" i="6" s="1"/>
  <c r="G13" i="6" s="1"/>
  <c r="H13" i="6" s="1"/>
  <c r="G14" i="6" s="1"/>
  <c r="H14" i="6" s="1"/>
  <c r="G15" i="6" s="1"/>
  <c r="H15" i="6" s="1"/>
  <c r="G16" i="6" s="1"/>
  <c r="H16" i="6" s="1"/>
  <c r="G17" i="6" s="1"/>
  <c r="H17" i="6" s="1"/>
  <c r="G18" i="6" s="1"/>
  <c r="H18" i="6" s="1"/>
  <c r="G19" i="6" s="1"/>
  <c r="H19" i="6" s="1"/>
  <c r="G20" i="6" s="1"/>
  <c r="H20" i="6" s="1"/>
  <c r="G21" i="6" s="1"/>
  <c r="H21" i="6" s="1"/>
  <c r="G22" i="6" s="1"/>
  <c r="H22" i="6" s="1"/>
  <c r="G23" i="6" s="1"/>
  <c r="H23" i="6" s="1"/>
  <c r="G24" i="6" s="1"/>
  <c r="H24" i="6" s="1"/>
  <c r="G25" i="6" s="1"/>
  <c r="H25" i="6" s="1"/>
  <c r="G26" i="6" s="1"/>
  <c r="H26" i="6" s="1"/>
  <c r="G27" i="6" s="1"/>
  <c r="H27" i="6" s="1"/>
  <c r="G28" i="6" s="1"/>
  <c r="H28" i="6" s="1"/>
  <c r="G29" i="6" s="1"/>
  <c r="H29" i="6" s="1"/>
  <c r="G30" i="6" s="1"/>
  <c r="H30" i="6" s="1"/>
  <c r="G31" i="6" s="1"/>
  <c r="H31" i="6" s="1"/>
  <c r="G32" i="6" s="1"/>
  <c r="H32" i="6" s="1"/>
  <c r="G33" i="6" s="1"/>
  <c r="H33" i="6" s="1"/>
  <c r="G34" i="6" s="1"/>
  <c r="H34" i="6" s="1"/>
  <c r="G35" i="6" s="1"/>
  <c r="H35" i="6" s="1"/>
  <c r="G36" i="6" s="1"/>
  <c r="H36" i="6" s="1"/>
  <c r="G37" i="6" s="1"/>
  <c r="H37" i="6" s="1"/>
  <c r="G38" i="6" s="1"/>
  <c r="H38" i="6" s="1"/>
  <c r="G39" i="6" s="1"/>
  <c r="H39" i="6" s="1"/>
  <c r="G40" i="6" s="1"/>
  <c r="H40" i="6" s="1"/>
  <c r="G41" i="6" s="1"/>
  <c r="H41" i="6" s="1"/>
  <c r="G42" i="6" s="1"/>
  <c r="H42" i="6" s="1"/>
  <c r="G43" i="6" s="1"/>
  <c r="H43" i="6" s="1"/>
  <c r="G44" i="6" s="1"/>
  <c r="H44" i="6" s="1"/>
  <c r="G45" i="6" s="1"/>
  <c r="H45" i="6" s="1"/>
  <c r="G46" i="6" s="1"/>
  <c r="H46" i="6" s="1"/>
  <c r="G47" i="6" s="1"/>
  <c r="H47" i="6" s="1"/>
  <c r="G48" i="6" s="1"/>
  <c r="H48" i="6" s="1"/>
  <c r="G49" i="6" s="1"/>
  <c r="H49" i="6" s="1"/>
  <c r="G50" i="6" s="1"/>
  <c r="H50" i="6" s="1"/>
  <c r="G51" i="6" s="1"/>
  <c r="H51" i="6" s="1"/>
  <c r="G52" i="6" s="1"/>
  <c r="H52" i="6" s="1"/>
  <c r="G53" i="6" s="1"/>
  <c r="H53" i="6" s="1"/>
  <c r="G54" i="6" s="1"/>
  <c r="H54" i="6" s="1"/>
  <c r="G55" i="6" s="1"/>
  <c r="H55" i="6" s="1"/>
  <c r="G56" i="6" s="1"/>
  <c r="H56" i="6" s="1"/>
  <c r="G57" i="6" s="1"/>
  <c r="H57" i="6" s="1"/>
  <c r="G58" i="6" s="1"/>
  <c r="H58" i="6" s="1"/>
  <c r="G59" i="6" s="1"/>
  <c r="H59" i="6" s="1"/>
  <c r="G60" i="6" s="1"/>
  <c r="H60" i="6" s="1"/>
  <c r="G61" i="6" s="1"/>
  <c r="H61" i="6" s="1"/>
  <c r="G62" i="6" s="1"/>
  <c r="H62" i="6" s="1"/>
  <c r="G63" i="6" s="1"/>
  <c r="H63" i="6" s="1"/>
  <c r="D18" i="5"/>
  <c r="D17" i="5"/>
  <c r="D16" i="5"/>
  <c r="D15" i="5"/>
  <c r="D14" i="5"/>
  <c r="D13" i="5"/>
  <c r="D12" i="5"/>
  <c r="D11" i="5"/>
  <c r="D10" i="5"/>
  <c r="D9" i="5"/>
  <c r="D8" i="5"/>
  <c r="H7" i="5"/>
  <c r="G7" i="5"/>
  <c r="D7" i="5"/>
  <c r="I4" i="5" s="1"/>
  <c r="H6" i="5"/>
  <c r="G6" i="5"/>
  <c r="D6" i="5"/>
  <c r="H5" i="5"/>
  <c r="G5" i="5"/>
  <c r="D5" i="5"/>
  <c r="H4" i="5"/>
  <c r="G4" i="5"/>
  <c r="D4" i="5"/>
  <c r="H3" i="5"/>
  <c r="G3" i="5"/>
  <c r="D3" i="5"/>
  <c r="I7" i="5" s="1"/>
  <c r="F7" i="4"/>
  <c r="F4" i="4"/>
  <c r="I4" i="4" s="1"/>
  <c r="F11" i="5" l="1"/>
  <c r="H11" i="5" s="1" a="1"/>
  <c r="H11" i="5" s="1"/>
  <c r="I5" i="5"/>
  <c r="I3" i="5"/>
  <c r="I6" i="5"/>
  <c r="I11" i="5" a="1"/>
  <c r="I11" i="5" s="1"/>
  <c r="F6" i="4"/>
  <c r="I6" i="4" s="1"/>
  <c r="M7" i="6"/>
  <c r="I5" i="4"/>
  <c r="I7" i="4" s="1"/>
  <c r="G11" i="5" a="1"/>
  <c r="G11" i="5" s="1"/>
  <c r="N4" i="6"/>
  <c r="O4" i="6" s="1"/>
  <c r="N5" i="6" s="1"/>
  <c r="O5" i="6" s="1"/>
  <c r="N6" i="6" s="1"/>
  <c r="O6" i="6" s="1"/>
  <c r="M8" i="6" l="1"/>
  <c r="N7" i="6"/>
  <c r="O7" i="6" s="1"/>
  <c r="M9" i="6" l="1"/>
  <c r="N8" i="6"/>
  <c r="O8" i="6" s="1"/>
  <c r="M10" i="6" l="1"/>
  <c r="N9" i="6"/>
  <c r="O9" i="6" s="1"/>
  <c r="M11" i="6" l="1"/>
  <c r="N10" i="6"/>
  <c r="O10" i="6" s="1"/>
  <c r="M12" i="6" l="1"/>
  <c r="N11" i="6"/>
  <c r="O11" i="6" s="1"/>
  <c r="M13" i="6" l="1"/>
  <c r="N12" i="6"/>
  <c r="O12" i="6" s="1"/>
  <c r="M14" i="6" l="1"/>
  <c r="N13" i="6"/>
  <c r="O13" i="6" s="1"/>
  <c r="M15" i="6" l="1"/>
  <c r="N14" i="6"/>
  <c r="O14" i="6" s="1"/>
  <c r="M16" i="6" l="1"/>
  <c r="N15" i="6"/>
  <c r="O15" i="6" s="1"/>
  <c r="M17" i="6" l="1"/>
  <c r="N16" i="6"/>
  <c r="O16" i="6" s="1"/>
  <c r="M18" i="6" l="1"/>
  <c r="N17" i="6"/>
  <c r="O17" i="6" s="1"/>
  <c r="M19" i="6" l="1"/>
  <c r="N18" i="6"/>
  <c r="O18" i="6" s="1"/>
  <c r="M20" i="6" l="1"/>
  <c r="N19" i="6"/>
  <c r="O19" i="6" s="1"/>
  <c r="M21" i="6" l="1"/>
  <c r="N20" i="6"/>
  <c r="O20" i="6" s="1"/>
  <c r="N21" i="6" l="1"/>
  <c r="O21" i="6" s="1"/>
  <c r="M22" i="6"/>
  <c r="M23" i="6" l="1"/>
  <c r="N22" i="6"/>
  <c r="O22" i="6" s="1"/>
  <c r="M24" i="6" l="1"/>
  <c r="N23" i="6"/>
  <c r="O23" i="6" s="1"/>
  <c r="M25" i="6" l="1"/>
  <c r="N24" i="6"/>
  <c r="O24" i="6" s="1"/>
  <c r="M26" i="6" l="1"/>
  <c r="N25" i="6"/>
  <c r="O25" i="6" s="1"/>
  <c r="M27" i="6" l="1"/>
  <c r="N26" i="6"/>
  <c r="O26" i="6" s="1"/>
  <c r="M28" i="6" l="1"/>
  <c r="N27" i="6"/>
  <c r="O27" i="6" s="1"/>
  <c r="M29" i="6" l="1"/>
  <c r="N28" i="6"/>
  <c r="O28" i="6" s="1"/>
  <c r="M30" i="6" l="1"/>
  <c r="N29" i="6"/>
  <c r="O29" i="6" s="1"/>
  <c r="M31" i="6" l="1"/>
  <c r="N30" i="6"/>
  <c r="O30" i="6" s="1"/>
  <c r="M32" i="6" l="1"/>
  <c r="N31" i="6"/>
  <c r="O31" i="6" s="1"/>
  <c r="M33" i="6" l="1"/>
  <c r="N32" i="6"/>
  <c r="O32" i="6" s="1"/>
  <c r="M34" i="6" l="1"/>
  <c r="N33" i="6"/>
  <c r="O33" i="6" s="1"/>
  <c r="M35" i="6" l="1"/>
  <c r="N34" i="6"/>
  <c r="O34" i="6" s="1"/>
  <c r="M36" i="6" l="1"/>
  <c r="N35" i="6"/>
  <c r="O35" i="6" s="1"/>
  <c r="M37" i="6" l="1"/>
  <c r="N36" i="6"/>
  <c r="O36" i="6" s="1"/>
  <c r="N37" i="6" l="1"/>
  <c r="O37" i="6" s="1"/>
  <c r="M38" i="6"/>
  <c r="M39" i="6" l="1"/>
  <c r="N38" i="6"/>
  <c r="O38" i="6" s="1"/>
  <c r="M40" i="6" l="1"/>
  <c r="N39" i="6"/>
  <c r="O39" i="6" s="1"/>
  <c r="M41" i="6" l="1"/>
  <c r="N40" i="6"/>
  <c r="O40" i="6" s="1"/>
  <c r="M42" i="6" l="1"/>
  <c r="N41" i="6"/>
  <c r="O41" i="6" s="1"/>
  <c r="M43" i="6" l="1"/>
  <c r="N42" i="6"/>
  <c r="O42" i="6" s="1"/>
  <c r="M44" i="6" l="1"/>
  <c r="N43" i="6"/>
  <c r="O43" i="6" s="1"/>
  <c r="M45" i="6" l="1"/>
  <c r="N44" i="6"/>
  <c r="O44" i="6" s="1"/>
  <c r="M46" i="6" l="1"/>
  <c r="N45" i="6"/>
  <c r="O45" i="6" s="1"/>
  <c r="M47" i="6" l="1"/>
  <c r="N46" i="6"/>
  <c r="O46" i="6" s="1"/>
  <c r="M48" i="6" l="1"/>
  <c r="N47" i="6"/>
  <c r="O47" i="6" s="1"/>
  <c r="M49" i="6" l="1"/>
  <c r="N48" i="6"/>
  <c r="O48" i="6" s="1"/>
  <c r="M50" i="6" l="1"/>
  <c r="N49" i="6"/>
  <c r="O49" i="6" s="1"/>
  <c r="M51" i="6" l="1"/>
  <c r="N50" i="6"/>
  <c r="O50" i="6" s="1"/>
  <c r="M52" i="6" l="1"/>
  <c r="N51" i="6"/>
  <c r="O51" i="6" s="1"/>
  <c r="M53" i="6" l="1"/>
  <c r="N52" i="6"/>
  <c r="O52" i="6" s="1"/>
  <c r="N53" i="6" l="1"/>
  <c r="O53" i="6" s="1"/>
  <c r="M54" i="6"/>
  <c r="M55" i="6" l="1"/>
  <c r="N54" i="6"/>
  <c r="O54" i="6" s="1"/>
  <c r="M56" i="6" l="1"/>
  <c r="N55" i="6"/>
  <c r="O55" i="6" s="1"/>
  <c r="M57" i="6" l="1"/>
  <c r="N56" i="6"/>
  <c r="O56" i="6" s="1"/>
  <c r="M58" i="6" l="1"/>
  <c r="N57" i="6"/>
  <c r="O57" i="6" s="1"/>
  <c r="M59" i="6" l="1"/>
  <c r="N58" i="6"/>
  <c r="O58" i="6" s="1"/>
  <c r="M60" i="6" l="1"/>
  <c r="N59" i="6"/>
  <c r="O59" i="6" s="1"/>
  <c r="M61" i="6" l="1"/>
  <c r="N60" i="6"/>
  <c r="O60" i="6" s="1"/>
  <c r="M62" i="6" l="1"/>
  <c r="N61" i="6"/>
  <c r="O61" i="6" s="1"/>
  <c r="M63" i="6" l="1"/>
  <c r="N62" i="6"/>
  <c r="O62" i="6" s="1"/>
  <c r="N63" i="6" l="1"/>
  <c r="O63" i="6" s="1"/>
</calcChain>
</file>

<file path=xl/sharedStrings.xml><?xml version="1.0" encoding="utf-8"?>
<sst xmlns="http://schemas.openxmlformats.org/spreadsheetml/2006/main" count="144" uniqueCount="106">
  <si>
    <t>Mortgage Calculator</t>
  </si>
  <si>
    <t>Initial Assumptions</t>
  </si>
  <si>
    <t>Result</t>
  </si>
  <si>
    <t>Borrowed Amount</t>
  </si>
  <si>
    <t>Financed Amount</t>
  </si>
  <si>
    <t>Deposit</t>
  </si>
  <si>
    <t>Payment (Month)</t>
  </si>
  <si>
    <t>Term (Yrs)</t>
  </si>
  <si>
    <t>Total Payments</t>
  </si>
  <si>
    <t>Interest Rate</t>
  </si>
  <si>
    <t>Total Interest</t>
  </si>
  <si>
    <t>Monthly Payment</t>
  </si>
  <si>
    <t>Sales Invoice</t>
  </si>
  <si>
    <t>Item</t>
  </si>
  <si>
    <t>Quantity</t>
  </si>
  <si>
    <t>List Price /unit</t>
  </si>
  <si>
    <t>Discount</t>
  </si>
  <si>
    <t>Sale Price /unit</t>
  </si>
  <si>
    <t>Total</t>
  </si>
  <si>
    <t>Printer Ink</t>
  </si>
  <si>
    <t>Paper Pack</t>
  </si>
  <si>
    <t>File Folders</t>
  </si>
  <si>
    <t>USB Sticks</t>
  </si>
  <si>
    <t>Subtotal</t>
  </si>
  <si>
    <t>HST</t>
  </si>
  <si>
    <t>Discount_Rate</t>
  </si>
  <si>
    <t>Discount_Threshold</t>
  </si>
  <si>
    <t>HST_Rate</t>
  </si>
  <si>
    <t>Amount Due</t>
  </si>
  <si>
    <t>Rank</t>
  </si>
  <si>
    <t>Title</t>
  </si>
  <si>
    <t>Genre</t>
  </si>
  <si>
    <t>Directors</t>
  </si>
  <si>
    <t>Rating</t>
  </si>
  <si>
    <t>Year</t>
  </si>
  <si>
    <t>The Shawshank Redemption</t>
  </si>
  <si>
    <t>Crime, Drama</t>
  </si>
  <si>
    <t>Frank Darabont</t>
  </si>
  <si>
    <t>The Godfather</t>
  </si>
  <si>
    <t>Francis Ford Coppola</t>
  </si>
  <si>
    <t>The Dark Knight</t>
  </si>
  <si>
    <t>Action, Crime, Drama</t>
  </si>
  <si>
    <t>Christopher Nolan</t>
  </si>
  <si>
    <t>The Godfather: Part II</t>
  </si>
  <si>
    <t>The Lord of The Rings: The Return of the King</t>
  </si>
  <si>
    <t>Adventure, Drama, Fantasy</t>
  </si>
  <si>
    <t>Peter Jackson</t>
  </si>
  <si>
    <t>Pulp Fiction</t>
  </si>
  <si>
    <t>Quentin Tarantino</t>
  </si>
  <si>
    <t>Schindler's List</t>
  </si>
  <si>
    <t>Biography, Drama, History</t>
  </si>
  <si>
    <t>Steven Spielberg</t>
  </si>
  <si>
    <t>12 Angry Men</t>
  </si>
  <si>
    <t>Drama</t>
  </si>
  <si>
    <t>Sidney Lumet</t>
  </si>
  <si>
    <t>Inception</t>
  </si>
  <si>
    <t>Action, Adventure, Sci-fi</t>
  </si>
  <si>
    <t>Fight Club</t>
  </si>
  <si>
    <t>David Fincher</t>
  </si>
  <si>
    <t>Enter Rank # to Search:</t>
  </si>
  <si>
    <t>Info</t>
  </si>
  <si>
    <t>Director(s)</t>
  </si>
  <si>
    <t>Purchase Estimates:</t>
  </si>
  <si>
    <t>Purchase Price Schedule:</t>
  </si>
  <si>
    <t>Units Ordered</t>
  </si>
  <si>
    <t>Tier Thresholds</t>
  </si>
  <si>
    <t>Qty</t>
  </si>
  <si>
    <t>Price</t>
  </si>
  <si>
    <t>Tier1</t>
  </si>
  <si>
    <t>Tier1:</t>
  </si>
  <si>
    <t>@</t>
  </si>
  <si>
    <t>Tier2</t>
  </si>
  <si>
    <t>Tier2:</t>
  </si>
  <si>
    <t>Tier3</t>
  </si>
  <si>
    <t>Tier3:</t>
  </si>
  <si>
    <t>Total:</t>
  </si>
  <si>
    <t>Total Price:</t>
  </si>
  <si>
    <t>Monthly Sales:</t>
  </si>
  <si>
    <t>Performance Summary</t>
  </si>
  <si>
    <t>Name</t>
  </si>
  <si>
    <t>SalePrice</t>
  </si>
  <si>
    <t>Commission</t>
  </si>
  <si>
    <t>Associate</t>
  </si>
  <si>
    <t>Properties Sold</t>
  </si>
  <si>
    <t>Total Sales</t>
  </si>
  <si>
    <t>Commission Earned</t>
  </si>
  <si>
    <t>Qiu</t>
  </si>
  <si>
    <t>Enders</t>
  </si>
  <si>
    <t>Forrest</t>
  </si>
  <si>
    <t>Irons</t>
  </si>
  <si>
    <t>Karim</t>
  </si>
  <si>
    <t>TOP Performer of the Month</t>
  </si>
  <si>
    <t>Commissions Lookup</t>
  </si>
  <si>
    <t>Price Ranges</t>
  </si>
  <si>
    <t>Commissions</t>
  </si>
  <si>
    <t>Forecasting and Charting</t>
  </si>
  <si>
    <t>Scenerio 1: Constant Market</t>
  </si>
  <si>
    <t>Scenario 2: Growing Market</t>
  </si>
  <si>
    <t>Period</t>
  </si>
  <si>
    <t>New_Clients</t>
  </si>
  <si>
    <t>Total_clients</t>
  </si>
  <si>
    <t>Total_market</t>
  </si>
  <si>
    <t>Total_Clients</t>
  </si>
  <si>
    <t>Total Market Potential</t>
  </si>
  <si>
    <t>% Remaining Captured/Period</t>
  </si>
  <si>
    <t>Market Growth/Period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</si>
</sst>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&quot;$&quot;#,##0.00"/>
    <numFmt numFmtId="165" formatCode="0.0%"/>
  </numFmts>
  <fonts count="14">
    <font>
      <sz val="11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3F3F3F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name val="Arial"/>
    </font>
    <font>
      <b/>
      <sz val="11"/>
      <name val="Arial"/>
    </font>
    <font>
      <b/>
      <sz val="11"/>
      <color theme="1"/>
      <name val="Calibri"/>
    </font>
    <font>
      <sz val="18"/>
      <name val="Arial"/>
    </font>
    <font>
      <sz val="11"/>
      <color rgb="FF000000"/>
      <name val="Calibri"/>
    </font>
    <font>
      <b/>
      <sz val="14"/>
      <color theme="1"/>
      <name val="Calibri"/>
    </font>
    <font>
      <sz val="11"/>
      <color rgb="FF000000"/>
      <name val="Inconsolata"/>
    </font>
  </fonts>
  <fills count="4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E69138"/>
        <bgColor rgb="FFE69138"/>
      </patternFill>
    </fill>
    <fill>
      <patternFill patternType="solid">
        <fgColor rgb="FFB8B085"/>
        <bgColor rgb="FFB8B085"/>
      </patternFill>
    </fill>
    <fill>
      <patternFill patternType="solid">
        <fgColor rgb="FFB8D089"/>
        <bgColor rgb="FFB8D089"/>
      </patternFill>
    </fill>
    <fill>
      <patternFill patternType="solid">
        <fgColor theme="5"/>
        <bgColor rgb="FFFEF2CB"/>
      </patternFill>
    </fill>
    <fill>
      <patternFill patternType="solid">
        <fgColor theme="8" tint="0.39997558519241921"/>
        <bgColor rgb="FFD9E2F3"/>
      </patternFill>
    </fill>
    <fill>
      <patternFill patternType="solid">
        <fgColor theme="9" tint="-0.249977111117893"/>
        <bgColor rgb="FFE2EFD9"/>
      </patternFill>
    </fill>
    <fill>
      <patternFill patternType="solid">
        <fgColor theme="9" tint="-0.249977111117893"/>
        <bgColor rgb="FFB6D7A8"/>
      </patternFill>
    </fill>
    <fill>
      <patternFill patternType="solid">
        <fgColor rgb="FF7030A0"/>
        <bgColor rgb="FFD5A6BD"/>
      </patternFill>
    </fill>
    <fill>
      <patternFill patternType="solid">
        <fgColor theme="8" tint="0.39997558519241921"/>
        <bgColor rgb="FFD9D2E9"/>
      </patternFill>
    </fill>
    <fill>
      <patternFill patternType="solid">
        <fgColor theme="5" tint="0.79998168889431442"/>
        <bgColor rgb="FFDED6E7"/>
      </patternFill>
    </fill>
    <fill>
      <patternFill patternType="solid">
        <fgColor theme="7" tint="0.59999389629810485"/>
        <bgColor rgb="FFFBE3D1"/>
      </patternFill>
    </fill>
    <fill>
      <patternFill patternType="solid">
        <fgColor rgb="FF00B0F0"/>
        <bgColor rgb="FFEAE8DA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rgb="FFDFA9A8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rgb="FFE6B8AF"/>
      </patternFill>
    </fill>
    <fill>
      <patternFill patternType="solid">
        <fgColor theme="2" tint="-0.249977111117893"/>
        <bgColor rgb="FFC9DAF8"/>
      </patternFill>
    </fill>
    <fill>
      <patternFill patternType="solid">
        <fgColor theme="7" tint="0.59999389629810485"/>
        <bgColor rgb="FFD2EAF0"/>
      </patternFill>
    </fill>
    <fill>
      <patternFill patternType="solid">
        <fgColor theme="5" tint="0.39997558519241921"/>
        <bgColor rgb="FFEED3D2"/>
      </patternFill>
    </fill>
    <fill>
      <patternFill patternType="solid">
        <fgColor theme="8" tint="0.39997558519241921"/>
        <bgColor rgb="FFDED6E7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8CCA5"/>
      </patternFill>
    </fill>
    <fill>
      <patternFill patternType="solid">
        <fgColor theme="9" tint="-0.249977111117893"/>
        <bgColor rgb="FFCFDFAE"/>
      </patternFill>
    </fill>
    <fill>
      <patternFill patternType="solid">
        <fgColor theme="9" tint="0.39997558519241921"/>
        <bgColor rgb="FFDED6E7"/>
      </patternFill>
    </fill>
    <fill>
      <patternFill patternType="solid">
        <fgColor theme="4" tint="0.39997558519241921"/>
        <bgColor rgb="FFD4E0EE"/>
      </patternFill>
    </fill>
    <fill>
      <patternFill patternType="solid">
        <fgColor theme="8" tint="0.79998168889431442"/>
        <bgColor rgb="FFD4E0EE"/>
      </patternFill>
    </fill>
    <fill>
      <patternFill patternType="solid">
        <fgColor theme="9" tint="0.79998168889431442"/>
        <bgColor rgb="FFB8D089"/>
      </patternFill>
    </fill>
    <fill>
      <patternFill patternType="solid">
        <fgColor theme="9" tint="0.39997558519241921"/>
        <bgColor rgb="FF7BA3DA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rgb="FFCFDFAE"/>
      </patternFill>
    </fill>
    <fill>
      <patternFill patternType="solid">
        <fgColor theme="2" tint="-0.14999847407452621"/>
        <bgColor rgb="FFDED6E7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3F3F3F"/>
      </right>
      <top style="medium">
        <color rgb="FF000000"/>
      </top>
      <bottom style="medium">
        <color rgb="FF000000"/>
      </bottom>
      <diagonal/>
    </border>
    <border>
      <left style="thin">
        <color rgb="FF3F3F3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2" fillId="0" borderId="5" xfId="0" applyFont="1" applyBorder="1"/>
    <xf numFmtId="0" fontId="6" fillId="2" borderId="0" xfId="0" applyFont="1" applyFill="1"/>
    <xf numFmtId="0" fontId="8" fillId="0" borderId="0" xfId="0" applyFont="1"/>
    <xf numFmtId="0" fontId="6" fillId="0" borderId="0" xfId="0" applyFont="1"/>
    <xf numFmtId="0" fontId="9" fillId="0" borderId="17" xfId="0" applyFont="1" applyBorder="1" applyAlignment="1"/>
    <xf numFmtId="0" fontId="11" fillId="0" borderId="22" xfId="0" applyFont="1" applyBorder="1" applyAlignment="1">
      <alignment horizontal="left"/>
    </xf>
    <xf numFmtId="0" fontId="5" fillId="0" borderId="22" xfId="0" applyFont="1" applyBorder="1" applyAlignment="1">
      <alignment horizontal="left"/>
    </xf>
    <xf numFmtId="0" fontId="5" fillId="0" borderId="24" xfId="0" applyFont="1" applyBorder="1" applyAlignment="1">
      <alignment horizontal="left"/>
    </xf>
    <xf numFmtId="0" fontId="9" fillId="0" borderId="0" xfId="0" applyFont="1" applyAlignment="1"/>
    <xf numFmtId="0" fontId="9" fillId="0" borderId="5" xfId="0" applyFont="1" applyBorder="1" applyAlignment="1">
      <alignment horizontal="center" wrapText="1"/>
    </xf>
    <xf numFmtId="0" fontId="12" fillId="3" borderId="5" xfId="0" applyFont="1" applyFill="1" applyBorder="1" applyAlignment="1">
      <alignment wrapText="1"/>
    </xf>
    <xf numFmtId="3" fontId="8" fillId="4" borderId="5" xfId="0" applyNumberFormat="1" applyFont="1" applyFill="1" applyBorder="1" applyAlignment="1"/>
    <xf numFmtId="0" fontId="6" fillId="0" borderId="5" xfId="0" applyFont="1" applyBorder="1"/>
    <xf numFmtId="0" fontId="9" fillId="0" borderId="5" xfId="0" applyFont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0" borderId="0" xfId="0" applyFont="1" applyAlignment="1"/>
    <xf numFmtId="0" fontId="6" fillId="0" borderId="5" xfId="0" applyFont="1" applyBorder="1" applyAlignment="1">
      <alignment horizontal="right"/>
    </xf>
    <xf numFmtId="3" fontId="6" fillId="9" borderId="5" xfId="0" applyNumberFormat="1" applyFont="1" applyFill="1" applyBorder="1"/>
    <xf numFmtId="0" fontId="6" fillId="9" borderId="5" xfId="0" applyFont="1" applyFill="1" applyBorder="1"/>
    <xf numFmtId="0" fontId="6" fillId="10" borderId="5" xfId="0" applyFont="1" applyFill="1" applyBorder="1"/>
    <xf numFmtId="4" fontId="6" fillId="10" borderId="5" xfId="0" applyNumberFormat="1" applyFont="1" applyFill="1" applyBorder="1"/>
    <xf numFmtId="0" fontId="13" fillId="2" borderId="0" xfId="0" applyFont="1" applyFill="1"/>
    <xf numFmtId="0" fontId="6" fillId="0" borderId="5" xfId="0" applyFont="1" applyBorder="1" applyAlignment="1"/>
    <xf numFmtId="3" fontId="6" fillId="0" borderId="5" xfId="0" applyNumberFormat="1" applyFont="1" applyBorder="1"/>
    <xf numFmtId="0" fontId="5" fillId="2" borderId="5" xfId="0" applyFont="1" applyFill="1" applyBorder="1"/>
    <xf numFmtId="3" fontId="5" fillId="2" borderId="5" xfId="0" applyNumberFormat="1" applyFont="1" applyFill="1" applyBorder="1"/>
    <xf numFmtId="0" fontId="6" fillId="0" borderId="28" xfId="0" applyFont="1" applyBorder="1" applyAlignment="1"/>
    <xf numFmtId="3" fontId="6" fillId="0" borderId="29" xfId="0" applyNumberFormat="1" applyFont="1" applyBorder="1" applyAlignment="1"/>
    <xf numFmtId="0" fontId="6" fillId="0" borderId="29" xfId="0" applyFont="1" applyBorder="1" applyAlignment="1"/>
    <xf numFmtId="3" fontId="6" fillId="0" borderId="0" xfId="0" applyNumberFormat="1" applyFont="1"/>
    <xf numFmtId="3" fontId="6" fillId="0" borderId="29" xfId="0" applyNumberFormat="1" applyFont="1" applyBorder="1"/>
    <xf numFmtId="3" fontId="6" fillId="0" borderId="0" xfId="0" applyNumberFormat="1" applyFont="1" applyAlignment="1"/>
    <xf numFmtId="0" fontId="6" fillId="0" borderId="12" xfId="0" applyFont="1" applyBorder="1" applyAlignment="1"/>
    <xf numFmtId="3" fontId="6" fillId="0" borderId="13" xfId="0" applyNumberFormat="1" applyFont="1" applyBorder="1"/>
    <xf numFmtId="3" fontId="6" fillId="0" borderId="14" xfId="0" applyNumberFormat="1" applyFont="1" applyBorder="1"/>
    <xf numFmtId="3" fontId="6" fillId="0" borderId="13" xfId="0" applyNumberFormat="1" applyFont="1" applyBorder="1" applyAlignment="1"/>
    <xf numFmtId="0" fontId="4" fillId="12" borderId="1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center"/>
    </xf>
    <xf numFmtId="8" fontId="2" fillId="12" borderId="4" xfId="0" applyNumberFormat="1" applyFont="1" applyFill="1" applyBorder="1"/>
    <xf numFmtId="8" fontId="2" fillId="12" borderId="5" xfId="0" applyNumberFormat="1" applyFont="1" applyFill="1" applyBorder="1"/>
    <xf numFmtId="0" fontId="2" fillId="12" borderId="5" xfId="0" applyFont="1" applyFill="1" applyBorder="1"/>
    <xf numFmtId="10" fontId="2" fillId="12" borderId="5" xfId="0" applyNumberFormat="1" applyFont="1" applyFill="1" applyBorder="1"/>
    <xf numFmtId="0" fontId="4" fillId="13" borderId="1" xfId="0" applyFont="1" applyFill="1" applyBorder="1" applyAlignment="1">
      <alignment horizontal="left"/>
    </xf>
    <xf numFmtId="0" fontId="4" fillId="13" borderId="2" xfId="0" applyFont="1" applyFill="1" applyBorder="1"/>
    <xf numFmtId="164" fontId="2" fillId="13" borderId="5" xfId="0" applyNumberFormat="1" applyFont="1" applyFill="1" applyBorder="1"/>
    <xf numFmtId="164" fontId="2" fillId="13" borderId="4" xfId="0" applyNumberFormat="1" applyFont="1" applyFill="1" applyBorder="1"/>
    <xf numFmtId="0" fontId="2" fillId="14" borderId="6" xfId="0" applyFont="1" applyFill="1" applyBorder="1"/>
    <xf numFmtId="0" fontId="3" fillId="8" borderId="5" xfId="0" applyFont="1" applyFill="1" applyBorder="1" applyAlignment="1">
      <alignment horizontal="center"/>
    </xf>
    <xf numFmtId="0" fontId="6" fillId="15" borderId="5" xfId="0" applyFont="1" applyFill="1" applyBorder="1" applyAlignment="1">
      <alignment horizontal="center"/>
    </xf>
    <xf numFmtId="3" fontId="5" fillId="15" borderId="0" xfId="0" applyNumberFormat="1" applyFont="1" applyFill="1"/>
    <xf numFmtId="0" fontId="6" fillId="15" borderId="5" xfId="0" applyFont="1" applyFill="1" applyBorder="1" applyAlignment="1"/>
    <xf numFmtId="4" fontId="6" fillId="15" borderId="5" xfId="0" applyNumberFormat="1" applyFont="1" applyFill="1" applyBorder="1"/>
    <xf numFmtId="0" fontId="6" fillId="16" borderId="5" xfId="0" applyFont="1" applyFill="1" applyBorder="1" applyAlignment="1">
      <alignment horizontal="center"/>
    </xf>
    <xf numFmtId="3" fontId="6" fillId="16" borderId="5" xfId="0" applyNumberFormat="1" applyFont="1" applyFill="1" applyBorder="1" applyAlignment="1">
      <alignment horizontal="right"/>
    </xf>
    <xf numFmtId="2" fontId="6" fillId="16" borderId="5" xfId="0" applyNumberFormat="1" applyFont="1" applyFill="1" applyBorder="1" applyAlignment="1"/>
    <xf numFmtId="4" fontId="6" fillId="16" borderId="5" xfId="0" applyNumberFormat="1" applyFont="1" applyFill="1" applyBorder="1"/>
    <xf numFmtId="0" fontId="6" fillId="17" borderId="5" xfId="0" applyFont="1" applyFill="1" applyBorder="1" applyAlignment="1">
      <alignment horizontal="center"/>
    </xf>
    <xf numFmtId="3" fontId="6" fillId="17" borderId="5" xfId="0" applyNumberFormat="1" applyFont="1" applyFill="1" applyBorder="1" applyAlignment="1">
      <alignment horizontal="right"/>
    </xf>
    <xf numFmtId="2" fontId="6" fillId="17" borderId="5" xfId="0" applyNumberFormat="1" applyFont="1" applyFill="1" applyBorder="1" applyAlignment="1"/>
    <xf numFmtId="4" fontId="6" fillId="17" borderId="5" xfId="0" applyNumberFormat="1" applyFont="1" applyFill="1" applyBorder="1"/>
    <xf numFmtId="0" fontId="2" fillId="18" borderId="5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vertical="center"/>
    </xf>
    <xf numFmtId="0" fontId="3" fillId="19" borderId="5" xfId="0" applyFont="1" applyFill="1" applyBorder="1"/>
    <xf numFmtId="2" fontId="3" fillId="19" borderId="5" xfId="0" applyNumberFormat="1" applyFont="1" applyFill="1" applyBorder="1"/>
    <xf numFmtId="0" fontId="3" fillId="19" borderId="7" xfId="0" applyFont="1" applyFill="1" applyBorder="1"/>
    <xf numFmtId="0" fontId="2" fillId="20" borderId="7" xfId="0" applyFont="1" applyFill="1" applyBorder="1" applyAlignment="1">
      <alignment horizontal="right"/>
    </xf>
    <xf numFmtId="2" fontId="3" fillId="20" borderId="11" xfId="0" applyNumberFormat="1" applyFont="1" applyFill="1" applyBorder="1"/>
    <xf numFmtId="0" fontId="2" fillId="20" borderId="15" xfId="0" applyFont="1" applyFill="1" applyBorder="1" applyAlignment="1">
      <alignment horizontal="right"/>
    </xf>
    <xf numFmtId="9" fontId="5" fillId="22" borderId="5" xfId="0" applyNumberFormat="1" applyFont="1" applyFill="1" applyBorder="1" applyAlignment="1">
      <alignment horizontal="center"/>
    </xf>
    <xf numFmtId="9" fontId="5" fillId="22" borderId="16" xfId="0" applyNumberFormat="1" applyFont="1" applyFill="1" applyBorder="1" applyAlignment="1">
      <alignment horizontal="center"/>
    </xf>
    <xf numFmtId="0" fontId="9" fillId="26" borderId="21" xfId="0" applyFont="1" applyFill="1" applyBorder="1" applyAlignment="1"/>
    <xf numFmtId="0" fontId="9" fillId="26" borderId="23" xfId="0" applyFont="1" applyFill="1" applyBorder="1" applyAlignment="1"/>
    <xf numFmtId="0" fontId="10" fillId="27" borderId="18" xfId="0" applyFont="1" applyFill="1" applyBorder="1" applyAlignment="1">
      <alignment horizontal="center"/>
    </xf>
    <xf numFmtId="0" fontId="7" fillId="28" borderId="5" xfId="0" applyFont="1" applyFill="1" applyBorder="1" applyAlignment="1"/>
    <xf numFmtId="0" fontId="6" fillId="28" borderId="5" xfId="0" applyFont="1" applyFill="1" applyBorder="1" applyAlignment="1"/>
    <xf numFmtId="3" fontId="6" fillId="29" borderId="5" xfId="0" applyNumberFormat="1" applyFont="1" applyFill="1" applyBorder="1" applyAlignment="1"/>
    <xf numFmtId="3" fontId="6" fillId="30" borderId="5" xfId="0" applyNumberFormat="1" applyFont="1" applyFill="1" applyBorder="1"/>
    <xf numFmtId="0" fontId="9" fillId="33" borderId="5" xfId="0" applyFont="1" applyFill="1" applyBorder="1" applyAlignment="1"/>
    <xf numFmtId="0" fontId="6" fillId="34" borderId="5" xfId="0" applyFont="1" applyFill="1" applyBorder="1" applyAlignment="1"/>
    <xf numFmtId="3" fontId="6" fillId="34" borderId="5" xfId="0" applyNumberFormat="1" applyFont="1" applyFill="1" applyBorder="1"/>
    <xf numFmtId="0" fontId="6" fillId="35" borderId="5" xfId="0" applyFont="1" applyFill="1" applyBorder="1" applyAlignment="1"/>
    <xf numFmtId="0" fontId="6" fillId="35" borderId="30" xfId="0" applyFont="1" applyFill="1" applyBorder="1" applyAlignment="1"/>
    <xf numFmtId="3" fontId="6" fillId="36" borderId="5" xfId="0" applyNumberFormat="1" applyFont="1" applyFill="1" applyBorder="1"/>
    <xf numFmtId="3" fontId="6" fillId="37" borderId="5" xfId="0" applyNumberFormat="1" applyFont="1" applyFill="1" applyBorder="1" applyAlignment="1"/>
    <xf numFmtId="165" fontId="6" fillId="38" borderId="5" xfId="0" applyNumberFormat="1" applyFont="1" applyFill="1" applyBorder="1" applyAlignment="1"/>
    <xf numFmtId="3" fontId="6" fillId="33" borderId="5" xfId="0" applyNumberFormat="1" applyFont="1" applyFill="1" applyBorder="1" applyAlignment="1"/>
    <xf numFmtId="10" fontId="6" fillId="33" borderId="5" xfId="0" applyNumberFormat="1" applyFont="1" applyFill="1" applyBorder="1" applyAlignment="1"/>
    <xf numFmtId="0" fontId="6" fillId="30" borderId="5" xfId="0" applyFont="1" applyFill="1" applyBorder="1" applyAlignment="1">
      <alignment horizontal="center"/>
    </xf>
    <xf numFmtId="0" fontId="6" fillId="41" borderId="5" xfId="0" applyFont="1" applyFill="1" applyBorder="1" applyAlignment="1">
      <alignment horizontal="center"/>
    </xf>
    <xf numFmtId="0" fontId="6" fillId="42" borderId="5" xfId="0" applyFont="1" applyFill="1" applyBorder="1" applyAlignment="1">
      <alignment horizontal="center"/>
    </xf>
    <xf numFmtId="0" fontId="7" fillId="21" borderId="9" xfId="0" applyFont="1" applyFill="1" applyBorder="1"/>
    <xf numFmtId="0" fontId="7" fillId="21" borderId="10" xfId="0" applyFont="1" applyFill="1" applyBorder="1"/>
    <xf numFmtId="0" fontId="7" fillId="21" borderId="12" xfId="0" applyFont="1" applyFill="1" applyBorder="1"/>
    <xf numFmtId="0" fontId="7" fillId="21" borderId="13" xfId="0" applyFont="1" applyFill="1" applyBorder="1"/>
    <xf numFmtId="0" fontId="7" fillId="21" borderId="14" xfId="0" applyFont="1" applyFill="1" applyBorder="1"/>
    <xf numFmtId="0" fontId="7" fillId="23" borderId="11" xfId="0" applyFont="1" applyFill="1" applyBorder="1"/>
    <xf numFmtId="0" fontId="9" fillId="24" borderId="19" xfId="0" applyFont="1" applyFill="1" applyBorder="1" applyAlignment="1">
      <alignment horizontal="center"/>
    </xf>
    <xf numFmtId="0" fontId="7" fillId="25" borderId="20" xfId="0" applyFont="1" applyFill="1" applyBorder="1"/>
    <xf numFmtId="0" fontId="6" fillId="0" borderId="16" xfId="0" applyFont="1" applyBorder="1"/>
    <xf numFmtId="0" fontId="7" fillId="0" borderId="11" xfId="0" applyFont="1" applyBorder="1"/>
    <xf numFmtId="0" fontId="9" fillId="5" borderId="25" xfId="0" applyFont="1" applyFill="1" applyBorder="1" applyAlignment="1">
      <alignment horizontal="center"/>
    </xf>
    <xf numFmtId="0" fontId="7" fillId="0" borderId="26" xfId="0" applyFont="1" applyBorder="1"/>
    <xf numFmtId="0" fontId="6" fillId="31" borderId="16" xfId="0" applyFont="1" applyFill="1" applyBorder="1" applyAlignment="1">
      <alignment horizontal="center"/>
    </xf>
    <xf numFmtId="0" fontId="7" fillId="32" borderId="11" xfId="0" applyFont="1" applyFill="1" applyBorder="1"/>
    <xf numFmtId="0" fontId="7" fillId="32" borderId="27" xfId="0" applyFont="1" applyFill="1" applyBorder="1"/>
    <xf numFmtId="0" fontId="6" fillId="0" borderId="16" xfId="0" applyFont="1" applyBorder="1" applyAlignment="1">
      <alignment horizontal="center"/>
    </xf>
    <xf numFmtId="0" fontId="7" fillId="0" borderId="27" xfId="0" applyFont="1" applyBorder="1"/>
    <xf numFmtId="0" fontId="6" fillId="0" borderId="16" xfId="0" applyFont="1" applyBorder="1" applyAlignment="1"/>
    <xf numFmtId="0" fontId="9" fillId="33" borderId="16" xfId="0" applyFont="1" applyFill="1" applyBorder="1" applyAlignment="1">
      <alignment horizontal="right"/>
    </xf>
    <xf numFmtId="0" fontId="9" fillId="0" borderId="0" xfId="0" applyFont="1" applyAlignment="1">
      <alignment horizontal="center"/>
    </xf>
    <xf numFmtId="0" fontId="0" fillId="0" borderId="0" xfId="0" applyFont="1" applyAlignment="1"/>
    <xf numFmtId="0" fontId="9" fillId="39" borderId="8" xfId="0" applyFont="1" applyFill="1" applyBorder="1" applyAlignment="1">
      <alignment horizontal="center"/>
    </xf>
    <xf numFmtId="0" fontId="7" fillId="40" borderId="9" xfId="0" applyFont="1" applyFill="1" applyBorder="1"/>
    <xf numFmtId="0" fontId="7" fillId="40" borderId="10" xfId="0" applyFont="1" applyFill="1" applyBorder="1"/>
    <xf numFmtId="0" fontId="9" fillId="11" borderId="8" xfId="0" applyFont="1" applyFill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/>
    <xf numFmtId="0" fontId="0" fillId="0" borderId="0" xfId="0"/>
    <xf numFmtId="164" fontId="3" fillId="0" borderId="4" xfId="0" applyNumberFormat="1" applyFont="1" applyBorder="1"/>
    <xf numFmtId="10" fontId="3" fillId="0" borderId="4" xfId="0" applyNumberFormat="1" applyFont="1" applyBorder="1"/>
    <xf numFmtId="0" fontId="2" fillId="0" borderId="4" xfId="0" applyFont="1" applyBorder="1"/>
    <xf numFmtId="0" fontId="3" fillId="2" borderId="0" xfId="0" applyFont="1" applyFill="1"/>
    <xf numFmtId="0" fontId="5" fillId="19" borderId="5" xfId="0" applyFont="1" applyFill="1" applyBorder="1"/>
    <xf numFmtId="9" fontId="5" fillId="19" borderId="5" xfId="0" applyNumberFormat="1" applyFont="1" applyFill="1" applyBorder="1"/>
    <xf numFmtId="0" fontId="3" fillId="20" borderId="8" xfId="0" applyFont="1" applyFill="1" applyBorder="1"/>
    <xf numFmtId="0" fontId="3" fillId="20" borderId="11" xfId="0" applyFont="1" applyFill="1" applyBorder="1"/>
    <xf numFmtId="0" fontId="2" fillId="20" borderId="4" xfId="0" applyFont="1" applyFill="1" applyBorder="1" applyAlignment="1">
      <alignment horizontal="right"/>
    </xf>
    <xf numFmtId="0" fontId="3" fillId="22" borderId="5" xfId="0" applyFont="1" applyFill="1" applyBorder="1" applyAlignment="1">
      <alignment horizontal="center"/>
    </xf>
    <xf numFmtId="0" fontId="3" fillId="22" borderId="16" xfId="0" applyFont="1" applyFill="1" applyBorder="1" applyAlignment="1">
      <alignment horizontal="center"/>
    </xf>
    <xf numFmtId="0" fontId="3" fillId="2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800" b="0">
                <a:solidFill>
                  <a:srgbClr val="757575"/>
                </a:solidFill>
                <a:latin typeface="Verdana"/>
              </a:defRPr>
            </a:pPr>
            <a:r>
              <a:rPr lang="en-CA" sz="1800" b="0">
                <a:solidFill>
                  <a:srgbClr val="757575"/>
                </a:solidFill>
                <a:latin typeface="Verdana"/>
              </a:rPr>
              <a:t>5-Year Client Growth Forecast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Constant Market</c:v>
          </c:tx>
          <c:spPr>
            <a:ln w="38100" cmpd="sng">
              <a:solidFill>
                <a:srgbClr val="A61C00"/>
              </a:solidFill>
            </a:ln>
          </c:spPr>
          <c:marker>
            <c:symbol val="none"/>
          </c:marker>
          <c:cat>
            <c:numRef>
              <c:f>'Forecasting &amp; Charting'!$F$3:$F$63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'Forecasting &amp; Charting'!$H$3:$H$63</c:f>
              <c:numCache>
                <c:formatCode>#,##0</c:formatCode>
                <c:ptCount val="61"/>
                <c:pt idx="0">
                  <c:v>0</c:v>
                </c:pt>
                <c:pt idx="1">
                  <c:v>15000</c:v>
                </c:pt>
                <c:pt idx="2">
                  <c:v>29887.5</c:v>
                </c:pt>
                <c:pt idx="3">
                  <c:v>44663.34375</c:v>
                </c:pt>
                <c:pt idx="4">
                  <c:v>59328.368671874996</c:v>
                </c:pt>
                <c:pt idx="5">
                  <c:v>73883.405906835935</c:v>
                </c:pt>
                <c:pt idx="6">
                  <c:v>88329.280362534657</c:v>
                </c:pt>
                <c:pt idx="7">
                  <c:v>102666.81075981565</c:v>
                </c:pt>
                <c:pt idx="8">
                  <c:v>116896.80967911702</c:v>
                </c:pt>
                <c:pt idx="9">
                  <c:v>131020.08360652365</c:v>
                </c:pt>
                <c:pt idx="10">
                  <c:v>145037.43297947472</c:v>
                </c:pt>
                <c:pt idx="11">
                  <c:v>158949.65223212866</c:v>
                </c:pt>
                <c:pt idx="12">
                  <c:v>172757.5298403877</c:v>
                </c:pt>
                <c:pt idx="13">
                  <c:v>186461.84836658477</c:v>
                </c:pt>
                <c:pt idx="14">
                  <c:v>200063.38450383538</c:v>
                </c:pt>
                <c:pt idx="15">
                  <c:v>213562.9091200566</c:v>
                </c:pt>
                <c:pt idx="16">
                  <c:v>226961.18730165617</c:v>
                </c:pt>
                <c:pt idx="17">
                  <c:v>240258.97839689374</c:v>
                </c:pt>
                <c:pt idx="18">
                  <c:v>253457.03605891703</c:v>
                </c:pt>
                <c:pt idx="19">
                  <c:v>266556.10828847514</c:v>
                </c:pt>
                <c:pt idx="20">
                  <c:v>279556.93747631158</c:v>
                </c:pt>
                <c:pt idx="21">
                  <c:v>292460.26044523926</c:v>
                </c:pt>
                <c:pt idx="22">
                  <c:v>305266.80849189998</c:v>
                </c:pt>
                <c:pt idx="23">
                  <c:v>317977.30742821074</c:v>
                </c:pt>
                <c:pt idx="24">
                  <c:v>330592.47762249917</c:v>
                </c:pt>
                <c:pt idx="25">
                  <c:v>343113.03404033044</c:v>
                </c:pt>
                <c:pt idx="26">
                  <c:v>355539.68628502794</c:v>
                </c:pt>
                <c:pt idx="27">
                  <c:v>367873.13863789022</c:v>
                </c:pt>
                <c:pt idx="28">
                  <c:v>380114.09009810607</c:v>
                </c:pt>
                <c:pt idx="29">
                  <c:v>392263.23442237027</c:v>
                </c:pt>
                <c:pt idx="30">
                  <c:v>404321.26016420248</c:v>
                </c:pt>
                <c:pt idx="31">
                  <c:v>416288.85071297095</c:v>
                </c:pt>
                <c:pt idx="32">
                  <c:v>428166.68433262367</c:v>
                </c:pt>
                <c:pt idx="33">
                  <c:v>439955.43420012901</c:v>
                </c:pt>
                <c:pt idx="34">
                  <c:v>451655.76844362804</c:v>
                </c:pt>
                <c:pt idx="35">
                  <c:v>463268.35018030083</c:v>
                </c:pt>
                <c:pt idx="36">
                  <c:v>474793.83755394857</c:v>
                </c:pt>
                <c:pt idx="37">
                  <c:v>486232.88377229398</c:v>
                </c:pt>
                <c:pt idx="38">
                  <c:v>497586.13714400178</c:v>
                </c:pt>
                <c:pt idx="39">
                  <c:v>508854.24111542176</c:v>
                </c:pt>
                <c:pt idx="40">
                  <c:v>520037.83430705609</c:v>
                </c:pt>
                <c:pt idx="41">
                  <c:v>531137.55054975313</c:v>
                </c:pt>
                <c:pt idx="42">
                  <c:v>542154.01892062998</c:v>
                </c:pt>
                <c:pt idx="43">
                  <c:v>553087.86377872527</c:v>
                </c:pt>
                <c:pt idx="44">
                  <c:v>563939.70480038482</c:v>
                </c:pt>
                <c:pt idx="45">
                  <c:v>574710.15701438196</c:v>
                </c:pt>
                <c:pt idx="46">
                  <c:v>585399.83083677408</c:v>
                </c:pt>
                <c:pt idx="47">
                  <c:v>596009.3321054983</c:v>
                </c:pt>
                <c:pt idx="48">
                  <c:v>606539.26211470703</c:v>
                </c:pt>
                <c:pt idx="49">
                  <c:v>616990.21764884668</c:v>
                </c:pt>
                <c:pt idx="50">
                  <c:v>627362.7910164803</c:v>
                </c:pt>
                <c:pt idx="51">
                  <c:v>637657.5700838567</c:v>
                </c:pt>
                <c:pt idx="52">
                  <c:v>647875.13830822776</c:v>
                </c:pt>
                <c:pt idx="53">
                  <c:v>658016.07477091602</c:v>
                </c:pt>
                <c:pt idx="54">
                  <c:v>668080.95421013411</c:v>
                </c:pt>
                <c:pt idx="55">
                  <c:v>678070.3470535581</c:v>
                </c:pt>
                <c:pt idx="56">
                  <c:v>687984.81945065642</c:v>
                </c:pt>
                <c:pt idx="57">
                  <c:v>697824.93330477644</c:v>
                </c:pt>
                <c:pt idx="58">
                  <c:v>707591.24630499061</c:v>
                </c:pt>
                <c:pt idx="59">
                  <c:v>717284.3119577032</c:v>
                </c:pt>
                <c:pt idx="60">
                  <c:v>726904.67961802043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9F-4092-B268-674220FBD1CB}"/>
            </c:ext>
          </c:extLst>
        </c:ser>
        <c:ser>
          <c:idx val="1"/>
          <c:order val="1"/>
          <c:tx>
            <c:v>Growing Maket</c:v>
          </c:tx>
          <c:spPr>
            <a:ln w="38100" cmpd="sng">
              <a:solidFill>
                <a:srgbClr val="674EA7"/>
              </a:solidFill>
            </a:ln>
          </c:spPr>
          <c:marker>
            <c:symbol val="none"/>
          </c:marker>
          <c:cat>
            <c:numRef>
              <c:f>'Forecasting &amp; Charting'!$F$3:$F$63</c:f>
              <c:numCache>
                <c:formatCode>General</c:formatCode>
                <c:ptCount val="6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</c:numCache>
            </c:numRef>
          </c:cat>
          <c:val>
            <c:numRef>
              <c:f>'Forecasting &amp; Charting'!$O$3:$O$63</c:f>
              <c:numCache>
                <c:formatCode>#,##0</c:formatCode>
                <c:ptCount val="61"/>
                <c:pt idx="0" formatCode="General">
                  <c:v>0</c:v>
                </c:pt>
                <c:pt idx="1">
                  <c:v>15000</c:v>
                </c:pt>
                <c:pt idx="2">
                  <c:v>30067.5</c:v>
                </c:pt>
                <c:pt idx="3">
                  <c:v>45204.153749999998</c:v>
                </c:pt>
                <c:pt idx="4">
                  <c:v>60411.628516874996</c:v>
                </c:pt>
                <c:pt idx="5">
                  <c:v>75691.60529403844</c:v>
                </c:pt>
                <c:pt idx="6">
                  <c:v>91045.779013265637</c:v>
                </c:pt>
                <c:pt idx="7">
                  <c:v>106475.85875870581</c:v>
                </c:pt>
                <c:pt idx="8">
                  <c:v>121983.56798311167</c:v>
                </c:pt>
                <c:pt idx="9">
                  <c:v>137570.64472631563</c:v>
                </c:pt>
                <c:pt idx="10">
                  <c:v>153238.84183598249</c:v>
                </c:pt>
                <c:pt idx="11">
                  <c:v>168989.92719066821</c:v>
                </c:pt>
                <c:pt idx="12">
                  <c:v>184825.68392521527</c:v>
                </c:pt>
                <c:pt idx="13">
                  <c:v>200747.91065851494</c:v>
                </c:pt>
                <c:pt idx="14">
                  <c:v>216758.42172366774</c:v>
                </c:pt>
                <c:pt idx="15">
                  <c:v>232859.04740057301</c:v>
                </c:pt>
                <c:pt idx="16">
                  <c:v>249051.63415097946</c:v>
                </c:pt>
                <c:pt idx="17">
                  <c:v>265338.04485602881</c:v>
                </c:pt>
                <c:pt idx="18">
                  <c:v>281720.15905632445</c:v>
                </c:pt>
                <c:pt idx="19">
                  <c:v>298199.87319455849</c:v>
                </c:pt>
                <c:pt idx="20">
                  <c:v>314779.10086072964</c:v>
                </c:pt>
                <c:pt idx="21">
                  <c:v>331459.77303998609</c:v>
                </c:pt>
                <c:pt idx="22">
                  <c:v>348243.83836312662</c:v>
                </c:pt>
                <c:pt idx="23">
                  <c:v>365133.26335979492</c:v>
                </c:pt>
                <c:pt idx="24">
                  <c:v>382130.03271440091</c:v>
                </c:pt>
                <c:pt idx="25">
                  <c:v>399236.14952480496</c:v>
                </c:pt>
                <c:pt idx="26">
                  <c:v>416453.63556380017</c:v>
                </c:pt>
                <c:pt idx="27">
                  <c:v>433784.53154342808</c:v>
                </c:pt>
                <c:pt idx="28">
                  <c:v>451230.89738216507</c:v>
                </c:pt>
                <c:pt idx="29">
                  <c:v>468794.81247501529</c:v>
                </c:pt>
                <c:pt idx="30">
                  <c:v>486478.3759665477</c:v>
                </c:pt>
                <c:pt idx="31">
                  <c:v>504283.70702691475</c:v>
                </c:pt>
                <c:pt idx="32">
                  <c:v>522212.94513089047</c:v>
                </c:pt>
                <c:pt idx="33">
                  <c:v>540268.2503399665</c:v>
                </c:pt>
                <c:pt idx="34">
                  <c:v>558451.80358754518</c:v>
                </c:pt>
                <c:pt idx="35">
                  <c:v>576765.80696726847</c:v>
                </c:pt>
                <c:pt idx="36">
                  <c:v>595212.48402452341</c:v>
                </c:pt>
                <c:pt idx="37">
                  <c:v>613794.0800511631</c:v>
                </c:pt>
                <c:pt idx="38">
                  <c:v>632512.86238348484</c:v>
                </c:pt>
                <c:pt idx="39">
                  <c:v>651371.12070350663</c:v>
                </c:pt>
                <c:pt idx="40">
                  <c:v>670371.16734358307</c:v>
                </c:pt>
                <c:pt idx="41">
                  <c:v>689515.33759440319</c:v>
                </c:pt>
                <c:pt idx="42">
                  <c:v>708805.99001641292</c:v>
                </c:pt>
                <c:pt idx="43">
                  <c:v>728245.50675470522</c:v>
                </c:pt>
                <c:pt idx="44">
                  <c:v>747836.29385742126</c:v>
                </c:pt>
                <c:pt idx="45">
                  <c:v>767580.78159770742</c:v>
                </c:pt>
                <c:pt idx="46">
                  <c:v>787481.42479927209</c:v>
                </c:pt>
                <c:pt idx="47">
                  <c:v>807540.70316558762</c:v>
                </c:pt>
                <c:pt idx="48">
                  <c:v>827761.1216127834</c:v>
                </c:pt>
                <c:pt idx="49">
                  <c:v>848145.21060627652</c:v>
                </c:pt>
                <c:pt idx="50">
                  <c:v>868695.52650118549</c:v>
                </c:pt>
                <c:pt idx="51">
                  <c:v>889414.65188657609</c:v>
                </c:pt>
                <c:pt idx="52">
                  <c:v>910305.1959335861</c:v>
                </c:pt>
                <c:pt idx="53">
                  <c:v>931369.7947474774</c:v>
                </c:pt>
                <c:pt idx="54">
                  <c:v>952611.11172366526</c:v>
                </c:pt>
                <c:pt idx="55">
                  <c:v>974031.83790777321</c:v>
                </c:pt>
                <c:pt idx="56">
                  <c:v>995634.69235976483</c:v>
                </c:pt>
                <c:pt idx="57">
                  <c:v>1017422.4225222021</c:v>
                </c:pt>
                <c:pt idx="58">
                  <c:v>1039397.8045926827</c:v>
                </c:pt>
                <c:pt idx="59">
                  <c:v>1061563.6439005076</c:v>
                </c:pt>
                <c:pt idx="60">
                  <c:v>1083922.775287631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F-4092-B268-674220FBD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43270524"/>
        <c:axId val="517056262"/>
      </c:lineChart>
      <c:catAx>
        <c:axId val="9432705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800" b="0">
                    <a:solidFill>
                      <a:srgbClr val="000000"/>
                    </a:solidFill>
                    <a:latin typeface="Verdana"/>
                  </a:defRPr>
                </a:pPr>
                <a:r>
                  <a:rPr lang="en-CA" sz="1800" b="0">
                    <a:solidFill>
                      <a:srgbClr val="000000"/>
                    </a:solidFill>
                    <a:latin typeface="Verdana"/>
                  </a:rPr>
                  <a:t>Period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7056262"/>
        <c:crosses val="autoZero"/>
        <c:auto val="1"/>
        <c:lblAlgn val="ctr"/>
        <c:lblOffset val="100"/>
        <c:noMultiLvlLbl val="1"/>
      </c:catAx>
      <c:valAx>
        <c:axId val="51705626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sz="1800" b="0">
                    <a:solidFill>
                      <a:srgbClr val="000000"/>
                    </a:solidFill>
                    <a:latin typeface="Verdana"/>
                  </a:defRPr>
                </a:pPr>
                <a:r>
                  <a:rPr lang="en-CA" sz="1800" b="0">
                    <a:solidFill>
                      <a:srgbClr val="000000"/>
                    </a:solidFill>
                    <a:latin typeface="Verdana"/>
                  </a:rPr>
                  <a:t>Total Clients</a:t>
                </a:r>
              </a:p>
            </c:rich>
          </c:tx>
          <c:overlay val="0"/>
        </c:title>
        <c:numFmt formatCode="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43270524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 lvl="0">
              <a:defRPr sz="1400">
                <a:latin typeface="Verdana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 lvl="0">
              <a:defRPr sz="1400">
                <a:latin typeface="Verdana"/>
              </a:defRPr>
            </a:pPr>
            <a:endParaRPr lang="en-US"/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180975</xdr:colOff>
      <xdr:row>64</xdr:row>
      <xdr:rowOff>19050</xdr:rowOff>
    </xdr:from>
    <xdr:ext cx="6477000" cy="4010025"/>
    <xdr:graphicFrame macro="">
      <xdr:nvGraphicFramePr>
        <xdr:cNvPr id="99116427" name="Chart 1" title="Chart">
          <a:extLst>
            <a:ext uri="{FF2B5EF4-FFF2-40B4-BE49-F238E27FC236}">
              <a16:creationId xmlns:a16="http://schemas.microsoft.com/office/drawing/2014/main" id="{00000000-0008-0000-0500-00008B65E8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yn-Aleccia\Desktop\ITEC%201010\a1\lynaleccia_din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rtgage"/>
      <sheetName val="Invoice"/>
      <sheetName val="Movies"/>
      <sheetName val="Estimates"/>
      <sheetName val="Commissions"/>
      <sheetName val="Forecasting &amp; Charting"/>
    </sheetNames>
    <sheetDataSet>
      <sheetData sheetId="0">
        <row r="4">
          <cell r="C4">
            <v>350000</v>
          </cell>
          <cell r="F4">
            <v>315000</v>
          </cell>
        </row>
        <row r="5">
          <cell r="C5">
            <v>35000</v>
          </cell>
          <cell r="F5">
            <v>1396.9658842224617</v>
          </cell>
        </row>
        <row r="6">
          <cell r="C6">
            <v>30</v>
          </cell>
          <cell r="F6">
            <v>502907.71832008625</v>
          </cell>
        </row>
        <row r="7">
          <cell r="C7">
            <v>3.4000000000000002E-2</v>
          </cell>
          <cell r="F7">
            <v>187907.71832008625</v>
          </cell>
        </row>
      </sheetData>
      <sheetData sheetId="1">
        <row r="4">
          <cell r="C4">
            <v>36</v>
          </cell>
          <cell r="D4">
            <v>38.99</v>
          </cell>
          <cell r="E4" t="str">
            <v/>
          </cell>
          <cell r="F4">
            <v>38.99</v>
          </cell>
          <cell r="G4">
            <v>1403.64</v>
          </cell>
        </row>
        <row r="5">
          <cell r="C5">
            <v>50</v>
          </cell>
          <cell r="D5">
            <v>9.2899999999999991</v>
          </cell>
          <cell r="E5">
            <v>0.05</v>
          </cell>
          <cell r="F5">
            <v>8.8254999999999981</v>
          </cell>
          <cell r="G5">
            <v>441.27499999999992</v>
          </cell>
        </row>
        <row r="6">
          <cell r="C6">
            <v>200</v>
          </cell>
          <cell r="D6">
            <v>27.99</v>
          </cell>
          <cell r="E6">
            <v>0.05</v>
          </cell>
          <cell r="F6">
            <v>26.590499999999999</v>
          </cell>
          <cell r="G6">
            <v>5318.0999999999995</v>
          </cell>
        </row>
        <row r="7">
          <cell r="C7">
            <v>40</v>
          </cell>
          <cell r="D7">
            <v>12.99</v>
          </cell>
          <cell r="E7">
            <v>0.05</v>
          </cell>
          <cell r="F7">
            <v>12.3405</v>
          </cell>
          <cell r="G7">
            <v>493.62</v>
          </cell>
        </row>
        <row r="10">
          <cell r="G10">
            <v>7656.6349999999993</v>
          </cell>
        </row>
        <row r="11">
          <cell r="G11">
            <v>995.36254999999994</v>
          </cell>
        </row>
        <row r="13">
          <cell r="B13">
            <v>0.05</v>
          </cell>
          <cell r="C13">
            <v>40</v>
          </cell>
          <cell r="E13">
            <v>0.13</v>
          </cell>
        </row>
      </sheetData>
      <sheetData sheetId="2">
        <row r="3">
          <cell r="B3">
            <v>1</v>
          </cell>
          <cell r="C3" t="str">
            <v>The Shawshank Redemption</v>
          </cell>
          <cell r="D3" t="str">
            <v>Crime, Drama</v>
          </cell>
          <cell r="E3" t="str">
            <v>Frank Darabont</v>
          </cell>
          <cell r="F3">
            <v>9.3000000000000007</v>
          </cell>
          <cell r="G3">
            <v>1994</v>
          </cell>
        </row>
        <row r="4">
          <cell r="B4">
            <v>2</v>
          </cell>
          <cell r="C4" t="str">
            <v>The Godfather</v>
          </cell>
          <cell r="D4" t="str">
            <v>Crime, Drama</v>
          </cell>
          <cell r="E4" t="str">
            <v>Francis Ford Coppola</v>
          </cell>
          <cell r="F4">
            <v>9.1999999999999993</v>
          </cell>
          <cell r="G4">
            <v>1972</v>
          </cell>
        </row>
        <row r="5">
          <cell r="B5">
            <v>3</v>
          </cell>
          <cell r="C5" t="str">
            <v>The Dark Knight</v>
          </cell>
          <cell r="D5" t="str">
            <v>Action, Crime, Drama</v>
          </cell>
          <cell r="E5" t="str">
            <v>Christopher Nolan</v>
          </cell>
          <cell r="F5">
            <v>9</v>
          </cell>
          <cell r="G5">
            <v>2008</v>
          </cell>
        </row>
        <row r="6">
          <cell r="B6">
            <v>4</v>
          </cell>
          <cell r="C6" t="str">
            <v>The Godfather: Part II</v>
          </cell>
          <cell r="D6" t="str">
            <v>Crime, Drama</v>
          </cell>
          <cell r="E6" t="str">
            <v>Francis Ford Coppola</v>
          </cell>
          <cell r="F6">
            <v>9</v>
          </cell>
          <cell r="G6">
            <v>1974</v>
          </cell>
        </row>
        <row r="7">
          <cell r="B7">
            <v>5</v>
          </cell>
          <cell r="C7" t="str">
            <v>The Lord of The Rings: The Return of the King</v>
          </cell>
          <cell r="D7" t="str">
            <v>Adventure, Drama, Fantasy</v>
          </cell>
          <cell r="E7" t="str">
            <v>Peter Jackson</v>
          </cell>
          <cell r="F7">
            <v>8.9</v>
          </cell>
          <cell r="G7">
            <v>2003</v>
          </cell>
        </row>
        <row r="8">
          <cell r="B8">
            <v>6</v>
          </cell>
          <cell r="C8" t="str">
            <v>Pulp Fiction</v>
          </cell>
          <cell r="D8" t="str">
            <v>Crime, Drama</v>
          </cell>
          <cell r="E8" t="str">
            <v>Quentin Tarantino</v>
          </cell>
          <cell r="F8">
            <v>8.9</v>
          </cell>
          <cell r="G8">
            <v>1994</v>
          </cell>
        </row>
        <row r="9">
          <cell r="B9">
            <v>7</v>
          </cell>
          <cell r="C9" t="str">
            <v>Schindler's List</v>
          </cell>
          <cell r="D9" t="str">
            <v>Biography, Drama, History</v>
          </cell>
          <cell r="E9" t="str">
            <v>Steven Spielberg</v>
          </cell>
          <cell r="F9">
            <v>8.9</v>
          </cell>
          <cell r="G9">
            <v>1993</v>
          </cell>
        </row>
        <row r="10">
          <cell r="B10">
            <v>8</v>
          </cell>
          <cell r="C10" t="str">
            <v>12 Angry Men</v>
          </cell>
          <cell r="D10" t="str">
            <v>Drama</v>
          </cell>
          <cell r="E10" t="str">
            <v>Sidney Lumet</v>
          </cell>
          <cell r="F10">
            <v>8.9</v>
          </cell>
          <cell r="G10">
            <v>1957</v>
          </cell>
        </row>
        <row r="11">
          <cell r="B11">
            <v>9</v>
          </cell>
          <cell r="C11" t="str">
            <v>Inception</v>
          </cell>
          <cell r="D11" t="str">
            <v>Action, Adventure, Sci-fi</v>
          </cell>
          <cell r="E11" t="str">
            <v>Christopher Nolan</v>
          </cell>
          <cell r="F11">
            <v>8.8000000000000007</v>
          </cell>
          <cell r="G11">
            <v>2010</v>
          </cell>
        </row>
        <row r="12">
          <cell r="B12">
            <v>10</v>
          </cell>
          <cell r="C12" t="str">
            <v>Fight Club</v>
          </cell>
          <cell r="D12" t="str">
            <v>Drama</v>
          </cell>
          <cell r="E12" t="str">
            <v>David Fincher</v>
          </cell>
          <cell r="F12">
            <v>8.8000000000000007</v>
          </cell>
          <cell r="G12">
            <v>1999</v>
          </cell>
        </row>
        <row r="14">
          <cell r="D14">
            <v>9</v>
          </cell>
        </row>
      </sheetData>
      <sheetData sheetId="3">
        <row r="3">
          <cell r="J3">
            <v>1100</v>
          </cell>
        </row>
        <row r="5">
          <cell r="C5">
            <v>100</v>
          </cell>
          <cell r="G5">
            <v>100</v>
          </cell>
          <cell r="I5">
            <v>9.1999999999999993</v>
          </cell>
          <cell r="J5">
            <v>919.99999999999989</v>
          </cell>
        </row>
        <row r="6">
          <cell r="C6">
            <v>500</v>
          </cell>
          <cell r="G6">
            <v>500</v>
          </cell>
          <cell r="I6">
            <v>8.8000000000000007</v>
          </cell>
        </row>
        <row r="7">
          <cell r="G7">
            <v>500</v>
          </cell>
          <cell r="I7">
            <v>7.95</v>
          </cell>
          <cell r="J7">
            <v>3975</v>
          </cell>
        </row>
      </sheetData>
      <sheetData sheetId="4">
        <row r="4">
          <cell r="B4" t="str">
            <v>Qiu</v>
          </cell>
          <cell r="C4">
            <v>690000</v>
          </cell>
          <cell r="D4">
            <v>20700</v>
          </cell>
          <cell r="F4" t="str">
            <v>Enders</v>
          </cell>
          <cell r="G4">
            <v>4</v>
          </cell>
          <cell r="H4">
            <v>3643000</v>
          </cell>
          <cell r="I4">
            <v>153180</v>
          </cell>
        </row>
        <row r="5">
          <cell r="B5" t="str">
            <v>Enders</v>
          </cell>
          <cell r="C5">
            <v>560000</v>
          </cell>
          <cell r="D5">
            <v>16800</v>
          </cell>
          <cell r="F5" t="str">
            <v>Forrest</v>
          </cell>
          <cell r="G5">
            <v>3</v>
          </cell>
          <cell r="H5">
            <v>2164000</v>
          </cell>
          <cell r="I5">
            <v>89075</v>
          </cell>
        </row>
        <row r="6">
          <cell r="B6" t="str">
            <v>Irons</v>
          </cell>
          <cell r="C6">
            <v>923000</v>
          </cell>
          <cell r="D6">
            <v>32305.000000000004</v>
          </cell>
          <cell r="F6" t="str">
            <v>Irons</v>
          </cell>
          <cell r="G6">
            <v>4</v>
          </cell>
          <cell r="H6">
            <v>3913000</v>
          </cell>
          <cell r="I6">
            <v>155555</v>
          </cell>
        </row>
        <row r="7">
          <cell r="B7" t="str">
            <v>Irons</v>
          </cell>
          <cell r="C7">
            <v>973000</v>
          </cell>
          <cell r="D7">
            <v>34055</v>
          </cell>
          <cell r="F7" t="str">
            <v>Karim</v>
          </cell>
          <cell r="G7">
            <v>3</v>
          </cell>
          <cell r="H7">
            <v>2708000</v>
          </cell>
          <cell r="I7">
            <v>108020</v>
          </cell>
        </row>
        <row r="8">
          <cell r="B8" t="str">
            <v>Forrest</v>
          </cell>
          <cell r="C8">
            <v>280000</v>
          </cell>
          <cell r="D8">
            <v>7000</v>
          </cell>
          <cell r="F8" t="str">
            <v>Qiu</v>
          </cell>
          <cell r="G8">
            <v>2</v>
          </cell>
          <cell r="H8">
            <v>1681000</v>
          </cell>
          <cell r="I8">
            <v>55385</v>
          </cell>
        </row>
        <row r="9">
          <cell r="B9" t="str">
            <v>Karim</v>
          </cell>
          <cell r="C9">
            <v>1339000</v>
          </cell>
          <cell r="D9">
            <v>66950</v>
          </cell>
        </row>
        <row r="10">
          <cell r="B10" t="str">
            <v>Forrest</v>
          </cell>
          <cell r="C10">
            <v>485000</v>
          </cell>
          <cell r="D10">
            <v>12125</v>
          </cell>
        </row>
        <row r="11">
          <cell r="B11" t="str">
            <v>Enders</v>
          </cell>
          <cell r="C11">
            <v>551000</v>
          </cell>
          <cell r="D11">
            <v>16530</v>
          </cell>
        </row>
        <row r="12">
          <cell r="B12" t="str">
            <v>Irons</v>
          </cell>
          <cell r="C12">
            <v>1240000</v>
          </cell>
          <cell r="D12">
            <v>62000</v>
          </cell>
        </row>
        <row r="13">
          <cell r="B13" t="str">
            <v>Qiu</v>
          </cell>
          <cell r="C13">
            <v>991000</v>
          </cell>
          <cell r="D13">
            <v>34685</v>
          </cell>
        </row>
        <row r="14">
          <cell r="B14" t="str">
            <v>Enders</v>
          </cell>
          <cell r="C14">
            <v>270000</v>
          </cell>
          <cell r="D14">
            <v>6750</v>
          </cell>
        </row>
        <row r="15">
          <cell r="B15" t="str">
            <v>Irons</v>
          </cell>
          <cell r="C15">
            <v>777000</v>
          </cell>
          <cell r="D15">
            <v>27195.000000000004</v>
          </cell>
        </row>
        <row r="16">
          <cell r="B16" t="str">
            <v>Enders</v>
          </cell>
          <cell r="C16">
            <v>2262000</v>
          </cell>
          <cell r="D16">
            <v>113100</v>
          </cell>
        </row>
        <row r="17">
          <cell r="B17" t="str">
            <v>Karim</v>
          </cell>
          <cell r="C17">
            <v>669000</v>
          </cell>
          <cell r="D17">
            <v>20070</v>
          </cell>
        </row>
        <row r="18">
          <cell r="B18" t="str">
            <v>Karim</v>
          </cell>
          <cell r="C18">
            <v>700000</v>
          </cell>
          <cell r="D18">
            <v>21000</v>
          </cell>
        </row>
        <row r="19">
          <cell r="B19" t="str">
            <v>Forrest</v>
          </cell>
          <cell r="C19">
            <v>1399000</v>
          </cell>
          <cell r="D19">
            <v>69950</v>
          </cell>
        </row>
        <row r="23">
          <cell r="B23">
            <v>0</v>
          </cell>
          <cell r="C23">
            <v>0.01</v>
          </cell>
        </row>
        <row r="24">
          <cell r="B24">
            <v>100000</v>
          </cell>
          <cell r="C24">
            <v>2.5000000000000001E-2</v>
          </cell>
        </row>
        <row r="25">
          <cell r="B25">
            <v>500000</v>
          </cell>
          <cell r="C25">
            <v>0.03</v>
          </cell>
        </row>
        <row r="26">
          <cell r="B26">
            <v>750000</v>
          </cell>
          <cell r="C26">
            <v>3.5000000000000003E-2</v>
          </cell>
        </row>
        <row r="27">
          <cell r="B27">
            <v>1000000</v>
          </cell>
          <cell r="C27">
            <v>0.05</v>
          </cell>
        </row>
      </sheetData>
      <sheetData sheetId="5">
        <row r="4">
          <cell r="E4">
            <v>2000000</v>
          </cell>
        </row>
        <row r="5">
          <cell r="E5">
            <v>7.4999999999999997E-3</v>
          </cell>
        </row>
        <row r="6">
          <cell r="E6">
            <v>1.2E-2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8E2A-CF24-4DAE-B7B3-7B64EA5BF51D}">
  <dimension ref="B1:F1000"/>
  <sheetViews>
    <sheetView workbookViewId="0">
      <selection activeCell="F5" sqref="F5"/>
    </sheetView>
  </sheetViews>
  <sheetFormatPr defaultColWidth="12.625" defaultRowHeight="15" customHeight="1"/>
  <cols>
    <col min="1" max="1" width="7.625" style="124" customWidth="1"/>
    <col min="2" max="2" width="17.625" style="124" customWidth="1"/>
    <col min="3" max="3" width="15.375" style="124" customWidth="1"/>
    <col min="4" max="4" width="13.875" style="124" customWidth="1"/>
    <col min="5" max="5" width="16.5" style="124" customWidth="1"/>
    <col min="6" max="6" width="14.25" style="124" customWidth="1"/>
    <col min="7" max="26" width="7.625" style="124" customWidth="1"/>
    <col min="27" max="16384" width="12.625" style="124"/>
  </cols>
  <sheetData>
    <row r="1" spans="2:6" ht="15.75">
      <c r="B1" s="1" t="s">
        <v>0</v>
      </c>
      <c r="D1" s="2"/>
      <c r="E1" s="3"/>
    </row>
    <row r="3" spans="2:6" ht="15.75" thickBot="1">
      <c r="B3" s="42" t="s">
        <v>1</v>
      </c>
      <c r="C3" s="43"/>
      <c r="E3" s="48" t="s">
        <v>2</v>
      </c>
      <c r="F3" s="49"/>
    </row>
    <row r="4" spans="2:6">
      <c r="B4" s="127" t="s">
        <v>3</v>
      </c>
      <c r="C4" s="44">
        <v>350000</v>
      </c>
      <c r="E4" s="127" t="s">
        <v>4</v>
      </c>
      <c r="F4" s="51">
        <f>Borrowed_Amount-Deposit</f>
        <v>315000</v>
      </c>
    </row>
    <row r="5" spans="2:6">
      <c r="B5" s="4" t="s">
        <v>5</v>
      </c>
      <c r="C5" s="45">
        <v>35000</v>
      </c>
      <c r="E5" s="4" t="s">
        <v>6</v>
      </c>
      <c r="F5" s="50">
        <f>IFERROR(PMT(Interest_Rate/12, Term__Yrs*12,-Borrowed_Amount--Deposit),0)</f>
        <v>1396.9658842224617</v>
      </c>
    </row>
    <row r="6" spans="2:6">
      <c r="B6" s="4" t="s">
        <v>7</v>
      </c>
      <c r="C6" s="46">
        <v>30</v>
      </c>
      <c r="E6" s="4" t="s">
        <v>8</v>
      </c>
      <c r="F6" s="50">
        <f>IFERROR(payment_monthly*Term__Yrs*12,0)</f>
        <v>502907.71832008625</v>
      </c>
    </row>
    <row r="7" spans="2:6">
      <c r="B7" s="4" t="s">
        <v>9</v>
      </c>
      <c r="C7" s="47">
        <v>3.4000000000000002E-2</v>
      </c>
      <c r="E7" s="4" t="s">
        <v>10</v>
      </c>
      <c r="F7" s="50">
        <f>IFERROR(Total_Payments-Financed_Amount,0)</f>
        <v>187907.71832008625</v>
      </c>
    </row>
    <row r="10" spans="2:6" ht="15.75" customHeight="1" thickBot="1">
      <c r="B10" s="52" t="s">
        <v>9</v>
      </c>
      <c r="C10" s="52" t="s">
        <v>11</v>
      </c>
      <c r="D10" s="52" t="s">
        <v>8</v>
      </c>
      <c r="E10" s="52" t="s">
        <v>10</v>
      </c>
    </row>
    <row r="11" spans="2:6">
      <c r="B11" s="126">
        <f>Interest_Rate</f>
        <v>3.4000000000000002E-2</v>
      </c>
      <c r="C11" s="125">
        <f>payment_monthly</f>
        <v>1396.9658842224617</v>
      </c>
      <c r="D11" s="125">
        <f>Total_Payments</f>
        <v>502907.71832008625</v>
      </c>
      <c r="E11" s="125">
        <f>Total_Interest</f>
        <v>187907.71832008625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C1A5-44BC-4609-B4DC-D169E981DB2E}">
  <dimension ref="B2:M1001"/>
  <sheetViews>
    <sheetView workbookViewId="0">
      <selection activeCell="B12" sqref="B12:E13"/>
    </sheetView>
  </sheetViews>
  <sheetFormatPr defaultColWidth="12.625" defaultRowHeight="15" customHeight="1"/>
  <cols>
    <col min="1" max="1" width="12.625" style="124"/>
    <col min="2" max="2" width="14" style="124" customWidth="1"/>
    <col min="3" max="3" width="9.875" style="124" customWidth="1"/>
    <col min="4" max="4" width="10.875" style="124" customWidth="1"/>
    <col min="5" max="5" width="8.5" style="124" customWidth="1"/>
    <col min="6" max="6" width="12.75" style="124" customWidth="1"/>
    <col min="7" max="7" width="9.25" style="124" customWidth="1"/>
    <col min="8" max="11" width="7.625" style="124" customWidth="1"/>
    <col min="12" max="12" width="32.875" style="124" customWidth="1"/>
    <col min="13" max="27" width="7.625" style="124" customWidth="1"/>
    <col min="28" max="16384" width="12.625" style="124"/>
  </cols>
  <sheetData>
    <row r="2" spans="2:13">
      <c r="B2" s="4" t="s">
        <v>12</v>
      </c>
    </row>
    <row r="3" spans="2:13" ht="29.25" customHeight="1">
      <c r="B3" s="66" t="s">
        <v>13</v>
      </c>
      <c r="C3" s="66" t="s">
        <v>14</v>
      </c>
      <c r="D3" s="67" t="s">
        <v>15</v>
      </c>
      <c r="E3" s="68" t="s">
        <v>16</v>
      </c>
      <c r="F3" s="67" t="s">
        <v>17</v>
      </c>
      <c r="G3" s="66" t="s">
        <v>18</v>
      </c>
    </row>
    <row r="4" spans="2:13">
      <c r="B4" s="69" t="s">
        <v>19</v>
      </c>
      <c r="C4" s="69">
        <v>36</v>
      </c>
      <c r="D4" s="69">
        <v>38.99</v>
      </c>
      <c r="E4" s="129" t="str">
        <f>IF(Qty_1 &gt;= C13, B13, "")</f>
        <v/>
      </c>
      <c r="F4" s="70">
        <f>IF(ISNUMBER(Discount_1), Price_1 * (1-Discount_1), Price_1)</f>
        <v>38.99</v>
      </c>
      <c r="G4" s="69">
        <f>Qty_1*Sale_Price1</f>
        <v>1403.64</v>
      </c>
    </row>
    <row r="5" spans="2:13">
      <c r="B5" s="69" t="s">
        <v>20</v>
      </c>
      <c r="C5" s="69">
        <v>50</v>
      </c>
      <c r="D5" s="69">
        <v>9.2899999999999991</v>
      </c>
      <c r="E5" s="130">
        <f>IF(Qty_2 &gt;= Discount_threshold, Discount_Rate, "")</f>
        <v>0.05</v>
      </c>
      <c r="F5" s="70">
        <f>IF(ISNUMBER(Discount_2), Price_2 * (1-Discount_2), Price_2)</f>
        <v>8.8254999999999981</v>
      </c>
      <c r="G5" s="70">
        <f>Qty_2*Sale_Price2</f>
        <v>441.27499999999992</v>
      </c>
    </row>
    <row r="6" spans="2:13">
      <c r="B6" s="69" t="s">
        <v>21</v>
      </c>
      <c r="C6" s="69">
        <v>200</v>
      </c>
      <c r="D6" s="69">
        <v>27.99</v>
      </c>
      <c r="E6" s="130">
        <f>IF(Qty_3 &gt;= Discount_threshold, Discount_Rate, "")</f>
        <v>0.05</v>
      </c>
      <c r="F6" s="70">
        <f>IF(ISNUMBER(Discount_3), Price_3 * (1-Discount_3), Price_3)</f>
        <v>26.590499999999999</v>
      </c>
      <c r="G6" s="70">
        <f>Qty_3*Sale_Price3</f>
        <v>5318.0999999999995</v>
      </c>
    </row>
    <row r="7" spans="2:13">
      <c r="B7" s="69" t="s">
        <v>22</v>
      </c>
      <c r="C7" s="69">
        <v>40</v>
      </c>
      <c r="D7" s="69">
        <v>12.99</v>
      </c>
      <c r="E7" s="130">
        <f>IF(Qty_4 &gt;= Discount_threshold, Discount_Rate, "")</f>
        <v>0.05</v>
      </c>
      <c r="F7" s="70">
        <f>IF(ISNUMBER(Discount_4), Price_4 * (1-Discount_4), Price_4)</f>
        <v>12.3405</v>
      </c>
      <c r="G7" s="69">
        <f>Qty_4*Sale_Price4</f>
        <v>493.62</v>
      </c>
    </row>
    <row r="8" spans="2:13">
      <c r="B8" s="69"/>
      <c r="C8" s="69"/>
      <c r="D8" s="69"/>
      <c r="E8" s="69"/>
      <c r="F8" s="70"/>
      <c r="G8" s="69"/>
    </row>
    <row r="9" spans="2:13">
      <c r="B9" s="71"/>
      <c r="C9" s="71"/>
      <c r="D9" s="71"/>
      <c r="E9" s="71"/>
      <c r="F9" s="71"/>
      <c r="G9" s="71"/>
    </row>
    <row r="10" spans="2:13">
      <c r="B10" s="131"/>
      <c r="C10" s="97"/>
      <c r="D10" s="97"/>
      <c r="E10" s="98"/>
      <c r="F10" s="72" t="s">
        <v>23</v>
      </c>
      <c r="G10" s="73">
        <f>SUM(Total)</f>
        <v>7656.6349999999993</v>
      </c>
    </row>
    <row r="11" spans="2:13">
      <c r="B11" s="99"/>
      <c r="C11" s="100"/>
      <c r="D11" s="100"/>
      <c r="E11" s="101"/>
      <c r="F11" s="74" t="s">
        <v>24</v>
      </c>
      <c r="G11" s="73">
        <f>SUM(Total)*HST_Rate</f>
        <v>995.36254999999994</v>
      </c>
    </row>
    <row r="12" spans="2:13">
      <c r="B12" s="134" t="s">
        <v>25</v>
      </c>
      <c r="C12" s="135" t="s">
        <v>26</v>
      </c>
      <c r="D12" s="102"/>
      <c r="E12" s="136" t="s">
        <v>27</v>
      </c>
      <c r="F12" s="74"/>
      <c r="G12" s="132"/>
    </row>
    <row r="13" spans="2:13">
      <c r="B13" s="75">
        <v>0.05</v>
      </c>
      <c r="C13" s="135">
        <v>40</v>
      </c>
      <c r="D13" s="102"/>
      <c r="E13" s="76">
        <v>0.13</v>
      </c>
      <c r="F13" s="133" t="s">
        <v>28</v>
      </c>
      <c r="G13" s="73">
        <f>Subtotal+HST</f>
        <v>8651.99755</v>
      </c>
    </row>
    <row r="14" spans="2:13">
      <c r="K14" s="128"/>
      <c r="L14" s="128"/>
      <c r="M14" s="128"/>
    </row>
    <row r="15" spans="2:13">
      <c r="K15" s="128"/>
      <c r="L15" s="128"/>
      <c r="M15" s="128"/>
    </row>
    <row r="16" spans="2:13">
      <c r="K16" s="128"/>
      <c r="L16" s="128"/>
      <c r="M16" s="128"/>
    </row>
    <row r="17" spans="11:13">
      <c r="K17" s="128"/>
      <c r="L17" s="128"/>
      <c r="M17" s="128"/>
    </row>
    <row r="18" spans="11:13">
      <c r="K18" s="128"/>
      <c r="L18" s="128"/>
      <c r="M18" s="128"/>
    </row>
    <row r="22" spans="11:13" ht="15.75" customHeight="1"/>
    <row r="23" spans="11:13" ht="15.75" customHeight="1"/>
    <row r="24" spans="11:13" ht="15.75" customHeight="1"/>
    <row r="25" spans="11:13" ht="15.75" customHeight="1"/>
    <row r="26" spans="11:13" ht="15.75" customHeight="1"/>
    <row r="27" spans="11:13" ht="15.75" customHeight="1"/>
    <row r="28" spans="11:13" ht="15.75" customHeight="1"/>
    <row r="29" spans="11:13" ht="15.75" customHeight="1"/>
    <row r="30" spans="11:13" ht="15.75" customHeight="1"/>
    <row r="31" spans="11:13" ht="15.75" customHeight="1"/>
    <row r="32" spans="1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B10:E11"/>
    <mergeCell ref="C12:D12"/>
    <mergeCell ref="C13:D13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>
      <selection activeCell="C17" sqref="C17"/>
    </sheetView>
  </sheetViews>
  <sheetFormatPr defaultColWidth="12.625" defaultRowHeight="15" customHeight="1"/>
  <cols>
    <col min="1" max="1" width="7.625" customWidth="1"/>
    <col min="2" max="2" width="38.125" customWidth="1"/>
    <col min="3" max="3" width="25.125" customWidth="1"/>
    <col min="4" max="4" width="17.375" customWidth="1"/>
    <col min="5" max="26" width="7.625" customWidth="1"/>
  </cols>
  <sheetData>
    <row r="1" spans="1:6">
      <c r="A1" s="6" t="s">
        <v>29</v>
      </c>
      <c r="B1" s="6" t="s">
        <v>30</v>
      </c>
      <c r="C1" s="6" t="s">
        <v>31</v>
      </c>
      <c r="D1" s="6" t="s">
        <v>32</v>
      </c>
      <c r="E1" s="6" t="s">
        <v>33</v>
      </c>
      <c r="F1" s="6" t="s">
        <v>34</v>
      </c>
    </row>
    <row r="2" spans="1:6">
      <c r="A2" s="7">
        <v>1</v>
      </c>
      <c r="B2" s="7" t="s">
        <v>35</v>
      </c>
      <c r="C2" s="7" t="s">
        <v>36</v>
      </c>
      <c r="D2" s="7" t="s">
        <v>37</v>
      </c>
      <c r="E2" s="7">
        <v>9.3000000000000007</v>
      </c>
      <c r="F2" s="7">
        <v>1994</v>
      </c>
    </row>
    <row r="3" spans="1:6">
      <c r="A3" s="7">
        <v>2</v>
      </c>
      <c r="B3" s="7" t="s">
        <v>38</v>
      </c>
      <c r="C3" s="7" t="s">
        <v>36</v>
      </c>
      <c r="D3" s="7" t="s">
        <v>39</v>
      </c>
      <c r="E3" s="7">
        <v>9.1999999999999993</v>
      </c>
      <c r="F3" s="7">
        <v>1972</v>
      </c>
    </row>
    <row r="4" spans="1:6">
      <c r="A4" s="7">
        <v>3</v>
      </c>
      <c r="B4" s="7" t="s">
        <v>40</v>
      </c>
      <c r="C4" s="7" t="s">
        <v>41</v>
      </c>
      <c r="D4" s="7" t="s">
        <v>42</v>
      </c>
      <c r="E4" s="7">
        <v>9</v>
      </c>
      <c r="F4" s="7">
        <v>2008</v>
      </c>
    </row>
    <row r="5" spans="1:6">
      <c r="A5" s="7">
        <v>4</v>
      </c>
      <c r="B5" s="7" t="s">
        <v>43</v>
      </c>
      <c r="C5" s="7" t="s">
        <v>36</v>
      </c>
      <c r="D5" s="7" t="s">
        <v>39</v>
      </c>
      <c r="E5" s="7">
        <v>9</v>
      </c>
      <c r="F5" s="7">
        <v>1974</v>
      </c>
    </row>
    <row r="6" spans="1:6">
      <c r="A6" s="7">
        <v>5</v>
      </c>
      <c r="B6" s="7" t="s">
        <v>44</v>
      </c>
      <c r="C6" s="7" t="s">
        <v>45</v>
      </c>
      <c r="D6" s="7" t="s">
        <v>46</v>
      </c>
      <c r="E6" s="7">
        <v>8.9</v>
      </c>
      <c r="F6" s="7">
        <v>2003</v>
      </c>
    </row>
    <row r="7" spans="1:6">
      <c r="A7" s="7">
        <v>6</v>
      </c>
      <c r="B7" s="7" t="s">
        <v>47</v>
      </c>
      <c r="C7" s="7" t="s">
        <v>36</v>
      </c>
      <c r="D7" s="7" t="s">
        <v>48</v>
      </c>
      <c r="E7" s="7">
        <v>8.9</v>
      </c>
      <c r="F7" s="7">
        <v>1994</v>
      </c>
    </row>
    <row r="8" spans="1:6">
      <c r="A8" s="7">
        <v>7</v>
      </c>
      <c r="B8" s="7" t="s">
        <v>49</v>
      </c>
      <c r="C8" s="7" t="s">
        <v>50</v>
      </c>
      <c r="D8" s="7" t="s">
        <v>51</v>
      </c>
      <c r="E8" s="7">
        <v>8.9</v>
      </c>
      <c r="F8" s="7">
        <v>1993</v>
      </c>
    </row>
    <row r="9" spans="1:6">
      <c r="A9" s="7">
        <v>8</v>
      </c>
      <c r="B9" s="7" t="s">
        <v>52</v>
      </c>
      <c r="C9" s="7" t="s">
        <v>53</v>
      </c>
      <c r="D9" s="7" t="s">
        <v>54</v>
      </c>
      <c r="E9" s="7">
        <v>8.9</v>
      </c>
      <c r="F9" s="7">
        <v>1957</v>
      </c>
    </row>
    <row r="10" spans="1:6">
      <c r="A10" s="7">
        <v>9</v>
      </c>
      <c r="B10" s="7" t="s">
        <v>55</v>
      </c>
      <c r="C10" s="7" t="s">
        <v>56</v>
      </c>
      <c r="D10" s="7" t="s">
        <v>42</v>
      </c>
      <c r="E10" s="7">
        <v>8.8000000000000007</v>
      </c>
      <c r="F10" s="7">
        <v>2010</v>
      </c>
    </row>
    <row r="11" spans="1:6">
      <c r="A11" s="7">
        <v>10</v>
      </c>
      <c r="B11" s="7" t="s">
        <v>57</v>
      </c>
      <c r="C11" s="7" t="s">
        <v>53</v>
      </c>
      <c r="D11" s="7" t="s">
        <v>58</v>
      </c>
      <c r="E11" s="7">
        <v>8.8000000000000007</v>
      </c>
      <c r="F11" s="7">
        <v>1999</v>
      </c>
    </row>
    <row r="13" spans="1:6" ht="28.5" customHeight="1">
      <c r="B13" s="8" t="s">
        <v>59</v>
      </c>
      <c r="C13" s="79">
        <v>6</v>
      </c>
    </row>
    <row r="14" spans="1:6">
      <c r="B14" s="103" t="s">
        <v>60</v>
      </c>
      <c r="C14" s="104"/>
    </row>
    <row r="15" spans="1:6">
      <c r="B15" s="77" t="s">
        <v>30</v>
      </c>
      <c r="C15" s="9" t="str">
        <f>VLOOKUP(Enter_Rank___to_Search,Top10_Movies, 2, FALSE)</f>
        <v>Pulp Fiction</v>
      </c>
    </row>
    <row r="16" spans="1:6">
      <c r="B16" s="77" t="s">
        <v>33</v>
      </c>
      <c r="C16" s="9">
        <f>VLOOKUP(Enter_Rank___to_Search, Top10_Movies, 5, FALSE)</f>
        <v>8.9</v>
      </c>
    </row>
    <row r="17" spans="2:3">
      <c r="B17" s="77" t="s">
        <v>34</v>
      </c>
      <c r="C17" s="10">
        <f>VLOOKUP(Enter_Rank___to_Search, Top10_Movies, 6, FALSE)</f>
        <v>1994</v>
      </c>
    </row>
    <row r="18" spans="2:3">
      <c r="B18" s="77" t="s">
        <v>31</v>
      </c>
      <c r="C18" s="10" t="str">
        <f>VLOOKUP(Enter_Rank___to_Search, Top10_Movies, 3, FALSE)</f>
        <v>Crime, Drama</v>
      </c>
    </row>
    <row r="19" spans="2:3">
      <c r="B19" s="78" t="s">
        <v>61</v>
      </c>
      <c r="C19" s="11" t="str">
        <f>VLOOKUP(Enter_Rank___to_Search, Top10_Movies, 4, FALSE)</f>
        <v>Quentin Tarantino</v>
      </c>
    </row>
    <row r="21" spans="2:3" ht="15.75" customHeight="1"/>
    <row r="22" spans="2:3" ht="15.75" customHeight="1"/>
    <row r="23" spans="2:3" ht="15.75" customHeight="1"/>
    <row r="24" spans="2:3" ht="15.75" customHeight="1"/>
    <row r="25" spans="2:3" ht="15.75" customHeight="1"/>
    <row r="26" spans="2:3" ht="15.75" customHeight="1"/>
    <row r="27" spans="2:3" ht="15.75" customHeight="1"/>
    <row r="28" spans="2:3" ht="15.75" customHeight="1"/>
    <row r="29" spans="2:3" ht="15.75" customHeight="1"/>
    <row r="30" spans="2:3" ht="15.75" customHeight="1"/>
    <row r="31" spans="2:3" ht="15.75" customHeight="1"/>
    <row r="32" spans="2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4:C14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I7" sqref="I7"/>
    </sheetView>
  </sheetViews>
  <sheetFormatPr defaultColWidth="12.625" defaultRowHeight="15" customHeight="1"/>
  <cols>
    <col min="1" max="1" width="19.25" customWidth="1"/>
    <col min="2" max="2" width="9.625" customWidth="1"/>
    <col min="3" max="4" width="7.625" customWidth="1"/>
    <col min="5" max="5" width="10.125" customWidth="1"/>
    <col min="6" max="6" width="7.625" customWidth="1"/>
    <col min="7" max="7" width="4.625" customWidth="1"/>
    <col min="8" max="8" width="11.125" customWidth="1"/>
    <col min="9" max="9" width="11" customWidth="1"/>
    <col min="10" max="26" width="7.625" customWidth="1"/>
  </cols>
  <sheetData>
    <row r="1" spans="1:14" ht="18" customHeight="1">
      <c r="A1" s="12" t="s">
        <v>62</v>
      </c>
    </row>
    <row r="2" spans="1:14" ht="54" customHeight="1">
      <c r="E2" s="13" t="s">
        <v>63</v>
      </c>
      <c r="F2" s="105"/>
      <c r="G2" s="106"/>
      <c r="H2" s="14" t="s">
        <v>64</v>
      </c>
      <c r="I2" s="15">
        <v>800</v>
      </c>
    </row>
    <row r="3" spans="1:14">
      <c r="A3" s="107" t="s">
        <v>65</v>
      </c>
      <c r="B3" s="108"/>
      <c r="E3" s="16"/>
      <c r="F3" s="17" t="s">
        <v>66</v>
      </c>
      <c r="G3" s="17"/>
      <c r="H3" s="17" t="s">
        <v>67</v>
      </c>
      <c r="I3" s="17" t="s">
        <v>18</v>
      </c>
    </row>
    <row r="4" spans="1:14">
      <c r="A4" s="18" t="s">
        <v>68</v>
      </c>
      <c r="B4" s="18">
        <v>100</v>
      </c>
      <c r="E4" s="62" t="s">
        <v>69</v>
      </c>
      <c r="F4" s="63">
        <f>IF(UnitsOrdered&lt;=Tier1,UnitsOrdered,Tier1)</f>
        <v>100</v>
      </c>
      <c r="G4" s="62" t="s">
        <v>70</v>
      </c>
      <c r="H4" s="64">
        <v>8.5</v>
      </c>
      <c r="I4" s="65">
        <f>(Tier1Qty*Tier1Price)</f>
        <v>850</v>
      </c>
    </row>
    <row r="5" spans="1:14">
      <c r="A5" s="19" t="s">
        <v>71</v>
      </c>
      <c r="B5" s="19">
        <v>500</v>
      </c>
      <c r="E5" s="58" t="s">
        <v>72</v>
      </c>
      <c r="F5" s="59">
        <f>IF(UnitsOrdered&lt;=Tier2+Tier1,UnitsOrdered-Tier1Qty,Tier2)</f>
        <v>500</v>
      </c>
      <c r="G5" s="58" t="s">
        <v>70</v>
      </c>
      <c r="H5" s="60">
        <v>8.8000000000000007</v>
      </c>
      <c r="I5" s="61">
        <f>(Tier2Qty*Tier2Price)</f>
        <v>4400</v>
      </c>
    </row>
    <row r="6" spans="1:14">
      <c r="A6" s="20" t="s">
        <v>73</v>
      </c>
      <c r="B6" s="53">
        <v>1000</v>
      </c>
      <c r="E6" s="54" t="s">
        <v>74</v>
      </c>
      <c r="F6" s="55">
        <f>IF(UnitsOrdered&gt;Tier2+Tier1,UnitsOrdered-(Tier2Qty+Tier1Qty),0)</f>
        <v>200</v>
      </c>
      <c r="G6" s="54" t="s">
        <v>70</v>
      </c>
      <c r="H6" s="56">
        <v>8.9499999999999993</v>
      </c>
      <c r="I6" s="57">
        <f>(Tier3Qty*Tier3Price)</f>
        <v>1789.9999999999998</v>
      </c>
      <c r="N6" s="21"/>
    </row>
    <row r="7" spans="1:14">
      <c r="E7" s="22" t="s">
        <v>75</v>
      </c>
      <c r="F7" s="23">
        <f>UnitsOrdered</f>
        <v>800</v>
      </c>
      <c r="G7" s="24"/>
      <c r="H7" s="25" t="s">
        <v>76</v>
      </c>
      <c r="I7" s="26">
        <f>SUM(Tier1Total:Tier3Total)</f>
        <v>7040</v>
      </c>
    </row>
    <row r="14" spans="1:14" ht="14.25">
      <c r="F14" s="2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F2:G2"/>
    <mergeCell ref="A3:B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tabSelected="1" topLeftCell="C1" workbookViewId="0">
      <selection activeCell="H11" sqref="H11"/>
    </sheetView>
  </sheetViews>
  <sheetFormatPr defaultColWidth="12.625" defaultRowHeight="15" customHeight="1"/>
  <cols>
    <col min="1" max="2" width="12.25" customWidth="1"/>
    <col min="3" max="3" width="14" customWidth="1"/>
    <col min="4" max="4" width="17.875" customWidth="1"/>
    <col min="5" max="5" width="7.625" customWidth="1"/>
    <col min="6" max="6" width="10.875" customWidth="1"/>
    <col min="7" max="7" width="12.875" customWidth="1"/>
    <col min="8" max="8" width="12" customWidth="1"/>
    <col min="9" max="9" width="17.875" customWidth="1"/>
    <col min="10" max="10" width="7.625" customWidth="1"/>
    <col min="11" max="11" width="2.875" customWidth="1"/>
    <col min="12" max="13" width="7.625" customWidth="1"/>
    <col min="14" max="14" width="15.625" customWidth="1"/>
    <col min="15" max="16" width="7.625" customWidth="1"/>
    <col min="17" max="17" width="2.75" customWidth="1"/>
    <col min="18" max="18" width="7.625" customWidth="1"/>
    <col min="19" max="19" width="3.875" customWidth="1"/>
    <col min="20" max="20" width="4.375" customWidth="1"/>
    <col min="21" max="21" width="7.625" customWidth="1"/>
    <col min="22" max="22" width="3.625" customWidth="1"/>
    <col min="23" max="27" width="7.625" customWidth="1"/>
  </cols>
  <sheetData>
    <row r="1" spans="1:10" ht="15" customHeight="1">
      <c r="A1" s="21"/>
      <c r="B1" s="109" t="s">
        <v>77</v>
      </c>
      <c r="C1" s="111"/>
      <c r="D1" s="110"/>
      <c r="F1" s="112" t="s">
        <v>78</v>
      </c>
      <c r="G1" s="113"/>
      <c r="H1" s="113"/>
      <c r="I1" s="106"/>
    </row>
    <row r="2" spans="1:10">
      <c r="A2" s="21"/>
      <c r="B2" s="28" t="s">
        <v>79</v>
      </c>
      <c r="C2" s="28" t="s">
        <v>80</v>
      </c>
      <c r="D2" s="28" t="s">
        <v>81</v>
      </c>
      <c r="F2" s="84" t="s">
        <v>82</v>
      </c>
      <c r="G2" s="84" t="s">
        <v>83</v>
      </c>
      <c r="H2" s="84" t="s">
        <v>84</v>
      </c>
      <c r="I2" s="84" t="s">
        <v>85</v>
      </c>
    </row>
    <row r="3" spans="1:10">
      <c r="A3" s="21"/>
      <c r="B3" s="80" t="s">
        <v>86</v>
      </c>
      <c r="C3" s="82">
        <v>690000</v>
      </c>
      <c r="D3" s="83">
        <f t="shared" ref="D3:D18" si="0">LOOKUP(C3,PriceRange,Comissions) * C3</f>
        <v>20700</v>
      </c>
      <c r="F3" s="85" t="s">
        <v>87</v>
      </c>
      <c r="G3" s="16">
        <f>COUNTIF(Names,F3)</f>
        <v>4</v>
      </c>
      <c r="H3" s="86">
        <f>SUMIF(Names,F3,Sale_Prices)</f>
        <v>3643000</v>
      </c>
      <c r="I3" s="29">
        <f>SUMIF(Names,F3,Commission)</f>
        <v>153180</v>
      </c>
    </row>
    <row r="4" spans="1:10">
      <c r="A4" s="21"/>
      <c r="B4" s="80" t="s">
        <v>87</v>
      </c>
      <c r="C4" s="82">
        <v>560000</v>
      </c>
      <c r="D4" s="83">
        <f t="shared" si="0"/>
        <v>16800</v>
      </c>
      <c r="F4" s="85" t="s">
        <v>88</v>
      </c>
      <c r="G4" s="16">
        <f>COUNTIF(Names,F4)</f>
        <v>3</v>
      </c>
      <c r="H4" s="86">
        <f>SUMIF(Names,F4,Sale_Prices)</f>
        <v>2164000</v>
      </c>
      <c r="I4" s="29">
        <f>SUMIF(Names,F4,Commission)</f>
        <v>89075</v>
      </c>
    </row>
    <row r="5" spans="1:10">
      <c r="A5" s="21"/>
      <c r="B5" s="80" t="s">
        <v>89</v>
      </c>
      <c r="C5" s="82">
        <v>923000</v>
      </c>
      <c r="D5" s="83">
        <f t="shared" si="0"/>
        <v>32305.000000000004</v>
      </c>
      <c r="F5" s="85" t="s">
        <v>89</v>
      </c>
      <c r="G5" s="16">
        <f>COUNTIF(Names,F5)</f>
        <v>4</v>
      </c>
      <c r="H5" s="86">
        <f>SUMIF(Names,F5,Sale_Prices)</f>
        <v>3913000</v>
      </c>
      <c r="I5" s="29">
        <f>SUMIF(Names,F5,Commission)</f>
        <v>155555</v>
      </c>
    </row>
    <row r="6" spans="1:10">
      <c r="A6" s="21"/>
      <c r="B6" s="80" t="s">
        <v>89</v>
      </c>
      <c r="C6" s="82">
        <v>973000</v>
      </c>
      <c r="D6" s="83">
        <f t="shared" si="0"/>
        <v>34055</v>
      </c>
      <c r="F6" s="85" t="s">
        <v>90</v>
      </c>
      <c r="G6" s="16">
        <f>COUNTIF(Names,F6)</f>
        <v>3</v>
      </c>
      <c r="H6" s="86">
        <f>SUMIF(Names,F6,Sale_Prices)</f>
        <v>2708000</v>
      </c>
      <c r="I6" s="29">
        <f>SUMIF(Names,F6,Commission)</f>
        <v>108020</v>
      </c>
    </row>
    <row r="7" spans="1:10">
      <c r="A7" s="21"/>
      <c r="B7" s="80" t="s">
        <v>88</v>
      </c>
      <c r="C7" s="82">
        <v>280000</v>
      </c>
      <c r="D7" s="83">
        <f t="shared" si="0"/>
        <v>7000</v>
      </c>
      <c r="F7" s="85" t="s">
        <v>86</v>
      </c>
      <c r="G7" s="16">
        <f>COUNTIF(Names,F7)</f>
        <v>2</v>
      </c>
      <c r="H7" s="86">
        <f>SUMIF(Names,F7,Sale_Prices)</f>
        <v>1681000</v>
      </c>
      <c r="I7" s="29">
        <f>SUMIF(Names,F7,Commission)</f>
        <v>55385</v>
      </c>
    </row>
    <row r="8" spans="1:10">
      <c r="A8" s="21"/>
      <c r="B8" s="80" t="s">
        <v>90</v>
      </c>
      <c r="C8" s="82">
        <v>1339000</v>
      </c>
      <c r="D8" s="83">
        <f t="shared" si="0"/>
        <v>66950</v>
      </c>
    </row>
    <row r="9" spans="1:10">
      <c r="A9" s="21"/>
      <c r="B9" s="80" t="s">
        <v>88</v>
      </c>
      <c r="C9" s="82">
        <v>485000</v>
      </c>
      <c r="D9" s="83">
        <f t="shared" si="0"/>
        <v>12125</v>
      </c>
      <c r="F9" s="114" t="s">
        <v>91</v>
      </c>
      <c r="G9" s="113"/>
      <c r="H9" s="113"/>
      <c r="I9" s="106"/>
    </row>
    <row r="10" spans="1:10">
      <c r="A10" s="21"/>
      <c r="B10" s="80" t="s">
        <v>87</v>
      </c>
      <c r="C10" s="82">
        <v>551000</v>
      </c>
      <c r="D10" s="83">
        <f t="shared" si="0"/>
        <v>16530</v>
      </c>
      <c r="F10" s="87" t="s">
        <v>84</v>
      </c>
      <c r="G10" s="87" t="s">
        <v>82</v>
      </c>
      <c r="H10" s="87" t="s">
        <v>83</v>
      </c>
      <c r="I10" s="88" t="s">
        <v>85</v>
      </c>
    </row>
    <row r="11" spans="1:10">
      <c r="A11" s="21"/>
      <c r="B11" s="80" t="s">
        <v>89</v>
      </c>
      <c r="C11" s="82">
        <v>1240000</v>
      </c>
      <c r="D11" s="83">
        <f t="shared" si="0"/>
        <v>62000</v>
      </c>
      <c r="F11" s="89">
        <f>MAX(Total_Sales)</f>
        <v>3913000</v>
      </c>
      <c r="G11" s="30" t="str">
        <f t="array" ref="G11">INDEX(AssociateNames,MATCH(F11,Total_Sales,0))</f>
        <v>Irons</v>
      </c>
      <c r="H11" s="30">
        <f t="array" ref="H11">INDEX(Properties_Sold,MATCH(F11,Total_Sales,0))</f>
        <v>4</v>
      </c>
      <c r="I11" s="31">
        <f t="array" ref="I11">INDEX(Commission_Earned,MATCH(F11,Total_Sales,0))</f>
        <v>155555</v>
      </c>
    </row>
    <row r="12" spans="1:10">
      <c r="A12" s="21"/>
      <c r="B12" s="80" t="s">
        <v>86</v>
      </c>
      <c r="C12" s="82">
        <v>991000</v>
      </c>
      <c r="D12" s="83">
        <f t="shared" si="0"/>
        <v>34685</v>
      </c>
    </row>
    <row r="13" spans="1:10" ht="21" customHeight="1">
      <c r="A13" s="21"/>
      <c r="B13" s="80" t="s">
        <v>87</v>
      </c>
      <c r="C13" s="82">
        <v>270000</v>
      </c>
      <c r="D13" s="83">
        <f t="shared" si="0"/>
        <v>6750</v>
      </c>
    </row>
    <row r="14" spans="1:10" ht="33" customHeight="1">
      <c r="A14" s="21"/>
      <c r="B14" s="81" t="s">
        <v>89</v>
      </c>
      <c r="C14" s="82">
        <v>777000</v>
      </c>
      <c r="D14" s="83">
        <f t="shared" si="0"/>
        <v>27195.000000000004</v>
      </c>
      <c r="J14" s="5"/>
    </row>
    <row r="15" spans="1:10">
      <c r="A15" s="21"/>
      <c r="B15" s="80" t="s">
        <v>87</v>
      </c>
      <c r="C15" s="82">
        <v>2262000</v>
      </c>
      <c r="D15" s="83">
        <f t="shared" si="0"/>
        <v>113100</v>
      </c>
    </row>
    <row r="16" spans="1:10">
      <c r="A16" s="21"/>
      <c r="B16" s="81" t="s">
        <v>90</v>
      </c>
      <c r="C16" s="82">
        <v>669000</v>
      </c>
      <c r="D16" s="83">
        <f t="shared" si="0"/>
        <v>20070</v>
      </c>
    </row>
    <row r="17" spans="1:4">
      <c r="A17" s="21"/>
      <c r="B17" s="80" t="s">
        <v>90</v>
      </c>
      <c r="C17" s="82">
        <v>700000</v>
      </c>
      <c r="D17" s="83">
        <f t="shared" si="0"/>
        <v>21000</v>
      </c>
    </row>
    <row r="18" spans="1:4">
      <c r="A18" s="21"/>
      <c r="B18" s="80" t="s">
        <v>88</v>
      </c>
      <c r="C18" s="82">
        <v>1399000</v>
      </c>
      <c r="D18" s="83">
        <f t="shared" si="0"/>
        <v>69950</v>
      </c>
    </row>
    <row r="19" spans="1:4" ht="14.25"/>
    <row r="20" spans="1:4">
      <c r="A20" s="21"/>
      <c r="B20" s="109" t="s">
        <v>92</v>
      </c>
      <c r="C20" s="110"/>
    </row>
    <row r="21" spans="1:4" ht="15.75" customHeight="1">
      <c r="A21" s="21"/>
      <c r="B21" s="28" t="s">
        <v>93</v>
      </c>
      <c r="C21" s="28" t="s">
        <v>94</v>
      </c>
    </row>
    <row r="22" spans="1:4" ht="15.75" customHeight="1">
      <c r="A22" s="21"/>
      <c r="B22" s="90">
        <v>0</v>
      </c>
      <c r="C22" s="91">
        <v>0.01</v>
      </c>
    </row>
    <row r="23" spans="1:4" ht="15.75" customHeight="1">
      <c r="A23" s="21"/>
      <c r="B23" s="90">
        <v>100000</v>
      </c>
      <c r="C23" s="91">
        <v>2.5000000000000001E-2</v>
      </c>
    </row>
    <row r="24" spans="1:4" ht="15.75" customHeight="1">
      <c r="A24" s="21"/>
      <c r="B24" s="90">
        <v>500000</v>
      </c>
      <c r="C24" s="91">
        <v>0.03</v>
      </c>
    </row>
    <row r="25" spans="1:4" ht="15.75" customHeight="1">
      <c r="A25" s="21"/>
      <c r="B25" s="90">
        <v>750000</v>
      </c>
      <c r="C25" s="91">
        <v>3.5000000000000003E-2</v>
      </c>
    </row>
    <row r="26" spans="1:4" ht="15.75" customHeight="1">
      <c r="A26" s="21"/>
      <c r="B26" s="90">
        <v>1000000</v>
      </c>
      <c r="C26" s="91">
        <v>0.05</v>
      </c>
    </row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0:C20"/>
    <mergeCell ref="B1:D1"/>
    <mergeCell ref="F1:I1"/>
    <mergeCell ref="F9:I9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000"/>
  <sheetViews>
    <sheetView workbookViewId="0">
      <selection activeCell="L2" sqref="L2"/>
    </sheetView>
  </sheetViews>
  <sheetFormatPr defaultColWidth="12.625" defaultRowHeight="15" customHeight="1"/>
  <cols>
    <col min="1" max="2" width="7.625" customWidth="1"/>
    <col min="3" max="3" width="10" customWidth="1"/>
    <col min="4" max="4" width="17.125" customWidth="1"/>
    <col min="5" max="5" width="7.625" customWidth="1"/>
    <col min="6" max="6" width="11.125" customWidth="1"/>
    <col min="7" max="7" width="12.75" customWidth="1"/>
    <col min="8" max="8" width="12.625" customWidth="1"/>
    <col min="9" max="11" width="7.625" customWidth="1"/>
    <col min="12" max="12" width="10.75" customWidth="1"/>
    <col min="13" max="13" width="13.5" customWidth="1"/>
    <col min="14" max="14" width="12.875" customWidth="1"/>
    <col min="15" max="15" width="13" customWidth="1"/>
    <col min="16" max="26" width="7.625" customWidth="1"/>
  </cols>
  <sheetData>
    <row r="1" spans="1:15">
      <c r="A1" s="116" t="s">
        <v>95</v>
      </c>
      <c r="B1" s="117"/>
      <c r="C1" s="117"/>
      <c r="D1" s="117"/>
      <c r="F1" s="118" t="s">
        <v>96</v>
      </c>
      <c r="G1" s="119"/>
      <c r="H1" s="120"/>
      <c r="L1" s="121" t="s">
        <v>97</v>
      </c>
      <c r="M1" s="122"/>
      <c r="N1" s="122"/>
      <c r="O1" s="123"/>
    </row>
    <row r="2" spans="1:15">
      <c r="F2" s="94" t="s">
        <v>98</v>
      </c>
      <c r="G2" s="94" t="s">
        <v>99</v>
      </c>
      <c r="H2" s="94" t="s">
        <v>100</v>
      </c>
      <c r="L2" s="96" t="s">
        <v>98</v>
      </c>
      <c r="M2" s="95" t="s">
        <v>101</v>
      </c>
      <c r="N2" s="95" t="s">
        <v>99</v>
      </c>
      <c r="O2" s="95" t="s">
        <v>102</v>
      </c>
    </row>
    <row r="3" spans="1:15">
      <c r="A3" s="115" t="s">
        <v>103</v>
      </c>
      <c r="B3" s="111"/>
      <c r="C3" s="110"/>
      <c r="D3" s="92">
        <v>2000000</v>
      </c>
      <c r="F3" s="32">
        <v>0</v>
      </c>
      <c r="G3" s="21">
        <v>0</v>
      </c>
      <c r="H3" s="33">
        <v>0</v>
      </c>
      <c r="L3" s="32">
        <v>0</v>
      </c>
      <c r="M3" s="21">
        <v>0</v>
      </c>
      <c r="N3" s="21">
        <v>0</v>
      </c>
      <c r="O3" s="34">
        <v>0</v>
      </c>
    </row>
    <row r="4" spans="1:15">
      <c r="A4" s="115" t="s">
        <v>104</v>
      </c>
      <c r="B4" s="111"/>
      <c r="C4" s="110"/>
      <c r="D4" s="93">
        <v>7.4999999999999997E-3</v>
      </c>
      <c r="F4" s="32">
        <v>1</v>
      </c>
      <c r="G4" s="35">
        <f t="shared" ref="G4:G35" si="0">RemainingCaptured*(Total_Market_Potential-H3)</f>
        <v>15000</v>
      </c>
      <c r="H4" s="36">
        <f t="shared" ref="H4:H63" si="1">G4+H3</f>
        <v>15000</v>
      </c>
      <c r="L4" s="32">
        <v>1</v>
      </c>
      <c r="M4" s="35">
        <f>Total_Market_Potential</f>
        <v>2000000</v>
      </c>
      <c r="N4" s="37">
        <f t="shared" ref="N4:N35" si="2">RemainingCaptured*(M4-O3)</f>
        <v>15000</v>
      </c>
      <c r="O4" s="36">
        <f t="shared" ref="O4:O63" si="3">N4+O3</f>
        <v>15000</v>
      </c>
    </row>
    <row r="5" spans="1:15">
      <c r="A5" s="115" t="s">
        <v>105</v>
      </c>
      <c r="B5" s="111"/>
      <c r="C5" s="110"/>
      <c r="D5" s="93">
        <v>1.2E-2</v>
      </c>
      <c r="F5" s="32">
        <v>2</v>
      </c>
      <c r="G5" s="35">
        <f t="shared" si="0"/>
        <v>14887.5</v>
      </c>
      <c r="H5" s="36">
        <f t="shared" si="1"/>
        <v>29887.5</v>
      </c>
      <c r="L5" s="32">
        <v>2</v>
      </c>
      <c r="M5" s="37">
        <f t="shared" ref="M5:M36" si="4">(M4*(1+MarketGrowth))</f>
        <v>2024000</v>
      </c>
      <c r="N5" s="37">
        <f t="shared" si="2"/>
        <v>15067.5</v>
      </c>
      <c r="O5" s="36">
        <f t="shared" si="3"/>
        <v>30067.5</v>
      </c>
    </row>
    <row r="6" spans="1:15">
      <c r="F6" s="32">
        <v>3</v>
      </c>
      <c r="G6" s="35">
        <f t="shared" si="0"/>
        <v>14775.84375</v>
      </c>
      <c r="H6" s="36">
        <f t="shared" si="1"/>
        <v>44663.34375</v>
      </c>
      <c r="L6" s="32">
        <v>3</v>
      </c>
      <c r="M6" s="37">
        <f t="shared" si="4"/>
        <v>2048288</v>
      </c>
      <c r="N6" s="37">
        <f t="shared" si="2"/>
        <v>15136.653749999999</v>
      </c>
      <c r="O6" s="36">
        <f t="shared" si="3"/>
        <v>45204.153749999998</v>
      </c>
    </row>
    <row r="7" spans="1:15">
      <c r="F7" s="32">
        <v>4</v>
      </c>
      <c r="G7" s="35">
        <f t="shared" si="0"/>
        <v>14665.024921875</v>
      </c>
      <c r="H7" s="36">
        <f t="shared" si="1"/>
        <v>59328.368671874996</v>
      </c>
      <c r="L7" s="32">
        <v>4</v>
      </c>
      <c r="M7" s="37">
        <f t="shared" si="4"/>
        <v>2072867.456</v>
      </c>
      <c r="N7" s="37">
        <f t="shared" si="2"/>
        <v>15207.474766874999</v>
      </c>
      <c r="O7" s="36">
        <f t="shared" si="3"/>
        <v>60411.628516874996</v>
      </c>
    </row>
    <row r="8" spans="1:15">
      <c r="F8" s="32">
        <v>5</v>
      </c>
      <c r="G8" s="35">
        <f t="shared" si="0"/>
        <v>14555.037234960937</v>
      </c>
      <c r="H8" s="36">
        <f t="shared" si="1"/>
        <v>73883.405906835935</v>
      </c>
      <c r="L8" s="32">
        <v>5</v>
      </c>
      <c r="M8" s="37">
        <f t="shared" si="4"/>
        <v>2097741.8654720001</v>
      </c>
      <c r="N8" s="37">
        <f t="shared" si="2"/>
        <v>15279.976777163438</v>
      </c>
      <c r="O8" s="36">
        <f t="shared" si="3"/>
        <v>75691.60529403844</v>
      </c>
    </row>
    <row r="9" spans="1:15">
      <c r="F9" s="32">
        <v>6</v>
      </c>
      <c r="G9" s="35">
        <f t="shared" si="0"/>
        <v>14445.874455698729</v>
      </c>
      <c r="H9" s="36">
        <f t="shared" si="1"/>
        <v>88329.280362534657</v>
      </c>
      <c r="L9" s="32">
        <v>6</v>
      </c>
      <c r="M9" s="37">
        <f t="shared" si="4"/>
        <v>2122914.7678576643</v>
      </c>
      <c r="N9" s="37">
        <f t="shared" si="2"/>
        <v>15354.173719227192</v>
      </c>
      <c r="O9" s="36">
        <f t="shared" si="3"/>
        <v>91045.779013265637</v>
      </c>
    </row>
    <row r="10" spans="1:15">
      <c r="F10" s="32">
        <v>7</v>
      </c>
      <c r="G10" s="35">
        <f t="shared" si="0"/>
        <v>14337.530397280991</v>
      </c>
      <c r="H10" s="36">
        <f t="shared" si="1"/>
        <v>102666.81075981565</v>
      </c>
      <c r="L10" s="32">
        <v>7</v>
      </c>
      <c r="M10" s="37">
        <f t="shared" si="4"/>
        <v>2148389.7450719564</v>
      </c>
      <c r="N10" s="37">
        <f t="shared" si="2"/>
        <v>15430.07974544018</v>
      </c>
      <c r="O10" s="36">
        <f t="shared" si="3"/>
        <v>106475.85875870581</v>
      </c>
    </row>
    <row r="11" spans="1:15">
      <c r="F11" s="32">
        <v>8</v>
      </c>
      <c r="G11" s="35">
        <f t="shared" si="0"/>
        <v>14229.998919301383</v>
      </c>
      <c r="H11" s="36">
        <f t="shared" si="1"/>
        <v>116896.80967911702</v>
      </c>
      <c r="L11" s="32">
        <v>8</v>
      </c>
      <c r="M11" s="37">
        <f t="shared" si="4"/>
        <v>2174170.4220128199</v>
      </c>
      <c r="N11" s="37">
        <f t="shared" si="2"/>
        <v>15507.709224405855</v>
      </c>
      <c r="O11" s="36">
        <f t="shared" si="3"/>
        <v>121983.56798311167</v>
      </c>
    </row>
    <row r="12" spans="1:15">
      <c r="F12" s="32">
        <v>9</v>
      </c>
      <c r="G12" s="35">
        <f t="shared" si="0"/>
        <v>14123.273927406621</v>
      </c>
      <c r="H12" s="36">
        <f t="shared" si="1"/>
        <v>131020.08360652365</v>
      </c>
      <c r="L12" s="32">
        <v>9</v>
      </c>
      <c r="M12" s="37">
        <f t="shared" si="4"/>
        <v>2200260.467076974</v>
      </c>
      <c r="N12" s="37">
        <f t="shared" si="2"/>
        <v>15587.076743203967</v>
      </c>
      <c r="O12" s="36">
        <f t="shared" si="3"/>
        <v>137570.64472631563</v>
      </c>
    </row>
    <row r="13" spans="1:15">
      <c r="F13" s="32">
        <v>10</v>
      </c>
      <c r="G13" s="35">
        <f t="shared" si="0"/>
        <v>14017.349372951072</v>
      </c>
      <c r="H13" s="36">
        <f t="shared" si="1"/>
        <v>145037.43297947472</v>
      </c>
      <c r="L13" s="32">
        <v>10</v>
      </c>
      <c r="M13" s="37">
        <f t="shared" si="4"/>
        <v>2226663.5926818978</v>
      </c>
      <c r="N13" s="37">
        <f t="shared" si="2"/>
        <v>15668.197109666866</v>
      </c>
      <c r="O13" s="36">
        <f t="shared" si="3"/>
        <v>153238.84183598249</v>
      </c>
    </row>
    <row r="14" spans="1:15">
      <c r="F14" s="32">
        <v>11</v>
      </c>
      <c r="G14" s="35">
        <f t="shared" si="0"/>
        <v>13912.219252653938</v>
      </c>
      <c r="H14" s="36">
        <f t="shared" si="1"/>
        <v>158949.65223212866</v>
      </c>
      <c r="L14" s="32">
        <v>11</v>
      </c>
      <c r="M14" s="37">
        <f t="shared" si="4"/>
        <v>2253383.5557940807</v>
      </c>
      <c r="N14" s="37">
        <f t="shared" si="2"/>
        <v>15751.085354685734</v>
      </c>
      <c r="O14" s="36">
        <f t="shared" si="3"/>
        <v>168989.92719066821</v>
      </c>
    </row>
    <row r="15" spans="1:15">
      <c r="F15" s="32">
        <v>12</v>
      </c>
      <c r="G15" s="35">
        <f t="shared" si="0"/>
        <v>13807.877608259034</v>
      </c>
      <c r="H15" s="36">
        <f t="shared" si="1"/>
        <v>172757.5298403877</v>
      </c>
      <c r="L15" s="32">
        <v>12</v>
      </c>
      <c r="M15" s="37">
        <f t="shared" si="4"/>
        <v>2280424.1584636099</v>
      </c>
      <c r="N15" s="37">
        <f t="shared" si="2"/>
        <v>15835.75673454706</v>
      </c>
      <c r="O15" s="36">
        <f t="shared" si="3"/>
        <v>184825.68392521527</v>
      </c>
    </row>
    <row r="16" spans="1:15">
      <c r="F16" s="32">
        <v>13</v>
      </c>
      <c r="G16" s="35">
        <f t="shared" si="0"/>
        <v>13704.318526197092</v>
      </c>
      <c r="H16" s="36">
        <f t="shared" si="1"/>
        <v>186461.84836658477</v>
      </c>
      <c r="L16" s="32">
        <v>13</v>
      </c>
      <c r="M16" s="37">
        <f t="shared" si="4"/>
        <v>2307789.2483651731</v>
      </c>
      <c r="N16" s="37">
        <f t="shared" si="2"/>
        <v>15922.226733299683</v>
      </c>
      <c r="O16" s="36">
        <f t="shared" si="3"/>
        <v>200747.91065851494</v>
      </c>
    </row>
    <row r="17" spans="6:15">
      <c r="F17" s="32">
        <v>14</v>
      </c>
      <c r="G17" s="35">
        <f t="shared" si="0"/>
        <v>13601.536137250612</v>
      </c>
      <c r="H17" s="36">
        <f t="shared" si="1"/>
        <v>200063.38450383538</v>
      </c>
      <c r="L17" s="32">
        <v>14</v>
      </c>
      <c r="M17" s="37">
        <f t="shared" si="4"/>
        <v>2335482.7193455552</v>
      </c>
      <c r="N17" s="37">
        <f t="shared" si="2"/>
        <v>16010.511065152801</v>
      </c>
      <c r="O17" s="36">
        <f t="shared" si="3"/>
        <v>216758.42172366774</v>
      </c>
    </row>
    <row r="18" spans="6:15">
      <c r="F18" s="32">
        <v>15</v>
      </c>
      <c r="G18" s="35">
        <f t="shared" si="0"/>
        <v>13499.524616221235</v>
      </c>
      <c r="H18" s="36">
        <f t="shared" si="1"/>
        <v>213562.9091200566</v>
      </c>
      <c r="L18" s="32">
        <v>15</v>
      </c>
      <c r="M18" s="37">
        <f t="shared" si="4"/>
        <v>2363508.5119777019</v>
      </c>
      <c r="N18" s="37">
        <f t="shared" si="2"/>
        <v>16100.625676905258</v>
      </c>
      <c r="O18" s="36">
        <f t="shared" si="3"/>
        <v>232859.04740057301</v>
      </c>
    </row>
    <row r="19" spans="6:15">
      <c r="F19" s="32">
        <v>16</v>
      </c>
      <c r="G19" s="35">
        <f t="shared" si="0"/>
        <v>13398.278181599575</v>
      </c>
      <c r="H19" s="36">
        <f t="shared" si="1"/>
        <v>226961.18730165617</v>
      </c>
      <c r="L19" s="32">
        <v>16</v>
      </c>
      <c r="M19" s="37">
        <f t="shared" si="4"/>
        <v>2391870.6141214343</v>
      </c>
      <c r="N19" s="37">
        <f t="shared" si="2"/>
        <v>16192.586750406461</v>
      </c>
      <c r="O19" s="36">
        <f t="shared" si="3"/>
        <v>249051.63415097946</v>
      </c>
    </row>
    <row r="20" spans="6:15">
      <c r="F20" s="32">
        <v>17</v>
      </c>
      <c r="G20" s="35">
        <f t="shared" si="0"/>
        <v>13297.791095237577</v>
      </c>
      <c r="H20" s="36">
        <f t="shared" si="1"/>
        <v>240258.97839689374</v>
      </c>
      <c r="L20" s="32">
        <v>17</v>
      </c>
      <c r="M20" s="37">
        <f t="shared" si="4"/>
        <v>2420573.0614908915</v>
      </c>
      <c r="N20" s="37">
        <f t="shared" si="2"/>
        <v>16286.410705049339</v>
      </c>
      <c r="O20" s="36">
        <f t="shared" si="3"/>
        <v>265338.04485602881</v>
      </c>
    </row>
    <row r="21" spans="6:15" ht="15.75" customHeight="1">
      <c r="F21" s="32">
        <v>18</v>
      </c>
      <c r="G21" s="35">
        <f t="shared" si="0"/>
        <v>13198.057662023297</v>
      </c>
      <c r="H21" s="36">
        <f t="shared" si="1"/>
        <v>253457.03605891703</v>
      </c>
      <c r="L21" s="32">
        <v>18</v>
      </c>
      <c r="M21" s="37">
        <f t="shared" si="4"/>
        <v>2449619.9382287823</v>
      </c>
      <c r="N21" s="37">
        <f t="shared" si="2"/>
        <v>16382.114200295651</v>
      </c>
      <c r="O21" s="36">
        <f t="shared" si="3"/>
        <v>281720.15905632445</v>
      </c>
    </row>
    <row r="22" spans="6:15" ht="15.75" customHeight="1">
      <c r="F22" s="32">
        <v>19</v>
      </c>
      <c r="G22" s="35">
        <f t="shared" si="0"/>
        <v>13099.072229558122</v>
      </c>
      <c r="H22" s="36">
        <f t="shared" si="1"/>
        <v>266556.10828847514</v>
      </c>
      <c r="L22" s="32">
        <v>19</v>
      </c>
      <c r="M22" s="37">
        <f t="shared" si="4"/>
        <v>2479015.3774875277</v>
      </c>
      <c r="N22" s="37">
        <f t="shared" si="2"/>
        <v>16479.714138234023</v>
      </c>
      <c r="O22" s="36">
        <f t="shared" si="3"/>
        <v>298199.87319455849</v>
      </c>
    </row>
    <row r="23" spans="6:15" ht="15.75" customHeight="1">
      <c r="F23" s="32">
        <v>20</v>
      </c>
      <c r="G23" s="35">
        <f t="shared" si="0"/>
        <v>13000.829187836436</v>
      </c>
      <c r="H23" s="36">
        <f t="shared" si="1"/>
        <v>279556.93747631158</v>
      </c>
      <c r="L23" s="32">
        <v>20</v>
      </c>
      <c r="M23" s="37">
        <f t="shared" si="4"/>
        <v>2508763.5620173779</v>
      </c>
      <c r="N23" s="37">
        <f t="shared" si="2"/>
        <v>16579.227666171144</v>
      </c>
      <c r="O23" s="36">
        <f t="shared" si="3"/>
        <v>314779.10086072964</v>
      </c>
    </row>
    <row r="24" spans="6:15" ht="15.75" customHeight="1">
      <c r="F24" s="32">
        <v>21</v>
      </c>
      <c r="G24" s="35">
        <f t="shared" si="0"/>
        <v>12903.322968927663</v>
      </c>
      <c r="H24" s="36">
        <f t="shared" si="1"/>
        <v>292460.26044523926</v>
      </c>
      <c r="L24" s="32">
        <v>21</v>
      </c>
      <c r="M24" s="37">
        <f t="shared" si="4"/>
        <v>2538868.7247615866</v>
      </c>
      <c r="N24" s="37">
        <f t="shared" si="2"/>
        <v>16680.672179256424</v>
      </c>
      <c r="O24" s="36">
        <f t="shared" si="3"/>
        <v>331459.77303998609</v>
      </c>
    </row>
    <row r="25" spans="6:15" ht="15.75" customHeight="1">
      <c r="F25" s="32">
        <v>22</v>
      </c>
      <c r="G25" s="35">
        <f t="shared" si="0"/>
        <v>12806.548046660706</v>
      </c>
      <c r="H25" s="36">
        <f t="shared" si="1"/>
        <v>305266.80849189998</v>
      </c>
      <c r="L25" s="32">
        <v>22</v>
      </c>
      <c r="M25" s="37">
        <f t="shared" si="4"/>
        <v>2569335.1494587255</v>
      </c>
      <c r="N25" s="37">
        <f t="shared" si="2"/>
        <v>16784.065323140545</v>
      </c>
      <c r="O25" s="36">
        <f t="shared" si="3"/>
        <v>348243.83836312662</v>
      </c>
    </row>
    <row r="26" spans="6:15" ht="15.75" customHeight="1">
      <c r="F26" s="32">
        <v>23</v>
      </c>
      <c r="G26" s="35">
        <f t="shared" si="0"/>
        <v>12710.498936310749</v>
      </c>
      <c r="H26" s="36">
        <f t="shared" si="1"/>
        <v>317977.30742821074</v>
      </c>
      <c r="L26" s="32">
        <v>23</v>
      </c>
      <c r="M26" s="37">
        <f t="shared" si="4"/>
        <v>2600167.1712522302</v>
      </c>
      <c r="N26" s="37">
        <f t="shared" si="2"/>
        <v>16889.424996668273</v>
      </c>
      <c r="O26" s="36">
        <f t="shared" si="3"/>
        <v>365133.26335979492</v>
      </c>
    </row>
    <row r="27" spans="6:15" ht="15.75" customHeight="1">
      <c r="F27" s="32">
        <v>24</v>
      </c>
      <c r="G27" s="35">
        <f t="shared" si="0"/>
        <v>12615.170194288419</v>
      </c>
      <c r="H27" s="36">
        <f t="shared" si="1"/>
        <v>330592.47762249917</v>
      </c>
      <c r="L27" s="32">
        <v>24</v>
      </c>
      <c r="M27" s="37">
        <f t="shared" si="4"/>
        <v>2631369.177307257</v>
      </c>
      <c r="N27" s="37">
        <f t="shared" si="2"/>
        <v>16996.769354605964</v>
      </c>
      <c r="O27" s="36">
        <f t="shared" si="3"/>
        <v>382130.03271440091</v>
      </c>
    </row>
    <row r="28" spans="6:15" ht="15.75" customHeight="1">
      <c r="F28" s="32">
        <v>25</v>
      </c>
      <c r="G28" s="35">
        <f t="shared" si="0"/>
        <v>12520.556417831256</v>
      </c>
      <c r="H28" s="36">
        <f t="shared" si="1"/>
        <v>343113.03404033044</v>
      </c>
      <c r="L28" s="32">
        <v>25</v>
      </c>
      <c r="M28" s="37">
        <f t="shared" si="4"/>
        <v>2662945.6074349442</v>
      </c>
      <c r="N28" s="37">
        <f t="shared" si="2"/>
        <v>17106.116810404073</v>
      </c>
      <c r="O28" s="36">
        <f t="shared" si="3"/>
        <v>399236.14952480496</v>
      </c>
    </row>
    <row r="29" spans="6:15" ht="15.75" customHeight="1">
      <c r="F29" s="32">
        <v>26</v>
      </c>
      <c r="G29" s="35">
        <f t="shared" si="0"/>
        <v>12426.652244697521</v>
      </c>
      <c r="H29" s="36">
        <f t="shared" si="1"/>
        <v>355539.68628502794</v>
      </c>
      <c r="L29" s="32">
        <v>26</v>
      </c>
      <c r="M29" s="37">
        <f t="shared" si="4"/>
        <v>2694900.9547241637</v>
      </c>
      <c r="N29" s="37">
        <f t="shared" si="2"/>
        <v>17217.48603899519</v>
      </c>
      <c r="O29" s="36">
        <f t="shared" si="3"/>
        <v>416453.63556380017</v>
      </c>
    </row>
    <row r="30" spans="6:15" ht="15.75" customHeight="1">
      <c r="F30" s="32">
        <v>27</v>
      </c>
      <c r="G30" s="35">
        <f t="shared" si="0"/>
        <v>12333.45235286229</v>
      </c>
      <c r="H30" s="36">
        <f t="shared" si="1"/>
        <v>367873.13863789022</v>
      </c>
      <c r="L30" s="32">
        <v>27</v>
      </c>
      <c r="M30" s="37">
        <f t="shared" si="4"/>
        <v>2727239.7661808538</v>
      </c>
      <c r="N30" s="37">
        <f t="shared" si="2"/>
        <v>17330.895979627901</v>
      </c>
      <c r="O30" s="36">
        <f t="shared" si="3"/>
        <v>433784.53154342808</v>
      </c>
    </row>
    <row r="31" spans="6:15" ht="15.75" customHeight="1">
      <c r="F31" s="32">
        <v>28</v>
      </c>
      <c r="G31" s="35">
        <f t="shared" si="0"/>
        <v>12240.951460215823</v>
      </c>
      <c r="H31" s="36">
        <f t="shared" si="1"/>
        <v>380114.09009810607</v>
      </c>
      <c r="L31" s="32">
        <v>28</v>
      </c>
      <c r="M31" s="37">
        <f t="shared" si="4"/>
        <v>2759966.6433750242</v>
      </c>
      <c r="N31" s="37">
        <f t="shared" si="2"/>
        <v>17446.365838736969</v>
      </c>
      <c r="O31" s="36">
        <f t="shared" si="3"/>
        <v>451230.89738216507</v>
      </c>
    </row>
    <row r="32" spans="6:15" ht="15.75" customHeight="1">
      <c r="F32" s="32">
        <v>29</v>
      </c>
      <c r="G32" s="35">
        <f t="shared" si="0"/>
        <v>12149.144324264204</v>
      </c>
      <c r="H32" s="36">
        <f t="shared" si="1"/>
        <v>392263.23442237027</v>
      </c>
      <c r="L32" s="32">
        <v>29</v>
      </c>
      <c r="M32" s="37">
        <f t="shared" si="4"/>
        <v>2793086.2430955246</v>
      </c>
      <c r="N32" s="37">
        <f t="shared" si="2"/>
        <v>17563.915092850195</v>
      </c>
      <c r="O32" s="36">
        <f t="shared" si="3"/>
        <v>468794.81247501529</v>
      </c>
    </row>
    <row r="33" spans="6:15" ht="15.75" customHeight="1">
      <c r="F33" s="32">
        <v>30</v>
      </c>
      <c r="G33" s="35">
        <f t="shared" si="0"/>
        <v>12058.025741832222</v>
      </c>
      <c r="H33" s="36">
        <f t="shared" si="1"/>
        <v>404321.26016420248</v>
      </c>
      <c r="L33" s="32">
        <v>30</v>
      </c>
      <c r="M33" s="37">
        <f t="shared" si="4"/>
        <v>2826603.278012671</v>
      </c>
      <c r="N33" s="37">
        <f t="shared" si="2"/>
        <v>17683.563491532415</v>
      </c>
      <c r="O33" s="36">
        <f t="shared" si="3"/>
        <v>486478.3759665477</v>
      </c>
    </row>
    <row r="34" spans="6:15" ht="15.75" customHeight="1">
      <c r="F34" s="32">
        <v>31</v>
      </c>
      <c r="G34" s="35">
        <f t="shared" si="0"/>
        <v>11967.590548768481</v>
      </c>
      <c r="H34" s="36">
        <f t="shared" si="1"/>
        <v>416288.85071297095</v>
      </c>
      <c r="L34" s="32">
        <v>31</v>
      </c>
      <c r="M34" s="37">
        <f t="shared" si="4"/>
        <v>2860522.5173488231</v>
      </c>
      <c r="N34" s="37">
        <f t="shared" si="2"/>
        <v>17805.331060367065</v>
      </c>
      <c r="O34" s="36">
        <f t="shared" si="3"/>
        <v>504283.70702691475</v>
      </c>
    </row>
    <row r="35" spans="6:15" ht="15.75" customHeight="1">
      <c r="F35" s="32">
        <v>32</v>
      </c>
      <c r="G35" s="35">
        <f t="shared" si="0"/>
        <v>11877.833619652718</v>
      </c>
      <c r="H35" s="36">
        <f t="shared" si="1"/>
        <v>428166.68433262367</v>
      </c>
      <c r="L35" s="32">
        <v>32</v>
      </c>
      <c r="M35" s="37">
        <f t="shared" si="4"/>
        <v>2894848.7875570091</v>
      </c>
      <c r="N35" s="37">
        <f t="shared" si="2"/>
        <v>17929.238103975709</v>
      </c>
      <c r="O35" s="36">
        <f t="shared" si="3"/>
        <v>522212.94513089047</v>
      </c>
    </row>
    <row r="36" spans="6:15" ht="15.75" customHeight="1">
      <c r="F36" s="32">
        <v>33</v>
      </c>
      <c r="G36" s="35">
        <f t="shared" ref="G36:G63" si="5">RemainingCaptured*(Total_Market_Potential-H35)</f>
        <v>11788.749867505323</v>
      </c>
      <c r="H36" s="36">
        <f t="shared" si="1"/>
        <v>439955.43420012901</v>
      </c>
      <c r="L36" s="32">
        <v>33</v>
      </c>
      <c r="M36" s="37">
        <f t="shared" si="4"/>
        <v>2929586.9730076934</v>
      </c>
      <c r="N36" s="37">
        <f t="shared" ref="N36:N63" si="6">RemainingCaptured*(M36-O35)</f>
        <v>18055.305209076021</v>
      </c>
      <c r="O36" s="36">
        <f t="shared" si="3"/>
        <v>540268.2503399665</v>
      </c>
    </row>
    <row r="37" spans="6:15" ht="15.75" customHeight="1">
      <c r="F37" s="32">
        <v>34</v>
      </c>
      <c r="G37" s="35">
        <f t="shared" si="5"/>
        <v>11700.334243499032</v>
      </c>
      <c r="H37" s="36">
        <f t="shared" si="1"/>
        <v>451655.76844362804</v>
      </c>
      <c r="L37" s="32">
        <v>34</v>
      </c>
      <c r="M37" s="37">
        <f t="shared" ref="M37:M63" si="7">(M36*(1+MarketGrowth))</f>
        <v>2964742.0166837857</v>
      </c>
      <c r="N37" s="37">
        <f t="shared" si="6"/>
        <v>18183.553247578642</v>
      </c>
      <c r="O37" s="36">
        <f t="shared" si="3"/>
        <v>558451.80358754518</v>
      </c>
    </row>
    <row r="38" spans="6:15" ht="15.75" customHeight="1">
      <c r="F38" s="32">
        <v>35</v>
      </c>
      <c r="G38" s="35">
        <f t="shared" si="5"/>
        <v>11612.58173667279</v>
      </c>
      <c r="H38" s="36">
        <f t="shared" si="1"/>
        <v>463268.35018030083</v>
      </c>
      <c r="L38" s="32">
        <v>35</v>
      </c>
      <c r="M38" s="37">
        <f t="shared" si="7"/>
        <v>3000318.9208839913</v>
      </c>
      <c r="N38" s="37">
        <f t="shared" si="6"/>
        <v>18314.003379723345</v>
      </c>
      <c r="O38" s="36">
        <f t="shared" si="3"/>
        <v>576765.80696726847</v>
      </c>
    </row>
    <row r="39" spans="6:15" ht="15.75" customHeight="1">
      <c r="F39" s="32">
        <v>36</v>
      </c>
      <c r="G39" s="35">
        <f t="shared" si="5"/>
        <v>11525.487373647742</v>
      </c>
      <c r="H39" s="36">
        <f t="shared" si="1"/>
        <v>474793.83755394857</v>
      </c>
      <c r="L39" s="32">
        <v>36</v>
      </c>
      <c r="M39" s="37">
        <f t="shared" si="7"/>
        <v>3036322.7479345994</v>
      </c>
      <c r="N39" s="37">
        <f t="shared" si="6"/>
        <v>18446.677057254979</v>
      </c>
      <c r="O39" s="36">
        <f t="shared" si="3"/>
        <v>595212.48402452341</v>
      </c>
    </row>
    <row r="40" spans="6:15" ht="15.75" customHeight="1">
      <c r="F40" s="32">
        <v>37</v>
      </c>
      <c r="G40" s="35">
        <f t="shared" si="5"/>
        <v>11439.046218345386</v>
      </c>
      <c r="H40" s="36">
        <f t="shared" si="1"/>
        <v>486232.88377229398</v>
      </c>
      <c r="L40" s="32">
        <v>37</v>
      </c>
      <c r="M40" s="37">
        <f t="shared" si="7"/>
        <v>3072758.6209098147</v>
      </c>
      <c r="N40" s="37">
        <f t="shared" si="6"/>
        <v>18581.596026639683</v>
      </c>
      <c r="O40" s="36">
        <f t="shared" si="3"/>
        <v>613794.0800511631</v>
      </c>
    </row>
    <row r="41" spans="6:15" ht="15.75" customHeight="1">
      <c r="F41" s="32">
        <v>38</v>
      </c>
      <c r="G41" s="35">
        <f t="shared" si="5"/>
        <v>11353.253371707795</v>
      </c>
      <c r="H41" s="36">
        <f t="shared" si="1"/>
        <v>497586.13714400178</v>
      </c>
      <c r="L41" s="32">
        <v>38</v>
      </c>
      <c r="M41" s="37">
        <f t="shared" si="7"/>
        <v>3109631.7243607324</v>
      </c>
      <c r="N41" s="37">
        <f t="shared" si="6"/>
        <v>18718.782332321767</v>
      </c>
      <c r="O41" s="36">
        <f t="shared" si="3"/>
        <v>632512.86238348484</v>
      </c>
    </row>
    <row r="42" spans="6:15" ht="15.75" customHeight="1">
      <c r="F42" s="32">
        <v>39</v>
      </c>
      <c r="G42" s="35">
        <f t="shared" si="5"/>
        <v>11268.103971419987</v>
      </c>
      <c r="H42" s="36">
        <f t="shared" si="1"/>
        <v>508854.24111542176</v>
      </c>
      <c r="L42" s="32">
        <v>39</v>
      </c>
      <c r="M42" s="37">
        <f t="shared" si="7"/>
        <v>3146947.3050530613</v>
      </c>
      <c r="N42" s="37">
        <f t="shared" si="6"/>
        <v>18858.258320021821</v>
      </c>
      <c r="O42" s="36">
        <f t="shared" si="3"/>
        <v>651371.12070350663</v>
      </c>
    </row>
    <row r="43" spans="6:15" ht="15.75" customHeight="1">
      <c r="F43" s="32">
        <v>40</v>
      </c>
      <c r="G43" s="35">
        <f t="shared" si="5"/>
        <v>11183.593191634336</v>
      </c>
      <c r="H43" s="36">
        <f t="shared" si="1"/>
        <v>520037.83430705609</v>
      </c>
      <c r="L43" s="32">
        <v>40</v>
      </c>
      <c r="M43" s="37">
        <f t="shared" si="7"/>
        <v>3184710.6727136979</v>
      </c>
      <c r="N43" s="37">
        <f t="shared" si="6"/>
        <v>19000.046640076434</v>
      </c>
      <c r="O43" s="36">
        <f t="shared" si="3"/>
        <v>670371.16734358307</v>
      </c>
    </row>
    <row r="44" spans="6:15" ht="15.75" customHeight="1">
      <c r="F44" s="32">
        <v>41</v>
      </c>
      <c r="G44" s="35">
        <f t="shared" si="5"/>
        <v>11099.716242697079</v>
      </c>
      <c r="H44" s="36">
        <f t="shared" si="1"/>
        <v>531137.55054975313</v>
      </c>
      <c r="L44" s="32">
        <v>41</v>
      </c>
      <c r="M44" s="37">
        <f t="shared" si="7"/>
        <v>3222927.2007862623</v>
      </c>
      <c r="N44" s="37">
        <f t="shared" si="6"/>
        <v>19144.170250820094</v>
      </c>
      <c r="O44" s="36">
        <f t="shared" si="3"/>
        <v>689515.33759440319</v>
      </c>
    </row>
    <row r="45" spans="6:15" ht="15.75" customHeight="1">
      <c r="F45" s="32">
        <v>42</v>
      </c>
      <c r="G45" s="35">
        <f t="shared" si="5"/>
        <v>11016.468370876852</v>
      </c>
      <c r="H45" s="36">
        <f t="shared" si="1"/>
        <v>542154.01892062998</v>
      </c>
      <c r="L45" s="32">
        <v>42</v>
      </c>
      <c r="M45" s="37">
        <f t="shared" si="7"/>
        <v>3261602.3271956975</v>
      </c>
      <c r="N45" s="37">
        <f t="shared" si="6"/>
        <v>19290.652422009709</v>
      </c>
      <c r="O45" s="36">
        <f t="shared" si="3"/>
        <v>708805.99001641292</v>
      </c>
    </row>
    <row r="46" spans="6:15" ht="15.75" customHeight="1">
      <c r="F46" s="32">
        <v>43</v>
      </c>
      <c r="G46" s="35">
        <f t="shared" si="5"/>
        <v>10933.844858095275</v>
      </c>
      <c r="H46" s="36">
        <f t="shared" si="1"/>
        <v>553087.86377872527</v>
      </c>
      <c r="L46" s="32">
        <v>43</v>
      </c>
      <c r="M46" s="37">
        <f t="shared" si="7"/>
        <v>3300741.5551220458</v>
      </c>
      <c r="N46" s="37">
        <f t="shared" si="6"/>
        <v>19439.516738292245</v>
      </c>
      <c r="O46" s="36">
        <f t="shared" si="3"/>
        <v>728245.50675470522</v>
      </c>
    </row>
    <row r="47" spans="6:15" ht="15.75" customHeight="1">
      <c r="F47" s="32">
        <v>44</v>
      </c>
      <c r="G47" s="35">
        <f t="shared" si="5"/>
        <v>10851.84102165956</v>
      </c>
      <c r="H47" s="36">
        <f t="shared" si="1"/>
        <v>563939.70480038482</v>
      </c>
      <c r="L47" s="32">
        <v>44</v>
      </c>
      <c r="M47" s="37">
        <f t="shared" si="7"/>
        <v>3340350.4537835103</v>
      </c>
      <c r="N47" s="37">
        <f t="shared" si="6"/>
        <v>19590.787102716036</v>
      </c>
      <c r="O47" s="36">
        <f t="shared" si="3"/>
        <v>747836.29385742126</v>
      </c>
    </row>
    <row r="48" spans="6:15" ht="15.75" customHeight="1">
      <c r="F48" s="32">
        <v>45</v>
      </c>
      <c r="G48" s="35">
        <f t="shared" si="5"/>
        <v>10770.452213997114</v>
      </c>
      <c r="H48" s="36">
        <f t="shared" si="1"/>
        <v>574710.15701438196</v>
      </c>
      <c r="L48" s="32">
        <v>45</v>
      </c>
      <c r="M48" s="37">
        <f t="shared" si="7"/>
        <v>3380434.6592289126</v>
      </c>
      <c r="N48" s="37">
        <f t="shared" si="6"/>
        <v>19744.487740286186</v>
      </c>
      <c r="O48" s="36">
        <f t="shared" si="3"/>
        <v>767580.78159770742</v>
      </c>
    </row>
    <row r="49" spans="6:15" ht="15.75" customHeight="1">
      <c r="F49" s="32">
        <v>46</v>
      </c>
      <c r="G49" s="35">
        <f t="shared" si="5"/>
        <v>10689.673822392135</v>
      </c>
      <c r="H49" s="36">
        <f t="shared" si="1"/>
        <v>585399.83083677408</v>
      </c>
      <c r="L49" s="32">
        <v>46</v>
      </c>
      <c r="M49" s="37">
        <f t="shared" si="7"/>
        <v>3420999.8751396597</v>
      </c>
      <c r="N49" s="37">
        <f t="shared" si="6"/>
        <v>19900.643201564642</v>
      </c>
      <c r="O49" s="36">
        <f t="shared" si="3"/>
        <v>787481.42479927209</v>
      </c>
    </row>
    <row r="50" spans="6:15" ht="15.75" customHeight="1">
      <c r="F50" s="32">
        <v>47</v>
      </c>
      <c r="G50" s="35">
        <f t="shared" si="5"/>
        <v>10609.501268724194</v>
      </c>
      <c r="H50" s="36">
        <f t="shared" si="1"/>
        <v>596009.3321054983</v>
      </c>
      <c r="L50" s="32">
        <v>47</v>
      </c>
      <c r="M50" s="37">
        <f t="shared" si="7"/>
        <v>3462051.8736413359</v>
      </c>
      <c r="N50" s="37">
        <f t="shared" si="6"/>
        <v>20059.278366315477</v>
      </c>
      <c r="O50" s="36">
        <f t="shared" si="3"/>
        <v>807540.70316558762</v>
      </c>
    </row>
    <row r="51" spans="6:15" ht="15.75" customHeight="1">
      <c r="F51" s="32">
        <v>48</v>
      </c>
      <c r="G51" s="35">
        <f t="shared" si="5"/>
        <v>10529.930009208763</v>
      </c>
      <c r="H51" s="36">
        <f t="shared" si="1"/>
        <v>606539.26211470703</v>
      </c>
      <c r="L51" s="32">
        <v>48</v>
      </c>
      <c r="M51" s="37">
        <f t="shared" si="7"/>
        <v>3503596.4961250317</v>
      </c>
      <c r="N51" s="37">
        <f t="shared" si="6"/>
        <v>20220.418447195832</v>
      </c>
      <c r="O51" s="36">
        <f t="shared" si="3"/>
        <v>827761.1216127834</v>
      </c>
    </row>
    <row r="52" spans="6:15" ht="15.75" customHeight="1">
      <c r="F52" s="32">
        <v>49</v>
      </c>
      <c r="G52" s="35">
        <f t="shared" si="5"/>
        <v>10450.955534139697</v>
      </c>
      <c r="H52" s="36">
        <f t="shared" si="1"/>
        <v>616990.21764884668</v>
      </c>
      <c r="L52" s="32">
        <v>49</v>
      </c>
      <c r="M52" s="37">
        <f t="shared" si="7"/>
        <v>3545639.654078532</v>
      </c>
      <c r="N52" s="37">
        <f t="shared" si="6"/>
        <v>20384.088993493115</v>
      </c>
      <c r="O52" s="36">
        <f t="shared" si="3"/>
        <v>848145.21060627652</v>
      </c>
    </row>
    <row r="53" spans="6:15" ht="15.75" customHeight="1">
      <c r="F53" s="32">
        <v>50</v>
      </c>
      <c r="G53" s="35">
        <f t="shared" si="5"/>
        <v>10372.573367633651</v>
      </c>
      <c r="H53" s="36">
        <f t="shared" si="1"/>
        <v>627362.7910164803</v>
      </c>
      <c r="L53" s="32">
        <v>50</v>
      </c>
      <c r="M53" s="37">
        <f t="shared" si="7"/>
        <v>3588187.3299274743</v>
      </c>
      <c r="N53" s="37">
        <f t="shared" si="6"/>
        <v>20550.315894908981</v>
      </c>
      <c r="O53" s="36">
        <f t="shared" si="3"/>
        <v>868695.52650118549</v>
      </c>
    </row>
    <row r="54" spans="6:15" ht="15.75" customHeight="1">
      <c r="F54" s="32">
        <v>51</v>
      </c>
      <c r="G54" s="35">
        <f t="shared" si="5"/>
        <v>10294.779067376396</v>
      </c>
      <c r="H54" s="36">
        <f t="shared" si="1"/>
        <v>637657.5700838567</v>
      </c>
      <c r="L54" s="32">
        <v>51</v>
      </c>
      <c r="M54" s="37">
        <f t="shared" si="7"/>
        <v>3631245.5778866038</v>
      </c>
      <c r="N54" s="37">
        <f t="shared" si="6"/>
        <v>20719.125385390638</v>
      </c>
      <c r="O54" s="36">
        <f t="shared" si="3"/>
        <v>889414.65188657609</v>
      </c>
    </row>
    <row r="55" spans="6:15" ht="15.75" customHeight="1">
      <c r="F55" s="32">
        <v>52</v>
      </c>
      <c r="G55" s="35">
        <f t="shared" si="5"/>
        <v>10217.568224371074</v>
      </c>
      <c r="H55" s="36">
        <f t="shared" si="1"/>
        <v>647875.13830822776</v>
      </c>
      <c r="L55" s="32">
        <v>52</v>
      </c>
      <c r="M55" s="37">
        <f t="shared" si="7"/>
        <v>3674820.5248212432</v>
      </c>
      <c r="N55" s="37">
        <f t="shared" si="6"/>
        <v>20890.544047010004</v>
      </c>
      <c r="O55" s="36">
        <f t="shared" si="3"/>
        <v>910305.1959335861</v>
      </c>
    </row>
    <row r="56" spans="6:15" ht="15.75" customHeight="1">
      <c r="F56" s="32">
        <v>53</v>
      </c>
      <c r="G56" s="35">
        <f t="shared" si="5"/>
        <v>10140.936462688291</v>
      </c>
      <c r="H56" s="36">
        <f t="shared" si="1"/>
        <v>658016.07477091602</v>
      </c>
      <c r="L56" s="32">
        <v>53</v>
      </c>
      <c r="M56" s="37">
        <f t="shared" si="7"/>
        <v>3718918.3711190983</v>
      </c>
      <c r="N56" s="37">
        <f t="shared" si="6"/>
        <v>21064.598813891342</v>
      </c>
      <c r="O56" s="36">
        <f t="shared" si="3"/>
        <v>931369.7947474774</v>
      </c>
    </row>
    <row r="57" spans="6:15" ht="15.75" customHeight="1">
      <c r="F57" s="32">
        <v>54</v>
      </c>
      <c r="G57" s="35">
        <f t="shared" si="5"/>
        <v>10064.87943921813</v>
      </c>
      <c r="H57" s="36">
        <f t="shared" si="1"/>
        <v>668080.95421013411</v>
      </c>
      <c r="L57" s="32">
        <v>54</v>
      </c>
      <c r="M57" s="37">
        <f t="shared" si="7"/>
        <v>3763545.3915725276</v>
      </c>
      <c r="N57" s="37">
        <f t="shared" si="6"/>
        <v>21241.316976187874</v>
      </c>
      <c r="O57" s="36">
        <f t="shared" si="3"/>
        <v>952611.11172366526</v>
      </c>
    </row>
    <row r="58" spans="6:15" ht="15.75" customHeight="1">
      <c r="F58" s="32">
        <v>55</v>
      </c>
      <c r="G58" s="35">
        <f t="shared" si="5"/>
        <v>9989.3928434239933</v>
      </c>
      <c r="H58" s="36">
        <f t="shared" si="1"/>
        <v>678070.3470535581</v>
      </c>
      <c r="L58" s="32">
        <v>55</v>
      </c>
      <c r="M58" s="37">
        <f t="shared" si="7"/>
        <v>3808707.9362713979</v>
      </c>
      <c r="N58" s="37">
        <f t="shared" si="6"/>
        <v>21420.726184107996</v>
      </c>
      <c r="O58" s="36">
        <f t="shared" si="3"/>
        <v>974031.83790777321</v>
      </c>
    </row>
    <row r="59" spans="6:15" ht="15.75" customHeight="1">
      <c r="F59" s="32">
        <v>56</v>
      </c>
      <c r="G59" s="35">
        <f t="shared" si="5"/>
        <v>9914.4723970983141</v>
      </c>
      <c r="H59" s="36">
        <f t="shared" si="1"/>
        <v>687984.81945065642</v>
      </c>
      <c r="L59" s="32">
        <v>56</v>
      </c>
      <c r="M59" s="37">
        <f t="shared" si="7"/>
        <v>3854412.4315066547</v>
      </c>
      <c r="N59" s="37">
        <f t="shared" si="6"/>
        <v>21602.854451991614</v>
      </c>
      <c r="O59" s="36">
        <f t="shared" si="3"/>
        <v>995634.69235976483</v>
      </c>
    </row>
    <row r="60" spans="6:15" ht="15.75" customHeight="1">
      <c r="F60" s="32">
        <v>57</v>
      </c>
      <c r="G60" s="35">
        <f t="shared" si="5"/>
        <v>9840.1138541200762</v>
      </c>
      <c r="H60" s="36">
        <f t="shared" si="1"/>
        <v>697824.93330477644</v>
      </c>
      <c r="L60" s="32">
        <v>57</v>
      </c>
      <c r="M60" s="37">
        <f t="shared" si="7"/>
        <v>3900665.3806847348</v>
      </c>
      <c r="N60" s="37">
        <f t="shared" si="6"/>
        <v>21787.730162437274</v>
      </c>
      <c r="O60" s="36">
        <f t="shared" si="3"/>
        <v>1017422.4225222021</v>
      </c>
    </row>
    <row r="61" spans="6:15" ht="15.75" customHeight="1">
      <c r="F61" s="32">
        <v>58</v>
      </c>
      <c r="G61" s="35">
        <f t="shared" si="5"/>
        <v>9766.313000214177</v>
      </c>
      <c r="H61" s="36">
        <f t="shared" si="1"/>
        <v>707591.24630499061</v>
      </c>
      <c r="L61" s="32">
        <v>58</v>
      </c>
      <c r="M61" s="37">
        <f t="shared" si="7"/>
        <v>3947473.3652529516</v>
      </c>
      <c r="N61" s="37">
        <f t="shared" si="6"/>
        <v>21975.38207048062</v>
      </c>
      <c r="O61" s="36">
        <f t="shared" si="3"/>
        <v>1039397.8045926827</v>
      </c>
    </row>
    <row r="62" spans="6:15" ht="15.75" customHeight="1">
      <c r="F62" s="32">
        <v>59</v>
      </c>
      <c r="G62" s="35">
        <f t="shared" si="5"/>
        <v>9693.0656527125684</v>
      </c>
      <c r="H62" s="36">
        <f t="shared" si="1"/>
        <v>717284.3119577032</v>
      </c>
      <c r="L62" s="32">
        <v>59</v>
      </c>
      <c r="M62" s="37">
        <f t="shared" si="7"/>
        <v>3994843.0456359871</v>
      </c>
      <c r="N62" s="37">
        <f t="shared" si="6"/>
        <v>22165.839307824779</v>
      </c>
      <c r="O62" s="36">
        <f t="shared" si="3"/>
        <v>1061563.6439005076</v>
      </c>
    </row>
    <row r="63" spans="6:15" ht="15.75" customHeight="1">
      <c r="F63" s="38">
        <v>60</v>
      </c>
      <c r="G63" s="39">
        <f t="shared" si="5"/>
        <v>9620.3676603172262</v>
      </c>
      <c r="H63" s="40">
        <f t="shared" si="1"/>
        <v>726904.67961802043</v>
      </c>
      <c r="L63" s="38">
        <v>60</v>
      </c>
      <c r="M63" s="41">
        <f t="shared" si="7"/>
        <v>4042781.1621836191</v>
      </c>
      <c r="N63" s="41">
        <f t="shared" si="6"/>
        <v>22359.131387123336</v>
      </c>
      <c r="O63" s="40">
        <f t="shared" si="3"/>
        <v>1083922.775287631</v>
      </c>
    </row>
    <row r="64" spans="6:1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5:C5"/>
    <mergeCell ref="A1:D1"/>
    <mergeCell ref="F1:H1"/>
    <mergeCell ref="L1:O1"/>
    <mergeCell ref="A3:C3"/>
    <mergeCell ref="A4:C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58</vt:i4>
      </vt:variant>
    </vt:vector>
  </HeadingPairs>
  <TitlesOfParts>
    <vt:vector size="64" baseType="lpstr">
      <vt:lpstr>Mortgage</vt:lpstr>
      <vt:lpstr>Invoice</vt:lpstr>
      <vt:lpstr>Movies</vt:lpstr>
      <vt:lpstr>Estimates</vt:lpstr>
      <vt:lpstr>Commissions</vt:lpstr>
      <vt:lpstr>Forecasting &amp; Charting</vt:lpstr>
      <vt:lpstr>AssociateNames</vt:lpstr>
      <vt:lpstr>Mortgage!Borrowed_Amount</vt:lpstr>
      <vt:lpstr>Comissions</vt:lpstr>
      <vt:lpstr>Commission</vt:lpstr>
      <vt:lpstr>Commission_Earned</vt:lpstr>
      <vt:lpstr>Mortgage!Deposit</vt:lpstr>
      <vt:lpstr>Invoice!Discount_1</vt:lpstr>
      <vt:lpstr>Invoice!Discount_2</vt:lpstr>
      <vt:lpstr>Invoice!Discount_3</vt:lpstr>
      <vt:lpstr>Invoice!Discount_4</vt:lpstr>
      <vt:lpstr>Invoice!Discount_Rate</vt:lpstr>
      <vt:lpstr>Invoice!Discount_threshold</vt:lpstr>
      <vt:lpstr>Enter_Rank___to_Search</vt:lpstr>
      <vt:lpstr>Mortgage!Financed_Amount</vt:lpstr>
      <vt:lpstr>Invoice!HST</vt:lpstr>
      <vt:lpstr>Invoice!HST_Rate</vt:lpstr>
      <vt:lpstr>Mortgage!Interest_Rate</vt:lpstr>
      <vt:lpstr>MarketGrowth</vt:lpstr>
      <vt:lpstr>Names</vt:lpstr>
      <vt:lpstr>Mortgage!Payment__Month</vt:lpstr>
      <vt:lpstr>Mortgage!payment_monthly</vt:lpstr>
      <vt:lpstr>Invoice!Price_1</vt:lpstr>
      <vt:lpstr>Invoice!Price_2</vt:lpstr>
      <vt:lpstr>Invoice!Price_3</vt:lpstr>
      <vt:lpstr>Invoice!Price_4</vt:lpstr>
      <vt:lpstr>PriceRange</vt:lpstr>
      <vt:lpstr>Properties_Sold</vt:lpstr>
      <vt:lpstr>Invoice!Qty_1</vt:lpstr>
      <vt:lpstr>Invoice!Qty_2</vt:lpstr>
      <vt:lpstr>Invoice!Qty_3</vt:lpstr>
      <vt:lpstr>Invoice!Qty_4</vt:lpstr>
      <vt:lpstr>RemainingCaptured</vt:lpstr>
      <vt:lpstr>Invoice!Sale_Price1</vt:lpstr>
      <vt:lpstr>Invoice!Sale_Price2</vt:lpstr>
      <vt:lpstr>Invoice!Sale_Price3</vt:lpstr>
      <vt:lpstr>Invoice!Sale_Price4</vt:lpstr>
      <vt:lpstr>Sale_Prices</vt:lpstr>
      <vt:lpstr>Invoice!Subtotal</vt:lpstr>
      <vt:lpstr>Mortgage!Term__Yrs</vt:lpstr>
      <vt:lpstr>Tier1</vt:lpstr>
      <vt:lpstr>Tier1Price</vt:lpstr>
      <vt:lpstr>Tier1Qty</vt:lpstr>
      <vt:lpstr>Tier1Total</vt:lpstr>
      <vt:lpstr>Tier2</vt:lpstr>
      <vt:lpstr>Tier2Price</vt:lpstr>
      <vt:lpstr>Tier2Qty</vt:lpstr>
      <vt:lpstr>Tier2Total</vt:lpstr>
      <vt:lpstr>Tier3</vt:lpstr>
      <vt:lpstr>Tier3Price</vt:lpstr>
      <vt:lpstr>Tier3Qty</vt:lpstr>
      <vt:lpstr>Tier3Total</vt:lpstr>
      <vt:lpstr>Top10_Movies</vt:lpstr>
      <vt:lpstr>Invoice!Total</vt:lpstr>
      <vt:lpstr>Mortgage!Total_Interest</vt:lpstr>
      <vt:lpstr>Total_Market_Potential</vt:lpstr>
      <vt:lpstr>Mortgage!Total_Payments</vt:lpstr>
      <vt:lpstr>Total_Sales</vt:lpstr>
      <vt:lpstr>UnitsOrdered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Lyn-Aleccia</dc:creator>
  <cp:lastModifiedBy>Lyn-Aleccia</cp:lastModifiedBy>
  <dcterms:created xsi:type="dcterms:W3CDTF">2020-07-22T01:31:03Z</dcterms:created>
  <dcterms:modified xsi:type="dcterms:W3CDTF">2020-07-27T19:29:58Z</dcterms:modified>
</cp:coreProperties>
</file>