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06_Py\excel\"/>
    </mc:Choice>
  </mc:AlternateContent>
  <xr:revisionPtr revIDLastSave="0" documentId="13_ncr:1_{70C60A3E-628D-4FAB-B2F7-A40CCD9E03A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resupuestoGral" sheetId="1" r:id="rId1"/>
    <sheet name="CalendarioInv" sheetId="2" r:id="rId2"/>
    <sheet name="PresupuestoCost" sheetId="7" r:id="rId3"/>
    <sheet name="CapIncTrab" sheetId="8" r:id="rId4"/>
    <sheet name="PresupuestoIng" sheetId="9" r:id="rId5"/>
    <sheet name="Flujo" sheetId="12" r:id="rId6"/>
  </sheets>
  <definedNames>
    <definedName name="_Fill">#REF!</definedName>
    <definedName name="_Key1">#REF!</definedName>
    <definedName name="_Sort">#REF!</definedName>
    <definedName name="Baja_California">#REF!</definedName>
    <definedName name="Baja_California_Sur">#REF!</definedName>
    <definedName name="cas">#REF!</definedName>
    <definedName name="Chiapas">#REF!</definedName>
    <definedName name="Chihuahua">#REF!</definedName>
    <definedName name="Coahuila">#REF!</definedName>
    <definedName name="COL">#REF!</definedName>
    <definedName name="Colima">#REF!</definedName>
    <definedName name="comienzo">#REF!</definedName>
    <definedName name="Distrito_Federal">#REF!</definedName>
    <definedName name="Durango">#REF!</definedName>
    <definedName name="Guanajuato">#REF!</definedName>
    <definedName name="Guerrero">#REF!</definedName>
    <definedName name="Hidalgo">#REF!</definedName>
    <definedName name="Jalisco">#REF!</definedName>
    <definedName name="México">#REF!</definedName>
    <definedName name="Michoacán">#REF!</definedName>
    <definedName name="Morelos">#REF!</definedName>
    <definedName name="Nayarit">#REF!</definedName>
    <definedName name="Nuevo_León">#REF!</definedName>
    <definedName name="Oaxaca">#REF!</definedName>
    <definedName name="Puebla">#REF!</definedName>
    <definedName name="Querétaro">#REF!</definedName>
    <definedName name="Quintana_Roo">#REF!</definedName>
    <definedName name="San_Luis_Potosí">#REF!</definedName>
    <definedName name="Sinaloa">#REF!</definedName>
    <definedName name="Sonora">#REF!</definedName>
    <definedName name="Tabasco">#REF!</definedName>
    <definedName name="Tamaulipas">#REF!</definedName>
    <definedName name="Tlaxcala">#REF!</definedName>
    <definedName name="Veracruz">#REF!</definedName>
    <definedName name="Yucatán">#REF!</definedName>
    <definedName name="Zacatec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M6mK2iAftXFzola+dipMQLBwL6vvX1noGQncIQ8EglQ="/>
    </ext>
  </extLst>
</workbook>
</file>

<file path=xl/calcChain.xml><?xml version="1.0" encoding="utf-8"?>
<calcChain xmlns="http://schemas.openxmlformats.org/spreadsheetml/2006/main">
  <c r="D40" i="12" l="1"/>
  <c r="D39" i="12"/>
  <c r="F3" i="12"/>
  <c r="E49" i="12" l="1"/>
  <c r="F27" i="7" l="1"/>
  <c r="F28" i="12"/>
  <c r="G22" i="12"/>
  <c r="E21" i="12"/>
  <c r="F21" i="12"/>
  <c r="E19" i="12"/>
  <c r="F19" i="12"/>
  <c r="E17" i="12"/>
  <c r="F17" i="12"/>
  <c r="F15" i="12" l="1"/>
  <c r="E15" i="12"/>
  <c r="G6" i="2" l="1"/>
  <c r="G8" i="9" l="1"/>
  <c r="F12" i="7" l="1"/>
  <c r="G12" i="9"/>
  <c r="H12" i="9"/>
  <c r="I12" i="9"/>
  <c r="F12" i="9"/>
  <c r="G20" i="7"/>
  <c r="H20" i="7" s="1"/>
  <c r="I20" i="7" s="1"/>
  <c r="G21" i="7"/>
  <c r="H21" i="7" s="1"/>
  <c r="I21" i="7" s="1"/>
  <c r="G22" i="7"/>
  <c r="H22" i="7" s="1"/>
  <c r="I22" i="7" s="1"/>
  <c r="G23" i="7"/>
  <c r="H23" i="7" s="1"/>
  <c r="I23" i="7" s="1"/>
  <c r="F44" i="2"/>
  <c r="G8" i="7" l="1"/>
  <c r="F8" i="2"/>
  <c r="F54" i="2" l="1"/>
  <c r="O3" i="12"/>
  <c r="F43" i="2"/>
  <c r="M87" i="12"/>
  <c r="M88" i="12" s="1"/>
  <c r="M89" i="12" s="1"/>
  <c r="M90" i="12" s="1"/>
  <c r="M91" i="12" s="1"/>
  <c r="X84" i="12"/>
  <c r="Y84" i="12" s="1"/>
  <c r="Z84" i="12" s="1"/>
  <c r="AA84" i="12" s="1"/>
  <c r="AB84" i="12" s="1"/>
  <c r="AC84" i="12" s="1"/>
  <c r="V84" i="12"/>
  <c r="U84" i="12" s="1"/>
  <c r="T84" i="12" s="1"/>
  <c r="S84" i="12" s="1"/>
  <c r="R84" i="12" s="1"/>
  <c r="Q84" i="12" s="1"/>
  <c r="P84" i="12" s="1"/>
  <c r="O84" i="12" s="1"/>
  <c r="N84" i="12" s="1"/>
  <c r="M75" i="12"/>
  <c r="M76" i="12" s="1"/>
  <c r="M77" i="12" s="1"/>
  <c r="M78" i="12" s="1"/>
  <c r="M79" i="12" s="1"/>
  <c r="X72" i="12"/>
  <c r="Y72" i="12" s="1"/>
  <c r="Z72" i="12" s="1"/>
  <c r="AA72" i="12" s="1"/>
  <c r="AB72" i="12" s="1"/>
  <c r="AC72" i="12" s="1"/>
  <c r="V72" i="12"/>
  <c r="U72" i="12" s="1"/>
  <c r="T72" i="12" s="1"/>
  <c r="S72" i="12" s="1"/>
  <c r="R72" i="12" s="1"/>
  <c r="Q72" i="12" s="1"/>
  <c r="P72" i="12" s="1"/>
  <c r="O72" i="12" s="1"/>
  <c r="N72" i="12" s="1"/>
  <c r="M63" i="12"/>
  <c r="M64" i="12" s="1"/>
  <c r="M65" i="12" s="1"/>
  <c r="M66" i="12" s="1"/>
  <c r="M67" i="12" s="1"/>
  <c r="X60" i="12"/>
  <c r="Y60" i="12" s="1"/>
  <c r="Z60" i="12" s="1"/>
  <c r="AA60" i="12" s="1"/>
  <c r="AB60" i="12" s="1"/>
  <c r="AC60" i="12" s="1"/>
  <c r="V60" i="12"/>
  <c r="U60" i="12" s="1"/>
  <c r="T60" i="12" s="1"/>
  <c r="S60" i="12" s="1"/>
  <c r="R60" i="12" s="1"/>
  <c r="Q60" i="12" s="1"/>
  <c r="P60" i="12" s="1"/>
  <c r="O60" i="12" s="1"/>
  <c r="N60" i="12" s="1"/>
  <c r="X48" i="12"/>
  <c r="Y48" i="12" s="1"/>
  <c r="Z48" i="12" s="1"/>
  <c r="AA48" i="12" s="1"/>
  <c r="AB48" i="12" s="1"/>
  <c r="AC48" i="12" s="1"/>
  <c r="M51" i="12"/>
  <c r="M52" i="12" s="1"/>
  <c r="M53" i="12" s="1"/>
  <c r="M54" i="12" s="1"/>
  <c r="M55" i="12" s="1"/>
  <c r="V48" i="12"/>
  <c r="U48" i="12" s="1"/>
  <c r="T48" i="12" s="1"/>
  <c r="S48" i="12" s="1"/>
  <c r="R48" i="12" s="1"/>
  <c r="Q48" i="12" s="1"/>
  <c r="P48" i="12" s="1"/>
  <c r="O48" i="12" s="1"/>
  <c r="N48" i="12" s="1"/>
  <c r="O19" i="12"/>
  <c r="P19" i="12"/>
  <c r="Q19" i="12"/>
  <c r="N19" i="12"/>
  <c r="N8" i="12"/>
  <c r="N20" i="12" s="1"/>
  <c r="G5" i="9"/>
  <c r="H5" i="9"/>
  <c r="I5" i="9"/>
  <c r="F5" i="9"/>
  <c r="F8" i="9" s="1"/>
  <c r="G27" i="7"/>
  <c r="H27" i="7" s="1"/>
  <c r="I27" i="7" s="1"/>
  <c r="G28" i="7"/>
  <c r="H28" i="7" s="1"/>
  <c r="I28" i="7" s="1"/>
  <c r="G25" i="7"/>
  <c r="H25" i="7" s="1"/>
  <c r="I25" i="7" s="1"/>
  <c r="G18" i="7"/>
  <c r="G12" i="7"/>
  <c r="H12" i="7" s="1"/>
  <c r="I12" i="7" s="1"/>
  <c r="B15" i="7"/>
  <c r="B16" i="7" s="1"/>
  <c r="B9" i="7"/>
  <c r="B10" i="7" s="1"/>
  <c r="B11" i="7" s="1"/>
  <c r="B12" i="7" s="1"/>
  <c r="G19" i="7"/>
  <c r="H19" i="7" s="1"/>
  <c r="I19" i="7" s="1"/>
  <c r="B19" i="7"/>
  <c r="B20" i="7" s="1"/>
  <c r="B21" i="7" s="1"/>
  <c r="G26" i="7"/>
  <c r="H26" i="7" s="1"/>
  <c r="I26" i="7" s="1"/>
  <c r="B26" i="7"/>
  <c r="B27" i="7" s="1"/>
  <c r="B28" i="7" s="1"/>
  <c r="B29" i="7" s="1"/>
  <c r="G10" i="9" l="1"/>
  <c r="F10" i="9"/>
  <c r="H18" i="7"/>
  <c r="I18" i="7" s="1"/>
  <c r="G7" i="9" l="1"/>
  <c r="H22" i="12" s="1"/>
  <c r="F7" i="9"/>
  <c r="G21" i="12" l="1"/>
  <c r="O8" i="12"/>
  <c r="O20" i="12" s="1"/>
  <c r="H21" i="12"/>
  <c r="P8" i="12"/>
  <c r="P20" i="12" s="1"/>
  <c r="H8" i="9"/>
  <c r="H10" i="9" l="1"/>
  <c r="I8" i="9"/>
  <c r="H7" i="9"/>
  <c r="I22" i="12" s="1"/>
  <c r="Q8" i="12" l="1"/>
  <c r="I21" i="12"/>
  <c r="I10" i="9"/>
  <c r="I7" i="9"/>
  <c r="J22" i="12" s="1"/>
  <c r="G11" i="7"/>
  <c r="H11" i="7" s="1"/>
  <c r="I11" i="7" s="1"/>
  <c r="G10" i="7"/>
  <c r="H10" i="7" s="1"/>
  <c r="I10" i="7" s="1"/>
  <c r="G9" i="7"/>
  <c r="H9" i="7" s="1"/>
  <c r="I9" i="7" s="1"/>
  <c r="J21" i="12" l="1"/>
  <c r="Q20" i="12"/>
  <c r="H8" i="7"/>
  <c r="I8" i="7" s="1"/>
  <c r="H38" i="2"/>
  <c r="H37" i="2"/>
  <c r="H36" i="2"/>
  <c r="G35" i="2"/>
  <c r="F35" i="2"/>
  <c r="H35" i="2" s="1"/>
  <c r="H34" i="2"/>
  <c r="H33" i="2"/>
  <c r="G32" i="2"/>
  <c r="F32" i="2"/>
  <c r="D11" i="1" s="1"/>
  <c r="H31" i="2"/>
  <c r="H30" i="2"/>
  <c r="G29" i="2"/>
  <c r="F29" i="2"/>
  <c r="R8" i="12" l="1"/>
  <c r="H29" i="2"/>
  <c r="D10" i="1"/>
  <c r="H32" i="2"/>
  <c r="D12" i="1"/>
  <c r="F7" i="7" l="1"/>
  <c r="G16" i="12" l="1"/>
  <c r="H10" i="2" l="1"/>
  <c r="H17" i="7" l="1"/>
  <c r="I18" i="12" s="1"/>
  <c r="G17" i="7"/>
  <c r="H18" i="12" s="1"/>
  <c r="F17" i="7"/>
  <c r="G18" i="12" s="1"/>
  <c r="H63" i="2"/>
  <c r="H60" i="2"/>
  <c r="H58" i="2"/>
  <c r="H57" i="2"/>
  <c r="G56" i="2"/>
  <c r="F56" i="2"/>
  <c r="H55" i="2"/>
  <c r="H54" i="2"/>
  <c r="G53" i="2"/>
  <c r="F53" i="2"/>
  <c r="H52" i="2"/>
  <c r="H51" i="2"/>
  <c r="G50" i="2"/>
  <c r="F50" i="2"/>
  <c r="H48" i="2"/>
  <c r="H47" i="2"/>
  <c r="G45" i="2"/>
  <c r="H44" i="2"/>
  <c r="G43" i="2"/>
  <c r="G25" i="2"/>
  <c r="H24" i="2"/>
  <c r="H23" i="2"/>
  <c r="H22" i="2"/>
  <c r="H21" i="2"/>
  <c r="G20" i="2"/>
  <c r="F20" i="2"/>
  <c r="H19" i="2"/>
  <c r="F11" i="2"/>
  <c r="F46" i="2" s="1"/>
  <c r="F49" i="2" s="1"/>
  <c r="H49" i="2" s="1"/>
  <c r="G11" i="2"/>
  <c r="H9" i="2"/>
  <c r="G8" i="2"/>
  <c r="H7" i="2"/>
  <c r="F45" i="2" l="1"/>
  <c r="G39" i="2"/>
  <c r="G40" i="2" s="1"/>
  <c r="H50" i="2"/>
  <c r="F26" i="2"/>
  <c r="F28" i="2"/>
  <c r="F27" i="2"/>
  <c r="H26" i="2"/>
  <c r="D23" i="1"/>
  <c r="H43" i="2"/>
  <c r="H56" i="2"/>
  <c r="H53" i="2"/>
  <c r="D20" i="1" s="1"/>
  <c r="H45" i="2"/>
  <c r="D18" i="1" s="1"/>
  <c r="H20" i="2"/>
  <c r="H11" i="2"/>
  <c r="H8" i="2"/>
  <c r="G7" i="7"/>
  <c r="D19" i="1"/>
  <c r="H62" i="2"/>
  <c r="H46" i="2"/>
  <c r="D5" i="1"/>
  <c r="H7" i="7"/>
  <c r="H16" i="12" l="1"/>
  <c r="I16" i="12"/>
  <c r="D6" i="1"/>
  <c r="D17" i="1"/>
  <c r="H28" i="2"/>
  <c r="H27" i="2"/>
  <c r="F25" i="2"/>
  <c r="F39" i="2" s="1"/>
  <c r="D21" i="1"/>
  <c r="D7" i="1"/>
  <c r="I17" i="7"/>
  <c r="J18" i="12" s="1"/>
  <c r="I7" i="7"/>
  <c r="F59" i="2"/>
  <c r="F42" i="2" s="1"/>
  <c r="F13" i="12" l="1"/>
  <c r="E13" i="12"/>
  <c r="J16" i="12"/>
  <c r="H25" i="2"/>
  <c r="H39" i="2" s="1"/>
  <c r="D13" i="1" l="1"/>
  <c r="F40" i="2"/>
  <c r="F6" i="2" s="1"/>
  <c r="F64" i="2" l="1"/>
  <c r="F12" i="12"/>
  <c r="F11" i="12" s="1"/>
  <c r="F25" i="12" s="1"/>
  <c r="F33" i="12" s="1"/>
  <c r="E12" i="12"/>
  <c r="E11" i="12" s="1"/>
  <c r="R20" i="12"/>
  <c r="H40" i="2"/>
  <c r="H6" i="2" s="1"/>
  <c r="G59" i="2"/>
  <c r="H61" i="2"/>
  <c r="J23" i="12" l="1"/>
  <c r="J26" i="12" s="1"/>
  <c r="E25" i="12"/>
  <c r="E10" i="12"/>
  <c r="N9" i="12" s="1"/>
  <c r="D14" i="1"/>
  <c r="D4" i="1" s="1"/>
  <c r="G42" i="2"/>
  <c r="G64" i="2" s="1"/>
  <c r="H59" i="2"/>
  <c r="E50" i="12" l="1"/>
  <c r="N10" i="12"/>
  <c r="N11" i="12" s="1"/>
  <c r="N21" i="12"/>
  <c r="E31" i="12"/>
  <c r="E30" i="12"/>
  <c r="E29" i="12"/>
  <c r="R7" i="12"/>
  <c r="D22" i="1"/>
  <c r="D16" i="1" s="1"/>
  <c r="D24" i="1" s="1"/>
  <c r="H42" i="2"/>
  <c r="H64" i="2" l="1"/>
  <c r="E47" i="12" s="1"/>
  <c r="E28" i="12"/>
  <c r="N22" i="12"/>
  <c r="N23" i="12" s="1"/>
  <c r="N25" i="12" s="1"/>
  <c r="R19" i="12"/>
  <c r="J64" i="2"/>
  <c r="F29" i="7" l="1"/>
  <c r="G29" i="7" s="1"/>
  <c r="F16" i="7"/>
  <c r="G16" i="7" s="1"/>
  <c r="E33" i="12"/>
  <c r="E5" i="12" s="1"/>
  <c r="F4" i="12" s="1"/>
  <c r="F5" i="12" s="1"/>
  <c r="G4" i="12" s="1"/>
  <c r="E40" i="12"/>
  <c r="N27" i="12"/>
  <c r="H29" i="7" l="1"/>
  <c r="G24" i="7"/>
  <c r="H19" i="12" s="1"/>
  <c r="E39" i="12"/>
  <c r="F39" i="12" s="1"/>
  <c r="F40" i="12" s="1"/>
  <c r="F24" i="7"/>
  <c r="I29" i="7" l="1"/>
  <c r="I24" i="7" s="1"/>
  <c r="J19" i="12" s="1"/>
  <c r="H24" i="7"/>
  <c r="I19" i="12" s="1"/>
  <c r="F14" i="7"/>
  <c r="F15" i="7" s="1"/>
  <c r="G15" i="7" s="1"/>
  <c r="H15" i="7" s="1"/>
  <c r="I15" i="7" s="1"/>
  <c r="G14" i="7"/>
  <c r="G19" i="12"/>
  <c r="H14" i="7" l="1"/>
  <c r="H16" i="7"/>
  <c r="I16" i="7" s="1"/>
  <c r="G13" i="7" l="1"/>
  <c r="I14" i="7"/>
  <c r="I13" i="7" s="1"/>
  <c r="H13" i="7"/>
  <c r="F13" i="7"/>
  <c r="G17" i="12" l="1"/>
  <c r="G15" i="12" s="1"/>
  <c r="F30" i="7"/>
  <c r="E8" i="8" s="1"/>
  <c r="I17" i="12"/>
  <c r="I15" i="12" s="1"/>
  <c r="H30" i="7"/>
  <c r="G8" i="8" s="1"/>
  <c r="G9" i="8" s="1"/>
  <c r="J17" i="12"/>
  <c r="J15" i="12" s="1"/>
  <c r="I30" i="7"/>
  <c r="H8" i="8" s="1"/>
  <c r="H9" i="8" s="1"/>
  <c r="H17" i="12"/>
  <c r="H15" i="12" s="1"/>
  <c r="G30" i="7"/>
  <c r="F8" i="8" s="1"/>
  <c r="F9" i="8" s="1"/>
  <c r="H10" i="8" l="1"/>
  <c r="J25" i="12"/>
  <c r="J10" i="12"/>
  <c r="R9" i="12" s="1"/>
  <c r="E10" i="8"/>
  <c r="F10" i="8" s="1"/>
  <c r="E9" i="8"/>
  <c r="H25" i="12"/>
  <c r="H10" i="12"/>
  <c r="P9" i="12" s="1"/>
  <c r="G10" i="8"/>
  <c r="I10" i="12"/>
  <c r="Q9" i="12" s="1"/>
  <c r="I25" i="12"/>
  <c r="G10" i="12"/>
  <c r="O9" i="12" s="1"/>
  <c r="G25" i="12"/>
  <c r="P21" i="12" l="1"/>
  <c r="P22" i="12" s="1"/>
  <c r="P23" i="12" s="1"/>
  <c r="P10" i="12"/>
  <c r="P11" i="12" s="1"/>
  <c r="G30" i="12"/>
  <c r="G29" i="12"/>
  <c r="G31" i="12"/>
  <c r="I31" i="12"/>
  <c r="I29" i="12"/>
  <c r="I30" i="12"/>
  <c r="H29" i="12"/>
  <c r="H31" i="12"/>
  <c r="H30" i="12"/>
  <c r="R21" i="12"/>
  <c r="R22" i="12" s="1"/>
  <c r="R23" i="12" s="1"/>
  <c r="R10" i="12"/>
  <c r="R11" i="12" s="1"/>
  <c r="O21" i="12"/>
  <c r="O10" i="12"/>
  <c r="O11" i="12" s="1"/>
  <c r="Q21" i="12"/>
  <c r="Q22" i="12" s="1"/>
  <c r="Q23" i="12" s="1"/>
  <c r="Q10" i="12"/>
  <c r="Q11" i="12" s="1"/>
  <c r="J29" i="12"/>
  <c r="J31" i="12"/>
  <c r="J30" i="12"/>
  <c r="G28" i="12" l="1"/>
  <c r="N12" i="12"/>
  <c r="O22" i="12"/>
  <c r="O23" i="12" s="1"/>
  <c r="I28" i="12"/>
  <c r="I33" i="12" s="1"/>
  <c r="D43" i="12" s="1"/>
  <c r="E43" i="12" s="1"/>
  <c r="J28" i="12"/>
  <c r="H28" i="12"/>
  <c r="H33" i="12" s="1"/>
  <c r="D42" i="12" s="1"/>
  <c r="E42" i="12" s="1"/>
  <c r="E51" i="12" l="1"/>
  <c r="E52" i="12" s="1"/>
  <c r="E53" i="12" s="1"/>
  <c r="J33" i="12"/>
  <c r="D44" i="12" s="1"/>
  <c r="G33" i="12"/>
  <c r="N28" i="12"/>
  <c r="N32" i="12" s="1"/>
  <c r="M72" i="12" s="1"/>
  <c r="N26" i="12"/>
  <c r="M84" i="12" s="1"/>
  <c r="N31" i="12"/>
  <c r="M48" i="12" s="1"/>
  <c r="E44" i="12" l="1"/>
  <c r="D41" i="12"/>
  <c r="E54" i="12" s="1"/>
  <c r="G5" i="12"/>
  <c r="H4" i="12" s="1"/>
  <c r="H5" i="12" s="1"/>
  <c r="I4" i="12" s="1"/>
  <c r="I5" i="12" s="1"/>
  <c r="J4" i="12" s="1"/>
  <c r="J5" i="12" s="1"/>
  <c r="N29" i="12"/>
  <c r="N30" i="12" s="1"/>
  <c r="M60" i="12" s="1"/>
  <c r="E55" i="12"/>
  <c r="E41" i="12" l="1"/>
  <c r="F41" i="12" s="1"/>
  <c r="F42" i="12" s="1"/>
  <c r="F43" i="12" s="1"/>
  <c r="F44" i="12" s="1"/>
  <c r="E4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family val="2"/>
            <scheme val="minor"/>
          </rPr>
          <t>======
ID#AAAAMlEpWD8
Mario Ibañez    (2021-06-22 20:11:30)
Esta hoja se llena sola con los datos del cuadro 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d6km+vZoFWOIQD5PH9o75RfQ6g=="/>
    </ext>
  </extLst>
</comments>
</file>

<file path=xl/sharedStrings.xml><?xml version="1.0" encoding="utf-8"?>
<sst xmlns="http://schemas.openxmlformats.org/spreadsheetml/2006/main" count="237" uniqueCount="172">
  <si>
    <t>(MILES DE PESOS)</t>
  </si>
  <si>
    <t>CONCEPTOS</t>
  </si>
  <si>
    <t>TOTAL</t>
  </si>
  <si>
    <t>A</t>
  </si>
  <si>
    <t xml:space="preserve"> ACTIVOS FIJOS (Subtotal + imprevistos)</t>
  </si>
  <si>
    <t>Terrenos</t>
  </si>
  <si>
    <t>Acondicionamiento del terreno</t>
  </si>
  <si>
    <t>Obra civil</t>
  </si>
  <si>
    <t>Equipo anticontaminante</t>
  </si>
  <si>
    <t>Equipo de transporte y carga</t>
  </si>
  <si>
    <t>Mobiliario y equipo de oficina</t>
  </si>
  <si>
    <t>SUBTOTAL</t>
  </si>
  <si>
    <t>Imprevistos (3% del total de activos fijos)</t>
  </si>
  <si>
    <t>B</t>
  </si>
  <si>
    <t>ACTIVOS DIFERIDOS</t>
  </si>
  <si>
    <t>Estudios previos</t>
  </si>
  <si>
    <t>Constitución de la empresa</t>
  </si>
  <si>
    <t>Patentes o explotación de recursos naturales</t>
  </si>
  <si>
    <t>Asesorías y supervisión</t>
  </si>
  <si>
    <t>Capacitación de personal</t>
  </si>
  <si>
    <t>Puesta en marcha</t>
  </si>
  <si>
    <t>Intereses preoperatorios</t>
  </si>
  <si>
    <t>C</t>
  </si>
  <si>
    <t xml:space="preserve"> TOTAL (A+B)</t>
  </si>
  <si>
    <t>CUADRO 2. CALENDARIO DE INVERSIÓN</t>
  </si>
  <si>
    <t xml:space="preserve">PERÍODO </t>
  </si>
  <si>
    <t xml:space="preserve">1º </t>
  </si>
  <si>
    <t xml:space="preserve">2º </t>
  </si>
  <si>
    <t>ACTIVOS  FIJOS</t>
  </si>
  <si>
    <t xml:space="preserve">TERRENOS </t>
  </si>
  <si>
    <t xml:space="preserve">ACONDICIONAMIENTO DEL TERRENO </t>
  </si>
  <si>
    <t xml:space="preserve">OBRAS CIVIL </t>
  </si>
  <si>
    <t>EQUIPO ANTICONTÁMINANTE</t>
  </si>
  <si>
    <t>EQUIPO DE TRANSPORTE Y CARGA</t>
  </si>
  <si>
    <t>MOBILIARIO Y EQUIPO DE OFICINA</t>
  </si>
  <si>
    <t>SUBTOTAL DE ACTIVOS FIJOS</t>
  </si>
  <si>
    <t>IMPREVISTOS (3% de total de A.F.)</t>
  </si>
  <si>
    <t>CONSTITUCIÓN DE LA EMPRESA</t>
  </si>
  <si>
    <t>Registro del nombre</t>
  </si>
  <si>
    <t>Gastos notariales</t>
  </si>
  <si>
    <t>Gastos administrativos</t>
  </si>
  <si>
    <t>PATENTES - EXPLOTACION DE RECURSOS NATRURALES</t>
  </si>
  <si>
    <t>Uso de tecnología</t>
  </si>
  <si>
    <t>Explotación de recursos naturales</t>
  </si>
  <si>
    <t>ASESORÍA Y SUPERVISIÓN</t>
  </si>
  <si>
    <t>Superv.de la ejecución del Proy.</t>
  </si>
  <si>
    <t>CAPACITACIÓN DE PERSONAL</t>
  </si>
  <si>
    <t>Selección del personal</t>
  </si>
  <si>
    <t>Capacitación</t>
  </si>
  <si>
    <t>PUESTA EN MARCHA</t>
  </si>
  <si>
    <t>Mano de obra</t>
  </si>
  <si>
    <t>Materias primas y otras</t>
  </si>
  <si>
    <t>Servicios</t>
  </si>
  <si>
    <t>INTERESES PREOPERATORIOS</t>
  </si>
  <si>
    <t>TOTAL (A+B)</t>
  </si>
  <si>
    <t>INVERSIÓN</t>
  </si>
  <si>
    <t>OPERACIÓN</t>
  </si>
  <si>
    <t>D</t>
  </si>
  <si>
    <t>E</t>
  </si>
  <si>
    <t>COSTOS DE VENTA (VARIABLES)</t>
  </si>
  <si>
    <t>Materias primas e insumos</t>
  </si>
  <si>
    <t xml:space="preserve">Materiales de mantenimiento </t>
  </si>
  <si>
    <t>Repuestos</t>
  </si>
  <si>
    <t>Combustibles</t>
  </si>
  <si>
    <t xml:space="preserve">COSTOS DE OPERACIÓN  (VARIABIABLES) </t>
  </si>
  <si>
    <t>Fletes</t>
  </si>
  <si>
    <t>Comisiones</t>
  </si>
  <si>
    <t>Otros</t>
  </si>
  <si>
    <t>COSTOS DE VENTA (FIJOS)</t>
  </si>
  <si>
    <t>Sueldos</t>
  </si>
  <si>
    <t>Servicios del personal</t>
  </si>
  <si>
    <t>COSTOS DE OPERACIÓN  (FIJOS)</t>
  </si>
  <si>
    <t>Material auxiliar</t>
  </si>
  <si>
    <t>Pago de servicios (luz, agua, etc.)</t>
  </si>
  <si>
    <t>COSTOS DE OPERACIÓN    (A+B+C+D)</t>
  </si>
  <si>
    <t>MILES DE PESOS</t>
  </si>
  <si>
    <t>INSTALACION</t>
  </si>
  <si>
    <t>COSTOS DE OPERACIÓN C.7</t>
  </si>
  <si>
    <t>CAPITAL DE TRABAJO*</t>
  </si>
  <si>
    <t>CAPITAL INCREMENTAL DE TRABAJO</t>
  </si>
  <si>
    <t>NOTA : SE CONSIDERA UN PORCENTAJE DE LOS COSTOS DE OPERACIÓN COMO CAPITAL DE TRABAJO</t>
  </si>
  <si>
    <t>Otros ingresos</t>
  </si>
  <si>
    <t>INGRESOS TOTALES</t>
  </si>
  <si>
    <t>CUADRO 1. PRESUPUESTO DE INVERSIÓN PREDIO 78 (HOTEL CALETA)</t>
  </si>
  <si>
    <t>.</t>
  </si>
  <si>
    <t>GASTOS NOTARIALES</t>
  </si>
  <si>
    <t>Gerente de obra</t>
  </si>
  <si>
    <t>Auxiliar</t>
  </si>
  <si>
    <t>Almacenista</t>
  </si>
  <si>
    <t>Residente (2)</t>
  </si>
  <si>
    <t>MPUESTOS Y BENEFICIOS DE LA NÓMINA</t>
  </si>
  <si>
    <t>Seguro social</t>
  </si>
  <si>
    <t>ISN</t>
  </si>
  <si>
    <t>INFONAVIT</t>
  </si>
  <si>
    <t>Asesoría</t>
  </si>
  <si>
    <t>Impuestos y beneficios sobre la nómina</t>
  </si>
  <si>
    <t>CUADRO 5. PRESUPUESTO DE COSTOS DE OPERACION.</t>
  </si>
  <si>
    <t>NÓMINA CONSTRUCCION</t>
  </si>
  <si>
    <t>Nómina construcción</t>
  </si>
  <si>
    <t>Sueldos de personal hotelero</t>
  </si>
  <si>
    <t>Impuestos y beneficios sobre la nomina</t>
  </si>
  <si>
    <t>Mantenimiento de caseta de ventas</t>
  </si>
  <si>
    <t>AUMENTO ANUAL</t>
  </si>
  <si>
    <t>OCUPACION PROMEDIO</t>
  </si>
  <si>
    <t>$/Noche</t>
  </si>
  <si>
    <t>$</t>
  </si>
  <si>
    <t>UNIDADES</t>
  </si>
  <si>
    <t>CUADRO 8. FLUJO DE EFECTIVO</t>
  </si>
  <si>
    <t>INGRESOS</t>
  </si>
  <si>
    <t>COSTOS DE OPERACIÓN</t>
  </si>
  <si>
    <t>AÑO</t>
  </si>
  <si>
    <t>ACTIVOS FIJOS</t>
  </si>
  <si>
    <t>ADQUISICIÓN DE ACTIVOS</t>
  </si>
  <si>
    <t>CUADRO 6. PRESUPUESTO DE CAPITAL INCREMENTAL DE TRABAJO</t>
  </si>
  <si>
    <t>CUADRO 7. PRESUPUESTO DE INGRESOS</t>
  </si>
  <si>
    <t>INGRESOS POR RENTA DE HABITACIONES</t>
  </si>
  <si>
    <t>INGRESOS POR VENTA DE INMUEBLE</t>
  </si>
  <si>
    <t>1,2</t>
  </si>
  <si>
    <t>EFECTIVO A PRINCIPIOS DE AÑO</t>
  </si>
  <si>
    <t>EFECTIVO A FINAL DE AÑO</t>
  </si>
  <si>
    <t>AUMENTO NETO DE EFECTIVO</t>
  </si>
  <si>
    <t>INGRESO BRUTO</t>
  </si>
  <si>
    <t>IMPUESTOS</t>
  </si>
  <si>
    <t>IVA</t>
  </si>
  <si>
    <t>ISR</t>
  </si>
  <si>
    <t>ISH</t>
  </si>
  <si>
    <t>INVERSION</t>
  </si>
  <si>
    <t>TIR</t>
  </si>
  <si>
    <t>TASA DE DESCUENTO</t>
  </si>
  <si>
    <t>VALOR ACTUAL INGRESOS</t>
  </si>
  <si>
    <t>VALOR ACTUAL EGRESOS</t>
  </si>
  <si>
    <t>COSTO + INVERSION</t>
  </si>
  <si>
    <t>B/C</t>
  </si>
  <si>
    <t>VAN</t>
  </si>
  <si>
    <t>ROI</t>
  </si>
  <si>
    <t>EGRESOS</t>
  </si>
  <si>
    <t xml:space="preserve">FLUJO </t>
  </si>
  <si>
    <t>INGRESO BRUTO POR VENTA INMUEBLES</t>
  </si>
  <si>
    <t>PERIODO</t>
  </si>
  <si>
    <t>VARIACION EGRESO</t>
  </si>
  <si>
    <t>VARIACION INGRESO</t>
  </si>
  <si>
    <t>INGRESOS HOTEL</t>
  </si>
  <si>
    <t>INGRESOS VENTA</t>
  </si>
  <si>
    <t>EGRESOS HOTEL</t>
  </si>
  <si>
    <t>TABLA DE ANÁLISIS (VAN)</t>
  </si>
  <si>
    <t>CAMBIO EN EL INGRESO</t>
  </si>
  <si>
    <t>CAMBIO EN EL EGRESO</t>
  </si>
  <si>
    <t>VA INGRESOS</t>
  </si>
  <si>
    <t>VA EGRESOS</t>
  </si>
  <si>
    <t>COSTO + INVERSIÓN</t>
  </si>
  <si>
    <t>TABLA DE ANÁLISIS (B/C)</t>
  </si>
  <si>
    <t>TABLA DE ANÁLISIS (ROI)</t>
  </si>
  <si>
    <t>TABLA DE ANÁLISIS (TIR)</t>
  </si>
  <si>
    <t>ANÁLISIS DE SENSIBILIDAD</t>
  </si>
  <si>
    <t>Tasa de interés interbancario de equilibrio</t>
  </si>
  <si>
    <t>Demolición y acarreo</t>
  </si>
  <si>
    <t>Rehabilitación</t>
  </si>
  <si>
    <t>Construcción nueva</t>
  </si>
  <si>
    <t>Areas verdes</t>
  </si>
  <si>
    <t>Alberca</t>
  </si>
  <si>
    <t>Estacionamiento</t>
  </si>
  <si>
    <t>Terraza</t>
  </si>
  <si>
    <t>Permisos de construcción</t>
  </si>
  <si>
    <t>Permisos y estudios</t>
  </si>
  <si>
    <t>Ingresos por actividad</t>
  </si>
  <si>
    <t>FLUJOS DE CAJA</t>
  </si>
  <si>
    <t>VAN ACUMULADO</t>
  </si>
  <si>
    <t>VA</t>
  </si>
  <si>
    <t>SUMA VAN DE EGRESOS</t>
  </si>
  <si>
    <t xml:space="preserve">SUMA VAN DE INGRESOS 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</si>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</sst>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4" formatCode="_-&quot;$&quot;* #,##0.00_-;\-&quot;$&quot;* #,##0.00_-;_-&quot;$&quot;* &quot;-&quot;??_-;_-@_-"/>
    <numFmt numFmtId="164" formatCode="#,##0.00_ ;\-#,##0.00\ "/>
    <numFmt numFmtId="165" formatCode="0.0%"/>
    <numFmt numFmtId="166" formatCode="_-* #,##0.00_-;\-* #,##0.00_-;_-* &quot;-&quot;??_-;_-@"/>
    <numFmt numFmtId="167" formatCode="#,##0.000"/>
    <numFmt numFmtId="168" formatCode="#,##0.0"/>
    <numFmt numFmtId="169" formatCode="_-&quot;$&quot;* #,##0.0_-;\-&quot;$&quot;* #,##0.0_-;_-&quot;$&quot;* &quot;-&quot;??_-;_-@_-"/>
  </numFmts>
  <fonts count="48">
    <font>
      <sz val="10"/>
      <color rgb="FF000000"/>
      <name val="Calibri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Calibri"/>
      <family val="2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b/>
      <sz val="11"/>
      <color rgb="FF3366FF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&quot;Times New Roman&quot;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366FF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"/>
      <name val="Arial"/>
      <family val="2"/>
    </font>
    <font>
      <u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40" fillId="0" borderId="0" applyFont="0" applyFill="0" applyBorder="0" applyAlignment="0" applyProtection="0"/>
    <xf numFmtId="9" fontId="40" fillId="0" borderId="0" applyFont="0" applyFill="0" applyBorder="0" applyAlignment="0" applyProtection="0"/>
  </cellStyleXfs>
  <cellXfs count="26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righ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164" fontId="7" fillId="0" borderId="8" xfId="0" applyNumberFormat="1" applyFont="1" applyBorder="1" applyAlignment="1">
      <alignment horizontal="right" vertical="top" wrapText="1"/>
    </xf>
    <xf numFmtId="0" fontId="8" fillId="0" borderId="0" xfId="0" applyFont="1"/>
    <xf numFmtId="164" fontId="6" fillId="0" borderId="8" xfId="0" applyNumberFormat="1" applyFont="1" applyBorder="1" applyAlignment="1">
      <alignment horizontal="right" vertical="top" wrapText="1"/>
    </xf>
    <xf numFmtId="4" fontId="6" fillId="0" borderId="8" xfId="0" applyNumberFormat="1" applyFont="1" applyBorder="1" applyAlignment="1">
      <alignment horizontal="righ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164" fontId="6" fillId="0" borderId="13" xfId="0" applyNumberFormat="1" applyFont="1" applyBorder="1" applyAlignment="1">
      <alignment horizontal="righ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5" xfId="0" applyFont="1" applyBorder="1" applyAlignment="1">
      <alignment horizontal="left" vertical="top" wrapText="1"/>
    </xf>
    <xf numFmtId="164" fontId="6" fillId="2" borderId="16" xfId="0" applyNumberFormat="1" applyFont="1" applyFill="1" applyBorder="1" applyAlignment="1">
      <alignment horizontal="right" vertical="top" wrapText="1"/>
    </xf>
    <xf numFmtId="0" fontId="1" fillId="0" borderId="17" xfId="0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right"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12" fillId="0" borderId="12" xfId="0" applyFont="1" applyBorder="1" applyAlignment="1">
      <alignment horizontal="center" vertical="top" wrapText="1"/>
    </xf>
    <xf numFmtId="4" fontId="13" fillId="0" borderId="12" xfId="0" applyNumberFormat="1" applyFont="1" applyBorder="1" applyAlignment="1">
      <alignment horizontal="right" vertical="top" wrapText="1"/>
    </xf>
    <xf numFmtId="4" fontId="14" fillId="0" borderId="12" xfId="0" applyNumberFormat="1" applyFont="1" applyBorder="1" applyAlignment="1">
      <alignment horizontal="right" vertical="top" wrapText="1"/>
    </xf>
    <xf numFmtId="4" fontId="3" fillId="0" borderId="0" xfId="0" applyNumberFormat="1" applyFont="1"/>
    <xf numFmtId="10" fontId="15" fillId="0" borderId="0" xfId="0" applyNumberFormat="1" applyFont="1"/>
    <xf numFmtId="0" fontId="16" fillId="0" borderId="12" xfId="0" applyFont="1" applyBorder="1" applyAlignment="1">
      <alignment horizontal="center" vertical="top" wrapText="1"/>
    </xf>
    <xf numFmtId="4" fontId="12" fillId="0" borderId="12" xfId="0" applyNumberFormat="1" applyFont="1" applyBorder="1" applyAlignment="1">
      <alignment horizontal="right" vertical="top" wrapText="1"/>
    </xf>
    <xf numFmtId="4" fontId="17" fillId="0" borderId="12" xfId="0" applyNumberFormat="1" applyFont="1" applyBorder="1" applyAlignment="1">
      <alignment horizontal="right" vertical="top" wrapText="1"/>
    </xf>
    <xf numFmtId="2" fontId="15" fillId="0" borderId="0" xfId="0" applyNumberFormat="1" applyFont="1"/>
    <xf numFmtId="165" fontId="15" fillId="0" borderId="0" xfId="0" applyNumberFormat="1" applyFont="1"/>
    <xf numFmtId="0" fontId="16" fillId="0" borderId="12" xfId="0" applyFont="1" applyBorder="1" applyAlignment="1">
      <alignment vertical="top" wrapText="1"/>
    </xf>
    <xf numFmtId="4" fontId="16" fillId="0" borderId="12" xfId="0" applyNumberFormat="1" applyFont="1" applyBorder="1" applyAlignment="1">
      <alignment horizontal="right" vertical="top" wrapText="1"/>
    </xf>
    <xf numFmtId="4" fontId="18" fillId="0" borderId="12" xfId="0" applyNumberFormat="1" applyFont="1" applyBorder="1" applyAlignment="1">
      <alignment horizontal="right" vertical="top" wrapText="1"/>
    </xf>
    <xf numFmtId="0" fontId="16" fillId="0" borderId="12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left" vertical="top" wrapText="1"/>
    </xf>
    <xf numFmtId="4" fontId="20" fillId="0" borderId="12" xfId="0" applyNumberFormat="1" applyFont="1" applyBorder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12" xfId="0" applyFont="1" applyBorder="1" applyAlignment="1">
      <alignment vertical="top" wrapText="1"/>
    </xf>
    <xf numFmtId="4" fontId="21" fillId="0" borderId="0" xfId="0" applyNumberFormat="1" applyFont="1" applyAlignment="1">
      <alignment horizontal="right" vertical="top" wrapText="1"/>
    </xf>
    <xf numFmtId="4" fontId="21" fillId="0" borderId="12" xfId="0" applyNumberFormat="1" applyFont="1" applyBorder="1" applyAlignment="1">
      <alignment horizontal="right" vertical="top" wrapText="1"/>
    </xf>
    <xf numFmtId="166" fontId="17" fillId="0" borderId="12" xfId="0" applyNumberFormat="1" applyFont="1" applyBorder="1" applyAlignment="1">
      <alignment horizontal="righ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2" xfId="0" applyNumberFormat="1" applyFont="1" applyBorder="1" applyAlignment="1">
      <alignment horizontal="right" vertical="top" wrapText="1"/>
    </xf>
    <xf numFmtId="4" fontId="17" fillId="0" borderId="12" xfId="0" applyNumberFormat="1" applyFont="1" applyBorder="1" applyAlignment="1">
      <alignment vertical="top" wrapText="1"/>
    </xf>
    <xf numFmtId="4" fontId="16" fillId="0" borderId="12" xfId="0" applyNumberFormat="1" applyFont="1" applyBorder="1" applyAlignment="1">
      <alignment vertical="top" wrapText="1"/>
    </xf>
    <xf numFmtId="4" fontId="22" fillId="0" borderId="0" xfId="0" applyNumberFormat="1" applyFont="1" applyAlignment="1">
      <alignment horizontal="right"/>
    </xf>
    <xf numFmtId="4" fontId="12" fillId="2" borderId="12" xfId="0" applyNumberFormat="1" applyFont="1" applyFill="1" applyBorder="1" applyAlignment="1">
      <alignment vertical="top" wrapText="1"/>
    </xf>
    <xf numFmtId="167" fontId="15" fillId="0" borderId="0" xfId="0" applyNumberFormat="1" applyFont="1"/>
    <xf numFmtId="0" fontId="23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  <xf numFmtId="0" fontId="27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166" fontId="28" fillId="0" borderId="12" xfId="0" applyNumberFormat="1" applyFont="1" applyBorder="1"/>
    <xf numFmtId="0" fontId="31" fillId="0" borderId="0" xfId="0" applyFont="1" applyAlignment="1">
      <alignment horizontal="center"/>
    </xf>
    <xf numFmtId="0" fontId="32" fillId="0" borderId="0" xfId="0" applyFont="1"/>
    <xf numFmtId="9" fontId="23" fillId="0" borderId="7" xfId="0" applyNumberFormat="1" applyFont="1" applyBorder="1" applyAlignment="1">
      <alignment horizontal="center" vertical="top" wrapText="1"/>
    </xf>
    <xf numFmtId="9" fontId="23" fillId="0" borderId="10" xfId="0" applyNumberFormat="1" applyFont="1" applyBorder="1" applyAlignment="1">
      <alignment horizontal="center" vertical="top" wrapText="1"/>
    </xf>
    <xf numFmtId="0" fontId="23" fillId="0" borderId="36" xfId="0" applyFont="1" applyBorder="1" applyAlignment="1">
      <alignment horizontal="center" vertical="top" wrapText="1"/>
    </xf>
    <xf numFmtId="0" fontId="23" fillId="0" borderId="37" xfId="0" applyFont="1" applyBorder="1" applyAlignment="1">
      <alignment horizontal="center" vertical="top" wrapText="1"/>
    </xf>
    <xf numFmtId="168" fontId="26" fillId="3" borderId="38" xfId="0" applyNumberFormat="1" applyFont="1" applyFill="1" applyBorder="1" applyAlignment="1">
      <alignment horizontal="right" vertical="top" wrapText="1"/>
    </xf>
    <xf numFmtId="4" fontId="33" fillId="0" borderId="24" xfId="0" applyNumberFormat="1" applyFont="1" applyBorder="1" applyAlignment="1">
      <alignment horizontal="right" vertical="top" wrapText="1"/>
    </xf>
    <xf numFmtId="0" fontId="26" fillId="0" borderId="37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left" vertical="top" wrapText="1"/>
    </xf>
    <xf numFmtId="4" fontId="34" fillId="4" borderId="12" xfId="0" applyNumberFormat="1" applyFont="1" applyFill="1" applyBorder="1" applyAlignment="1">
      <alignment horizontal="right" vertical="top"/>
    </xf>
    <xf numFmtId="4" fontId="34" fillId="4" borderId="10" xfId="0" applyNumberFormat="1" applyFont="1" applyFill="1" applyBorder="1" applyAlignment="1">
      <alignment horizontal="right" vertical="top"/>
    </xf>
    <xf numFmtId="4" fontId="26" fillId="0" borderId="12" xfId="0" applyNumberFormat="1" applyFont="1" applyBorder="1" applyAlignment="1">
      <alignment horizontal="right" vertical="top" wrapText="1"/>
    </xf>
    <xf numFmtId="168" fontId="26" fillId="3" borderId="39" xfId="0" applyNumberFormat="1" applyFont="1" applyFill="1" applyBorder="1" applyAlignment="1">
      <alignment horizontal="right" vertical="top" wrapText="1"/>
    </xf>
    <xf numFmtId="4" fontId="33" fillId="0" borderId="12" xfId="0" applyNumberFormat="1" applyFont="1" applyBorder="1" applyAlignment="1">
      <alignment horizontal="right" vertical="top" wrapText="1"/>
    </xf>
    <xf numFmtId="4" fontId="26" fillId="0" borderId="12" xfId="0" applyNumberFormat="1" applyFont="1" applyBorder="1"/>
    <xf numFmtId="0" fontId="23" fillId="0" borderId="40" xfId="0" applyFont="1" applyBorder="1" applyAlignment="1">
      <alignment horizontal="center" vertical="top" wrapText="1"/>
    </xf>
    <xf numFmtId="168" fontId="26" fillId="3" borderId="43" xfId="0" applyNumberFormat="1" applyFont="1" applyFill="1" applyBorder="1" applyAlignment="1">
      <alignment horizontal="center" vertical="top" wrapText="1"/>
    </xf>
    <xf numFmtId="9" fontId="24" fillId="0" borderId="10" xfId="0" applyNumberFormat="1" applyFont="1" applyBorder="1" applyAlignment="1">
      <alignment horizontal="center"/>
    </xf>
    <xf numFmtId="9" fontId="24" fillId="0" borderId="12" xfId="0" applyNumberFormat="1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7" fillId="0" borderId="12" xfId="0" applyFont="1" applyBorder="1"/>
    <xf numFmtId="0" fontId="27" fillId="3" borderId="12" xfId="0" applyFont="1" applyFill="1" applyBorder="1"/>
    <xf numFmtId="166" fontId="27" fillId="0" borderId="0" xfId="0" applyNumberFormat="1" applyFont="1"/>
    <xf numFmtId="10" fontId="29" fillId="0" borderId="0" xfId="0" applyNumberFormat="1" applyFont="1"/>
    <xf numFmtId="0" fontId="36" fillId="0" borderId="0" xfId="0" applyFont="1" applyAlignment="1">
      <alignment horizontal="center"/>
    </xf>
    <xf numFmtId="9" fontId="37" fillId="0" borderId="7" xfId="0" applyNumberFormat="1" applyFont="1" applyBorder="1" applyAlignment="1">
      <alignment horizontal="center" vertical="top"/>
    </xf>
    <xf numFmtId="0" fontId="38" fillId="0" borderId="7" xfId="0" applyFont="1" applyBorder="1" applyAlignment="1">
      <alignment horizontal="center" vertical="top"/>
    </xf>
    <xf numFmtId="0" fontId="37" fillId="0" borderId="7" xfId="0" applyFont="1" applyBorder="1" applyAlignment="1">
      <alignment horizontal="center" vertical="top"/>
    </xf>
    <xf numFmtId="0" fontId="39" fillId="0" borderId="24" xfId="0" applyFont="1" applyBorder="1" applyAlignment="1">
      <alignment horizontal="center" vertical="top"/>
    </xf>
    <xf numFmtId="0" fontId="27" fillId="0" borderId="7" xfId="0" applyFont="1" applyBorder="1" applyAlignment="1">
      <alignment horizontal="left" vertical="top"/>
    </xf>
    <xf numFmtId="0" fontId="30" fillId="0" borderId="7" xfId="0" applyFont="1" applyBorder="1" applyAlignment="1">
      <alignment horizontal="center" vertical="top"/>
    </xf>
    <xf numFmtId="0" fontId="30" fillId="3" borderId="7" xfId="0" applyFont="1" applyFill="1" applyBorder="1" applyAlignment="1">
      <alignment horizontal="center" vertical="top"/>
    </xf>
    <xf numFmtId="0" fontId="30" fillId="0" borderId="7" xfId="0" applyFont="1" applyBorder="1" applyAlignment="1">
      <alignment horizontal="left" vertical="top"/>
    </xf>
    <xf numFmtId="0" fontId="30" fillId="3" borderId="7" xfId="0" applyFont="1" applyFill="1" applyBorder="1"/>
    <xf numFmtId="0" fontId="39" fillId="0" borderId="24" xfId="0" applyFont="1" applyBorder="1" applyAlignment="1">
      <alignment horizontal="center"/>
    </xf>
    <xf numFmtId="0" fontId="39" fillId="0" borderId="7" xfId="0" applyFont="1" applyBorder="1" applyAlignment="1">
      <alignment horizontal="center" vertical="top"/>
    </xf>
    <xf numFmtId="0" fontId="39" fillId="3" borderId="7" xfId="0" applyFont="1" applyFill="1" applyBorder="1"/>
    <xf numFmtId="0" fontId="30" fillId="0" borderId="7" xfId="0" applyFont="1" applyBorder="1"/>
    <xf numFmtId="0" fontId="28" fillId="0" borderId="7" xfId="0" applyFont="1" applyBorder="1"/>
    <xf numFmtId="0" fontId="39" fillId="0" borderId="7" xfId="0" applyFont="1" applyBorder="1"/>
    <xf numFmtId="4" fontId="25" fillId="0" borderId="7" xfId="0" applyNumberFormat="1" applyFont="1" applyBorder="1"/>
    <xf numFmtId="8" fontId="0" fillId="0" borderId="0" xfId="0" applyNumberFormat="1"/>
    <xf numFmtId="0" fontId="26" fillId="0" borderId="38" xfId="0" applyFont="1" applyBorder="1" applyAlignment="1">
      <alignment horizontal="center" vertical="top" wrapText="1"/>
    </xf>
    <xf numFmtId="0" fontId="26" fillId="0" borderId="38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9" fontId="36" fillId="0" borderId="0" xfId="2" applyFont="1" applyAlignment="1">
      <alignment horizontal="center"/>
    </xf>
    <xf numFmtId="44" fontId="27" fillId="0" borderId="7" xfId="1" applyFont="1" applyBorder="1" applyAlignment="1">
      <alignment horizontal="center"/>
    </xf>
    <xf numFmtId="44" fontId="42" fillId="0" borderId="7" xfId="1" applyFont="1" applyBorder="1" applyAlignment="1">
      <alignment horizontal="center"/>
    </xf>
    <xf numFmtId="0" fontId="39" fillId="0" borderId="24" xfId="0" applyFont="1" applyBorder="1" applyAlignment="1">
      <alignment horizontal="left"/>
    </xf>
    <xf numFmtId="0" fontId="39" fillId="0" borderId="6" xfId="0" applyFont="1" applyBorder="1" applyAlignment="1">
      <alignment horizontal="center"/>
    </xf>
    <xf numFmtId="0" fontId="38" fillId="0" borderId="38" xfId="0" applyFont="1" applyBorder="1" applyAlignment="1">
      <alignment horizontal="center" vertical="top"/>
    </xf>
    <xf numFmtId="0" fontId="37" fillId="0" borderId="38" xfId="0" applyFont="1" applyBorder="1" applyAlignment="1">
      <alignment horizontal="center" vertical="top"/>
    </xf>
    <xf numFmtId="44" fontId="37" fillId="0" borderId="38" xfId="0" applyNumberFormat="1" applyFont="1" applyBorder="1" applyAlignment="1">
      <alignment horizontal="center" vertical="top"/>
    </xf>
    <xf numFmtId="44" fontId="39" fillId="3" borderId="7" xfId="0" applyNumberFormat="1" applyFont="1" applyFill="1" applyBorder="1"/>
    <xf numFmtId="0" fontId="0" fillId="0" borderId="46" xfId="0" applyBorder="1"/>
    <xf numFmtId="44" fontId="0" fillId="0" borderId="46" xfId="0" applyNumberFormat="1" applyBorder="1"/>
    <xf numFmtId="44" fontId="42" fillId="0" borderId="7" xfId="1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44" fontId="29" fillId="0" borderId="38" xfId="1" applyFont="1" applyBorder="1" applyAlignment="1">
      <alignment horizontal="center" vertical="center"/>
    </xf>
    <xf numFmtId="44" fontId="39" fillId="3" borderId="38" xfId="0" applyNumberFormat="1" applyFont="1" applyFill="1" applyBorder="1"/>
    <xf numFmtId="44" fontId="29" fillId="0" borderId="7" xfId="1" applyFont="1" applyBorder="1" applyAlignment="1">
      <alignment horizontal="center" vertical="center"/>
    </xf>
    <xf numFmtId="44" fontId="28" fillId="0" borderId="38" xfId="1" applyFont="1" applyBorder="1" applyAlignment="1">
      <alignment horizontal="center" vertical="center"/>
    </xf>
    <xf numFmtId="44" fontId="39" fillId="3" borderId="38" xfId="1" applyFont="1" applyFill="1" applyBorder="1"/>
    <xf numFmtId="44" fontId="30" fillId="3" borderId="38" xfId="0" applyNumberFormat="1" applyFont="1" applyFill="1" applyBorder="1" applyAlignment="1">
      <alignment horizontal="center" vertical="center"/>
    </xf>
    <xf numFmtId="44" fontId="0" fillId="0" borderId="50" xfId="1" applyFont="1" applyBorder="1"/>
    <xf numFmtId="44" fontId="0" fillId="0" borderId="48" xfId="1" applyFont="1" applyBorder="1"/>
    <xf numFmtId="44" fontId="0" fillId="0" borderId="52" xfId="1" applyFont="1" applyBorder="1"/>
    <xf numFmtId="0" fontId="0" fillId="6" borderId="47" xfId="0" applyFill="1" applyBorder="1"/>
    <xf numFmtId="0" fontId="0" fillId="6" borderId="51" xfId="0" applyFill="1" applyBorder="1"/>
    <xf numFmtId="44" fontId="0" fillId="0" borderId="30" xfId="0" applyNumberFormat="1" applyBorder="1"/>
    <xf numFmtId="44" fontId="0" fillId="0" borderId="0" xfId="0" applyNumberFormat="1"/>
    <xf numFmtId="44" fontId="0" fillId="0" borderId="0" xfId="1" applyFont="1"/>
    <xf numFmtId="2" fontId="0" fillId="0" borderId="0" xfId="1" applyNumberFormat="1" applyFont="1"/>
    <xf numFmtId="0" fontId="39" fillId="0" borderId="9" xfId="0" applyFont="1" applyBorder="1" applyAlignment="1">
      <alignment horizontal="center"/>
    </xf>
    <xf numFmtId="44" fontId="44" fillId="0" borderId="0" xfId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9" fontId="28" fillId="0" borderId="38" xfId="2" applyFont="1" applyBorder="1" applyAlignment="1">
      <alignment horizontal="center" vertical="center"/>
    </xf>
    <xf numFmtId="44" fontId="28" fillId="0" borderId="38" xfId="0" applyNumberFormat="1" applyFont="1" applyBorder="1" applyAlignment="1">
      <alignment horizontal="center" vertical="center"/>
    </xf>
    <xf numFmtId="165" fontId="44" fillId="0" borderId="0" xfId="2" applyNumberFormat="1" applyFont="1" applyAlignment="1">
      <alignment horizontal="center" vertical="center"/>
    </xf>
    <xf numFmtId="169" fontId="0" fillId="0" borderId="0" xfId="1" applyNumberFormat="1" applyFont="1"/>
    <xf numFmtId="165" fontId="0" fillId="7" borderId="0" xfId="2" applyNumberFormat="1" applyFont="1" applyFill="1"/>
    <xf numFmtId="165" fontId="0" fillId="0" borderId="0" xfId="2" applyNumberFormat="1" applyFont="1" applyFill="1"/>
    <xf numFmtId="165" fontId="0" fillId="0" borderId="0" xfId="0" applyNumberFormat="1"/>
    <xf numFmtId="9" fontId="0" fillId="0" borderId="0" xfId="0" applyNumberFormat="1"/>
    <xf numFmtId="2" fontId="0" fillId="0" borderId="0" xfId="0" applyNumberFormat="1"/>
    <xf numFmtId="2" fontId="0" fillId="8" borderId="0" xfId="0" applyNumberFormat="1" applyFill="1"/>
    <xf numFmtId="0" fontId="44" fillId="8" borderId="0" xfId="0" applyFont="1" applyFill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169" fontId="0" fillId="9" borderId="0" xfId="0" applyNumberFormat="1" applyFill="1"/>
    <xf numFmtId="0" fontId="44" fillId="10" borderId="0" xfId="0" applyFont="1" applyFill="1" applyAlignment="1">
      <alignment horizontal="center" vertical="center"/>
    </xf>
    <xf numFmtId="2" fontId="0" fillId="10" borderId="0" xfId="0" applyNumberFormat="1" applyFill="1"/>
    <xf numFmtId="0" fontId="44" fillId="11" borderId="0" xfId="0" applyFont="1" applyFill="1" applyAlignment="1">
      <alignment horizontal="center" vertical="center"/>
    </xf>
    <xf numFmtId="2" fontId="0" fillId="11" borderId="0" xfId="0" applyNumberFormat="1" applyFill="1"/>
    <xf numFmtId="165" fontId="0" fillId="0" borderId="0" xfId="2" applyNumberFormat="1" applyFont="1"/>
    <xf numFmtId="0" fontId="44" fillId="0" borderId="46" xfId="1" applyNumberFormat="1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44" fontId="0" fillId="0" borderId="0" xfId="1" applyFont="1" applyAlignment="1">
      <alignment vertical="top"/>
    </xf>
    <xf numFmtId="44" fontId="30" fillId="0" borderId="7" xfId="0" applyNumberFormat="1" applyFont="1" applyBorder="1"/>
    <xf numFmtId="0" fontId="16" fillId="0" borderId="46" xfId="0" applyFont="1" applyBorder="1" applyAlignment="1">
      <alignment horizontal="center" vertical="top" wrapText="1"/>
    </xf>
    <xf numFmtId="0" fontId="16" fillId="0" borderId="46" xfId="0" applyFont="1" applyBorder="1" applyAlignment="1">
      <alignment vertical="top" wrapText="1"/>
    </xf>
    <xf numFmtId="0" fontId="16" fillId="0" borderId="46" xfId="0" applyFont="1" applyBorder="1" applyAlignment="1">
      <alignment horizontal="left" vertical="top" wrapText="1"/>
    </xf>
    <xf numFmtId="0" fontId="41" fillId="5" borderId="46" xfId="0" applyFont="1" applyFill="1" applyBorder="1" applyAlignment="1">
      <alignment horizontal="center" vertical="center"/>
    </xf>
    <xf numFmtId="44" fontId="0" fillId="0" borderId="46" xfId="1" applyFont="1" applyBorder="1"/>
    <xf numFmtId="10" fontId="0" fillId="0" borderId="46" xfId="0" applyNumberFormat="1" applyBorder="1"/>
    <xf numFmtId="8" fontId="0" fillId="0" borderId="46" xfId="1" applyNumberFormat="1" applyFont="1" applyBorder="1"/>
    <xf numFmtId="8" fontId="0" fillId="0" borderId="46" xfId="0" applyNumberFormat="1" applyBorder="1"/>
    <xf numFmtId="2" fontId="0" fillId="0" borderId="46" xfId="0" applyNumberFormat="1" applyBorder="1"/>
    <xf numFmtId="10" fontId="0" fillId="0" borderId="46" xfId="2" applyNumberFormat="1" applyFont="1" applyBorder="1"/>
    <xf numFmtId="0" fontId="0" fillId="12" borderId="51" xfId="0" applyFill="1" applyBorder="1" applyAlignment="1">
      <alignment horizontal="center"/>
    </xf>
    <xf numFmtId="0" fontId="0" fillId="12" borderId="49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53" xfId="0" applyFill="1" applyBorder="1"/>
    <xf numFmtId="8" fontId="0" fillId="0" borderId="30" xfId="0" applyNumberFormat="1" applyBorder="1"/>
    <xf numFmtId="0" fontId="0" fillId="12" borderId="30" xfId="0" applyFill="1" applyBorder="1" applyAlignment="1">
      <alignment horizontal="center"/>
    </xf>
    <xf numFmtId="44" fontId="0" fillId="0" borderId="30" xfId="1" applyFont="1" applyBorder="1"/>
    <xf numFmtId="44" fontId="0" fillId="0" borderId="54" xfId="1" applyFont="1" applyBorder="1"/>
    <xf numFmtId="0" fontId="0" fillId="12" borderId="55" xfId="0" applyFill="1" applyBorder="1" applyAlignment="1">
      <alignment horizontal="center"/>
    </xf>
    <xf numFmtId="0" fontId="40" fillId="0" borderId="0" xfId="0" applyFont="1"/>
    <xf numFmtId="44" fontId="37" fillId="0" borderId="46" xfId="0" applyNumberFormat="1" applyFont="1" applyBorder="1" applyAlignment="1">
      <alignment horizontal="center" vertical="top"/>
    </xf>
    <xf numFmtId="44" fontId="39" fillId="3" borderId="23" xfId="0" applyNumberFormat="1" applyFont="1" applyFill="1" applyBorder="1" applyAlignment="1">
      <alignment horizontal="center" vertical="center"/>
    </xf>
    <xf numFmtId="44" fontId="30" fillId="3" borderId="23" xfId="1" applyFont="1" applyFill="1" applyBorder="1" applyAlignment="1">
      <alignment horizontal="center" vertical="center"/>
    </xf>
    <xf numFmtId="44" fontId="30" fillId="3" borderId="23" xfId="0" applyNumberFormat="1" applyFont="1" applyFill="1" applyBorder="1" applyAlignment="1">
      <alignment horizontal="center" vertical="center"/>
    </xf>
    <xf numFmtId="44" fontId="39" fillId="3" borderId="23" xfId="0" applyNumberFormat="1" applyFont="1" applyFill="1" applyBorder="1"/>
    <xf numFmtId="44" fontId="27" fillId="0" borderId="38" xfId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top"/>
    </xf>
    <xf numFmtId="44" fontId="39" fillId="3" borderId="46" xfId="0" applyNumberFormat="1" applyFont="1" applyFill="1" applyBorder="1"/>
    <xf numFmtId="44" fontId="30" fillId="3" borderId="46" xfId="0" applyNumberFormat="1" applyFont="1" applyFill="1" applyBorder="1" applyAlignment="1">
      <alignment horizontal="center" vertical="center"/>
    </xf>
    <xf numFmtId="1" fontId="37" fillId="0" borderId="15" xfId="0" applyNumberFormat="1" applyFont="1" applyBorder="1" applyAlignment="1">
      <alignment horizontal="center" vertical="top"/>
    </xf>
    <xf numFmtId="44" fontId="39" fillId="0" borderId="46" xfId="1" applyFont="1" applyBorder="1" applyAlignment="1">
      <alignment horizontal="center"/>
    </xf>
    <xf numFmtId="8" fontId="0" fillId="0" borderId="48" xfId="0" applyNumberFormat="1" applyBorder="1"/>
    <xf numFmtId="8" fontId="0" fillId="0" borderId="52" xfId="0" applyNumberFormat="1" applyBorder="1"/>
    <xf numFmtId="4" fontId="46" fillId="0" borderId="12" xfId="0" applyNumberFormat="1" applyFont="1" applyBorder="1" applyAlignment="1">
      <alignment horizontal="right" vertical="top" wrapText="1"/>
    </xf>
    <xf numFmtId="0" fontId="47" fillId="0" borderId="0" xfId="0" applyFont="1"/>
    <xf numFmtId="0" fontId="1" fillId="0" borderId="9" xfId="0" applyFont="1" applyBorder="1" applyAlignment="1">
      <alignment horizontal="left" vertical="top" wrapText="1"/>
    </xf>
    <xf numFmtId="0" fontId="4" fillId="0" borderId="10" xfId="0" applyFont="1" applyBorder="1"/>
    <xf numFmtId="0" fontId="1" fillId="0" borderId="18" xfId="0" applyFont="1" applyBorder="1" applyAlignment="1">
      <alignment horizontal="left" vertical="top" wrapText="1"/>
    </xf>
    <xf numFmtId="0" fontId="4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2" xfId="0" applyFont="1" applyBorder="1"/>
    <xf numFmtId="0" fontId="1" fillId="0" borderId="6" xfId="0" applyFont="1" applyBorder="1" applyAlignment="1">
      <alignment horizontal="left" vertical="top" wrapText="1"/>
    </xf>
    <xf numFmtId="0" fontId="4" fillId="0" borderId="7" xfId="0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19" xfId="0" applyFont="1" applyBorder="1" applyAlignment="1">
      <alignment horizontal="center" vertical="top" wrapText="1"/>
    </xf>
    <xf numFmtId="0" fontId="4" fillId="0" borderId="20" xfId="0" applyFont="1" applyBorder="1"/>
    <xf numFmtId="0" fontId="4" fillId="0" borderId="21" xfId="0" applyFont="1" applyBorder="1"/>
    <xf numFmtId="0" fontId="4" fillId="0" borderId="6" xfId="0" applyFont="1" applyBorder="1"/>
    <xf numFmtId="0" fontId="4" fillId="0" borderId="23" xfId="0" applyFont="1" applyBorder="1"/>
    <xf numFmtId="0" fontId="12" fillId="0" borderId="9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4" fillId="0" borderId="24" xfId="0" applyFont="1" applyBorder="1"/>
    <xf numFmtId="0" fontId="12" fillId="0" borderId="9" xfId="0" applyFont="1" applyBorder="1" applyAlignment="1">
      <alignment vertical="top" wrapText="1"/>
    </xf>
    <xf numFmtId="0" fontId="4" fillId="0" borderId="25" xfId="0" applyFont="1" applyBorder="1"/>
    <xf numFmtId="0" fontId="2" fillId="0" borderId="9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39" xfId="0" applyFont="1" applyBorder="1"/>
    <xf numFmtId="0" fontId="23" fillId="0" borderId="41" xfId="0" applyFont="1" applyBorder="1" applyAlignment="1">
      <alignment horizontal="left" vertical="top" wrapText="1"/>
    </xf>
    <xf numFmtId="0" fontId="4" fillId="0" borderId="42" xfId="0" applyFont="1" applyBorder="1"/>
    <xf numFmtId="0" fontId="23" fillId="0" borderId="0" xfId="0" applyFont="1" applyAlignment="1">
      <alignment horizontal="center"/>
    </xf>
    <xf numFmtId="0" fontId="26" fillId="0" borderId="26" xfId="0" applyFont="1" applyBorder="1" applyAlignment="1">
      <alignment horizontal="center" vertical="top" wrapText="1"/>
    </xf>
    <xf numFmtId="0" fontId="4" fillId="0" borderId="27" xfId="0" applyFont="1" applyBorder="1"/>
    <xf numFmtId="0" fontId="4" fillId="0" borderId="31" xfId="0" applyFont="1" applyBorder="1"/>
    <xf numFmtId="0" fontId="23" fillId="0" borderId="32" xfId="0" applyFont="1" applyBorder="1" applyAlignment="1">
      <alignment horizontal="center" vertical="top" wrapText="1"/>
    </xf>
    <xf numFmtId="0" fontId="23" fillId="0" borderId="29" xfId="0" applyFont="1" applyBorder="1" applyAlignment="1">
      <alignment horizontal="center" vertical="top" wrapText="1"/>
    </xf>
    <xf numFmtId="0" fontId="4" fillId="0" borderId="15" xfId="0" applyFont="1" applyBorder="1"/>
    <xf numFmtId="0" fontId="26" fillId="0" borderId="34" xfId="0" applyFont="1" applyBorder="1" applyAlignment="1">
      <alignment horizontal="center" vertical="top" wrapText="1"/>
    </xf>
    <xf numFmtId="0" fontId="4" fillId="0" borderId="35" xfId="0" applyFont="1" applyBorder="1"/>
    <xf numFmtId="0" fontId="4" fillId="0" borderId="36" xfId="0" applyFont="1" applyBorder="1"/>
    <xf numFmtId="0" fontId="23" fillId="0" borderId="6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3" fillId="0" borderId="33" xfId="0" applyFont="1" applyBorder="1" applyAlignment="1">
      <alignment horizontal="center" vertical="top" wrapText="1"/>
    </xf>
    <xf numFmtId="0" fontId="23" fillId="0" borderId="28" xfId="0" applyFont="1" applyBorder="1" applyAlignment="1">
      <alignment horizontal="center" vertical="top" wrapText="1"/>
    </xf>
    <xf numFmtId="0" fontId="24" fillId="0" borderId="4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35" fillId="0" borderId="0" xfId="0" applyFont="1" applyAlignment="1">
      <alignment horizontal="left"/>
    </xf>
    <xf numFmtId="0" fontId="24" fillId="0" borderId="19" xfId="0" applyFont="1" applyBorder="1" applyAlignment="1">
      <alignment horizontal="center"/>
    </xf>
    <xf numFmtId="0" fontId="4" fillId="0" borderId="44" xfId="0" applyFont="1" applyBorder="1"/>
    <xf numFmtId="0" fontId="24" fillId="0" borderId="25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43" fillId="0" borderId="9" xfId="0" applyFont="1" applyBorder="1" applyAlignment="1">
      <alignment horizontal="left"/>
    </xf>
    <xf numFmtId="0" fontId="43" fillId="0" borderId="39" xfId="0" applyFont="1" applyBorder="1" applyAlignment="1">
      <alignment horizontal="left"/>
    </xf>
    <xf numFmtId="0" fontId="37" fillId="0" borderId="9" xfId="0" applyFont="1" applyBorder="1" applyAlignment="1">
      <alignment horizontal="center" vertical="top"/>
    </xf>
    <xf numFmtId="0" fontId="15" fillId="0" borderId="9" xfId="0" applyFont="1" applyBorder="1"/>
    <xf numFmtId="0" fontId="36" fillId="0" borderId="0" xfId="0" applyFont="1" applyAlignment="1">
      <alignment horizontal="center"/>
    </xf>
    <xf numFmtId="0" fontId="37" fillId="0" borderId="22" xfId="0" applyFont="1" applyBorder="1" applyAlignment="1">
      <alignment horizontal="center" vertical="top"/>
    </xf>
    <xf numFmtId="0" fontId="4" fillId="0" borderId="45" xfId="0" applyFont="1" applyBorder="1"/>
    <xf numFmtId="0" fontId="37" fillId="0" borderId="19" xfId="0" applyFont="1" applyBorder="1" applyAlignment="1">
      <alignment horizontal="center" vertical="top"/>
    </xf>
    <xf numFmtId="0" fontId="37" fillId="0" borderId="25" xfId="0" applyFont="1" applyBorder="1" applyAlignment="1">
      <alignment horizontal="center" vertical="top"/>
    </xf>
    <xf numFmtId="0" fontId="37" fillId="0" borderId="46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 vertical="top"/>
    </xf>
    <xf numFmtId="0" fontId="44" fillId="0" borderId="0" xfId="0" applyFont="1" applyAlignment="1">
      <alignment horizontal="center" vertical="center" textRotation="61" wrapText="1"/>
    </xf>
    <xf numFmtId="0" fontId="15" fillId="0" borderId="25" xfId="0" applyFont="1" applyBorder="1"/>
    <xf numFmtId="0" fontId="39" fillId="0" borderId="9" xfId="0" applyFont="1" applyBorder="1" applyAlignment="1">
      <alignment horizontal="left"/>
    </xf>
    <xf numFmtId="0" fontId="39" fillId="0" borderId="39" xfId="0" applyFont="1" applyBorder="1" applyAlignment="1">
      <alignment horizontal="left"/>
    </xf>
    <xf numFmtId="0" fontId="39" fillId="0" borderId="25" xfId="0" applyFont="1" applyBorder="1" applyAlignment="1">
      <alignment horizontal="left"/>
    </xf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 vertical="center"/>
    </xf>
    <xf numFmtId="44" fontId="40" fillId="0" borderId="50" xfId="1" applyFont="1" applyBorder="1"/>
  </cellXfs>
  <cellStyles count="3">
    <cellStyle name="Moneda" xfId="1" builtinId="4"/>
    <cellStyle name="Normal" xfId="0" builtinId="0"/>
    <cellStyle name="Porcentaje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>
          <bgColor theme="5" tint="0.39994506668294322"/>
        </patternFill>
      </fill>
    </dxf>
    <dxf>
      <font>
        <color rgb="FF006600"/>
      </font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80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8" workbookViewId="0">
      <selection activeCell="G10" sqref="G10"/>
    </sheetView>
  </sheetViews>
  <sheetFormatPr baseColWidth="10" defaultColWidth="14.42578125" defaultRowHeight="15" customHeight="1"/>
  <cols>
    <col min="1" max="1" width="5.28515625" customWidth="1"/>
    <col min="2" max="2" width="4.85546875" customWidth="1"/>
    <col min="3" max="3" width="49.85546875" customWidth="1"/>
    <col min="4" max="4" width="20.7109375" customWidth="1"/>
    <col min="5" max="26" width="10" customWidth="1"/>
  </cols>
  <sheetData>
    <row r="1" spans="1:26" ht="51" customHeight="1">
      <c r="A1" s="203" t="s">
        <v>83</v>
      </c>
      <c r="B1" s="204"/>
      <c r="C1" s="204"/>
      <c r="D1" s="204"/>
    </row>
    <row r="2" spans="1:26" ht="13.5" customHeight="1">
      <c r="A2" s="205" t="s">
        <v>0</v>
      </c>
      <c r="B2" s="206"/>
      <c r="C2" s="206"/>
      <c r="D2" s="206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207" t="s">
        <v>1</v>
      </c>
      <c r="B3" s="208"/>
      <c r="C3" s="202"/>
      <c r="D3" s="4" t="s">
        <v>2</v>
      </c>
    </row>
    <row r="4" spans="1:26" ht="19.5" customHeight="1">
      <c r="A4" s="5" t="s">
        <v>3</v>
      </c>
      <c r="B4" s="209" t="s">
        <v>4</v>
      </c>
      <c r="C4" s="210"/>
      <c r="D4" s="6">
        <f>SUM(D13:D14)</f>
        <v>1226.8508313599998</v>
      </c>
    </row>
    <row r="5" spans="1:26" ht="18.75" customHeight="1">
      <c r="A5" s="7"/>
      <c r="B5" s="8">
        <v>1</v>
      </c>
      <c r="C5" s="9" t="s">
        <v>5</v>
      </c>
      <c r="D5" s="10">
        <f>CalendarioInv!H7</f>
        <v>0</v>
      </c>
      <c r="E5" s="11"/>
    </row>
    <row r="6" spans="1:26" ht="18.75" customHeight="1">
      <c r="A6" s="7"/>
      <c r="B6" s="8">
        <v>2</v>
      </c>
      <c r="C6" s="9" t="s">
        <v>6</v>
      </c>
      <c r="D6" s="12">
        <f>CalendarioInv!H8</f>
        <v>0</v>
      </c>
    </row>
    <row r="7" spans="1:26" ht="18.75" customHeight="1">
      <c r="A7" s="7"/>
      <c r="B7" s="8">
        <v>3</v>
      </c>
      <c r="C7" s="9" t="s">
        <v>7</v>
      </c>
      <c r="D7" s="13">
        <f>CalendarioInv!H11</f>
        <v>0</v>
      </c>
    </row>
    <row r="8" spans="1:26" ht="18.75" customHeight="1">
      <c r="A8" s="7"/>
      <c r="B8" s="8">
        <v>4</v>
      </c>
      <c r="C8" s="9" t="s">
        <v>98</v>
      </c>
      <c r="D8" s="12">
        <v>429.2</v>
      </c>
    </row>
    <row r="9" spans="1:26" ht="18.75" customHeight="1">
      <c r="A9" s="7"/>
      <c r="B9" s="8">
        <v>5</v>
      </c>
      <c r="C9" s="9" t="s">
        <v>95</v>
      </c>
      <c r="D9" s="12">
        <v>101.6</v>
      </c>
    </row>
    <row r="10" spans="1:26" ht="18.75" customHeight="1">
      <c r="A10" s="7"/>
      <c r="B10" s="8">
        <v>6</v>
      </c>
      <c r="C10" s="9" t="s">
        <v>8</v>
      </c>
      <c r="D10" s="12">
        <f>+CalendarioInv!F29</f>
        <v>0</v>
      </c>
    </row>
    <row r="11" spans="1:26" ht="18.75" customHeight="1">
      <c r="A11" s="7"/>
      <c r="B11" s="8">
        <v>7</v>
      </c>
      <c r="C11" s="9" t="s">
        <v>9</v>
      </c>
      <c r="D11" s="12">
        <f>+CalendarioInv!F32</f>
        <v>0</v>
      </c>
    </row>
    <row r="12" spans="1:26" ht="18.75" customHeight="1">
      <c r="A12" s="7"/>
      <c r="B12" s="8">
        <v>8</v>
      </c>
      <c r="C12" s="9" t="s">
        <v>10</v>
      </c>
      <c r="D12" s="12">
        <f>+CalendarioInv!F35</f>
        <v>0</v>
      </c>
    </row>
    <row r="13" spans="1:26" ht="18.75" customHeight="1">
      <c r="A13" s="7"/>
      <c r="B13" s="199" t="s">
        <v>11</v>
      </c>
      <c r="C13" s="200"/>
      <c r="D13" s="12">
        <f>CalendarioInv!H39</f>
        <v>1191.1173119999999</v>
      </c>
    </row>
    <row r="14" spans="1:26" ht="18.75" customHeight="1">
      <c r="A14" s="7"/>
      <c r="B14" s="8"/>
      <c r="C14" s="9" t="s">
        <v>12</v>
      </c>
      <c r="D14" s="12">
        <f>D13*0.03</f>
        <v>35.733519359999995</v>
      </c>
    </row>
    <row r="15" spans="1:26" ht="18.75" customHeight="1">
      <c r="A15" s="7"/>
      <c r="B15" s="9"/>
      <c r="C15" s="9"/>
      <c r="D15" s="12"/>
    </row>
    <row r="16" spans="1:26" ht="18.75" customHeight="1">
      <c r="A16" s="5" t="s">
        <v>13</v>
      </c>
      <c r="B16" s="199" t="s">
        <v>14</v>
      </c>
      <c r="C16" s="200"/>
      <c r="D16" s="6">
        <f>SUM(D17:D23)</f>
        <v>0</v>
      </c>
    </row>
    <row r="17" spans="1:26" ht="18.75" customHeight="1">
      <c r="A17" s="14"/>
      <c r="B17" s="15">
        <v>1</v>
      </c>
      <c r="C17" s="16" t="s">
        <v>15</v>
      </c>
      <c r="D17" s="17">
        <f>CalendarioInv!H43</f>
        <v>0</v>
      </c>
    </row>
    <row r="18" spans="1:26" ht="18.75" customHeight="1">
      <c r="A18" s="14"/>
      <c r="B18" s="15">
        <v>2</v>
      </c>
      <c r="C18" s="16" t="s">
        <v>16</v>
      </c>
      <c r="D18" s="17">
        <f>CalendarioInv!H45</f>
        <v>0</v>
      </c>
    </row>
    <row r="19" spans="1:26" ht="20.25" customHeight="1">
      <c r="A19" s="14"/>
      <c r="B19" s="15">
        <v>3</v>
      </c>
      <c r="C19" s="16" t="s">
        <v>17</v>
      </c>
      <c r="D19" s="17">
        <f>CalendarioInv!H50</f>
        <v>0</v>
      </c>
    </row>
    <row r="20" spans="1:26" ht="18.75" customHeight="1">
      <c r="A20" s="14"/>
      <c r="B20" s="15">
        <v>4</v>
      </c>
      <c r="C20" s="16" t="s">
        <v>18</v>
      </c>
      <c r="D20" s="17">
        <f>CalendarioInv!H53</f>
        <v>0</v>
      </c>
    </row>
    <row r="21" spans="1:26" ht="18.75" customHeight="1">
      <c r="A21" s="14"/>
      <c r="B21" s="15">
        <v>5</v>
      </c>
      <c r="C21" s="16" t="s">
        <v>19</v>
      </c>
      <c r="D21" s="17">
        <f>CalendarioInv!H56</f>
        <v>0</v>
      </c>
    </row>
    <row r="22" spans="1:26" ht="18.75" customHeight="1">
      <c r="A22" s="14"/>
      <c r="B22" s="15">
        <v>6</v>
      </c>
      <c r="C22" s="16" t="s">
        <v>20</v>
      </c>
      <c r="D22" s="17">
        <f>CalendarioInv!H59</f>
        <v>0</v>
      </c>
    </row>
    <row r="23" spans="1:26" ht="19.5" customHeight="1">
      <c r="A23" s="18"/>
      <c r="B23" s="19">
        <v>7</v>
      </c>
      <c r="C23" s="20" t="s">
        <v>21</v>
      </c>
      <c r="D23" s="21">
        <f>CalendarioInv!H63</f>
        <v>0</v>
      </c>
    </row>
    <row r="24" spans="1:26" ht="19.5" customHeight="1">
      <c r="A24" s="22" t="s">
        <v>22</v>
      </c>
      <c r="B24" s="201" t="s">
        <v>23</v>
      </c>
      <c r="C24" s="202"/>
      <c r="D24" s="23">
        <f>D16+D4</f>
        <v>1226.8508313599998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/>
    <row r="26" spans="1:26" ht="16.5" customHeight="1">
      <c r="A26" s="24"/>
      <c r="B26" s="25"/>
      <c r="C26" s="25"/>
    </row>
    <row r="27" spans="1:26" ht="12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16:C16"/>
    <mergeCell ref="B24:C24"/>
    <mergeCell ref="A1:D1"/>
    <mergeCell ref="A2:D2"/>
    <mergeCell ref="A3:C3"/>
    <mergeCell ref="B4:C4"/>
    <mergeCell ref="B13:C13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04"/>
  <sheetViews>
    <sheetView topLeftCell="A2" workbookViewId="0">
      <selection activeCell="F8" sqref="F8"/>
    </sheetView>
  </sheetViews>
  <sheetFormatPr baseColWidth="10" defaultColWidth="14.42578125" defaultRowHeight="15" customHeight="1"/>
  <cols>
    <col min="1" max="1" width="0.85546875" customWidth="1"/>
    <col min="2" max="2" width="3.28515625" customWidth="1"/>
    <col min="3" max="3" width="3.5703125" customWidth="1"/>
    <col min="4" max="4" width="5.85546875" customWidth="1"/>
    <col min="5" max="5" width="32.140625" customWidth="1"/>
    <col min="6" max="6" width="15.140625" customWidth="1"/>
    <col min="7" max="7" width="19.5703125" customWidth="1"/>
    <col min="8" max="8" width="19.140625" customWidth="1"/>
    <col min="9" max="9" width="10" customWidth="1"/>
    <col min="10" max="10" width="14.28515625" bestFit="1" customWidth="1"/>
    <col min="11" max="27" width="10" customWidth="1"/>
  </cols>
  <sheetData>
    <row r="1" spans="2:12" ht="33" customHeight="1">
      <c r="B1" s="211" t="s">
        <v>24</v>
      </c>
      <c r="C1" s="204"/>
      <c r="D1" s="204"/>
      <c r="E1" s="204"/>
      <c r="F1" s="204"/>
      <c r="G1" s="204"/>
      <c r="H1" s="204"/>
    </row>
    <row r="2" spans="2:12" ht="15.75" customHeight="1">
      <c r="B2" s="212" t="s">
        <v>0</v>
      </c>
      <c r="C2" s="206"/>
      <c r="D2" s="206"/>
      <c r="E2" s="206"/>
      <c r="F2" s="206"/>
      <c r="G2" s="206"/>
      <c r="H2" s="206"/>
    </row>
    <row r="3" spans="2:12" ht="18.75" customHeight="1">
      <c r="B3" s="1"/>
      <c r="C3" s="26"/>
      <c r="D3" s="26"/>
      <c r="E3" s="26"/>
      <c r="F3" s="26"/>
      <c r="G3" s="26"/>
      <c r="H3" s="26"/>
    </row>
    <row r="4" spans="2:12" ht="19.5" customHeight="1">
      <c r="B4" s="213" t="s">
        <v>1</v>
      </c>
      <c r="C4" s="214"/>
      <c r="D4" s="214"/>
      <c r="E4" s="215"/>
      <c r="F4" s="218" t="s">
        <v>25</v>
      </c>
      <c r="G4" s="200"/>
      <c r="H4" s="219" t="s">
        <v>2</v>
      </c>
      <c r="J4" s="106" t="s">
        <v>84</v>
      </c>
    </row>
    <row r="5" spans="2:12" ht="15" customHeight="1">
      <c r="B5" s="216"/>
      <c r="C5" s="217"/>
      <c r="D5" s="217"/>
      <c r="E5" s="210"/>
      <c r="F5" s="27" t="s">
        <v>26</v>
      </c>
      <c r="G5" s="27" t="s">
        <v>27</v>
      </c>
      <c r="H5" s="220"/>
    </row>
    <row r="6" spans="2:12" ht="14.25" customHeight="1">
      <c r="B6" s="27" t="s">
        <v>3</v>
      </c>
      <c r="C6" s="221" t="s">
        <v>28</v>
      </c>
      <c r="D6" s="222"/>
      <c r="E6" s="200"/>
      <c r="F6" s="28">
        <f>F39+F40</f>
        <v>1226.8508313599998</v>
      </c>
      <c r="G6" s="28">
        <f>G39+G40</f>
        <v>0</v>
      </c>
      <c r="H6" s="29">
        <f t="shared" ref="H6" si="0">H39+H40</f>
        <v>1226.8508313599998</v>
      </c>
      <c r="J6" s="30"/>
      <c r="K6" s="30"/>
      <c r="L6" s="31"/>
    </row>
    <row r="7" spans="2:12" ht="15" customHeight="1">
      <c r="B7" s="32"/>
      <c r="C7" s="27">
        <v>1</v>
      </c>
      <c r="D7" s="221" t="s">
        <v>29</v>
      </c>
      <c r="E7" s="200"/>
      <c r="F7" s="33">
        <v>0</v>
      </c>
      <c r="G7" s="33"/>
      <c r="H7" s="34">
        <f t="shared" ref="H7:H40" si="1">SUM(F7:G7)</f>
        <v>0</v>
      </c>
      <c r="J7" s="35"/>
      <c r="L7" s="36"/>
    </row>
    <row r="8" spans="2:12" ht="15" customHeight="1">
      <c r="B8" s="32"/>
      <c r="C8" s="27">
        <v>2</v>
      </c>
      <c r="D8" s="223" t="s">
        <v>30</v>
      </c>
      <c r="E8" s="200"/>
      <c r="F8" s="34">
        <f>SUM(F9:F10)</f>
        <v>0</v>
      </c>
      <c r="G8" s="34">
        <f t="shared" ref="G8" si="2">SUM(G9)</f>
        <v>0</v>
      </c>
      <c r="H8" s="34">
        <f t="shared" si="1"/>
        <v>0</v>
      </c>
      <c r="L8" s="36"/>
    </row>
    <row r="9" spans="2:12" ht="15" customHeight="1">
      <c r="B9" s="32"/>
      <c r="C9" s="32"/>
      <c r="D9" s="32">
        <v>2.1</v>
      </c>
      <c r="E9" s="37" t="s">
        <v>155</v>
      </c>
      <c r="F9" s="38">
        <v>0</v>
      </c>
      <c r="G9" s="38"/>
      <c r="H9" s="39">
        <f t="shared" si="1"/>
        <v>0</v>
      </c>
    </row>
    <row r="10" spans="2:12" ht="15" customHeight="1">
      <c r="B10" s="32"/>
      <c r="C10" s="32"/>
      <c r="D10" s="32"/>
      <c r="E10" s="37"/>
      <c r="F10" s="38">
        <v>0</v>
      </c>
      <c r="G10" s="38"/>
      <c r="H10" s="39">
        <f t="shared" si="1"/>
        <v>0</v>
      </c>
    </row>
    <row r="11" spans="2:12" ht="15" customHeight="1">
      <c r="B11" s="32"/>
      <c r="C11" s="27">
        <v>3</v>
      </c>
      <c r="D11" s="221" t="s">
        <v>31</v>
      </c>
      <c r="E11" s="200"/>
      <c r="F11" s="34">
        <f>SUM(F12:F19)</f>
        <v>0</v>
      </c>
      <c r="G11" s="34">
        <f>SUM(G12:G19)</f>
        <v>0</v>
      </c>
      <c r="H11" s="34">
        <f t="shared" si="1"/>
        <v>0</v>
      </c>
    </row>
    <row r="12" spans="2:12" ht="15" customHeight="1">
      <c r="B12" s="32"/>
      <c r="C12" s="32"/>
      <c r="D12" s="164">
        <v>3.1</v>
      </c>
      <c r="E12" s="165" t="s">
        <v>156</v>
      </c>
      <c r="F12" s="38"/>
      <c r="G12" s="38"/>
      <c r="H12" s="39"/>
    </row>
    <row r="13" spans="2:12" ht="15" customHeight="1">
      <c r="B13" s="32"/>
      <c r="C13" s="32"/>
      <c r="D13" s="164">
        <v>3.2</v>
      </c>
      <c r="E13" s="165" t="s">
        <v>157</v>
      </c>
      <c r="F13" s="38"/>
      <c r="G13" s="38"/>
      <c r="H13" s="39"/>
    </row>
    <row r="14" spans="2:12" ht="15" customHeight="1">
      <c r="B14" s="32"/>
      <c r="C14" s="32"/>
      <c r="D14" s="164">
        <v>3.3</v>
      </c>
      <c r="E14" s="165" t="s">
        <v>158</v>
      </c>
      <c r="F14" s="38"/>
      <c r="G14" s="38"/>
      <c r="H14" s="39"/>
    </row>
    <row r="15" spans="2:12" ht="15" customHeight="1">
      <c r="B15" s="32"/>
      <c r="C15" s="32"/>
      <c r="D15" s="164">
        <v>3.4</v>
      </c>
      <c r="E15" s="165" t="s">
        <v>159</v>
      </c>
      <c r="F15" s="38"/>
      <c r="G15" s="38"/>
      <c r="H15" s="39"/>
    </row>
    <row r="16" spans="2:12" ht="15" customHeight="1">
      <c r="B16" s="32"/>
      <c r="C16" s="32"/>
      <c r="D16" s="164">
        <v>3.5</v>
      </c>
      <c r="E16" s="165" t="s">
        <v>160</v>
      </c>
      <c r="F16" s="38"/>
      <c r="G16" s="38"/>
      <c r="H16" s="39"/>
    </row>
    <row r="17" spans="2:8" ht="15" customHeight="1">
      <c r="B17" s="32"/>
      <c r="C17" s="32"/>
      <c r="D17" s="164">
        <v>3.6</v>
      </c>
      <c r="E17" s="165" t="s">
        <v>161</v>
      </c>
      <c r="F17" s="38"/>
      <c r="G17" s="38"/>
      <c r="H17" s="39"/>
    </row>
    <row r="18" spans="2:8" ht="15" customHeight="1">
      <c r="B18" s="32"/>
      <c r="C18" s="32"/>
      <c r="D18" s="164">
        <v>3.7</v>
      </c>
      <c r="E18" s="166" t="s">
        <v>162</v>
      </c>
      <c r="F18" s="38"/>
      <c r="G18" s="38"/>
      <c r="H18" s="39"/>
    </row>
    <row r="19" spans="2:8" ht="15" customHeight="1">
      <c r="B19" s="32"/>
      <c r="C19" s="32"/>
      <c r="D19" s="32"/>
      <c r="E19" s="40"/>
      <c r="F19" s="38"/>
      <c r="G19" s="38"/>
      <c r="H19" s="39">
        <f t="shared" si="1"/>
        <v>0</v>
      </c>
    </row>
    <row r="20" spans="2:8" ht="15" customHeight="1">
      <c r="B20" s="32"/>
      <c r="C20" s="27">
        <v>4</v>
      </c>
      <c r="D20" s="224" t="s">
        <v>97</v>
      </c>
      <c r="E20" s="200"/>
      <c r="F20" s="34">
        <f>SUM(F21:F24)</f>
        <v>997.92</v>
      </c>
      <c r="G20" s="34">
        <f>SUM(G21:G24)</f>
        <v>0</v>
      </c>
      <c r="H20" s="34">
        <f t="shared" si="1"/>
        <v>997.92</v>
      </c>
    </row>
    <row r="21" spans="2:8" ht="15" customHeight="1">
      <c r="B21" s="32"/>
      <c r="C21" s="27"/>
      <c r="D21" s="41">
        <v>4.0999999999999996</v>
      </c>
      <c r="E21" s="42" t="s">
        <v>86</v>
      </c>
      <c r="F21" s="43">
        <v>324</v>
      </c>
      <c r="G21" s="43"/>
      <c r="H21" s="39">
        <f t="shared" si="1"/>
        <v>324</v>
      </c>
    </row>
    <row r="22" spans="2:8" ht="15" customHeight="1">
      <c r="B22" s="32"/>
      <c r="C22" s="27"/>
      <c r="D22" s="41">
        <v>4.2</v>
      </c>
      <c r="E22" s="42" t="s">
        <v>89</v>
      </c>
      <c r="F22" s="43">
        <v>388.8</v>
      </c>
      <c r="G22" s="43"/>
      <c r="H22" s="39">
        <f t="shared" si="1"/>
        <v>388.8</v>
      </c>
    </row>
    <row r="23" spans="2:8" ht="15" customHeight="1">
      <c r="B23" s="32"/>
      <c r="C23" s="27"/>
      <c r="D23" s="41">
        <v>4.3</v>
      </c>
      <c r="E23" s="42" t="s">
        <v>87</v>
      </c>
      <c r="F23" s="43">
        <v>155.52000000000001</v>
      </c>
      <c r="G23" s="43"/>
      <c r="H23" s="39">
        <f t="shared" si="1"/>
        <v>155.52000000000001</v>
      </c>
    </row>
    <row r="24" spans="2:8" ht="15" customHeight="1">
      <c r="B24" s="32"/>
      <c r="C24" s="27"/>
      <c r="D24" s="41">
        <v>4.4000000000000004</v>
      </c>
      <c r="E24" s="42" t="s">
        <v>88</v>
      </c>
      <c r="F24" s="43">
        <v>129.6</v>
      </c>
      <c r="G24" s="43"/>
      <c r="H24" s="39">
        <f t="shared" si="1"/>
        <v>129.6</v>
      </c>
    </row>
    <row r="25" spans="2:8" ht="15" customHeight="1">
      <c r="B25" s="32"/>
      <c r="C25" s="27">
        <v>5</v>
      </c>
      <c r="D25" s="225" t="s">
        <v>90</v>
      </c>
      <c r="E25" s="200"/>
      <c r="F25" s="34">
        <f>SUM(F26:F28)</f>
        <v>193.19731200000001</v>
      </c>
      <c r="G25" s="34">
        <f>SUM(G26:G28)</f>
        <v>0</v>
      </c>
      <c r="H25" s="34">
        <f t="shared" si="1"/>
        <v>193.19731200000001</v>
      </c>
    </row>
    <row r="26" spans="2:8" ht="15" customHeight="1">
      <c r="B26" s="32"/>
      <c r="C26" s="32"/>
      <c r="D26" s="32">
        <v>5.0999999999999996</v>
      </c>
      <c r="E26" s="42" t="s">
        <v>91</v>
      </c>
      <c r="F26" s="38">
        <f>+F20*0.1136</f>
        <v>113.36371200000001</v>
      </c>
      <c r="G26" s="38"/>
      <c r="H26" s="39">
        <f t="shared" si="1"/>
        <v>113.36371200000001</v>
      </c>
    </row>
    <row r="27" spans="2:8" ht="15" customHeight="1">
      <c r="B27" s="32"/>
      <c r="C27" s="32"/>
      <c r="D27" s="32">
        <v>5.2</v>
      </c>
      <c r="E27" s="42" t="s">
        <v>92</v>
      </c>
      <c r="F27" s="38">
        <f>+F20*0.03</f>
        <v>29.937599999999996</v>
      </c>
      <c r="G27" s="38"/>
      <c r="H27" s="39">
        <f t="shared" si="1"/>
        <v>29.937599999999996</v>
      </c>
    </row>
    <row r="28" spans="2:8" ht="15" customHeight="1">
      <c r="B28" s="32"/>
      <c r="C28" s="32"/>
      <c r="D28" s="32">
        <v>5.3</v>
      </c>
      <c r="E28" s="42" t="s">
        <v>93</v>
      </c>
      <c r="F28" s="38">
        <f>+F20*0.05</f>
        <v>49.896000000000001</v>
      </c>
      <c r="G28" s="38"/>
      <c r="H28" s="39">
        <f t="shared" si="1"/>
        <v>49.896000000000001</v>
      </c>
    </row>
    <row r="29" spans="2:8" ht="15" customHeight="1">
      <c r="B29" s="32"/>
      <c r="C29" s="27">
        <v>6</v>
      </c>
      <c r="D29" s="224" t="s">
        <v>32</v>
      </c>
      <c r="E29" s="226"/>
      <c r="F29" s="34">
        <f t="shared" ref="F29:G29" si="3">SUM(F30:F31)</f>
        <v>0</v>
      </c>
      <c r="G29" s="34">
        <f t="shared" si="3"/>
        <v>0</v>
      </c>
      <c r="H29" s="34">
        <f t="shared" ref="H29:H38" si="4">SUM(F29:G29)</f>
        <v>0</v>
      </c>
    </row>
    <row r="30" spans="2:8" ht="15" customHeight="1">
      <c r="B30" s="32"/>
      <c r="C30" s="32"/>
      <c r="D30" s="32">
        <v>6.1</v>
      </c>
      <c r="E30" s="40"/>
      <c r="F30" s="38"/>
      <c r="G30" s="38"/>
      <c r="H30" s="39">
        <f t="shared" si="4"/>
        <v>0</v>
      </c>
    </row>
    <row r="31" spans="2:8" ht="15" customHeight="1">
      <c r="B31" s="32"/>
      <c r="C31" s="32"/>
      <c r="D31" s="32">
        <v>6.2</v>
      </c>
      <c r="E31" s="40"/>
      <c r="F31" s="38"/>
      <c r="G31" s="38"/>
      <c r="H31" s="39">
        <f t="shared" si="4"/>
        <v>0</v>
      </c>
    </row>
    <row r="32" spans="2:8" ht="15" customHeight="1">
      <c r="B32" s="32"/>
      <c r="C32" s="27">
        <v>7</v>
      </c>
      <c r="D32" s="224" t="s">
        <v>33</v>
      </c>
      <c r="E32" s="226"/>
      <c r="F32" s="34">
        <f t="shared" ref="F32:G32" si="5">SUM(F33:F34)</f>
        <v>0</v>
      </c>
      <c r="G32" s="34">
        <f t="shared" si="5"/>
        <v>0</v>
      </c>
      <c r="H32" s="34">
        <f t="shared" si="4"/>
        <v>0</v>
      </c>
    </row>
    <row r="33" spans="2:27" ht="15" customHeight="1">
      <c r="B33" s="32"/>
      <c r="C33" s="32"/>
      <c r="D33" s="32">
        <v>7.1</v>
      </c>
      <c r="E33" s="44"/>
      <c r="F33" s="38"/>
      <c r="G33" s="38"/>
      <c r="H33" s="39">
        <f t="shared" si="4"/>
        <v>0</v>
      </c>
    </row>
    <row r="34" spans="2:27" ht="15" customHeight="1">
      <c r="B34" s="32"/>
      <c r="C34" s="32"/>
      <c r="D34" s="32">
        <v>7.2</v>
      </c>
      <c r="E34" s="45"/>
      <c r="F34" s="38"/>
      <c r="G34" s="38"/>
      <c r="H34" s="39">
        <f t="shared" si="4"/>
        <v>0</v>
      </c>
    </row>
    <row r="35" spans="2:27" ht="15" customHeight="1">
      <c r="B35" s="32"/>
      <c r="C35" s="27">
        <v>8</v>
      </c>
      <c r="D35" s="225" t="s">
        <v>34</v>
      </c>
      <c r="E35" s="226"/>
      <c r="F35" s="34">
        <f t="shared" ref="F35:G35" si="6">SUM(F36:F38)</f>
        <v>0</v>
      </c>
      <c r="G35" s="34">
        <f t="shared" si="6"/>
        <v>0</v>
      </c>
      <c r="H35" s="34">
        <f t="shared" si="4"/>
        <v>0</v>
      </c>
    </row>
    <row r="36" spans="2:27" ht="15" customHeight="1">
      <c r="B36" s="32"/>
      <c r="C36" s="32"/>
      <c r="D36" s="32">
        <v>8.1</v>
      </c>
      <c r="E36" s="40"/>
      <c r="F36" s="38"/>
      <c r="G36" s="46"/>
      <c r="H36" s="39">
        <f t="shared" si="4"/>
        <v>0</v>
      </c>
    </row>
    <row r="37" spans="2:27" ht="15" customHeight="1">
      <c r="B37" s="32"/>
      <c r="C37" s="32"/>
      <c r="D37" s="32">
        <v>8.1999999999999993</v>
      </c>
      <c r="E37" s="40"/>
      <c r="F37" s="38"/>
      <c r="G37" s="47"/>
      <c r="H37" s="39">
        <f t="shared" si="4"/>
        <v>0</v>
      </c>
    </row>
    <row r="38" spans="2:27" ht="15" customHeight="1">
      <c r="B38" s="32"/>
      <c r="C38" s="32"/>
      <c r="D38" s="32">
        <v>8.3000000000000007</v>
      </c>
      <c r="E38" s="40"/>
      <c r="F38" s="38"/>
      <c r="G38" s="47"/>
      <c r="H38" s="39">
        <f t="shared" si="4"/>
        <v>0</v>
      </c>
    </row>
    <row r="39" spans="2:27" ht="15" customHeight="1">
      <c r="B39" s="32"/>
      <c r="C39" s="224" t="s">
        <v>35</v>
      </c>
      <c r="D39" s="222"/>
      <c r="E39" s="200"/>
      <c r="F39" s="34">
        <f>+F7+F8+F11+F20+F25+F29+F32+F35</f>
        <v>1191.1173119999999</v>
      </c>
      <c r="G39" s="34">
        <f>+G7+G8+G11+G20+G25+G29+G32+G35</f>
        <v>0</v>
      </c>
      <c r="H39" s="34">
        <f>+H7+H8+H11+H20+H25+H29+H32+H35</f>
        <v>1191.1173119999999</v>
      </c>
    </row>
    <row r="40" spans="2:27" ht="15" customHeight="1">
      <c r="B40" s="32"/>
      <c r="C40" s="27">
        <v>6</v>
      </c>
      <c r="D40" s="224" t="s">
        <v>36</v>
      </c>
      <c r="E40" s="200"/>
      <c r="F40" s="48">
        <f t="shared" ref="F40" si="7">F39*0.03</f>
        <v>35.733519359999995</v>
      </c>
      <c r="G40" s="48">
        <f>G39*0.03</f>
        <v>0</v>
      </c>
      <c r="H40" s="39">
        <f t="shared" si="1"/>
        <v>35.733519359999995</v>
      </c>
    </row>
    <row r="41" spans="2:27" ht="15" customHeight="1">
      <c r="B41" s="32"/>
      <c r="C41" s="27"/>
      <c r="D41" s="49"/>
      <c r="E41" s="49"/>
      <c r="F41" s="50"/>
      <c r="G41" s="33"/>
      <c r="H41" s="3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4.25" customHeight="1">
      <c r="B42" s="27" t="s">
        <v>13</v>
      </c>
      <c r="C42" s="224" t="s">
        <v>14</v>
      </c>
      <c r="D42" s="222"/>
      <c r="E42" s="200"/>
      <c r="F42" s="28">
        <f>SUM(F43+F45+F50+F53+F56+F59+F63)</f>
        <v>0</v>
      </c>
      <c r="G42" s="28">
        <f>SUM(G43+G45+G50+G53+G56+G59+G63)</f>
        <v>0</v>
      </c>
      <c r="H42" s="28">
        <f>SUM(H43+H45+H50+H53+H56+H59+H63)</f>
        <v>0</v>
      </c>
      <c r="J42" s="35"/>
      <c r="L42" s="31"/>
    </row>
    <row r="43" spans="2:27" ht="15" customHeight="1">
      <c r="B43" s="32"/>
      <c r="C43" s="27">
        <v>1</v>
      </c>
      <c r="D43" s="224" t="s">
        <v>85</v>
      </c>
      <c r="E43" s="200"/>
      <c r="F43" s="34">
        <f>SUM(F44:F44)</f>
        <v>0</v>
      </c>
      <c r="G43" s="34">
        <f>SUM(G44:G44)</f>
        <v>0</v>
      </c>
      <c r="H43" s="34">
        <f t="shared" ref="H43:H63" si="8">SUM(F43:G43)</f>
        <v>0</v>
      </c>
      <c r="L43" s="31"/>
    </row>
    <row r="44" spans="2:27" ht="15" customHeight="1">
      <c r="B44" s="32"/>
      <c r="C44" s="32"/>
      <c r="D44" s="32">
        <v>1.1000000000000001</v>
      </c>
      <c r="E44" s="42" t="s">
        <v>39</v>
      </c>
      <c r="F44" s="38">
        <f>+F7*0.1</f>
        <v>0</v>
      </c>
      <c r="G44" s="38"/>
      <c r="H44" s="39">
        <f t="shared" si="8"/>
        <v>0</v>
      </c>
      <c r="L44" s="31"/>
    </row>
    <row r="45" spans="2:27" ht="15" customHeight="1">
      <c r="B45" s="32"/>
      <c r="C45" s="27">
        <v>2</v>
      </c>
      <c r="D45" s="224" t="s">
        <v>37</v>
      </c>
      <c r="E45" s="200"/>
      <c r="F45" s="34">
        <f t="shared" ref="F45:G45" si="9">SUM(F46:F49)</f>
        <v>0</v>
      </c>
      <c r="G45" s="34">
        <f t="shared" si="9"/>
        <v>0</v>
      </c>
      <c r="H45" s="34">
        <f t="shared" si="8"/>
        <v>0</v>
      </c>
    </row>
    <row r="46" spans="2:27" ht="15" customHeight="1">
      <c r="B46" s="32"/>
      <c r="C46" s="32"/>
      <c r="D46" s="32">
        <v>2.1</v>
      </c>
      <c r="E46" s="42" t="s">
        <v>163</v>
      </c>
      <c r="F46" s="38">
        <f>+SUM(F7,F8,F11)*0.1</f>
        <v>0</v>
      </c>
      <c r="G46" s="38"/>
      <c r="H46" s="39">
        <f t="shared" si="8"/>
        <v>0</v>
      </c>
    </row>
    <row r="47" spans="2:27" ht="15" customHeight="1">
      <c r="B47" s="32"/>
      <c r="C47" s="32"/>
      <c r="D47" s="32">
        <v>2.2000000000000002</v>
      </c>
      <c r="E47" s="42" t="s">
        <v>38</v>
      </c>
      <c r="F47" s="38"/>
      <c r="G47" s="38"/>
      <c r="H47" s="39">
        <f t="shared" si="8"/>
        <v>0</v>
      </c>
    </row>
    <row r="48" spans="2:27" ht="15" customHeight="1">
      <c r="B48" s="32"/>
      <c r="C48" s="32"/>
      <c r="D48" s="32">
        <v>2.2999999999999998</v>
      </c>
      <c r="E48" s="42" t="s">
        <v>39</v>
      </c>
      <c r="F48" s="38"/>
      <c r="G48" s="38"/>
      <c r="H48" s="39">
        <f t="shared" si="8"/>
        <v>0</v>
      </c>
    </row>
    <row r="49" spans="2:10" ht="15" customHeight="1">
      <c r="B49" s="32"/>
      <c r="C49" s="32"/>
      <c r="D49" s="32">
        <v>2.4</v>
      </c>
      <c r="E49" s="42" t="s">
        <v>40</v>
      </c>
      <c r="F49" s="38">
        <f>+SUM(F46:F48)*0.1</f>
        <v>0</v>
      </c>
      <c r="G49" s="38"/>
      <c r="H49" s="39">
        <f t="shared" si="8"/>
        <v>0</v>
      </c>
    </row>
    <row r="50" spans="2:10" ht="25.5" customHeight="1">
      <c r="B50" s="32"/>
      <c r="C50" s="27">
        <v>3</v>
      </c>
      <c r="D50" s="225" t="s">
        <v>41</v>
      </c>
      <c r="E50" s="200"/>
      <c r="F50" s="34">
        <f t="shared" ref="F50:G50" si="10">SUM(F51:F52)</f>
        <v>0</v>
      </c>
      <c r="G50" s="34">
        <f t="shared" si="10"/>
        <v>0</v>
      </c>
      <c r="H50" s="34">
        <f t="shared" si="8"/>
        <v>0</v>
      </c>
    </row>
    <row r="51" spans="2:10" ht="15" customHeight="1">
      <c r="B51" s="32"/>
      <c r="C51" s="32"/>
      <c r="D51" s="32">
        <v>3.1</v>
      </c>
      <c r="E51" s="42" t="s">
        <v>42</v>
      </c>
      <c r="F51" s="38"/>
      <c r="G51" s="38"/>
      <c r="H51" s="39">
        <f t="shared" si="8"/>
        <v>0</v>
      </c>
    </row>
    <row r="52" spans="2:10" ht="21.75" customHeight="1">
      <c r="B52" s="32"/>
      <c r="C52" s="32"/>
      <c r="D52" s="32">
        <v>3.2</v>
      </c>
      <c r="E52" s="42" t="s">
        <v>43</v>
      </c>
      <c r="F52" s="38"/>
      <c r="G52" s="38"/>
      <c r="H52" s="39">
        <f t="shared" si="8"/>
        <v>0</v>
      </c>
    </row>
    <row r="53" spans="2:10" ht="15" customHeight="1">
      <c r="B53" s="32"/>
      <c r="C53" s="27">
        <v>4</v>
      </c>
      <c r="D53" s="224" t="s">
        <v>44</v>
      </c>
      <c r="E53" s="200"/>
      <c r="F53" s="34">
        <f t="shared" ref="F53:G53" si="11">SUM(F54:F55)</f>
        <v>0</v>
      </c>
      <c r="G53" s="34">
        <f t="shared" si="11"/>
        <v>0</v>
      </c>
      <c r="H53" s="34">
        <f t="shared" si="8"/>
        <v>0</v>
      </c>
    </row>
    <row r="54" spans="2:10" ht="15" customHeight="1">
      <c r="B54" s="32"/>
      <c r="C54" s="32"/>
      <c r="D54" s="32">
        <v>4.0999999999999996</v>
      </c>
      <c r="E54" s="42" t="s">
        <v>94</v>
      </c>
      <c r="F54" s="38">
        <f>+SUM(F7:F8)*0.03</f>
        <v>0</v>
      </c>
      <c r="G54" s="38"/>
      <c r="H54" s="39">
        <f t="shared" si="8"/>
        <v>0</v>
      </c>
    </row>
    <row r="55" spans="2:10" ht="15" customHeight="1">
      <c r="B55" s="32"/>
      <c r="C55" s="32"/>
      <c r="D55" s="32">
        <v>4.2</v>
      </c>
      <c r="E55" s="42" t="s">
        <v>45</v>
      </c>
      <c r="F55" s="38"/>
      <c r="G55" s="38"/>
      <c r="H55" s="39">
        <f t="shared" si="8"/>
        <v>0</v>
      </c>
    </row>
    <row r="56" spans="2:10" ht="15" customHeight="1">
      <c r="B56" s="32"/>
      <c r="C56" s="27">
        <v>5</v>
      </c>
      <c r="D56" s="224" t="s">
        <v>46</v>
      </c>
      <c r="E56" s="200"/>
      <c r="F56" s="51">
        <f t="shared" ref="F56:G56" si="12">SUM(F57:F58)</f>
        <v>0</v>
      </c>
      <c r="G56" s="51">
        <f t="shared" si="12"/>
        <v>0</v>
      </c>
      <c r="H56" s="34">
        <f t="shared" si="8"/>
        <v>0</v>
      </c>
    </row>
    <row r="57" spans="2:10" ht="15" customHeight="1">
      <c r="B57" s="32"/>
      <c r="C57" s="32"/>
      <c r="D57" s="32">
        <v>5.0999999999999996</v>
      </c>
      <c r="E57" s="42" t="s">
        <v>47</v>
      </c>
      <c r="F57" s="52"/>
      <c r="G57" s="52"/>
      <c r="H57" s="39">
        <f t="shared" si="8"/>
        <v>0</v>
      </c>
    </row>
    <row r="58" spans="2:10" ht="15" customHeight="1">
      <c r="B58" s="32"/>
      <c r="C58" s="32"/>
      <c r="D58" s="32">
        <v>5.2</v>
      </c>
      <c r="E58" s="42" t="s">
        <v>48</v>
      </c>
      <c r="F58" s="52"/>
      <c r="G58" s="52"/>
      <c r="H58" s="39">
        <f t="shared" si="8"/>
        <v>0</v>
      </c>
    </row>
    <row r="59" spans="2:10" ht="15" customHeight="1">
      <c r="B59" s="32"/>
      <c r="C59" s="27">
        <v>6</v>
      </c>
      <c r="D59" s="224" t="s">
        <v>49</v>
      </c>
      <c r="E59" s="200"/>
      <c r="F59" s="51">
        <f t="shared" ref="F59:G59" si="13">SUM(F60:F62)</f>
        <v>0</v>
      </c>
      <c r="G59" s="51">
        <f t="shared" si="13"/>
        <v>0</v>
      </c>
      <c r="H59" s="34">
        <f t="shared" si="8"/>
        <v>0</v>
      </c>
    </row>
    <row r="60" spans="2:10" ht="15" customHeight="1">
      <c r="B60" s="32"/>
      <c r="C60" s="32"/>
      <c r="D60" s="32">
        <v>6.1</v>
      </c>
      <c r="E60" s="42" t="s">
        <v>50</v>
      </c>
      <c r="F60" s="53"/>
      <c r="G60" s="53"/>
      <c r="H60" s="39">
        <f t="shared" si="8"/>
        <v>0</v>
      </c>
    </row>
    <row r="61" spans="2:10" ht="15" customHeight="1">
      <c r="B61" s="32"/>
      <c r="C61" s="32"/>
      <c r="D61" s="32">
        <v>6.2</v>
      </c>
      <c r="E61" s="42" t="s">
        <v>51</v>
      </c>
      <c r="F61" s="52"/>
      <c r="G61" s="52"/>
      <c r="H61" s="39">
        <f t="shared" si="8"/>
        <v>0</v>
      </c>
    </row>
    <row r="62" spans="2:10" ht="15" customHeight="1">
      <c r="B62" s="32"/>
      <c r="C62" s="32"/>
      <c r="D62" s="32">
        <v>6.3</v>
      </c>
      <c r="E62" s="42" t="s">
        <v>52</v>
      </c>
      <c r="F62" s="52"/>
      <c r="G62" s="52"/>
      <c r="H62" s="39">
        <f t="shared" si="8"/>
        <v>0</v>
      </c>
    </row>
    <row r="63" spans="2:10" ht="15" customHeight="1">
      <c r="B63" s="32"/>
      <c r="C63" s="27">
        <v>7</v>
      </c>
      <c r="D63" s="224" t="s">
        <v>53</v>
      </c>
      <c r="E63" s="200"/>
      <c r="F63" s="54"/>
      <c r="G63" s="54"/>
      <c r="H63" s="34">
        <f t="shared" si="8"/>
        <v>0</v>
      </c>
    </row>
    <row r="64" spans="2:10" ht="14.25" customHeight="1">
      <c r="B64" s="27" t="s">
        <v>22</v>
      </c>
      <c r="C64" s="224" t="s">
        <v>54</v>
      </c>
      <c r="D64" s="222"/>
      <c r="E64" s="200"/>
      <c r="F64" s="28">
        <f>SUM(F6+F42)</f>
        <v>1226.8508313599998</v>
      </c>
      <c r="G64" s="28">
        <f>SUM(G6+G42)</f>
        <v>0</v>
      </c>
      <c r="H64" s="28">
        <f>SUM(H6+H42)</f>
        <v>1226.8508313599998</v>
      </c>
      <c r="J64" s="55">
        <f>H64*1000</f>
        <v>1226850.8313599997</v>
      </c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25">
    <mergeCell ref="D59:E59"/>
    <mergeCell ref="D63:E63"/>
    <mergeCell ref="C64:E64"/>
    <mergeCell ref="C39:E39"/>
    <mergeCell ref="D40:E40"/>
    <mergeCell ref="C42:E42"/>
    <mergeCell ref="D43:E43"/>
    <mergeCell ref="D45:E45"/>
    <mergeCell ref="D50:E50"/>
    <mergeCell ref="D53:E53"/>
    <mergeCell ref="D25:E25"/>
    <mergeCell ref="D29:E29"/>
    <mergeCell ref="D32:E32"/>
    <mergeCell ref="D35:E35"/>
    <mergeCell ref="D56:E56"/>
    <mergeCell ref="C6:E6"/>
    <mergeCell ref="D7:E7"/>
    <mergeCell ref="D8:E8"/>
    <mergeCell ref="D11:E11"/>
    <mergeCell ref="D20:E20"/>
    <mergeCell ref="B1:H1"/>
    <mergeCell ref="B2:H2"/>
    <mergeCell ref="B4:E5"/>
    <mergeCell ref="F4:G4"/>
    <mergeCell ref="H4:H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2"/>
  <sheetViews>
    <sheetView zoomScale="90" zoomScaleNormal="90" workbookViewId="0">
      <selection activeCell="F28" sqref="F28"/>
    </sheetView>
  </sheetViews>
  <sheetFormatPr baseColWidth="10" defaultColWidth="14.42578125" defaultRowHeight="15" customHeight="1"/>
  <cols>
    <col min="1" max="1" width="4.28515625" customWidth="1"/>
    <col min="2" max="2" width="3.7109375" customWidth="1"/>
    <col min="3" max="3" width="46.5703125" customWidth="1"/>
    <col min="4" max="5" width="6.85546875" customWidth="1"/>
    <col min="6" max="6" width="17.28515625" customWidth="1"/>
    <col min="7" max="7" width="17.5703125" customWidth="1"/>
    <col min="8" max="8" width="17.28515625" customWidth="1"/>
    <col min="9" max="9" width="17.5703125" customWidth="1"/>
    <col min="10" max="23" width="10" customWidth="1"/>
  </cols>
  <sheetData>
    <row r="1" spans="1:9" ht="15.75" customHeight="1">
      <c r="A1" s="229" t="s">
        <v>96</v>
      </c>
      <c r="B1" s="206"/>
      <c r="C1" s="206"/>
      <c r="D1" s="206"/>
      <c r="E1" s="206"/>
      <c r="F1" s="206"/>
      <c r="G1" s="206"/>
      <c r="H1" s="206"/>
      <c r="I1" s="206"/>
    </row>
    <row r="2" spans="1:9" ht="15.75" customHeight="1">
      <c r="A2" s="229" t="s">
        <v>0</v>
      </c>
      <c r="B2" s="206"/>
      <c r="C2" s="206"/>
      <c r="D2" s="206"/>
      <c r="E2" s="206"/>
      <c r="F2" s="206"/>
      <c r="G2" s="206"/>
      <c r="H2" s="206"/>
      <c r="I2" s="206"/>
    </row>
    <row r="3" spans="1:9" ht="16.5" customHeight="1" thickBot="1">
      <c r="A3" s="62"/>
      <c r="B3" s="63"/>
      <c r="C3" s="63"/>
      <c r="D3" s="63"/>
      <c r="E3" s="63"/>
      <c r="F3" s="63"/>
      <c r="G3" s="63"/>
      <c r="H3" s="63"/>
      <c r="I3" s="63"/>
    </row>
    <row r="4" spans="1:9" ht="15.75" customHeight="1">
      <c r="A4" s="230"/>
      <c r="B4" s="231"/>
      <c r="C4" s="232"/>
      <c r="D4" s="233" t="s">
        <v>55</v>
      </c>
      <c r="E4" s="232"/>
      <c r="F4" s="241" t="s">
        <v>102</v>
      </c>
      <c r="G4" s="242"/>
      <c r="H4" s="242"/>
      <c r="I4" s="242"/>
    </row>
    <row r="5" spans="1:9" ht="15.75" customHeight="1">
      <c r="A5" s="234" t="s">
        <v>1</v>
      </c>
      <c r="B5" s="206"/>
      <c r="C5" s="235"/>
      <c r="D5" s="216"/>
      <c r="E5" s="210"/>
      <c r="F5" s="64">
        <v>0</v>
      </c>
      <c r="G5" s="65">
        <v>0.03</v>
      </c>
      <c r="H5" s="65">
        <v>0.03</v>
      </c>
      <c r="I5" s="65">
        <v>0.03</v>
      </c>
    </row>
    <row r="6" spans="1:9" ht="16.5" customHeight="1" thickBot="1">
      <c r="A6" s="236"/>
      <c r="B6" s="237"/>
      <c r="C6" s="238"/>
      <c r="D6" s="66">
        <v>1</v>
      </c>
      <c r="E6" s="66">
        <v>2</v>
      </c>
      <c r="F6" s="66">
        <v>3</v>
      </c>
      <c r="G6" s="66">
        <v>4</v>
      </c>
      <c r="H6" s="66">
        <v>5</v>
      </c>
      <c r="I6" s="66">
        <v>6</v>
      </c>
    </row>
    <row r="7" spans="1:9" ht="15" customHeight="1">
      <c r="A7" s="67" t="s">
        <v>3</v>
      </c>
      <c r="B7" s="239" t="s">
        <v>59</v>
      </c>
      <c r="C7" s="210"/>
      <c r="D7" s="68"/>
      <c r="E7" s="68"/>
      <c r="F7" s="69">
        <f>SUM(F8:F12)</f>
        <v>0</v>
      </c>
      <c r="G7" s="69">
        <f>SUM(G8:G12)</f>
        <v>0</v>
      </c>
      <c r="H7" s="69">
        <f>SUM(H8:H12)</f>
        <v>0</v>
      </c>
      <c r="I7" s="69">
        <f>SUM(I8:I12)</f>
        <v>0</v>
      </c>
    </row>
    <row r="8" spans="1:9" ht="15" customHeight="1">
      <c r="A8" s="70"/>
      <c r="B8" s="71">
        <v>1</v>
      </c>
      <c r="C8" s="72" t="s">
        <v>60</v>
      </c>
      <c r="D8" s="68"/>
      <c r="E8" s="68"/>
      <c r="F8" s="73">
        <v>0</v>
      </c>
      <c r="G8" s="74">
        <f>+F8*(1+$G$5)</f>
        <v>0</v>
      </c>
      <c r="H8" s="74">
        <f>+G8*(1+$H$5)</f>
        <v>0</v>
      </c>
      <c r="I8" s="74">
        <f>+H8*(1+$I$5)</f>
        <v>0</v>
      </c>
    </row>
    <row r="9" spans="1:9" ht="15" customHeight="1">
      <c r="A9" s="70"/>
      <c r="B9" s="71">
        <f>+B8+1</f>
        <v>2</v>
      </c>
      <c r="C9" s="72" t="s">
        <v>61</v>
      </c>
      <c r="D9" s="68"/>
      <c r="E9" s="68"/>
      <c r="F9" s="75">
        <v>0</v>
      </c>
      <c r="G9" s="74">
        <f t="shared" ref="G9:G12" si="0">+F9*(1+$G$5)</f>
        <v>0</v>
      </c>
      <c r="H9" s="74">
        <f t="shared" ref="H9:H12" si="1">+G9*(1+$H$5)</f>
        <v>0</v>
      </c>
      <c r="I9" s="74">
        <f t="shared" ref="I9:I12" si="2">+H9*(1+$I$5)</f>
        <v>0</v>
      </c>
    </row>
    <row r="10" spans="1:9" ht="15" customHeight="1">
      <c r="A10" s="70"/>
      <c r="B10" s="71">
        <f t="shared" ref="B10:B12" si="3">+B9+1</f>
        <v>3</v>
      </c>
      <c r="C10" s="72" t="s">
        <v>62</v>
      </c>
      <c r="D10" s="68"/>
      <c r="E10" s="68"/>
      <c r="F10" s="75">
        <v>0</v>
      </c>
      <c r="G10" s="74">
        <f t="shared" si="0"/>
        <v>0</v>
      </c>
      <c r="H10" s="74">
        <f t="shared" si="1"/>
        <v>0</v>
      </c>
      <c r="I10" s="74">
        <f t="shared" si="2"/>
        <v>0</v>
      </c>
    </row>
    <row r="11" spans="1:9" ht="15" customHeight="1">
      <c r="A11" s="70"/>
      <c r="B11" s="71">
        <f t="shared" si="3"/>
        <v>4</v>
      </c>
      <c r="C11" s="72" t="s">
        <v>63</v>
      </c>
      <c r="D11" s="68"/>
      <c r="E11" s="68"/>
      <c r="F11" s="75">
        <v>0</v>
      </c>
      <c r="G11" s="74">
        <f t="shared" si="0"/>
        <v>0</v>
      </c>
      <c r="H11" s="74">
        <f t="shared" si="1"/>
        <v>0</v>
      </c>
      <c r="I11" s="74">
        <f t="shared" si="2"/>
        <v>0</v>
      </c>
    </row>
    <row r="12" spans="1:9" ht="15" customHeight="1">
      <c r="A12" s="70"/>
      <c r="B12" s="71">
        <f t="shared" si="3"/>
        <v>5</v>
      </c>
      <c r="C12" s="72" t="s">
        <v>67</v>
      </c>
      <c r="D12" s="76"/>
      <c r="E12" s="76"/>
      <c r="F12" s="75">
        <f>+SUM(F8:F11)*0.03</f>
        <v>0</v>
      </c>
      <c r="G12" s="74">
        <f t="shared" si="0"/>
        <v>0</v>
      </c>
      <c r="H12" s="74">
        <f t="shared" si="1"/>
        <v>0</v>
      </c>
      <c r="I12" s="74">
        <f t="shared" si="2"/>
        <v>0</v>
      </c>
    </row>
    <row r="13" spans="1:9" ht="15" customHeight="1">
      <c r="A13" s="67" t="s">
        <v>13</v>
      </c>
      <c r="B13" s="240" t="s">
        <v>64</v>
      </c>
      <c r="C13" s="200"/>
      <c r="D13" s="68"/>
      <c r="E13" s="68"/>
      <c r="F13" s="77">
        <f t="shared" ref="F13:I13" si="4">SUM(F14:F16)</f>
        <v>1.4722209976319995</v>
      </c>
      <c r="G13" s="77">
        <f t="shared" si="4"/>
        <v>1.5163876275609596</v>
      </c>
      <c r="H13" s="77">
        <f t="shared" si="4"/>
        <v>1.5618792563877884</v>
      </c>
      <c r="I13" s="77">
        <f t="shared" si="4"/>
        <v>1.6087356340794221</v>
      </c>
    </row>
    <row r="14" spans="1:9" ht="15" customHeight="1">
      <c r="A14" s="70"/>
      <c r="B14" s="71">
        <v>1</v>
      </c>
      <c r="C14" s="72" t="s">
        <v>65</v>
      </c>
      <c r="D14" s="68"/>
      <c r="E14" s="68"/>
      <c r="F14" s="75">
        <f>0.1*(F24-F29)</f>
        <v>0</v>
      </c>
      <c r="G14" s="75">
        <f>+F14*(1+$G$5)</f>
        <v>0</v>
      </c>
      <c r="H14" s="75">
        <f>+G14*(1+$H$5)</f>
        <v>0</v>
      </c>
      <c r="I14" s="75">
        <f>+H14*(1+$I$5)</f>
        <v>0</v>
      </c>
    </row>
    <row r="15" spans="1:9" ht="15" customHeight="1">
      <c r="A15" s="70"/>
      <c r="B15" s="71">
        <f>+B14+1</f>
        <v>2</v>
      </c>
      <c r="C15" s="72" t="s">
        <v>66</v>
      </c>
      <c r="D15" s="68"/>
      <c r="E15" s="68"/>
      <c r="F15" s="75">
        <f>+F14*0.03</f>
        <v>0</v>
      </c>
      <c r="G15" s="75">
        <f t="shared" ref="G15" si="5">+F15*(1+$G$5)</f>
        <v>0</v>
      </c>
      <c r="H15" s="75">
        <f t="shared" ref="H15:H16" si="6">+G15*(1+$H$5)</f>
        <v>0</v>
      </c>
      <c r="I15" s="75">
        <f t="shared" ref="I15:I16" si="7">+H15*(1+$I$5)</f>
        <v>0</v>
      </c>
    </row>
    <row r="16" spans="1:9" ht="15" customHeight="1">
      <c r="A16" s="70"/>
      <c r="B16" s="71">
        <f>+B15+1</f>
        <v>3</v>
      </c>
      <c r="C16" s="72" t="s">
        <v>67</v>
      </c>
      <c r="D16" s="68"/>
      <c r="E16" s="68"/>
      <c r="F16" s="75">
        <f>0.0012*CalendarioInv!H64</f>
        <v>1.4722209976319995</v>
      </c>
      <c r="G16" s="75">
        <f>+F16*(1+$G$5)</f>
        <v>1.5163876275609596</v>
      </c>
      <c r="H16" s="75">
        <f t="shared" si="6"/>
        <v>1.5618792563877884</v>
      </c>
      <c r="I16" s="75">
        <f t="shared" si="7"/>
        <v>1.6087356340794221</v>
      </c>
    </row>
    <row r="17" spans="1:9" ht="15" customHeight="1">
      <c r="A17" s="67" t="s">
        <v>22</v>
      </c>
      <c r="B17" s="239" t="s">
        <v>68</v>
      </c>
      <c r="C17" s="210"/>
      <c r="D17" s="68"/>
      <c r="E17" s="68"/>
      <c r="F17" s="77">
        <f t="shared" ref="F17" si="8">SUM(F18:F23)</f>
        <v>0</v>
      </c>
      <c r="G17" s="77">
        <f>SUM(G18:G23)</f>
        <v>0</v>
      </c>
      <c r="H17" s="77">
        <f>SUM(H18:H23)</f>
        <v>0</v>
      </c>
      <c r="I17" s="77">
        <f>SUM(I18:I23)</f>
        <v>0</v>
      </c>
    </row>
    <row r="18" spans="1:9" ht="15" customHeight="1">
      <c r="A18" s="70"/>
      <c r="B18" s="71">
        <v>1</v>
      </c>
      <c r="C18" s="72" t="s">
        <v>69</v>
      </c>
      <c r="D18" s="68"/>
      <c r="E18" s="68"/>
      <c r="F18" s="75">
        <v>0</v>
      </c>
      <c r="G18" s="75">
        <f>+F18*(1+$G$5)</f>
        <v>0</v>
      </c>
      <c r="H18" s="75">
        <f>+G18*(1+$H$5)</f>
        <v>0</v>
      </c>
      <c r="I18" s="75">
        <f>+H18*(1+$I$5)</f>
        <v>0</v>
      </c>
    </row>
    <row r="19" spans="1:9" ht="15" customHeight="1">
      <c r="A19" s="70"/>
      <c r="B19" s="107">
        <f>+B18+1</f>
        <v>2</v>
      </c>
      <c r="C19" s="108" t="s">
        <v>100</v>
      </c>
      <c r="D19" s="68"/>
      <c r="E19" s="68"/>
      <c r="F19" s="75">
        <v>0</v>
      </c>
      <c r="G19" s="75">
        <f t="shared" ref="G19:G23" si="9">+F19*(1+$G$5)</f>
        <v>0</v>
      </c>
      <c r="H19" s="75">
        <f t="shared" ref="H19:H23" si="10">+G19*(1+$G$5)</f>
        <v>0</v>
      </c>
      <c r="I19" s="75">
        <f t="shared" ref="I19:I23" si="11">+H19*(1+$G$5)</f>
        <v>0</v>
      </c>
    </row>
    <row r="20" spans="1:9" ht="15" customHeight="1">
      <c r="A20" s="70"/>
      <c r="B20" s="107">
        <f t="shared" ref="B20:B21" si="12">+B19+1</f>
        <v>3</v>
      </c>
      <c r="C20" s="72" t="s">
        <v>70</v>
      </c>
      <c r="D20" s="68"/>
      <c r="E20" s="68"/>
      <c r="F20" s="78">
        <v>0</v>
      </c>
      <c r="G20" s="75">
        <f t="shared" si="9"/>
        <v>0</v>
      </c>
      <c r="H20" s="75">
        <f t="shared" si="10"/>
        <v>0</v>
      </c>
      <c r="I20" s="75">
        <f t="shared" si="11"/>
        <v>0</v>
      </c>
    </row>
    <row r="21" spans="1:9" ht="15" customHeight="1">
      <c r="A21" s="70"/>
      <c r="B21" s="107">
        <f t="shared" si="12"/>
        <v>4</v>
      </c>
      <c r="C21" s="72" t="s">
        <v>101</v>
      </c>
      <c r="D21" s="68"/>
      <c r="E21" s="68"/>
      <c r="F21" s="75">
        <v>0</v>
      </c>
      <c r="G21" s="75">
        <f t="shared" si="9"/>
        <v>0</v>
      </c>
      <c r="H21" s="75">
        <f t="shared" si="10"/>
        <v>0</v>
      </c>
      <c r="I21" s="75">
        <f t="shared" si="11"/>
        <v>0</v>
      </c>
    </row>
    <row r="22" spans="1:9" ht="15" customHeight="1">
      <c r="A22" s="70"/>
      <c r="B22" s="107">
        <v>5</v>
      </c>
      <c r="C22" s="108" t="s">
        <v>39</v>
      </c>
      <c r="D22" s="68"/>
      <c r="E22" s="68"/>
      <c r="F22" s="75">
        <v>0</v>
      </c>
      <c r="G22" s="75">
        <f t="shared" si="9"/>
        <v>0</v>
      </c>
      <c r="H22" s="75">
        <f>+G22*(1+$G$5)</f>
        <v>0</v>
      </c>
      <c r="I22" s="75">
        <f t="shared" si="11"/>
        <v>0</v>
      </c>
    </row>
    <row r="23" spans="1:9" ht="15" customHeight="1">
      <c r="A23" s="70"/>
      <c r="B23" s="107">
        <v>6</v>
      </c>
      <c r="C23" s="72" t="s">
        <v>67</v>
      </c>
      <c r="D23" s="68"/>
      <c r="E23" s="68"/>
      <c r="F23" s="75">
        <v>0</v>
      </c>
      <c r="G23" s="75">
        <f t="shared" si="9"/>
        <v>0</v>
      </c>
      <c r="H23" s="75">
        <f t="shared" si="10"/>
        <v>0</v>
      </c>
      <c r="I23" s="75">
        <f t="shared" si="11"/>
        <v>0</v>
      </c>
    </row>
    <row r="24" spans="1:9" ht="15" customHeight="1">
      <c r="A24" s="67" t="s">
        <v>57</v>
      </c>
      <c r="B24" s="240" t="s">
        <v>71</v>
      </c>
      <c r="C24" s="200"/>
      <c r="D24" s="68"/>
      <c r="E24" s="68"/>
      <c r="F24" s="77">
        <f>SUM(F25:F29)</f>
        <v>1.4722209976319995</v>
      </c>
      <c r="G24" s="77">
        <f>SUM(G25:G29)</f>
        <v>1.5163876275609596</v>
      </c>
      <c r="H24" s="77">
        <f>SUM(H25:H29)</f>
        <v>1.5618792563877884</v>
      </c>
      <c r="I24" s="77">
        <f>SUM(I25:I29)</f>
        <v>1.6087356340794221</v>
      </c>
    </row>
    <row r="25" spans="1:9" ht="15" customHeight="1">
      <c r="A25" s="70"/>
      <c r="B25" s="71">
        <v>1</v>
      </c>
      <c r="C25" s="72" t="s">
        <v>99</v>
      </c>
      <c r="D25" s="68"/>
      <c r="E25" s="68"/>
      <c r="F25" s="75">
        <v>0</v>
      </c>
      <c r="G25" s="75">
        <f>+F25*(1+$G$5)</f>
        <v>0</v>
      </c>
      <c r="H25" s="75">
        <f>+G25*(1+$H$5)</f>
        <v>0</v>
      </c>
      <c r="I25" s="75">
        <f>+H25*(1+$I$5)</f>
        <v>0</v>
      </c>
    </row>
    <row r="26" spans="1:9" ht="15" customHeight="1">
      <c r="A26" s="70"/>
      <c r="B26" s="107">
        <f>+B25+1</f>
        <v>2</v>
      </c>
      <c r="C26" s="108" t="s">
        <v>100</v>
      </c>
      <c r="D26" s="68"/>
      <c r="E26" s="68"/>
      <c r="F26" s="75">
        <v>0</v>
      </c>
      <c r="G26" s="75">
        <f t="shared" ref="G26:G28" si="13">+F26*(1+$G$5)</f>
        <v>0</v>
      </c>
      <c r="H26" s="75">
        <f t="shared" ref="H26:H29" si="14">+G26*(1+$H$5)</f>
        <v>0</v>
      </c>
      <c r="I26" s="75">
        <f t="shared" ref="I26:I29" si="15">+H26*(1+$I$5)</f>
        <v>0</v>
      </c>
    </row>
    <row r="27" spans="1:9" ht="15" customHeight="1">
      <c r="A27" s="70"/>
      <c r="B27" s="107">
        <f t="shared" ref="B27:B29" si="16">+B26+1</f>
        <v>3</v>
      </c>
      <c r="C27" s="72" t="s">
        <v>72</v>
      </c>
      <c r="D27" s="68"/>
      <c r="E27" s="68"/>
      <c r="F27" s="75">
        <f>0.05*(SUM(F25,F26,F28))</f>
        <v>0</v>
      </c>
      <c r="G27" s="75">
        <f t="shared" si="13"/>
        <v>0</v>
      </c>
      <c r="H27" s="75">
        <f t="shared" si="14"/>
        <v>0</v>
      </c>
      <c r="I27" s="75">
        <f t="shared" si="15"/>
        <v>0</v>
      </c>
    </row>
    <row r="28" spans="1:9" ht="15" customHeight="1">
      <c r="A28" s="70"/>
      <c r="B28" s="107">
        <f t="shared" si="16"/>
        <v>4</v>
      </c>
      <c r="C28" s="72" t="s">
        <v>73</v>
      </c>
      <c r="D28" s="68"/>
      <c r="E28" s="68"/>
      <c r="F28" s="197">
        <v>0</v>
      </c>
      <c r="G28" s="75">
        <f t="shared" si="13"/>
        <v>0</v>
      </c>
      <c r="H28" s="75">
        <f t="shared" si="14"/>
        <v>0</v>
      </c>
      <c r="I28" s="75">
        <f t="shared" si="15"/>
        <v>0</v>
      </c>
    </row>
    <row r="29" spans="1:9" ht="15" customHeight="1">
      <c r="A29" s="70"/>
      <c r="B29" s="107">
        <f t="shared" si="16"/>
        <v>5</v>
      </c>
      <c r="C29" s="72" t="s">
        <v>67</v>
      </c>
      <c r="D29" s="68"/>
      <c r="E29" s="68"/>
      <c r="F29" s="75">
        <f>0.0012*CalendarioInv!H64</f>
        <v>1.4722209976319995</v>
      </c>
      <c r="G29" s="75">
        <f>+F29*(1+$G$5)</f>
        <v>1.5163876275609596</v>
      </c>
      <c r="H29" s="75">
        <f t="shared" si="14"/>
        <v>1.5618792563877884</v>
      </c>
      <c r="I29" s="75">
        <f t="shared" si="15"/>
        <v>1.6087356340794221</v>
      </c>
    </row>
    <row r="30" spans="1:9" ht="15" customHeight="1" thickBot="1">
      <c r="A30" s="79" t="s">
        <v>58</v>
      </c>
      <c r="B30" s="227" t="s">
        <v>74</v>
      </c>
      <c r="C30" s="228"/>
      <c r="D30" s="80"/>
      <c r="E30" s="80"/>
      <c r="F30" s="77">
        <f>F7+F13+F17+F24</f>
        <v>2.9444419952639991</v>
      </c>
      <c r="G30" s="77">
        <f>G7+G13+G17+G24</f>
        <v>3.0327752551219191</v>
      </c>
      <c r="H30" s="77">
        <f>H7+H13+H17+H24</f>
        <v>3.1237585127755767</v>
      </c>
      <c r="I30" s="77">
        <f>I7+I13+I17+I24</f>
        <v>3.2174712681588442</v>
      </c>
    </row>
    <row r="31" spans="1:9" ht="13.5" customHeight="1" thickTop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2">
    <mergeCell ref="B30:C30"/>
    <mergeCell ref="A1:I1"/>
    <mergeCell ref="A2:I2"/>
    <mergeCell ref="A4:C4"/>
    <mergeCell ref="D4:E5"/>
    <mergeCell ref="A5:C5"/>
    <mergeCell ref="A6:C6"/>
    <mergeCell ref="B7:C7"/>
    <mergeCell ref="B13:C13"/>
    <mergeCell ref="B17:C17"/>
    <mergeCell ref="B24:C24"/>
    <mergeCell ref="F4:I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topLeftCell="A2" workbookViewId="0">
      <selection activeCell="D42" sqref="D41:D42"/>
    </sheetView>
  </sheetViews>
  <sheetFormatPr baseColWidth="10" defaultColWidth="14.42578125" defaultRowHeight="15" customHeight="1"/>
  <cols>
    <col min="1" max="1" width="3.28515625" customWidth="1"/>
    <col min="2" max="2" width="39" customWidth="1"/>
    <col min="3" max="4" width="7.7109375" customWidth="1"/>
    <col min="5" max="5" width="14.5703125" customWidth="1"/>
    <col min="6" max="6" width="14.28515625" customWidth="1"/>
    <col min="7" max="8" width="12.42578125" customWidth="1"/>
    <col min="9" max="24" width="10" customWidth="1"/>
  </cols>
  <sheetData>
    <row r="1" spans="1:8" ht="15.75" customHeight="1">
      <c r="A1" s="229" t="s">
        <v>113</v>
      </c>
      <c r="B1" s="206"/>
      <c r="C1" s="206"/>
      <c r="D1" s="206"/>
      <c r="E1" s="206"/>
      <c r="F1" s="206"/>
      <c r="G1" s="206"/>
      <c r="H1" s="206"/>
    </row>
    <row r="2" spans="1:8" ht="15.75" customHeight="1">
      <c r="A2" s="229" t="s">
        <v>75</v>
      </c>
      <c r="B2" s="206"/>
      <c r="C2" s="206"/>
      <c r="D2" s="206"/>
      <c r="E2" s="206"/>
      <c r="F2" s="206"/>
      <c r="G2" s="206"/>
      <c r="H2" s="206"/>
    </row>
    <row r="3" spans="1:8" ht="15.75" customHeight="1">
      <c r="A3" s="56"/>
      <c r="B3" s="56"/>
      <c r="C3" s="56"/>
      <c r="D3" s="56"/>
      <c r="E3" s="56"/>
      <c r="F3" s="56"/>
      <c r="G3" s="56"/>
      <c r="H3" s="57"/>
    </row>
    <row r="4" spans="1:8" ht="15" customHeight="1">
      <c r="A4" s="246"/>
      <c r="B4" s="215"/>
      <c r="C4" s="246" t="s">
        <v>76</v>
      </c>
      <c r="D4" s="215"/>
      <c r="E4" s="248" t="s">
        <v>56</v>
      </c>
      <c r="F4" s="222"/>
      <c r="G4" s="222"/>
      <c r="H4" s="222"/>
    </row>
    <row r="5" spans="1:8" ht="15" customHeight="1">
      <c r="A5" s="243" t="s">
        <v>1</v>
      </c>
      <c r="B5" s="235"/>
      <c r="C5" s="247"/>
      <c r="D5" s="235"/>
      <c r="E5" s="249" t="s">
        <v>102</v>
      </c>
      <c r="F5" s="248"/>
      <c r="G5" s="248"/>
      <c r="H5" s="248"/>
    </row>
    <row r="6" spans="1:8" ht="15" customHeight="1">
      <c r="A6" s="243"/>
      <c r="B6" s="235"/>
      <c r="C6" s="216"/>
      <c r="D6" s="210"/>
      <c r="E6" s="81">
        <v>0.03</v>
      </c>
      <c r="F6" s="82">
        <v>0.03</v>
      </c>
      <c r="G6" s="82">
        <v>0.03</v>
      </c>
      <c r="H6" s="82">
        <v>0.03</v>
      </c>
    </row>
    <row r="7" spans="1:8" ht="15" customHeight="1">
      <c r="A7" s="244"/>
      <c r="B7" s="210"/>
      <c r="C7" s="83">
        <v>1</v>
      </c>
      <c r="D7" s="84">
        <v>2</v>
      </c>
      <c r="E7" s="60">
        <v>3</v>
      </c>
      <c r="F7" s="60">
        <v>4</v>
      </c>
      <c r="G7" s="60">
        <v>5</v>
      </c>
      <c r="H7" s="60">
        <v>6</v>
      </c>
    </row>
    <row r="8" spans="1:8" ht="14.25" customHeight="1">
      <c r="A8" s="59" t="s">
        <v>3</v>
      </c>
      <c r="B8" s="85" t="s">
        <v>77</v>
      </c>
      <c r="C8" s="86"/>
      <c r="D8" s="86"/>
      <c r="E8" s="61">
        <f>+PresupuestoCost!F30</f>
        <v>2.9444419952639991</v>
      </c>
      <c r="F8" s="61">
        <f>+PresupuestoCost!G30</f>
        <v>3.0327752551219191</v>
      </c>
      <c r="G8" s="61">
        <f>+PresupuestoCost!H30</f>
        <v>3.1237585127755767</v>
      </c>
      <c r="H8" s="61">
        <f>+PresupuestoCost!I30</f>
        <v>3.2174712681588442</v>
      </c>
    </row>
    <row r="9" spans="1:8" ht="14.25" customHeight="1">
      <c r="A9" s="59" t="s">
        <v>13</v>
      </c>
      <c r="B9" s="85" t="s">
        <v>78</v>
      </c>
      <c r="C9" s="86"/>
      <c r="D9" s="86"/>
      <c r="E9" s="61">
        <f>E8*E13</f>
        <v>2.6499977957375993</v>
      </c>
      <c r="F9" s="61">
        <f>F8*E13</f>
        <v>2.7294977296097271</v>
      </c>
      <c r="G9" s="61">
        <f>G8*E13</f>
        <v>2.8113826614980191</v>
      </c>
      <c r="H9" s="61">
        <f>H8*E13</f>
        <v>2.89572414134296</v>
      </c>
    </row>
    <row r="10" spans="1:8" ht="14.25" customHeight="1">
      <c r="A10" s="59" t="s">
        <v>22</v>
      </c>
      <c r="B10" s="85" t="s">
        <v>79</v>
      </c>
      <c r="C10" s="86"/>
      <c r="D10" s="86"/>
      <c r="E10" s="61">
        <f>E8*E13</f>
        <v>2.6499977957375993</v>
      </c>
      <c r="F10" s="61">
        <f>F9-E10</f>
        <v>7.9499933872127837E-2</v>
      </c>
      <c r="G10" s="61">
        <f>G9-F9</f>
        <v>8.1884931888291934E-2</v>
      </c>
      <c r="H10" s="61">
        <f>H9-G9</f>
        <v>8.4341479844940892E-2</v>
      </c>
    </row>
    <row r="11" spans="1:8" ht="14.25" customHeight="1">
      <c r="A11" s="58"/>
      <c r="B11" s="58"/>
      <c r="C11" s="58"/>
      <c r="D11" s="58"/>
      <c r="E11" s="87"/>
      <c r="F11" s="58"/>
      <c r="G11" s="58"/>
      <c r="H11" s="58"/>
    </row>
    <row r="12" spans="1:8" ht="15" customHeight="1">
      <c r="A12" s="245" t="s">
        <v>80</v>
      </c>
      <c r="B12" s="206"/>
      <c r="C12" s="206"/>
      <c r="D12" s="206"/>
      <c r="E12" s="206"/>
      <c r="F12" s="206"/>
      <c r="G12" s="206"/>
      <c r="H12" s="206"/>
    </row>
    <row r="13" spans="1:8" ht="12.75" customHeight="1">
      <c r="E13" s="88">
        <v>0.9</v>
      </c>
    </row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5:B5"/>
    <mergeCell ref="A6:B6"/>
    <mergeCell ref="A7:B7"/>
    <mergeCell ref="A12:H12"/>
    <mergeCell ref="A1:H1"/>
    <mergeCell ref="A2:H2"/>
    <mergeCell ref="A4:B4"/>
    <mergeCell ref="C4:D6"/>
    <mergeCell ref="E4:H4"/>
    <mergeCell ref="E5:H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2"/>
  <sheetViews>
    <sheetView topLeftCell="C1" workbookViewId="0">
      <selection activeCell="F10" sqref="F10:I10"/>
    </sheetView>
  </sheetViews>
  <sheetFormatPr baseColWidth="10" defaultColWidth="14.42578125" defaultRowHeight="15" customHeight="1"/>
  <cols>
    <col min="1" max="1" width="6.5703125" customWidth="1"/>
    <col min="2" max="2" width="37.85546875" customWidth="1"/>
    <col min="3" max="3" width="15.5703125" customWidth="1"/>
    <col min="4" max="5" width="7.85546875" customWidth="1"/>
  </cols>
  <sheetData>
    <row r="1" spans="1:9" ht="15.75">
      <c r="A1" s="254" t="s">
        <v>114</v>
      </c>
      <c r="B1" s="206"/>
      <c r="C1" s="206"/>
      <c r="D1" s="206"/>
      <c r="E1" s="206"/>
      <c r="F1" s="206"/>
      <c r="G1" s="206"/>
      <c r="H1" s="206"/>
      <c r="I1" s="206"/>
    </row>
    <row r="2" spans="1:9" ht="15.75">
      <c r="A2" s="254" t="s">
        <v>0</v>
      </c>
      <c r="B2" s="206"/>
      <c r="C2" s="206"/>
      <c r="D2" s="206"/>
      <c r="E2" s="206"/>
      <c r="F2" s="206"/>
      <c r="G2" s="206"/>
      <c r="H2" s="206"/>
      <c r="I2" s="206"/>
    </row>
    <row r="3" spans="1:9" ht="15.75">
      <c r="A3" s="89"/>
      <c r="B3" s="89"/>
      <c r="C3" s="89"/>
      <c r="D3" s="89"/>
      <c r="E3" s="89"/>
      <c r="F3" s="110">
        <v>0</v>
      </c>
      <c r="G3" s="110">
        <v>0.03</v>
      </c>
      <c r="H3" s="110">
        <v>0.03</v>
      </c>
      <c r="I3" s="110">
        <v>0.03</v>
      </c>
    </row>
    <row r="4" spans="1:9" ht="12.75">
      <c r="A4" s="253"/>
      <c r="B4" s="200"/>
      <c r="C4" s="255" t="s">
        <v>106</v>
      </c>
      <c r="D4" s="257" t="s">
        <v>55</v>
      </c>
      <c r="E4" s="215"/>
      <c r="F4" s="252" t="s">
        <v>103</v>
      </c>
      <c r="G4" s="258"/>
      <c r="H4" s="258"/>
      <c r="I4" s="258"/>
    </row>
    <row r="5" spans="1:9" ht="12.75">
      <c r="A5" s="252" t="s">
        <v>1</v>
      </c>
      <c r="B5" s="200"/>
      <c r="C5" s="256"/>
      <c r="D5" s="216"/>
      <c r="E5" s="210"/>
      <c r="F5" s="90">
        <f>(1/3)</f>
        <v>0.33333333333333331</v>
      </c>
      <c r="G5" s="90">
        <f t="shared" ref="G5:I5" si="0">(1/3)</f>
        <v>0.33333333333333331</v>
      </c>
      <c r="H5" s="90">
        <f t="shared" si="0"/>
        <v>0.33333333333333331</v>
      </c>
      <c r="I5" s="90">
        <f t="shared" si="0"/>
        <v>0.33333333333333331</v>
      </c>
    </row>
    <row r="6" spans="1:9" ht="12.75">
      <c r="A6" s="253"/>
      <c r="B6" s="200"/>
      <c r="C6" s="91"/>
      <c r="D6" s="92">
        <v>1</v>
      </c>
      <c r="E6" s="92">
        <v>2</v>
      </c>
      <c r="F6" s="92">
        <v>3</v>
      </c>
      <c r="G6" s="92">
        <v>4</v>
      </c>
      <c r="H6" s="92">
        <v>5</v>
      </c>
      <c r="I6" s="92">
        <v>6</v>
      </c>
    </row>
    <row r="7" spans="1:9" ht="15.75">
      <c r="A7" s="250" t="s">
        <v>115</v>
      </c>
      <c r="B7" s="251"/>
      <c r="C7" s="115"/>
      <c r="D7" s="116"/>
      <c r="E7" s="116"/>
      <c r="F7" s="117">
        <f>+SUM(F8:F8)</f>
        <v>0</v>
      </c>
      <c r="G7" s="117">
        <f>+SUM(G8:G8)</f>
        <v>0</v>
      </c>
      <c r="H7" s="117">
        <f>+SUM(H8:H8)</f>
        <v>0</v>
      </c>
      <c r="I7" s="117">
        <f>+SUM(I8:I8)</f>
        <v>0</v>
      </c>
    </row>
    <row r="8" spans="1:9" ht="20.25" customHeight="1">
      <c r="A8" s="93" t="s">
        <v>3</v>
      </c>
      <c r="B8" s="94" t="s">
        <v>164</v>
      </c>
      <c r="C8" s="95" t="s">
        <v>104</v>
      </c>
      <c r="D8" s="96"/>
      <c r="E8" s="96"/>
      <c r="F8" s="111">
        <f>(365*$F$5)*(D21*(C21*(1+$F$3)))/1000</f>
        <v>0</v>
      </c>
      <c r="G8" s="112">
        <f>+F8*(1+$G$3)</f>
        <v>0</v>
      </c>
      <c r="H8" s="112">
        <f>+G8*(1+$H$3)</f>
        <v>0</v>
      </c>
      <c r="I8" s="112">
        <f>+H8*(1+$I$3)</f>
        <v>0</v>
      </c>
    </row>
    <row r="9" spans="1:9">
      <c r="A9" s="99"/>
      <c r="B9" s="102"/>
      <c r="C9" s="95"/>
      <c r="D9" s="98"/>
      <c r="E9" s="98"/>
      <c r="F9" s="103"/>
      <c r="G9" s="103"/>
      <c r="H9" s="103"/>
      <c r="I9" s="103"/>
    </row>
    <row r="10" spans="1:9">
      <c r="A10" s="84" t="s">
        <v>13</v>
      </c>
      <c r="B10" s="97" t="s">
        <v>81</v>
      </c>
      <c r="C10" s="95" t="s">
        <v>105</v>
      </c>
      <c r="D10" s="98"/>
      <c r="E10" s="98"/>
      <c r="F10" s="163">
        <f>0.1*F8</f>
        <v>0</v>
      </c>
      <c r="G10" s="163">
        <f>0.1*G8</f>
        <v>0</v>
      </c>
      <c r="H10" s="163">
        <f>0.1*H8</f>
        <v>0</v>
      </c>
      <c r="I10" s="163">
        <f>0.1*I8</f>
        <v>0</v>
      </c>
    </row>
    <row r="11" spans="1:9">
      <c r="A11" s="99"/>
      <c r="B11" s="102"/>
      <c r="C11" s="95"/>
      <c r="D11" s="98"/>
      <c r="E11" s="98"/>
      <c r="F11" s="102"/>
      <c r="G11" s="102"/>
      <c r="H11" s="102"/>
      <c r="I11" s="102"/>
    </row>
    <row r="12" spans="1:9">
      <c r="A12" s="84" t="s">
        <v>22</v>
      </c>
      <c r="B12" s="104" t="s">
        <v>82</v>
      </c>
      <c r="C12" s="100" t="s">
        <v>105</v>
      </c>
      <c r="D12" s="101"/>
      <c r="E12" s="101"/>
      <c r="F12" s="105">
        <f>+SUM(F8,F10)</f>
        <v>0</v>
      </c>
      <c r="G12" s="105">
        <f t="shared" ref="G12:I12" si="1">+SUM(G8,G10)</f>
        <v>0</v>
      </c>
      <c r="H12" s="105">
        <f t="shared" si="1"/>
        <v>0</v>
      </c>
      <c r="I12" s="105">
        <f t="shared" si="1"/>
        <v>0</v>
      </c>
    </row>
  </sheetData>
  <mergeCells count="9">
    <mergeCell ref="A7:B7"/>
    <mergeCell ref="A5:B5"/>
    <mergeCell ref="A6:B6"/>
    <mergeCell ref="A1:I1"/>
    <mergeCell ref="A2:I2"/>
    <mergeCell ref="A4:B4"/>
    <mergeCell ref="C4:C5"/>
    <mergeCell ref="D4:E5"/>
    <mergeCell ref="F4:I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EB77-A9A9-4B72-BA8C-C4646721E2CC}">
  <sheetPr>
    <outlinePr summaryBelow="0" summaryRight="0"/>
  </sheetPr>
  <dimension ref="B1:AC91"/>
  <sheetViews>
    <sheetView tabSelected="1" zoomScale="82" zoomScaleNormal="85" workbookViewId="0">
      <selection activeCell="D41" sqref="D41"/>
    </sheetView>
  </sheetViews>
  <sheetFormatPr baseColWidth="10" defaultColWidth="14.42578125" defaultRowHeight="15" customHeight="1" outlineLevelRow="1"/>
  <cols>
    <col min="1" max="1" width="0.85546875" customWidth="1"/>
    <col min="2" max="2" width="6.5703125" customWidth="1"/>
    <col min="3" max="3" width="4.140625" style="109" customWidth="1"/>
    <col min="4" max="4" width="51" customWidth="1"/>
    <col min="5" max="5" width="18.85546875" bestFit="1" customWidth="1"/>
    <col min="6" max="6" width="17.140625" bestFit="1" customWidth="1"/>
    <col min="7" max="7" width="17.42578125" bestFit="1" customWidth="1"/>
    <col min="8" max="8" width="17.140625" bestFit="1" customWidth="1"/>
    <col min="9" max="9" width="17.140625" customWidth="1"/>
    <col min="10" max="10" width="18.85546875" bestFit="1" customWidth="1"/>
    <col min="13" max="13" width="31.140625" bestFit="1" customWidth="1"/>
  </cols>
  <sheetData>
    <row r="1" spans="2:18" ht="15.75">
      <c r="B1" s="254" t="s">
        <v>107</v>
      </c>
      <c r="C1" s="254"/>
      <c r="D1" s="206"/>
      <c r="E1" s="206"/>
      <c r="F1" s="206"/>
      <c r="G1" s="206"/>
      <c r="H1" s="206"/>
      <c r="I1" s="206"/>
      <c r="J1" s="206"/>
    </row>
    <row r="2" spans="2:18" ht="15.75">
      <c r="B2" s="254" t="s">
        <v>0</v>
      </c>
      <c r="C2" s="254"/>
      <c r="D2" s="206"/>
      <c r="E2" s="206"/>
      <c r="F2" s="206"/>
      <c r="G2" s="206"/>
      <c r="H2" s="206"/>
      <c r="I2" s="206"/>
      <c r="J2" s="206"/>
      <c r="N2" s="160" t="s">
        <v>117</v>
      </c>
      <c r="O2" s="160">
        <v>3</v>
      </c>
      <c r="P2" s="160">
        <v>4</v>
      </c>
      <c r="Q2" s="160">
        <v>5</v>
      </c>
      <c r="R2" s="160">
        <v>6</v>
      </c>
    </row>
    <row r="3" spans="2:18" ht="15.75">
      <c r="B3" s="89"/>
      <c r="C3" s="89"/>
      <c r="E3" s="198">
        <v>0.7</v>
      </c>
      <c r="F3">
        <f>1-E3</f>
        <v>0.30000000000000004</v>
      </c>
      <c r="N3" s="162">
        <v>-219931.68988736</v>
      </c>
      <c r="O3" s="162">
        <f>N3*E49</f>
        <v>-22754.273814776177</v>
      </c>
      <c r="P3" s="162"/>
      <c r="Q3" s="162"/>
      <c r="R3" s="162"/>
    </row>
    <row r="4" spans="2:18" ht="15.75">
      <c r="B4" s="89"/>
      <c r="C4" s="89"/>
      <c r="D4" s="119" t="s">
        <v>118</v>
      </c>
      <c r="E4" s="119">
        <v>0</v>
      </c>
      <c r="F4" s="120">
        <f>+E5</f>
        <v>-858.79558195199979</v>
      </c>
      <c r="G4" s="120">
        <f t="shared" ref="G4:J4" si="0">+F5</f>
        <v>-1264.9445496737278</v>
      </c>
      <c r="H4" s="120">
        <f t="shared" si="0"/>
        <v>-1267.8889916689918</v>
      </c>
      <c r="I4" s="120">
        <f t="shared" si="0"/>
        <v>-1270.9217669241139</v>
      </c>
      <c r="J4" s="120">
        <f t="shared" si="0"/>
        <v>-1274.0455254368894</v>
      </c>
    </row>
    <row r="5" spans="2:18" ht="15.75">
      <c r="B5" s="89"/>
      <c r="C5" s="89"/>
      <c r="D5" s="119" t="s">
        <v>119</v>
      </c>
      <c r="E5" s="120">
        <f>+E33</f>
        <v>-858.79558195199979</v>
      </c>
      <c r="F5" s="120">
        <f>+F4+F33</f>
        <v>-1264.9445496737278</v>
      </c>
      <c r="G5" s="120">
        <f t="shared" ref="G5:J5" si="1">+G4+G33</f>
        <v>-1267.8889916689918</v>
      </c>
      <c r="H5" s="120">
        <f t="shared" si="1"/>
        <v>-1270.9217669241139</v>
      </c>
      <c r="I5" s="120">
        <f t="shared" si="1"/>
        <v>-1274.0455254368894</v>
      </c>
      <c r="J5" s="120">
        <f t="shared" si="1"/>
        <v>119.38940665216114</v>
      </c>
    </row>
    <row r="6" spans="2:18" ht="15.75">
      <c r="B6" s="89"/>
      <c r="C6" s="89"/>
      <c r="D6" s="89"/>
      <c r="E6" s="89"/>
      <c r="F6" s="110"/>
      <c r="G6" s="110"/>
      <c r="H6" s="110"/>
      <c r="I6" s="110"/>
      <c r="J6" s="110"/>
      <c r="M6" s="160" t="s">
        <v>138</v>
      </c>
      <c r="N6" s="160" t="s">
        <v>117</v>
      </c>
      <c r="O6" s="160">
        <v>3</v>
      </c>
      <c r="P6" s="160">
        <v>4</v>
      </c>
      <c r="Q6" s="160">
        <v>5</v>
      </c>
      <c r="R6" s="160">
        <v>6</v>
      </c>
    </row>
    <row r="7" spans="2:18" ht="12.75">
      <c r="B7" s="253"/>
      <c r="C7" s="262"/>
      <c r="D7" s="222"/>
      <c r="E7" s="260" t="s">
        <v>110</v>
      </c>
      <c r="F7" s="260"/>
      <c r="G7" s="260"/>
      <c r="H7" s="260"/>
      <c r="I7" s="260"/>
      <c r="J7" s="260"/>
      <c r="M7" s="139" t="s">
        <v>142</v>
      </c>
      <c r="R7" s="135">
        <f>+J23</f>
        <v>1627.1624696737279</v>
      </c>
    </row>
    <row r="8" spans="2:18" ht="12.75">
      <c r="B8" s="252" t="s">
        <v>1</v>
      </c>
      <c r="C8" s="258"/>
      <c r="D8" s="222"/>
      <c r="E8" s="259" t="s">
        <v>55</v>
      </c>
      <c r="F8" s="259"/>
      <c r="G8" s="184"/>
      <c r="H8" s="184"/>
      <c r="I8" s="184"/>
      <c r="J8" s="184"/>
      <c r="M8" s="139" t="s">
        <v>141</v>
      </c>
      <c r="N8" s="136">
        <f>+E22</f>
        <v>0</v>
      </c>
      <c r="O8" s="136">
        <f>+G22</f>
        <v>0</v>
      </c>
      <c r="P8" s="136">
        <f>+H22</f>
        <v>0</v>
      </c>
      <c r="Q8" s="136">
        <f>+I22</f>
        <v>0</v>
      </c>
      <c r="R8" s="136">
        <f>+J21</f>
        <v>0</v>
      </c>
    </row>
    <row r="9" spans="2:18" ht="12.75">
      <c r="B9" s="253"/>
      <c r="C9" s="262"/>
      <c r="D9" s="200"/>
      <c r="E9" s="193">
        <v>1</v>
      </c>
      <c r="F9" s="190">
        <v>2</v>
      </c>
      <c r="G9" s="190">
        <v>3</v>
      </c>
      <c r="H9" s="190">
        <v>4</v>
      </c>
      <c r="I9" s="190">
        <v>5</v>
      </c>
      <c r="J9" s="190">
        <v>6</v>
      </c>
      <c r="M9" s="139" t="s">
        <v>143</v>
      </c>
      <c r="N9" s="136">
        <f>-E10</f>
        <v>858.79558195199979</v>
      </c>
      <c r="O9" s="136">
        <f>-G10</f>
        <v>2.9444419952639991</v>
      </c>
      <c r="P9" s="136">
        <f>-H10</f>
        <v>3.0327752551219191</v>
      </c>
      <c r="Q9" s="136">
        <f>-I10</f>
        <v>3.1237585127755767</v>
      </c>
      <c r="R9" s="136">
        <f>-J10</f>
        <v>3.2174712681588442</v>
      </c>
    </row>
    <row r="10" spans="2:18">
      <c r="B10" s="138">
        <v>0</v>
      </c>
      <c r="C10" s="263" t="s">
        <v>135</v>
      </c>
      <c r="D10" s="265"/>
      <c r="E10" s="194">
        <f>+E11</f>
        <v>-858.79558195199979</v>
      </c>
      <c r="F10" s="119"/>
      <c r="G10" s="194">
        <f>+G15</f>
        <v>-2.9444419952639991</v>
      </c>
      <c r="H10" s="194">
        <f>+H15</f>
        <v>-3.0327752551219191</v>
      </c>
      <c r="I10" s="194">
        <f>+I15</f>
        <v>-3.1237585127755767</v>
      </c>
      <c r="J10" s="194">
        <f t="shared" ref="J10" si="2">+J15</f>
        <v>-3.2174712681588442</v>
      </c>
      <c r="L10" s="198"/>
      <c r="M10" s="140" t="s">
        <v>122</v>
      </c>
      <c r="N10" s="135">
        <f t="shared" ref="N10:Q10" si="3">IF(N7-$N$9&gt;0,((N7-$N$9)*0.3))+IF(N8-N9&gt;0,(N8-N9)*(0.5),0)</f>
        <v>0</v>
      </c>
      <c r="O10" s="135">
        <f t="shared" si="3"/>
        <v>0</v>
      </c>
      <c r="P10" s="135">
        <f t="shared" si="3"/>
        <v>0</v>
      </c>
      <c r="Q10" s="135">
        <f t="shared" si="3"/>
        <v>0</v>
      </c>
      <c r="R10" s="135">
        <f>IF(R7-$N$9&gt;0,((R7-$N$9)*0.3))+IF(R8-R9&gt;0,(R8-R9)*(0.5),0)</f>
        <v>230.51006631651842</v>
      </c>
    </row>
    <row r="11" spans="2:18" ht="20.25" customHeight="1">
      <c r="B11" s="138" t="s">
        <v>3</v>
      </c>
      <c r="C11" s="263" t="s">
        <v>112</v>
      </c>
      <c r="D11" s="264"/>
      <c r="E11" s="185">
        <f>+SUM(E12:E13)</f>
        <v>-858.79558195199979</v>
      </c>
      <c r="F11" s="185">
        <f>+SUM(F12:F13)</f>
        <v>-406.14896772172796</v>
      </c>
      <c r="G11" s="189"/>
      <c r="H11" s="121"/>
      <c r="I11" s="121"/>
      <c r="J11" s="121"/>
      <c r="M11" s="140" t="s">
        <v>136</v>
      </c>
      <c r="N11" s="135">
        <f>+SUM(N7:N8)-SUM(N9:N10)</f>
        <v>-858.79558195199979</v>
      </c>
      <c r="O11" s="135">
        <f t="shared" ref="O11:Q11" si="4">+SUM(O7:O8)-SUM(O9:O10)</f>
        <v>-2.9444419952639991</v>
      </c>
      <c r="P11" s="135">
        <f t="shared" si="4"/>
        <v>-3.0327752551219191</v>
      </c>
      <c r="Q11" s="135">
        <f t="shared" si="4"/>
        <v>-3.1237585127755767</v>
      </c>
      <c r="R11" s="135">
        <f>+SUM(R7:R8)-SUM(R9:R10)</f>
        <v>1393.4349320890506</v>
      </c>
    </row>
    <row r="12" spans="2:18" outlineLevel="1">
      <c r="B12" s="99"/>
      <c r="C12" s="99"/>
      <c r="D12" s="113" t="s">
        <v>111</v>
      </c>
      <c r="E12" s="186">
        <f>-CalendarioInv!F6*E3</f>
        <v>-858.79558195199979</v>
      </c>
      <c r="F12" s="186">
        <f>-(CalendarioInv!F6*F3)*1.1035</f>
        <v>-406.14896772172796</v>
      </c>
      <c r="G12" s="189"/>
      <c r="H12" s="121"/>
      <c r="I12" s="121"/>
      <c r="J12" s="121"/>
      <c r="M12" s="141" t="s">
        <v>133</v>
      </c>
      <c r="N12" s="135">
        <f>NPV(0.1,O11:R11)+N11</f>
        <v>85.409108554525005</v>
      </c>
    </row>
    <row r="13" spans="2:18" outlineLevel="1">
      <c r="B13" s="99"/>
      <c r="C13" s="99"/>
      <c r="D13" s="113" t="s">
        <v>14</v>
      </c>
      <c r="E13" s="186">
        <f>-CalendarioInv!F42*E3</f>
        <v>0</v>
      </c>
      <c r="F13" s="186">
        <f>-(CalendarioInv!F42*F3)*1.1035</f>
        <v>0</v>
      </c>
      <c r="G13" s="189"/>
      <c r="H13" s="121"/>
      <c r="I13" s="121"/>
      <c r="J13" s="121"/>
      <c r="M13" s="106"/>
    </row>
    <row r="14" spans="2:18" outlineLevel="1">
      <c r="B14" s="99"/>
      <c r="C14" s="99"/>
      <c r="D14" s="113"/>
      <c r="E14" s="188"/>
      <c r="F14" s="188"/>
      <c r="G14" s="189"/>
      <c r="H14" s="121"/>
      <c r="I14" s="121"/>
      <c r="J14" s="121"/>
    </row>
    <row r="15" spans="2:18" collapsed="1">
      <c r="B15" s="99" t="s">
        <v>13</v>
      </c>
      <c r="C15" s="263" t="s">
        <v>109</v>
      </c>
      <c r="D15" s="264"/>
      <c r="E15" s="188">
        <f t="shared" ref="E15:F15" si="5">+SUM(E16:E19)</f>
        <v>0</v>
      </c>
      <c r="F15" s="188">
        <f t="shared" si="5"/>
        <v>0</v>
      </c>
      <c r="G15" s="123">
        <f>+SUM(G16:G19)</f>
        <v>-2.9444419952639991</v>
      </c>
      <c r="H15" s="125">
        <f>+SUM(H16:H19)</f>
        <v>-3.0327752551219191</v>
      </c>
      <c r="I15" s="125">
        <f>+SUM(I16:I19)</f>
        <v>-3.1237585127755767</v>
      </c>
      <c r="J15" s="125">
        <f t="shared" ref="J15" si="6">+SUM(J16:J19)</f>
        <v>-3.2174712681588442</v>
      </c>
      <c r="O15" s="135"/>
    </row>
    <row r="16" spans="2:18" ht="15" hidden="1" customHeight="1" outlineLevel="1">
      <c r="B16" s="99"/>
      <c r="C16" s="99"/>
      <c r="D16" s="113" t="s">
        <v>59</v>
      </c>
      <c r="E16" s="188"/>
      <c r="F16" s="188"/>
      <c r="G16" s="126">
        <f>-PresupuestoCost!F7</f>
        <v>0</v>
      </c>
      <c r="H16" s="126">
        <f>-PresupuestoCost!G7</f>
        <v>0</v>
      </c>
      <c r="I16" s="126">
        <f>-PresupuestoCost!H7</f>
        <v>0</v>
      </c>
      <c r="J16" s="126">
        <f>-PresupuestoCost!I7</f>
        <v>0</v>
      </c>
      <c r="M16" s="140" t="s">
        <v>140</v>
      </c>
      <c r="N16" s="144">
        <v>-0.05</v>
      </c>
    </row>
    <row r="17" spans="2:18" ht="15" hidden="1" customHeight="1" outlineLevel="1">
      <c r="B17" s="99"/>
      <c r="C17" s="99"/>
      <c r="D17" s="113" t="s">
        <v>64</v>
      </c>
      <c r="E17" s="188">
        <f>-PresupuestoCost!D13</f>
        <v>0</v>
      </c>
      <c r="F17" s="188">
        <f>-PresupuestoCost!E13</f>
        <v>0</v>
      </c>
      <c r="G17" s="126">
        <f>-PresupuestoCost!F13</f>
        <v>-1.4722209976319995</v>
      </c>
      <c r="H17" s="126">
        <f>-PresupuestoCost!G13</f>
        <v>-1.5163876275609596</v>
      </c>
      <c r="I17" s="126">
        <f>-PresupuestoCost!H13</f>
        <v>-1.5618792563877884</v>
      </c>
      <c r="J17" s="126">
        <f>-PresupuestoCost!I13</f>
        <v>-1.6087356340794221</v>
      </c>
      <c r="M17" s="140" t="s">
        <v>139</v>
      </c>
      <c r="N17" s="144">
        <v>0.05</v>
      </c>
    </row>
    <row r="18" spans="2:18" ht="15" hidden="1" customHeight="1" outlineLevel="1">
      <c r="B18" s="99"/>
      <c r="C18" s="99"/>
      <c r="D18" s="113" t="s">
        <v>68</v>
      </c>
      <c r="E18" s="188"/>
      <c r="F18" s="188"/>
      <c r="G18" s="126">
        <f>-PresupuestoCost!F17</f>
        <v>0</v>
      </c>
      <c r="H18" s="126">
        <f>-PresupuestoCost!G17</f>
        <v>0</v>
      </c>
      <c r="I18" s="126">
        <f>-PresupuestoCost!H17</f>
        <v>0</v>
      </c>
      <c r="J18" s="126">
        <f>-PresupuestoCost!I17</f>
        <v>0</v>
      </c>
      <c r="M18" s="161" t="s">
        <v>138</v>
      </c>
      <c r="N18" s="161" t="s">
        <v>117</v>
      </c>
      <c r="O18" s="161">
        <v>3</v>
      </c>
      <c r="P18" s="161">
        <v>4</v>
      </c>
      <c r="Q18" s="161">
        <v>5</v>
      </c>
      <c r="R18" s="161">
        <v>6</v>
      </c>
    </row>
    <row r="19" spans="2:18" ht="15.75" hidden="1" customHeight="1" outlineLevel="1">
      <c r="B19" s="99"/>
      <c r="C19" s="99"/>
      <c r="D19" s="113" t="s">
        <v>71</v>
      </c>
      <c r="E19" s="188">
        <f>-PresupuestoCost!D24</f>
        <v>0</v>
      </c>
      <c r="F19" s="188">
        <f>-PresupuestoCost!E24</f>
        <v>0</v>
      </c>
      <c r="G19" s="126">
        <f>-PresupuestoCost!F24</f>
        <v>-1.4722209976319995</v>
      </c>
      <c r="H19" s="126">
        <f>-PresupuestoCost!G24</f>
        <v>-1.5163876275609596</v>
      </c>
      <c r="I19" s="126">
        <f>-PresupuestoCost!H24</f>
        <v>-1.5618792563877884</v>
      </c>
      <c r="J19" s="126">
        <f>-PresupuestoCost!I24</f>
        <v>-1.6087356340794221</v>
      </c>
      <c r="M19" s="139" t="s">
        <v>142</v>
      </c>
      <c r="N19" s="135">
        <f>+N7*(1+$N$16)</f>
        <v>0</v>
      </c>
      <c r="O19" s="135">
        <f t="shared" ref="O19:R19" si="7">+O7*(1+$N$16)</f>
        <v>0</v>
      </c>
      <c r="P19" s="135">
        <f t="shared" si="7"/>
        <v>0</v>
      </c>
      <c r="Q19" s="135">
        <f t="shared" si="7"/>
        <v>0</v>
      </c>
      <c r="R19" s="135">
        <f t="shared" si="7"/>
        <v>1545.8043461900413</v>
      </c>
    </row>
    <row r="20" spans="2:18" hidden="1" outlineLevel="1">
      <c r="B20" s="99"/>
      <c r="C20" s="99"/>
      <c r="D20" s="113"/>
      <c r="E20" s="188"/>
      <c r="F20" s="188"/>
      <c r="G20" s="126"/>
      <c r="H20" s="126"/>
      <c r="I20" s="126"/>
      <c r="J20" s="126"/>
      <c r="M20" s="140" t="s">
        <v>141</v>
      </c>
      <c r="N20" s="136">
        <f>+N8*(1-$N$16)</f>
        <v>0</v>
      </c>
      <c r="O20" s="136">
        <f>+O8*(1-$N$16)</f>
        <v>0</v>
      </c>
      <c r="P20" s="136">
        <f>+P8*(1-$N$16)</f>
        <v>0</v>
      </c>
      <c r="Q20" s="136">
        <f>+Q8*(1-$N$16)</f>
        <v>0</v>
      </c>
      <c r="R20" s="136">
        <f>+R8*(1-$N$16)</f>
        <v>0</v>
      </c>
    </row>
    <row r="21" spans="2:18">
      <c r="B21" s="99" t="s">
        <v>22</v>
      </c>
      <c r="C21" s="263" t="s">
        <v>108</v>
      </c>
      <c r="D21" s="264"/>
      <c r="E21" s="188">
        <f t="shared" ref="E21:F21" si="8">+E22</f>
        <v>0</v>
      </c>
      <c r="F21" s="188">
        <f t="shared" si="8"/>
        <v>0</v>
      </c>
      <c r="G21" s="123">
        <f>+G22</f>
        <v>0</v>
      </c>
      <c r="H21" s="123">
        <f>+H22</f>
        <v>0</v>
      </c>
      <c r="I21" s="123">
        <f>+I22</f>
        <v>0</v>
      </c>
      <c r="J21" s="123">
        <f>J22</f>
        <v>0</v>
      </c>
      <c r="M21" s="140" t="s">
        <v>135</v>
      </c>
      <c r="N21" s="136">
        <f>+N9*(1+$N$17)</f>
        <v>901.73536104959987</v>
      </c>
      <c r="O21" s="136">
        <f>+O9*(1+$N$17)</f>
        <v>3.0916640950271992</v>
      </c>
      <c r="P21" s="136">
        <f>+P9*(1+$N$17)</f>
        <v>3.1844140178780154</v>
      </c>
      <c r="Q21" s="136">
        <f>+Q9*(1+$N$17)</f>
        <v>3.2799464384143557</v>
      </c>
      <c r="R21" s="136">
        <f>+R9*(1+$N$17)</f>
        <v>3.3783448315667868</v>
      </c>
    </row>
    <row r="22" spans="2:18" outlineLevel="1">
      <c r="B22" s="99"/>
      <c r="C22" s="114"/>
      <c r="D22" s="113" t="s">
        <v>115</v>
      </c>
      <c r="E22" s="188"/>
      <c r="F22" s="188"/>
      <c r="G22" s="126">
        <f>+PresupuestoIng!F7</f>
        <v>0</v>
      </c>
      <c r="H22" s="126">
        <f>+PresupuestoIng!G7</f>
        <v>0</v>
      </c>
      <c r="I22" s="126">
        <f>+PresupuestoIng!H7</f>
        <v>0</v>
      </c>
      <c r="J22" s="126">
        <f>+PresupuestoIng!I7</f>
        <v>0</v>
      </c>
      <c r="M22" s="140" t="s">
        <v>122</v>
      </c>
      <c r="N22" s="135">
        <f>IF(N19-$N$21&gt;0,((N19-$N$21)*0.3))+IF(N20-N21&gt;0,(N20-N21)*(0.5),0)</f>
        <v>0</v>
      </c>
      <c r="O22" s="135">
        <f t="shared" ref="O22:Q22" si="9">IF(O19-$N$21&gt;0,((O19-$N$21)*0.3))+IF(O20-O21&gt;0,(O20-O21)*(0.5),0)</f>
        <v>0</v>
      </c>
      <c r="P22" s="135">
        <f t="shared" si="9"/>
        <v>0</v>
      </c>
      <c r="Q22" s="135">
        <f t="shared" si="9"/>
        <v>0</v>
      </c>
      <c r="R22" s="135">
        <f>IF(R19-$N$21&gt;0,((R19-$N$21)*0.3))+IF(R20-R21&gt;0,(R20-R21)*(0.5),0)</f>
        <v>193.22069554213243</v>
      </c>
    </row>
    <row r="23" spans="2:18" outlineLevel="1">
      <c r="B23" s="99"/>
      <c r="C23" s="114"/>
      <c r="D23" s="113" t="s">
        <v>116</v>
      </c>
      <c r="E23" s="188"/>
      <c r="F23" s="188"/>
      <c r="G23" s="126"/>
      <c r="H23" s="126"/>
      <c r="I23" s="126"/>
      <c r="J23" s="126">
        <f>+(-E11*((1+K1)^6))+(-F11*(1+K1)^5)+(((PresupuestoGral!D6+PresupuestoGral!D7+PresupuestoGral!D8+PresupuestoGral!D9+PresupuestoGral!D10+PresupuestoGral!D11+PresupuestoGral!D12)*0.6824))</f>
        <v>1627.1624696737279</v>
      </c>
      <c r="M23" s="140" t="s">
        <v>136</v>
      </c>
      <c r="N23" s="135">
        <f>+SUM(N19:N20)-SUM(N21:N22)</f>
        <v>-901.73536104959987</v>
      </c>
      <c r="O23" s="135">
        <f t="shared" ref="O23:R23" si="10">+SUM(O19:O20)-SUM(O21:O22)</f>
        <v>-3.0916640950271992</v>
      </c>
      <c r="P23" s="135">
        <f t="shared" si="10"/>
        <v>-3.1844140178780154</v>
      </c>
      <c r="Q23" s="135">
        <f t="shared" si="10"/>
        <v>-3.2799464384143557</v>
      </c>
      <c r="R23" s="135">
        <f t="shared" si="10"/>
        <v>1349.2053058163422</v>
      </c>
    </row>
    <row r="24" spans="2:18" outlineLevel="1">
      <c r="B24" s="99"/>
      <c r="C24" s="114"/>
      <c r="D24" s="113"/>
      <c r="E24" s="188"/>
      <c r="F24" s="188"/>
      <c r="G24" s="126"/>
      <c r="H24" s="126"/>
      <c r="I24" s="126"/>
      <c r="J24" s="123"/>
    </row>
    <row r="25" spans="2:18">
      <c r="B25" s="99" t="s">
        <v>57</v>
      </c>
      <c r="C25" s="263" t="s">
        <v>121</v>
      </c>
      <c r="D25" s="264"/>
      <c r="E25" s="188">
        <f t="shared" ref="E25:J25" si="11">+SUM(E11,E15,E21)</f>
        <v>-858.79558195199979</v>
      </c>
      <c r="F25" s="191">
        <f t="shared" si="11"/>
        <v>-406.14896772172796</v>
      </c>
      <c r="G25" s="124">
        <f t="shared" si="11"/>
        <v>-2.9444419952639991</v>
      </c>
      <c r="H25" s="118">
        <f t="shared" si="11"/>
        <v>-3.0327752551219191</v>
      </c>
      <c r="I25" s="118">
        <f t="shared" si="11"/>
        <v>-3.1237585127755767</v>
      </c>
      <c r="J25" s="118">
        <f t="shared" si="11"/>
        <v>-3.2174712681588442</v>
      </c>
      <c r="K25" s="198"/>
      <c r="M25" s="140" t="s">
        <v>126</v>
      </c>
      <c r="N25" s="135">
        <f>-N23</f>
        <v>901.73536104959987</v>
      </c>
    </row>
    <row r="26" spans="2:18">
      <c r="B26" s="99" t="s">
        <v>58</v>
      </c>
      <c r="C26" s="263" t="s">
        <v>137</v>
      </c>
      <c r="D26" s="264"/>
      <c r="E26" s="188"/>
      <c r="F26" s="188"/>
      <c r="G26" s="124"/>
      <c r="H26" s="124"/>
      <c r="I26" s="124"/>
      <c r="J26" s="124">
        <f>+J23</f>
        <v>1627.1624696737279</v>
      </c>
      <c r="M26" s="140" t="s">
        <v>127</v>
      </c>
      <c r="N26" s="149">
        <f>+IRR(N23:R23)</f>
        <v>0.10359031208862479</v>
      </c>
    </row>
    <row r="27" spans="2:18">
      <c r="B27" s="99"/>
      <c r="C27" s="114"/>
      <c r="D27" s="113"/>
      <c r="E27" s="188"/>
      <c r="F27" s="188"/>
      <c r="G27" s="142"/>
      <c r="H27" s="142"/>
      <c r="I27" s="142"/>
      <c r="J27" s="142"/>
      <c r="M27" s="140" t="s">
        <v>147</v>
      </c>
      <c r="N27" s="106">
        <f>+NPV(0.1,SUM(O20:R20,R19))</f>
        <v>1405.2766783545828</v>
      </c>
    </row>
    <row r="28" spans="2:18">
      <c r="B28" s="99" t="s">
        <v>170</v>
      </c>
      <c r="C28" s="263" t="s">
        <v>122</v>
      </c>
      <c r="D28" s="264"/>
      <c r="E28" s="188">
        <f t="shared" ref="E28" si="12">+SUM(E29:E31)</f>
        <v>0</v>
      </c>
      <c r="F28" s="188">
        <f>+SUM(F29:F31)</f>
        <v>0</v>
      </c>
      <c r="G28" s="127">
        <f>+SUM(G29:G31)</f>
        <v>0</v>
      </c>
      <c r="H28" s="127">
        <f>+SUM(H29:H31)</f>
        <v>0</v>
      </c>
      <c r="I28" s="127">
        <f t="shared" ref="I28" si="13">+SUM(I29:I31)</f>
        <v>0</v>
      </c>
      <c r="J28" s="127">
        <f>+SUM(J29:J31)</f>
        <v>-230.51006631651842</v>
      </c>
      <c r="M28" s="140" t="s">
        <v>148</v>
      </c>
      <c r="N28" s="106">
        <f>+NPV(0.1,SUM(O21:R21,O22:R22))</f>
        <v>187.41369538638071</v>
      </c>
    </row>
    <row r="29" spans="2:18" outlineLevel="1">
      <c r="B29" s="99"/>
      <c r="C29" s="114"/>
      <c r="D29" s="113" t="s">
        <v>123</v>
      </c>
      <c r="E29" s="188">
        <f>IF(E25&gt;0,(E25*0.16)*-1,0)</f>
        <v>0</v>
      </c>
      <c r="F29" s="188"/>
      <c r="G29" s="126">
        <f>IF(G25&gt;0,(G25*0.16)*-1,0)</f>
        <v>0</v>
      </c>
      <c r="H29" s="126">
        <f>IF(H25&gt;0,(H25*0.16)*-1,0)</f>
        <v>0</v>
      </c>
      <c r="I29" s="126">
        <f>IF(I25&gt;0,(I25*0.16)*-1,0)</f>
        <v>0</v>
      </c>
      <c r="J29" s="126">
        <f>IF(J25&gt;0,(J25*0.16)*-1,0)</f>
        <v>0</v>
      </c>
      <c r="M29" s="140" t="s">
        <v>149</v>
      </c>
      <c r="N29" s="135">
        <f>+N28+N25</f>
        <v>1089.1490564359806</v>
      </c>
    </row>
    <row r="30" spans="2:18" ht="15" customHeight="1" outlineLevel="1">
      <c r="B30" s="99"/>
      <c r="C30" s="114"/>
      <c r="D30" s="113" t="s">
        <v>124</v>
      </c>
      <c r="E30" s="188">
        <f>IF(E25&gt;0,(E25*0.04)*-1,0)</f>
        <v>0</v>
      </c>
      <c r="F30" s="188"/>
      <c r="G30" s="126">
        <f>IF(G25&gt;0,(G25*0.04)*-1,0)+IF(G26&gt;0,((G26+B11)*0.3)*-1,0)</f>
        <v>0</v>
      </c>
      <c r="H30" s="126">
        <f>IF(H25&gt;0,(H25*0.04)*-1,0)+IF(H26&gt;0,((H26+C11)*0.3)*-1,0)</f>
        <v>0</v>
      </c>
      <c r="I30" s="126">
        <f>IF(I25&gt;0,(I25*0.04)*-1,0)+IF(I26&gt;0,((I26+D11)*0.3)*-1,0)</f>
        <v>0</v>
      </c>
      <c r="J30" s="126">
        <f>IF(J25&gt;0,(J25*0.04)*-1,0)+IF(J26&gt;0,((J26+E11)*0.3)*-1,0)</f>
        <v>-230.51006631651842</v>
      </c>
      <c r="M30" s="140" t="s">
        <v>132</v>
      </c>
      <c r="N30" s="150">
        <f>+N27/N29</f>
        <v>1.2902519357204107</v>
      </c>
    </row>
    <row r="31" spans="2:18" outlineLevel="1">
      <c r="B31" s="99"/>
      <c r="C31" s="114"/>
      <c r="D31" s="113" t="s">
        <v>125</v>
      </c>
      <c r="E31" s="188">
        <f>IF(E25&gt;0,(E25*0.3)*-1,0)</f>
        <v>0</v>
      </c>
      <c r="F31" s="188"/>
      <c r="G31" s="126">
        <f>IF(G25&gt;0,(G25*0.3)*-1,0)</f>
        <v>0</v>
      </c>
      <c r="H31" s="126">
        <f>IF(H25&gt;0,(H25*0.3)*-1,0)</f>
        <v>0</v>
      </c>
      <c r="I31" s="126">
        <f>IF(I25&gt;0,(I25*0.3)*-1,0)</f>
        <v>0</v>
      </c>
      <c r="J31" s="126">
        <f t="shared" ref="J31" si="14">IF(J25&gt;0,(J25*0.3)*-1,0)</f>
        <v>0</v>
      </c>
      <c r="M31" s="140" t="s">
        <v>133</v>
      </c>
      <c r="N31" s="135">
        <f>+NPV(0.1,O23:R23)+N23</f>
        <v>11.883393722596225</v>
      </c>
    </row>
    <row r="32" spans="2:18" outlineLevel="1">
      <c r="B32" s="99"/>
      <c r="C32" s="114"/>
      <c r="D32" s="113"/>
      <c r="E32" s="188"/>
      <c r="F32" s="188"/>
      <c r="G32" s="122"/>
      <c r="H32" s="143"/>
      <c r="I32" s="122"/>
      <c r="J32" s="122"/>
      <c r="M32" s="140" t="s">
        <v>134</v>
      </c>
      <c r="N32" s="150">
        <f>+(N27-N28)/N25</f>
        <v>1.3505769381724555</v>
      </c>
    </row>
    <row r="33" spans="2:29">
      <c r="B33" s="99" t="s">
        <v>171</v>
      </c>
      <c r="C33" s="99"/>
      <c r="D33" s="113" t="s">
        <v>120</v>
      </c>
      <c r="E33" s="187">
        <f>+E25+E26+E28</f>
        <v>-858.79558195199979</v>
      </c>
      <c r="F33" s="192">
        <f>+F25+F26+F28</f>
        <v>-406.14896772172796</v>
      </c>
      <c r="G33" s="128">
        <f>+G25+G26+G28</f>
        <v>-2.9444419952639991</v>
      </c>
      <c r="H33" s="128">
        <f t="shared" ref="H33:I33" si="15">+H25+H26+H28</f>
        <v>-3.0327752551219191</v>
      </c>
      <c r="I33" s="128">
        <f t="shared" si="15"/>
        <v>-3.1237585127755767</v>
      </c>
      <c r="J33" s="128">
        <f>+J25+J26+J28</f>
        <v>1393.4349320890506</v>
      </c>
    </row>
    <row r="34" spans="2:29" ht="13.5" thickBot="1"/>
    <row r="35" spans="2:29" ht="21">
      <c r="D35" s="132" t="s">
        <v>168</v>
      </c>
      <c r="E35" s="195"/>
      <c r="L35" s="266" t="s">
        <v>153</v>
      </c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</row>
    <row r="36" spans="2:29" ht="15" customHeight="1" thickBot="1">
      <c r="D36" s="133" t="s">
        <v>169</v>
      </c>
      <c r="E36" s="196"/>
    </row>
    <row r="37" spans="2:29" ht="15" customHeight="1" thickBot="1">
      <c r="D37" s="134"/>
      <c r="E37" s="134"/>
    </row>
    <row r="38" spans="2:29" ht="15" customHeight="1" thickBot="1">
      <c r="D38" s="177" t="s">
        <v>165</v>
      </c>
      <c r="E38" s="183" t="s">
        <v>167</v>
      </c>
      <c r="F38" s="183" t="s">
        <v>166</v>
      </c>
    </row>
    <row r="39" spans="2:29" ht="15" customHeight="1">
      <c r="C39" s="176">
        <v>1</v>
      </c>
      <c r="D39" s="130">
        <f>+E33</f>
        <v>-858.79558195199979</v>
      </c>
      <c r="E39" s="106">
        <f>+D39/(1+$E$49)^C39</f>
        <v>-778.27477421941876</v>
      </c>
      <c r="F39" s="106">
        <f>+E39</f>
        <v>-778.27477421941876</v>
      </c>
    </row>
    <row r="40" spans="2:29" ht="15" customHeight="1">
      <c r="C40" s="182">
        <v>2</v>
      </c>
      <c r="D40" s="181">
        <f>+F33</f>
        <v>-406.14896772172796</v>
      </c>
      <c r="E40" s="106">
        <f t="shared" ref="E40:E43" si="16">+D40/(1+$E$49)^C40</f>
        <v>-333.55822869162296</v>
      </c>
      <c r="F40" s="106">
        <f>+F39+E40</f>
        <v>-1111.8330029110416</v>
      </c>
    </row>
    <row r="41" spans="2:29" ht="15" customHeight="1">
      <c r="C41" s="175">
        <v>3</v>
      </c>
      <c r="D41" s="268">
        <f>+G33</f>
        <v>-2.9444419952639991</v>
      </c>
      <c r="E41" s="106">
        <f t="shared" si="16"/>
        <v>-2.1914545148035414</v>
      </c>
      <c r="F41" s="106">
        <f>+F40+E41</f>
        <v>-1114.0244574258452</v>
      </c>
      <c r="H41" s="106"/>
      <c r="I41" s="106"/>
    </row>
    <row r="42" spans="2:29" ht="15" customHeight="1">
      <c r="C42" s="175">
        <v>4</v>
      </c>
      <c r="D42" s="129">
        <f>+H33</f>
        <v>-3.0327752551219191</v>
      </c>
      <c r="E42" s="106">
        <f t="shared" si="16"/>
        <v>-2.0455628995663195</v>
      </c>
      <c r="F42" s="106">
        <f>+F41+E42</f>
        <v>-1116.0700203254114</v>
      </c>
    </row>
    <row r="43" spans="2:29" ht="15" customHeight="1">
      <c r="C43" s="175">
        <v>5</v>
      </c>
      <c r="D43" s="129">
        <f>+I33</f>
        <v>-3.1237585127755767</v>
      </c>
      <c r="E43" s="106">
        <f t="shared" si="16"/>
        <v>-1.9093837210932412</v>
      </c>
      <c r="F43" s="106">
        <f>+F42+E43</f>
        <v>-1117.9794040465047</v>
      </c>
    </row>
    <row r="44" spans="2:29" ht="15" customHeight="1" thickBot="1">
      <c r="C44" s="174">
        <v>6</v>
      </c>
      <c r="D44" s="131">
        <f>+J33</f>
        <v>1393.4349320890506</v>
      </c>
      <c r="E44" s="106">
        <f>+D44/(1+$E$49)^C44</f>
        <v>771.87257260254808</v>
      </c>
      <c r="F44" s="106">
        <f>+F43+E44</f>
        <v>-346.10683144395659</v>
      </c>
      <c r="G44" s="135"/>
    </row>
    <row r="45" spans="2:29" ht="15" customHeight="1">
      <c r="C45" s="179"/>
      <c r="D45" s="180"/>
      <c r="E45" s="178"/>
    </row>
    <row r="46" spans="2:29" ht="15" customHeight="1">
      <c r="M46" s="153" t="s">
        <v>144</v>
      </c>
      <c r="N46" s="267" t="s">
        <v>145</v>
      </c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</row>
    <row r="47" spans="2:29" ht="15" customHeight="1">
      <c r="D47" s="167" t="s">
        <v>126</v>
      </c>
      <c r="E47" s="168">
        <f>+CalendarioInv!H64</f>
        <v>1226.8508313599998</v>
      </c>
      <c r="F47" s="135"/>
    </row>
    <row r="48" spans="2:29" ht="15" customHeight="1">
      <c r="D48" s="167" t="s">
        <v>127</v>
      </c>
      <c r="E48" s="169">
        <f>+IRR(D39:D44)</f>
        <v>1.9398494854911297E-2</v>
      </c>
      <c r="L48" s="261" t="s">
        <v>146</v>
      </c>
      <c r="M48" s="154">
        <f>+N31</f>
        <v>11.883393722596225</v>
      </c>
      <c r="N48" s="148">
        <f t="shared" ref="N48:O48" si="17">+O48+5%</f>
        <v>0.3</v>
      </c>
      <c r="O48" s="148">
        <f t="shared" si="17"/>
        <v>0.25</v>
      </c>
      <c r="P48" s="148">
        <f>+Q48+5%</f>
        <v>0.2</v>
      </c>
      <c r="Q48" s="147">
        <f t="shared" ref="Q48:U48" si="18">+R48+2.5%</f>
        <v>0.15</v>
      </c>
      <c r="R48" s="147">
        <f>+S48+2.5%</f>
        <v>0.125</v>
      </c>
      <c r="S48" s="147">
        <f t="shared" si="18"/>
        <v>0.1</v>
      </c>
      <c r="T48" s="147">
        <f t="shared" si="18"/>
        <v>7.5000000000000011E-2</v>
      </c>
      <c r="U48" s="147">
        <f t="shared" si="18"/>
        <v>0.05</v>
      </c>
      <c r="V48" s="147">
        <f>+W48+2.5%</f>
        <v>2.5000000000000001E-2</v>
      </c>
      <c r="W48" s="147">
        <v>0</v>
      </c>
      <c r="X48" s="147">
        <f>+W48-2.5%</f>
        <v>-2.5000000000000001E-2</v>
      </c>
      <c r="Y48" s="146">
        <f>+X48-2.5%</f>
        <v>-0.05</v>
      </c>
      <c r="Z48" s="147">
        <f>+Y48-2.5%</f>
        <v>-7.5000000000000011E-2</v>
      </c>
      <c r="AA48" s="147">
        <f>+Z48-2.5%</f>
        <v>-0.1</v>
      </c>
      <c r="AB48" s="148">
        <f>+AA48-5%</f>
        <v>-0.15000000000000002</v>
      </c>
      <c r="AC48" s="148">
        <f>+AB48-5%</f>
        <v>-0.2</v>
      </c>
    </row>
    <row r="49" spans="4:29" ht="15" customHeight="1">
      <c r="D49" s="167" t="s">
        <v>128</v>
      </c>
      <c r="E49" s="169">
        <f>E56/(1+E56)</f>
        <v>0.10346064192218039</v>
      </c>
      <c r="L49" s="261"/>
      <c r="M49" s="147">
        <v>0</v>
      </c>
      <c r="N49" s="145">
        <f t="dataTable" ref="N49:AC55" dt2D="1" dtr="1" r1="N16" r2="N17"/>
        <v>318.79761933349027</v>
      </c>
      <c r="O49" s="145">
        <v>279.8995342036626</v>
      </c>
      <c r="P49" s="145">
        <v>241.00144907383515</v>
      </c>
      <c r="Q49" s="145">
        <v>202.10336394400747</v>
      </c>
      <c r="R49" s="145">
        <v>182.65432137909374</v>
      </c>
      <c r="S49" s="145">
        <v>163.20527881418013</v>
      </c>
      <c r="T49" s="145">
        <v>143.75623624926641</v>
      </c>
      <c r="U49" s="145">
        <v>124.30719368435268</v>
      </c>
      <c r="V49" s="145">
        <v>104.85815111943862</v>
      </c>
      <c r="W49" s="145">
        <v>85.409108554525005</v>
      </c>
      <c r="X49" s="145">
        <v>65.960065989611394</v>
      </c>
      <c r="Y49" s="145">
        <v>46.511023424697441</v>
      </c>
      <c r="Z49" s="145">
        <v>27.06198085978383</v>
      </c>
      <c r="AA49" s="145">
        <v>7.6129382948698776</v>
      </c>
      <c r="AB49" s="145">
        <v>-31.285146834957459</v>
      </c>
      <c r="AC49" s="145">
        <v>-70.183231964784795</v>
      </c>
    </row>
    <row r="50" spans="4:29" ht="15" customHeight="1">
      <c r="D50" s="167" t="s">
        <v>129</v>
      </c>
      <c r="E50" s="170">
        <f>+NPV(E49,G21,H21,I21,J21,G26,H26,I26,J26)</f>
        <v>994.59593898259232</v>
      </c>
      <c r="L50" s="261"/>
      <c r="M50" s="146">
        <v>0.05</v>
      </c>
      <c r="N50" s="145">
        <v>284.16998963138906</v>
      </c>
      <c r="O50" s="145">
        <v>245.27190450156138</v>
      </c>
      <c r="P50" s="145">
        <v>206.3738193717337</v>
      </c>
      <c r="Q50" s="145">
        <v>167.47573424190625</v>
      </c>
      <c r="R50" s="145">
        <v>148.02669167699253</v>
      </c>
      <c r="S50" s="145">
        <v>128.5776491120788</v>
      </c>
      <c r="T50" s="145">
        <v>109.12860654716496</v>
      </c>
      <c r="U50" s="145">
        <v>89.679563982251352</v>
      </c>
      <c r="V50" s="145">
        <v>70.2305214173374</v>
      </c>
      <c r="W50" s="145">
        <v>50.781478852423788</v>
      </c>
      <c r="X50" s="145">
        <v>31.332436287509836</v>
      </c>
      <c r="Y50" s="145">
        <v>11.883393722596225</v>
      </c>
      <c r="Z50" s="145">
        <v>-7.5656488423175006</v>
      </c>
      <c r="AA50" s="145">
        <v>-27.014691407231226</v>
      </c>
      <c r="AB50" s="145">
        <v>-65.912776537058789</v>
      </c>
      <c r="AC50" s="145">
        <v>-104.81086166688624</v>
      </c>
    </row>
    <row r="51" spans="4:29" ht="15" customHeight="1">
      <c r="D51" s="167" t="s">
        <v>130</v>
      </c>
      <c r="E51" s="170">
        <f>-NPV(E49,G15,H15,I15,J15,G28,H28,I28,J28)</f>
        <v>114.52025163851248</v>
      </c>
      <c r="L51" s="261"/>
      <c r="M51" s="147">
        <f>+M50+2.5%</f>
        <v>7.5000000000000011E-2</v>
      </c>
      <c r="N51" s="145">
        <v>266.85617478033828</v>
      </c>
      <c r="O51" s="145">
        <v>227.95808965051083</v>
      </c>
      <c r="P51" s="145">
        <v>189.06000452068315</v>
      </c>
      <c r="Q51" s="145">
        <v>150.16191939085547</v>
      </c>
      <c r="R51" s="145">
        <v>130.71287682594175</v>
      </c>
      <c r="S51" s="145">
        <v>111.26383426102802</v>
      </c>
      <c r="T51" s="145">
        <v>91.814791696114412</v>
      </c>
      <c r="U51" s="145">
        <v>72.365749131200687</v>
      </c>
      <c r="V51" s="145">
        <v>52.916706566286848</v>
      </c>
      <c r="W51" s="145">
        <v>33.467664001373123</v>
      </c>
      <c r="X51" s="145">
        <v>14.018621436459284</v>
      </c>
      <c r="Y51" s="145">
        <v>-5.4304211284544408</v>
      </c>
      <c r="Z51" s="145">
        <v>-24.879463693368052</v>
      </c>
      <c r="AA51" s="145">
        <v>-44.328506258281777</v>
      </c>
      <c r="AB51" s="145">
        <v>-83.226591388109341</v>
      </c>
      <c r="AC51" s="145">
        <v>-122.12467651793679</v>
      </c>
    </row>
    <row r="52" spans="4:29" ht="15" customHeight="1">
      <c r="D52" s="167" t="s">
        <v>131</v>
      </c>
      <c r="E52" s="168">
        <f>+E47+E51</f>
        <v>1341.3710829985123</v>
      </c>
      <c r="L52" s="261"/>
      <c r="M52" s="147">
        <f t="shared" ref="M52:M54" si="19">+M51+2.5%</f>
        <v>0.1</v>
      </c>
      <c r="N52" s="145">
        <v>249.5423599292875</v>
      </c>
      <c r="O52" s="145">
        <v>210.64427479945982</v>
      </c>
      <c r="P52" s="145">
        <v>171.74618966963237</v>
      </c>
      <c r="Q52" s="145">
        <v>132.84810453980469</v>
      </c>
      <c r="R52" s="145">
        <v>113.3990619748912</v>
      </c>
      <c r="S52" s="145">
        <v>93.950019409977472</v>
      </c>
      <c r="T52" s="145">
        <v>74.500976845063747</v>
      </c>
      <c r="U52" s="145">
        <v>55.051934280150022</v>
      </c>
      <c r="V52" s="145">
        <v>35.602891715236183</v>
      </c>
      <c r="W52" s="145">
        <v>16.153849150322458</v>
      </c>
      <c r="X52" s="145">
        <v>-3.295193414591381</v>
      </c>
      <c r="Y52" s="145">
        <v>-22.74423597950522</v>
      </c>
      <c r="Z52" s="145">
        <v>-42.193278544418831</v>
      </c>
      <c r="AA52" s="145">
        <v>-61.642321109332556</v>
      </c>
      <c r="AB52" s="145">
        <v>-100.54040623916012</v>
      </c>
      <c r="AC52" s="145">
        <v>-139.43849136898746</v>
      </c>
    </row>
    <row r="53" spans="4:29" ht="15" customHeight="1">
      <c r="D53" s="167" t="s">
        <v>132</v>
      </c>
      <c r="E53" s="171">
        <f>E50/E52</f>
        <v>0.74147709876022083</v>
      </c>
      <c r="L53" s="261"/>
      <c r="M53" s="147">
        <f t="shared" si="19"/>
        <v>0.125</v>
      </c>
      <c r="N53" s="145">
        <v>232.22854507823718</v>
      </c>
      <c r="O53" s="145">
        <v>193.3304599484095</v>
      </c>
      <c r="P53" s="145">
        <v>154.43237481858182</v>
      </c>
      <c r="Q53" s="145">
        <v>115.5342896887546</v>
      </c>
      <c r="R53" s="145">
        <v>96.085247123840645</v>
      </c>
      <c r="S53" s="145">
        <v>76.63620455892692</v>
      </c>
      <c r="T53" s="145">
        <v>57.187161994013309</v>
      </c>
      <c r="U53" s="145">
        <v>37.738119429099584</v>
      </c>
      <c r="V53" s="145">
        <v>18.289076864185745</v>
      </c>
      <c r="W53" s="145">
        <v>-1.1599657007279802</v>
      </c>
      <c r="X53" s="145">
        <v>-20.609008265641592</v>
      </c>
      <c r="Y53" s="145">
        <v>-40.058050830555544</v>
      </c>
      <c r="Z53" s="145">
        <v>-59.507093395469383</v>
      </c>
      <c r="AA53" s="145">
        <v>-78.956135960383108</v>
      </c>
      <c r="AB53" s="145">
        <v>-117.85422109021044</v>
      </c>
      <c r="AC53" s="145">
        <v>-156.75230622003801</v>
      </c>
    </row>
    <row r="54" spans="4:29" ht="15" customHeight="1">
      <c r="D54" s="167" t="s">
        <v>133</v>
      </c>
      <c r="E54" s="168">
        <f>+NPV(E49,D39:D44)+E47</f>
        <v>880.74399991604309</v>
      </c>
      <c r="L54" s="261"/>
      <c r="M54" s="147">
        <f t="shared" si="19"/>
        <v>0.15</v>
      </c>
      <c r="N54" s="145">
        <v>214.91473022718628</v>
      </c>
      <c r="O54" s="145">
        <v>176.01664509735883</v>
      </c>
      <c r="P54" s="145">
        <v>137.11855996753138</v>
      </c>
      <c r="Q54" s="145">
        <v>98.220474837703705</v>
      </c>
      <c r="R54" s="145">
        <v>78.771432272790207</v>
      </c>
      <c r="S54" s="145">
        <v>59.322389707876482</v>
      </c>
      <c r="T54" s="145">
        <v>39.87334714296253</v>
      </c>
      <c r="U54" s="145">
        <v>20.424304578048918</v>
      </c>
      <c r="V54" s="145">
        <v>0.97526201313496585</v>
      </c>
      <c r="W54" s="145">
        <v>-18.473780551778759</v>
      </c>
      <c r="X54" s="145">
        <v>-37.922823116692598</v>
      </c>
      <c r="Y54" s="145">
        <v>-57.371865681606209</v>
      </c>
      <c r="Z54" s="145">
        <v>-76.820908246519821</v>
      </c>
      <c r="AA54" s="145">
        <v>-96.269950811433773</v>
      </c>
      <c r="AB54" s="145">
        <v>-135.16803594126111</v>
      </c>
      <c r="AC54" s="145">
        <v>-174.06612107108867</v>
      </c>
    </row>
    <row r="55" spans="4:29" ht="15" customHeight="1">
      <c r="D55" s="167" t="s">
        <v>134</v>
      </c>
      <c r="E55" s="172">
        <f>+(E50-E51)/E47</f>
        <v>0.71734530787943496</v>
      </c>
      <c r="L55" s="261"/>
      <c r="M55" s="147">
        <f>+M54+5%</f>
        <v>0.2</v>
      </c>
      <c r="N55" s="145">
        <v>180.28710052508541</v>
      </c>
      <c r="O55" s="145">
        <v>141.38901539525796</v>
      </c>
      <c r="P55" s="145">
        <v>102.49093026543028</v>
      </c>
      <c r="Q55" s="145">
        <v>63.592845135602602</v>
      </c>
      <c r="R55" s="145">
        <v>44.143802570688877</v>
      </c>
      <c r="S55" s="145">
        <v>24.694760005775152</v>
      </c>
      <c r="T55" s="145">
        <v>5.2457174408614264</v>
      </c>
      <c r="U55" s="145">
        <v>-14.203325124052185</v>
      </c>
      <c r="V55" s="145">
        <v>-33.652367688966137</v>
      </c>
      <c r="W55" s="145">
        <v>-53.101410253879749</v>
      </c>
      <c r="X55" s="145">
        <v>-72.550452818793701</v>
      </c>
      <c r="Y55" s="145">
        <v>-91.999495383707313</v>
      </c>
      <c r="Z55" s="145">
        <v>-111.44853794862115</v>
      </c>
      <c r="AA55" s="145">
        <v>-130.89758051353499</v>
      </c>
      <c r="AB55" s="145">
        <v>-169.79566564336255</v>
      </c>
      <c r="AC55" s="145">
        <v>-208.69375077319</v>
      </c>
    </row>
    <row r="56" spans="4:29" ht="15" customHeight="1">
      <c r="D56" s="167" t="s">
        <v>154</v>
      </c>
      <c r="E56" s="173">
        <v>0.1154</v>
      </c>
    </row>
    <row r="58" spans="4:29" ht="15" customHeight="1">
      <c r="M58" s="152" t="s">
        <v>150</v>
      </c>
      <c r="N58" s="267" t="s">
        <v>145</v>
      </c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267"/>
      <c r="Z58" s="267"/>
      <c r="AA58" s="267"/>
      <c r="AB58" s="267"/>
      <c r="AC58" s="267"/>
    </row>
    <row r="60" spans="4:29" ht="15" customHeight="1">
      <c r="L60" s="261" t="s">
        <v>146</v>
      </c>
      <c r="M60" s="151">
        <f>+N30</f>
        <v>1.2902519357204107</v>
      </c>
      <c r="N60" s="148">
        <f t="shared" ref="N60:O60" si="20">+O60+5%</f>
        <v>0.3</v>
      </c>
      <c r="O60" s="148">
        <f t="shared" si="20"/>
        <v>0.25</v>
      </c>
      <c r="P60" s="148">
        <f>+Q60+5%</f>
        <v>0.2</v>
      </c>
      <c r="Q60" s="147">
        <f t="shared" ref="Q60" si="21">+R60+2.5%</f>
        <v>0.15</v>
      </c>
      <c r="R60" s="147">
        <f>+S60+2.5%</f>
        <v>0.125</v>
      </c>
      <c r="S60" s="147">
        <f t="shared" ref="S60:U60" si="22">+T60+2.5%</f>
        <v>0.1</v>
      </c>
      <c r="T60" s="147">
        <f t="shared" si="22"/>
        <v>7.5000000000000011E-2</v>
      </c>
      <c r="U60" s="147">
        <f t="shared" si="22"/>
        <v>0.05</v>
      </c>
      <c r="V60" s="147">
        <f>+W60+2.5%</f>
        <v>2.5000000000000001E-2</v>
      </c>
      <c r="W60" s="147">
        <v>0</v>
      </c>
      <c r="X60" s="147">
        <f>+W60-2.5%</f>
        <v>-2.5000000000000001E-2</v>
      </c>
      <c r="Y60" s="146">
        <f>+X60-2.5%</f>
        <v>-0.05</v>
      </c>
      <c r="Z60" s="147">
        <f>+Y60-2.5%</f>
        <v>-7.5000000000000011E-2</v>
      </c>
      <c r="AA60" s="147">
        <f>+Z60-2.5%</f>
        <v>-0.1</v>
      </c>
      <c r="AB60" s="148">
        <f>+AA60-5%</f>
        <v>-0.15000000000000002</v>
      </c>
      <c r="AC60" s="148">
        <f>+AB60-5%</f>
        <v>-0.2</v>
      </c>
    </row>
    <row r="61" spans="4:29" ht="15" customHeight="1">
      <c r="L61" s="261"/>
      <c r="M61" s="147">
        <v>0</v>
      </c>
      <c r="N61" s="137">
        <v>1.9457571461867658</v>
      </c>
      <c r="O61" s="137">
        <v>1.9138891422040372</v>
      </c>
      <c r="P61" s="137">
        <v>1.8805229254193867</v>
      </c>
      <c r="Q61" s="137">
        <v>1.8455502991208033</v>
      </c>
      <c r="R61" s="137">
        <v>1.8274248874947208</v>
      </c>
      <c r="S61" s="137">
        <v>1.8088523914027521</v>
      </c>
      <c r="T61" s="137">
        <v>1.789816062494606</v>
      </c>
      <c r="U61" s="137">
        <v>1.7702983052892456</v>
      </c>
      <c r="V61" s="137">
        <v>1.750280622929159</v>
      </c>
      <c r="W61" s="150">
        <v>1.7297435587122323</v>
      </c>
      <c r="X61" s="150">
        <v>1.7086666330127287</v>
      </c>
      <c r="Y61" s="150">
        <v>1.6870282751615111</v>
      </c>
      <c r="Z61" s="150">
        <v>1.664805749809205</v>
      </c>
      <c r="AA61" s="150">
        <v>1.641975077243867</v>
      </c>
      <c r="AB61" s="150">
        <v>1.594386624638326</v>
      </c>
      <c r="AC61" s="150">
        <v>1.5440427243824029</v>
      </c>
    </row>
    <row r="62" spans="4:29" ht="15" customHeight="1">
      <c r="L62" s="261"/>
      <c r="M62" s="146">
        <v>0.05</v>
      </c>
      <c r="N62" s="137">
        <f t="dataTable" ref="N62:AC67" dt2D="1" dtr="1" r1="N16" r2="N17"/>
        <v>0</v>
      </c>
      <c r="O62" s="137">
        <v>0</v>
      </c>
      <c r="P62" s="137">
        <v>0</v>
      </c>
      <c r="Q62" s="137">
        <v>0</v>
      </c>
      <c r="R62" s="137">
        <v>0</v>
      </c>
      <c r="S62" s="137">
        <v>0</v>
      </c>
      <c r="T62" s="137">
        <v>0</v>
      </c>
      <c r="U62" s="137">
        <v>0</v>
      </c>
      <c r="V62" s="137">
        <v>0</v>
      </c>
      <c r="W62" s="150">
        <v>0</v>
      </c>
      <c r="X62" s="150">
        <v>0</v>
      </c>
      <c r="Y62" s="150">
        <v>0</v>
      </c>
      <c r="Z62" s="150">
        <v>0</v>
      </c>
      <c r="AA62" s="150">
        <v>0</v>
      </c>
      <c r="AB62" s="150">
        <v>0</v>
      </c>
      <c r="AC62" s="150">
        <v>0</v>
      </c>
    </row>
    <row r="63" spans="4:29" ht="15" customHeight="1">
      <c r="L63" s="261"/>
      <c r="M63" s="147">
        <f>+M62+2.5%</f>
        <v>7.5000000000000011E-2</v>
      </c>
      <c r="N63" s="137">
        <v>0</v>
      </c>
      <c r="O63" s="137">
        <v>0</v>
      </c>
      <c r="P63" s="137">
        <v>0</v>
      </c>
      <c r="Q63" s="137">
        <v>0</v>
      </c>
      <c r="R63" s="137">
        <v>0</v>
      </c>
      <c r="S63" s="137">
        <v>0</v>
      </c>
      <c r="T63" s="137">
        <v>0</v>
      </c>
      <c r="U63" s="137">
        <v>0</v>
      </c>
      <c r="V63" s="137">
        <v>0</v>
      </c>
      <c r="W63" s="150">
        <v>0</v>
      </c>
      <c r="X63" s="150">
        <v>0</v>
      </c>
      <c r="Y63" s="150">
        <v>0</v>
      </c>
      <c r="Z63" s="150">
        <v>0</v>
      </c>
      <c r="AA63" s="150">
        <v>0</v>
      </c>
      <c r="AB63" s="150">
        <v>0</v>
      </c>
      <c r="AC63" s="150">
        <v>0</v>
      </c>
    </row>
    <row r="64" spans="4:29" ht="15" customHeight="1">
      <c r="L64" s="261"/>
      <c r="M64" s="147">
        <f t="shared" ref="M64:M66" si="23">+M63+2.5%</f>
        <v>0.1</v>
      </c>
      <c r="N64" s="137">
        <v>0</v>
      </c>
      <c r="O64" s="137">
        <v>0</v>
      </c>
      <c r="P64" s="137">
        <v>0</v>
      </c>
      <c r="Q64" s="137">
        <v>0</v>
      </c>
      <c r="R64" s="137">
        <v>0</v>
      </c>
      <c r="S64" s="137">
        <v>0</v>
      </c>
      <c r="T64" s="137">
        <v>0</v>
      </c>
      <c r="U64" s="137">
        <v>0</v>
      </c>
      <c r="V64" s="137">
        <v>0</v>
      </c>
      <c r="W64" s="150">
        <v>0</v>
      </c>
      <c r="X64" s="150">
        <v>0</v>
      </c>
      <c r="Y64" s="150">
        <v>0</v>
      </c>
      <c r="Z64" s="150">
        <v>0</v>
      </c>
      <c r="AA64" s="150">
        <v>0</v>
      </c>
      <c r="AB64" s="150">
        <v>0</v>
      </c>
      <c r="AC64" s="150">
        <v>0</v>
      </c>
    </row>
    <row r="65" spans="12:29" ht="15" customHeight="1">
      <c r="L65" s="261"/>
      <c r="M65" s="147">
        <f t="shared" si="23"/>
        <v>0.125</v>
      </c>
      <c r="N65" s="137">
        <v>0</v>
      </c>
      <c r="O65" s="137">
        <v>0</v>
      </c>
      <c r="P65" s="137">
        <v>0</v>
      </c>
      <c r="Q65" s="137">
        <v>0</v>
      </c>
      <c r="R65" s="137">
        <v>0</v>
      </c>
      <c r="S65" s="137">
        <v>0</v>
      </c>
      <c r="T65" s="137">
        <v>0</v>
      </c>
      <c r="U65" s="137">
        <v>0</v>
      </c>
      <c r="V65" s="137">
        <v>0</v>
      </c>
      <c r="W65" s="150">
        <v>0</v>
      </c>
      <c r="X65" s="150">
        <v>0</v>
      </c>
      <c r="Y65" s="150">
        <v>0</v>
      </c>
      <c r="Z65" s="150">
        <v>0</v>
      </c>
      <c r="AA65" s="150">
        <v>0</v>
      </c>
      <c r="AB65" s="150">
        <v>0</v>
      </c>
      <c r="AC65" s="150">
        <v>0</v>
      </c>
    </row>
    <row r="66" spans="12:29" ht="15" customHeight="1">
      <c r="L66" s="261"/>
      <c r="M66" s="147">
        <f t="shared" si="23"/>
        <v>0.15</v>
      </c>
      <c r="N66" s="137">
        <v>0</v>
      </c>
      <c r="O66" s="137">
        <v>0</v>
      </c>
      <c r="P66" s="137">
        <v>0</v>
      </c>
      <c r="Q66" s="137">
        <v>0</v>
      </c>
      <c r="R66" s="137">
        <v>0</v>
      </c>
      <c r="S66" s="137">
        <v>0</v>
      </c>
      <c r="T66" s="137">
        <v>0</v>
      </c>
      <c r="U66" s="137">
        <v>0</v>
      </c>
      <c r="V66" s="137">
        <v>0</v>
      </c>
      <c r="W66" s="150">
        <v>0</v>
      </c>
      <c r="X66" s="150">
        <v>0</v>
      </c>
      <c r="Y66" s="150">
        <v>0</v>
      </c>
      <c r="Z66" s="150">
        <v>0</v>
      </c>
      <c r="AA66" s="150">
        <v>0</v>
      </c>
      <c r="AB66" s="150">
        <v>0</v>
      </c>
      <c r="AC66" s="150">
        <v>0</v>
      </c>
    </row>
    <row r="67" spans="12:29" ht="15" customHeight="1">
      <c r="L67" s="261"/>
      <c r="M67" s="147">
        <f>+M66+5%</f>
        <v>0.2</v>
      </c>
      <c r="N67" s="137">
        <v>0</v>
      </c>
      <c r="O67" s="137">
        <v>0</v>
      </c>
      <c r="P67" s="137">
        <v>0</v>
      </c>
      <c r="Q67" s="137">
        <v>0</v>
      </c>
      <c r="R67" s="137">
        <v>0</v>
      </c>
      <c r="S67" s="137">
        <v>0</v>
      </c>
      <c r="T67" s="137">
        <v>0</v>
      </c>
      <c r="U67" s="137">
        <v>0</v>
      </c>
      <c r="V67" s="137">
        <v>0</v>
      </c>
      <c r="W67" s="150">
        <v>0</v>
      </c>
      <c r="X67" s="150">
        <v>0</v>
      </c>
      <c r="Y67" s="150">
        <v>0</v>
      </c>
      <c r="Z67" s="150">
        <v>0</v>
      </c>
      <c r="AA67" s="150">
        <v>0</v>
      </c>
      <c r="AB67" s="150">
        <v>0</v>
      </c>
      <c r="AC67" s="150">
        <v>0</v>
      </c>
    </row>
    <row r="70" spans="12:29" ht="15" customHeight="1">
      <c r="M70" s="155" t="s">
        <v>151</v>
      </c>
      <c r="N70" s="267" t="s">
        <v>145</v>
      </c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267"/>
      <c r="Z70" s="267"/>
      <c r="AA70" s="267"/>
      <c r="AB70" s="267"/>
      <c r="AC70" s="267"/>
    </row>
    <row r="72" spans="12:29" ht="15" customHeight="1">
      <c r="L72" s="261" t="s">
        <v>146</v>
      </c>
      <c r="M72" s="156">
        <f>+N32</f>
        <v>1.3505769381724555</v>
      </c>
      <c r="N72" s="148">
        <f t="shared" ref="N72:O72" si="24">+O72+5%</f>
        <v>0.3</v>
      </c>
      <c r="O72" s="148">
        <f t="shared" si="24"/>
        <v>0.25</v>
      </c>
      <c r="P72" s="148">
        <f>+Q72+5%</f>
        <v>0.2</v>
      </c>
      <c r="Q72" s="147">
        <f t="shared" ref="Q72" si="25">+R72+2.5%</f>
        <v>0.15</v>
      </c>
      <c r="R72" s="147">
        <f>+S72+2.5%</f>
        <v>0.125</v>
      </c>
      <c r="S72" s="147">
        <f t="shared" ref="S72:U72" si="26">+T72+2.5%</f>
        <v>0.1</v>
      </c>
      <c r="T72" s="147">
        <f t="shared" si="26"/>
        <v>7.5000000000000011E-2</v>
      </c>
      <c r="U72" s="147">
        <f t="shared" si="26"/>
        <v>0.05</v>
      </c>
      <c r="V72" s="147">
        <f>+W72+2.5%</f>
        <v>2.5000000000000001E-2</v>
      </c>
      <c r="W72" s="147">
        <v>0</v>
      </c>
      <c r="X72" s="147">
        <f>+W72-2.5%</f>
        <v>-2.5000000000000001E-2</v>
      </c>
      <c r="Y72" s="146">
        <f>+X72-2.5%</f>
        <v>-0.05</v>
      </c>
      <c r="Z72" s="147">
        <f>+Y72-2.5%</f>
        <v>-7.5000000000000011E-2</v>
      </c>
      <c r="AA72" s="147">
        <f>+Z72-2.5%</f>
        <v>-0.1</v>
      </c>
      <c r="AB72" s="148">
        <f>+AA72-5%</f>
        <v>-0.15000000000000002</v>
      </c>
      <c r="AC72" s="148">
        <f>+AB72-5%</f>
        <v>-0.2</v>
      </c>
    </row>
    <row r="73" spans="12:29" ht="15" customHeight="1">
      <c r="L73" s="261"/>
      <c r="M73" s="147">
        <v>0</v>
      </c>
      <c r="N73" s="137">
        <v>2.6523378089467178</v>
      </c>
      <c r="O73" s="137">
        <v>2.5608143267844317</v>
      </c>
      <c r="P73" s="137">
        <v>2.4692908446221451</v>
      </c>
      <c r="Q73" s="137">
        <v>2.3777673624598585</v>
      </c>
      <c r="R73" s="137">
        <v>2.3320056213787157</v>
      </c>
      <c r="S73" s="137">
        <v>2.2862438802975724</v>
      </c>
      <c r="T73" s="137">
        <v>2.2404821392164291</v>
      </c>
      <c r="U73" s="137">
        <v>2.1947203981352863</v>
      </c>
      <c r="V73" s="137">
        <v>2.1489586570541426</v>
      </c>
      <c r="W73" s="150">
        <v>2.1031969159729997</v>
      </c>
      <c r="X73" s="150">
        <v>2.0574351748918565</v>
      </c>
      <c r="Y73" s="150">
        <v>2.0116734338107132</v>
      </c>
      <c r="Z73" s="150">
        <v>1.9659116927295703</v>
      </c>
      <c r="AA73" s="150">
        <v>1.9201499516484268</v>
      </c>
      <c r="AB73" s="150">
        <v>1.8286264694861403</v>
      </c>
      <c r="AC73" s="150">
        <v>1.7371029873238544</v>
      </c>
    </row>
    <row r="74" spans="12:29" ht="15" customHeight="1">
      <c r="L74" s="261"/>
      <c r="M74" s="146">
        <v>0.05</v>
      </c>
      <c r="N74" s="137">
        <f t="dataTable" ref="N74:AC79" dt2D="1" dtr="1" r1="N16" r2="N17"/>
        <v>0</v>
      </c>
      <c r="O74" s="137">
        <v>0</v>
      </c>
      <c r="P74" s="137">
        <v>0</v>
      </c>
      <c r="Q74" s="137">
        <v>0</v>
      </c>
      <c r="R74" s="137">
        <v>0</v>
      </c>
      <c r="S74" s="137">
        <v>0</v>
      </c>
      <c r="T74" s="137">
        <v>0</v>
      </c>
      <c r="U74" s="137">
        <v>0</v>
      </c>
      <c r="V74" s="137">
        <v>0</v>
      </c>
      <c r="W74" s="150">
        <v>0</v>
      </c>
      <c r="X74" s="150">
        <v>0</v>
      </c>
      <c r="Y74" s="150">
        <v>0</v>
      </c>
      <c r="Z74" s="150">
        <v>0</v>
      </c>
      <c r="AA74" s="150">
        <v>0</v>
      </c>
      <c r="AB74" s="150">
        <v>0</v>
      </c>
      <c r="AC74" s="150">
        <v>0</v>
      </c>
    </row>
    <row r="75" spans="12:29" ht="15" customHeight="1">
      <c r="L75" s="261"/>
      <c r="M75" s="147">
        <f>+M74+2.5%</f>
        <v>7.5000000000000011E-2</v>
      </c>
      <c r="N75" s="137">
        <v>0</v>
      </c>
      <c r="O75" s="137">
        <v>0</v>
      </c>
      <c r="P75" s="137">
        <v>0</v>
      </c>
      <c r="Q75" s="137">
        <v>0</v>
      </c>
      <c r="R75" s="137">
        <v>0</v>
      </c>
      <c r="S75" s="137">
        <v>0</v>
      </c>
      <c r="T75" s="137">
        <v>0</v>
      </c>
      <c r="U75" s="137">
        <v>0</v>
      </c>
      <c r="V75" s="137">
        <v>0</v>
      </c>
      <c r="W75" s="150">
        <v>0</v>
      </c>
      <c r="X75" s="150">
        <v>0</v>
      </c>
      <c r="Y75" s="150">
        <v>0</v>
      </c>
      <c r="Z75" s="150">
        <v>0</v>
      </c>
      <c r="AA75" s="150">
        <v>0</v>
      </c>
      <c r="AB75" s="150">
        <v>0</v>
      </c>
      <c r="AC75" s="150">
        <v>0</v>
      </c>
    </row>
    <row r="76" spans="12:29" ht="15" customHeight="1">
      <c r="L76" s="261"/>
      <c r="M76" s="147">
        <f t="shared" ref="M76:M78" si="27">+M75+2.5%</f>
        <v>0.1</v>
      </c>
      <c r="N76" s="137">
        <v>0</v>
      </c>
      <c r="O76" s="137">
        <v>0</v>
      </c>
      <c r="P76" s="137">
        <v>0</v>
      </c>
      <c r="Q76" s="137">
        <v>0</v>
      </c>
      <c r="R76" s="137">
        <v>0</v>
      </c>
      <c r="S76" s="137">
        <v>0</v>
      </c>
      <c r="T76" s="137">
        <v>0</v>
      </c>
      <c r="U76" s="137">
        <v>0</v>
      </c>
      <c r="V76" s="137">
        <v>0</v>
      </c>
      <c r="W76" s="150">
        <v>0</v>
      </c>
      <c r="X76" s="150">
        <v>0</v>
      </c>
      <c r="Y76" s="150">
        <v>0</v>
      </c>
      <c r="Z76" s="150">
        <v>0</v>
      </c>
      <c r="AA76" s="150">
        <v>0</v>
      </c>
      <c r="AB76" s="150">
        <v>0</v>
      </c>
      <c r="AC76" s="150">
        <v>0</v>
      </c>
    </row>
    <row r="77" spans="12:29" ht="15" customHeight="1">
      <c r="L77" s="261"/>
      <c r="M77" s="147">
        <f t="shared" si="27"/>
        <v>0.125</v>
      </c>
      <c r="N77" s="137">
        <v>0</v>
      </c>
      <c r="O77" s="137">
        <v>0</v>
      </c>
      <c r="P77" s="137">
        <v>0</v>
      </c>
      <c r="Q77" s="137">
        <v>0</v>
      </c>
      <c r="R77" s="137">
        <v>0</v>
      </c>
      <c r="S77" s="137">
        <v>0</v>
      </c>
      <c r="T77" s="137">
        <v>0</v>
      </c>
      <c r="U77" s="137">
        <v>0</v>
      </c>
      <c r="V77" s="137">
        <v>0</v>
      </c>
      <c r="W77" s="150">
        <v>0</v>
      </c>
      <c r="X77" s="150">
        <v>0</v>
      </c>
      <c r="Y77" s="150">
        <v>0</v>
      </c>
      <c r="Z77" s="150">
        <v>0</v>
      </c>
      <c r="AA77" s="150">
        <v>0</v>
      </c>
      <c r="AB77" s="150">
        <v>0</v>
      </c>
      <c r="AC77" s="150">
        <v>0</v>
      </c>
    </row>
    <row r="78" spans="12:29" ht="15" customHeight="1">
      <c r="L78" s="261"/>
      <c r="M78" s="147">
        <f t="shared" si="27"/>
        <v>0.15</v>
      </c>
      <c r="N78" s="137">
        <v>0</v>
      </c>
      <c r="O78" s="137">
        <v>0</v>
      </c>
      <c r="P78" s="137">
        <v>0</v>
      </c>
      <c r="Q78" s="137">
        <v>0</v>
      </c>
      <c r="R78" s="137">
        <v>0</v>
      </c>
      <c r="S78" s="137">
        <v>0</v>
      </c>
      <c r="T78" s="137">
        <v>0</v>
      </c>
      <c r="U78" s="137">
        <v>0</v>
      </c>
      <c r="V78" s="137">
        <v>0</v>
      </c>
      <c r="W78" s="150">
        <v>0</v>
      </c>
      <c r="X78" s="150">
        <v>0</v>
      </c>
      <c r="Y78" s="150">
        <v>0</v>
      </c>
      <c r="Z78" s="150">
        <v>0</v>
      </c>
      <c r="AA78" s="150">
        <v>0</v>
      </c>
      <c r="AB78" s="150">
        <v>0</v>
      </c>
      <c r="AC78" s="150">
        <v>0</v>
      </c>
    </row>
    <row r="79" spans="12:29" ht="15" customHeight="1">
      <c r="L79" s="261"/>
      <c r="M79" s="147">
        <f>+M78+5%</f>
        <v>0.2</v>
      </c>
      <c r="N79" s="137">
        <v>0</v>
      </c>
      <c r="O79" s="137">
        <v>0</v>
      </c>
      <c r="P79" s="137">
        <v>0</v>
      </c>
      <c r="Q79" s="137">
        <v>0</v>
      </c>
      <c r="R79" s="137">
        <v>0</v>
      </c>
      <c r="S79" s="137">
        <v>0</v>
      </c>
      <c r="T79" s="137">
        <v>0</v>
      </c>
      <c r="U79" s="137">
        <v>0</v>
      </c>
      <c r="V79" s="137">
        <v>0</v>
      </c>
      <c r="W79" s="150">
        <v>0</v>
      </c>
      <c r="X79" s="150">
        <v>0</v>
      </c>
      <c r="Y79" s="150">
        <v>0</v>
      </c>
      <c r="Z79" s="150">
        <v>0</v>
      </c>
      <c r="AA79" s="150">
        <v>0</v>
      </c>
      <c r="AB79" s="150">
        <v>0</v>
      </c>
      <c r="AC79" s="150">
        <v>0</v>
      </c>
    </row>
    <row r="82" spans="12:29" ht="15" customHeight="1">
      <c r="M82" s="157" t="s">
        <v>152</v>
      </c>
      <c r="N82" s="267" t="s">
        <v>145</v>
      </c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  <c r="AA82" s="267"/>
      <c r="AB82" s="267"/>
      <c r="AC82" s="267"/>
    </row>
    <row r="84" spans="12:29" ht="15" customHeight="1">
      <c r="L84" s="261" t="s">
        <v>146</v>
      </c>
      <c r="M84" s="158">
        <f>+N26</f>
        <v>0.10359031208862479</v>
      </c>
      <c r="N84" s="148">
        <f t="shared" ref="N84:O84" si="28">+O84+5%</f>
        <v>0.3</v>
      </c>
      <c r="O84" s="148">
        <f t="shared" si="28"/>
        <v>0.25</v>
      </c>
      <c r="P84" s="148">
        <f>+Q84+5%</f>
        <v>0.2</v>
      </c>
      <c r="Q84" s="147">
        <f t="shared" ref="Q84" si="29">+R84+2.5%</f>
        <v>0.15</v>
      </c>
      <c r="R84" s="147">
        <f>+S84+2.5%</f>
        <v>0.125</v>
      </c>
      <c r="S84" s="147">
        <f t="shared" ref="S84:U84" si="30">+T84+2.5%</f>
        <v>0.1</v>
      </c>
      <c r="T84" s="147">
        <f t="shared" si="30"/>
        <v>7.5000000000000011E-2</v>
      </c>
      <c r="U84" s="147">
        <f t="shared" si="30"/>
        <v>0.05</v>
      </c>
      <c r="V84" s="147">
        <f>+W84+2.5%</f>
        <v>2.5000000000000001E-2</v>
      </c>
      <c r="W84" s="147">
        <v>0</v>
      </c>
      <c r="X84" s="147">
        <f>+W84-2.5%</f>
        <v>-2.5000000000000001E-2</v>
      </c>
      <c r="Y84" s="146">
        <f>+X84-2.5%</f>
        <v>-0.05</v>
      </c>
      <c r="Z84" s="147">
        <f>+Y84-2.5%</f>
        <v>-7.5000000000000011E-2</v>
      </c>
      <c r="AA84" s="147">
        <f>+Z84-2.5%</f>
        <v>-0.1</v>
      </c>
      <c r="AB84" s="148">
        <f>+AA84-5%</f>
        <v>-0.15000000000000002</v>
      </c>
      <c r="AC84" s="148">
        <f>+AB84-5%</f>
        <v>-0.2</v>
      </c>
    </row>
    <row r="85" spans="12:29" ht="15" customHeight="1">
      <c r="L85" s="261"/>
      <c r="M85" s="147">
        <v>0</v>
      </c>
      <c r="N85" s="159">
        <v>0.30693918813804277</v>
      </c>
      <c r="O85" s="159">
        <v>0.29551574043157203</v>
      </c>
      <c r="P85" s="159">
        <v>0.28378185432080061</v>
      </c>
      <c r="Q85" s="159">
        <v>0.27171710194745335</v>
      </c>
      <c r="R85" s="159">
        <v>0.26555367568109212</v>
      </c>
      <c r="S85" s="159">
        <v>0.25929886022778526</v>
      </c>
      <c r="T85" s="159">
        <v>0.2529494298077628</v>
      </c>
      <c r="U85" s="159">
        <v>0.24650197602576429</v>
      </c>
      <c r="V85" s="159">
        <v>0.23995289347666882</v>
      </c>
      <c r="W85" s="159">
        <v>0.23329836388301795</v>
      </c>
      <c r="X85" s="159">
        <v>0.22653433857918959</v>
      </c>
      <c r="Y85" s="159">
        <v>0.21965651912892681</v>
      </c>
      <c r="Z85" s="159">
        <v>0.21266033582986665</v>
      </c>
      <c r="AA85" s="159">
        <v>0.20554092381966749</v>
      </c>
      <c r="AB85" s="159">
        <v>0.19091131555521246</v>
      </c>
      <c r="AC85" s="159">
        <v>0.17572177889235974</v>
      </c>
    </row>
    <row r="86" spans="12:29" ht="15" customHeight="1">
      <c r="L86" s="261"/>
      <c r="M86" s="146">
        <v>0.05</v>
      </c>
      <c r="N86" s="159">
        <f t="dataTable" ref="N86:AC91" dt2D="1" dtr="1" r1="N16" r2="N17"/>
        <v>0</v>
      </c>
      <c r="O86" s="159">
        <v>0</v>
      </c>
      <c r="P86" s="159">
        <v>0</v>
      </c>
      <c r="Q86" s="159">
        <v>0</v>
      </c>
      <c r="R86" s="159">
        <v>0</v>
      </c>
      <c r="S86" s="159">
        <v>0</v>
      </c>
      <c r="T86" s="159">
        <v>0</v>
      </c>
      <c r="U86" s="159">
        <v>0</v>
      </c>
      <c r="V86" s="159">
        <v>0</v>
      </c>
      <c r="W86" s="159">
        <v>0</v>
      </c>
      <c r="X86" s="159">
        <v>0</v>
      </c>
      <c r="Y86" s="159">
        <v>0</v>
      </c>
      <c r="Z86" s="159">
        <v>0</v>
      </c>
      <c r="AA86" s="159">
        <v>0</v>
      </c>
      <c r="AB86" s="159">
        <v>0</v>
      </c>
      <c r="AC86" s="159">
        <v>0</v>
      </c>
    </row>
    <row r="87" spans="12:29" ht="15" customHeight="1">
      <c r="L87" s="261"/>
      <c r="M87" s="147">
        <f>+M86+2.5%</f>
        <v>7.5000000000000011E-2</v>
      </c>
      <c r="N87" s="159">
        <v>0</v>
      </c>
      <c r="O87" s="159">
        <v>0</v>
      </c>
      <c r="P87" s="159">
        <v>0</v>
      </c>
      <c r="Q87" s="159">
        <v>0</v>
      </c>
      <c r="R87" s="159">
        <v>0</v>
      </c>
      <c r="S87" s="159">
        <v>0</v>
      </c>
      <c r="T87" s="159">
        <v>0</v>
      </c>
      <c r="U87" s="159">
        <v>0</v>
      </c>
      <c r="V87" s="159">
        <v>0</v>
      </c>
      <c r="W87" s="159">
        <v>0</v>
      </c>
      <c r="X87" s="159">
        <v>0</v>
      </c>
      <c r="Y87" s="159">
        <v>0</v>
      </c>
      <c r="Z87" s="159">
        <v>0</v>
      </c>
      <c r="AA87" s="159">
        <v>0</v>
      </c>
      <c r="AB87" s="159">
        <v>0</v>
      </c>
      <c r="AC87" s="159">
        <v>0</v>
      </c>
    </row>
    <row r="88" spans="12:29" ht="15" customHeight="1">
      <c r="L88" s="261"/>
      <c r="M88" s="147">
        <f t="shared" ref="M88:M90" si="31">+M87+2.5%</f>
        <v>0.1</v>
      </c>
      <c r="N88" s="159">
        <v>0</v>
      </c>
      <c r="O88" s="159">
        <v>0</v>
      </c>
      <c r="P88" s="159">
        <v>0</v>
      </c>
      <c r="Q88" s="159">
        <v>0</v>
      </c>
      <c r="R88" s="159">
        <v>0</v>
      </c>
      <c r="S88" s="159">
        <v>0</v>
      </c>
      <c r="T88" s="159">
        <v>0</v>
      </c>
      <c r="U88" s="159">
        <v>0</v>
      </c>
      <c r="V88" s="159">
        <v>0</v>
      </c>
      <c r="W88" s="159">
        <v>0</v>
      </c>
      <c r="X88" s="159">
        <v>0</v>
      </c>
      <c r="Y88" s="159">
        <v>0</v>
      </c>
      <c r="Z88" s="159">
        <v>0</v>
      </c>
      <c r="AA88" s="159">
        <v>0</v>
      </c>
      <c r="AB88" s="159">
        <v>0</v>
      </c>
      <c r="AC88" s="159">
        <v>0</v>
      </c>
    </row>
    <row r="89" spans="12:29" ht="15" customHeight="1">
      <c r="L89" s="261"/>
      <c r="M89" s="147">
        <f t="shared" si="31"/>
        <v>0.125</v>
      </c>
      <c r="N89" s="159">
        <v>0</v>
      </c>
      <c r="O89" s="159">
        <v>0</v>
      </c>
      <c r="P89" s="159">
        <v>0</v>
      </c>
      <c r="Q89" s="159">
        <v>0</v>
      </c>
      <c r="R89" s="159">
        <v>0</v>
      </c>
      <c r="S89" s="159">
        <v>0</v>
      </c>
      <c r="T89" s="159">
        <v>0</v>
      </c>
      <c r="U89" s="159">
        <v>0</v>
      </c>
      <c r="V89" s="159">
        <v>0</v>
      </c>
      <c r="W89" s="159">
        <v>0</v>
      </c>
      <c r="X89" s="159">
        <v>0</v>
      </c>
      <c r="Y89" s="159">
        <v>0</v>
      </c>
      <c r="Z89" s="159">
        <v>0</v>
      </c>
      <c r="AA89" s="159">
        <v>0</v>
      </c>
      <c r="AB89" s="159">
        <v>0</v>
      </c>
      <c r="AC89" s="159">
        <v>0</v>
      </c>
    </row>
    <row r="90" spans="12:29" ht="15" customHeight="1">
      <c r="L90" s="261"/>
      <c r="M90" s="147">
        <f t="shared" si="31"/>
        <v>0.15</v>
      </c>
      <c r="N90" s="159">
        <v>0</v>
      </c>
      <c r="O90" s="159">
        <v>0</v>
      </c>
      <c r="P90" s="159">
        <v>0</v>
      </c>
      <c r="Q90" s="159">
        <v>0</v>
      </c>
      <c r="R90" s="159">
        <v>0</v>
      </c>
      <c r="S90" s="159">
        <v>0</v>
      </c>
      <c r="T90" s="159">
        <v>0</v>
      </c>
      <c r="U90" s="159">
        <v>0</v>
      </c>
      <c r="V90" s="159">
        <v>0</v>
      </c>
      <c r="W90" s="159">
        <v>0</v>
      </c>
      <c r="X90" s="159">
        <v>0</v>
      </c>
      <c r="Y90" s="159">
        <v>0</v>
      </c>
      <c r="Z90" s="159">
        <v>0</v>
      </c>
      <c r="AA90" s="159">
        <v>0</v>
      </c>
      <c r="AB90" s="159">
        <v>0</v>
      </c>
      <c r="AC90" s="159">
        <v>0</v>
      </c>
    </row>
    <row r="91" spans="12:29" ht="15" customHeight="1">
      <c r="L91" s="261"/>
      <c r="M91" s="147">
        <f>+M90+5%</f>
        <v>0.2</v>
      </c>
      <c r="N91" s="159">
        <v>0</v>
      </c>
      <c r="O91" s="159">
        <v>0</v>
      </c>
      <c r="P91" s="159">
        <v>0</v>
      </c>
      <c r="Q91" s="159">
        <v>0</v>
      </c>
      <c r="R91" s="159">
        <v>0</v>
      </c>
      <c r="S91" s="159">
        <v>0</v>
      </c>
      <c r="T91" s="159">
        <v>0</v>
      </c>
      <c r="U91" s="159">
        <v>0</v>
      </c>
      <c r="V91" s="159">
        <v>0</v>
      </c>
      <c r="W91" s="159">
        <v>0</v>
      </c>
      <c r="X91" s="159">
        <v>0</v>
      </c>
      <c r="Y91" s="159">
        <v>0</v>
      </c>
      <c r="Z91" s="159">
        <v>0</v>
      </c>
      <c r="AA91" s="159">
        <v>0</v>
      </c>
      <c r="AB91" s="159">
        <v>0</v>
      </c>
      <c r="AC91" s="159">
        <v>0</v>
      </c>
    </row>
  </sheetData>
  <mergeCells count="23">
    <mergeCell ref="N46:AC46"/>
    <mergeCell ref="N58:AC58"/>
    <mergeCell ref="N70:AC70"/>
    <mergeCell ref="N82:AC82"/>
    <mergeCell ref="L48:L55"/>
    <mergeCell ref="L60:L67"/>
    <mergeCell ref="L72:L79"/>
    <mergeCell ref="E8:F8"/>
    <mergeCell ref="E7:J7"/>
    <mergeCell ref="L84:L91"/>
    <mergeCell ref="B1:J1"/>
    <mergeCell ref="B2:J2"/>
    <mergeCell ref="B7:D7"/>
    <mergeCell ref="B8:D8"/>
    <mergeCell ref="C21:D21"/>
    <mergeCell ref="C25:D25"/>
    <mergeCell ref="C28:D28"/>
    <mergeCell ref="B9:D9"/>
    <mergeCell ref="C11:D11"/>
    <mergeCell ref="C15:D15"/>
    <mergeCell ref="C10:D10"/>
    <mergeCell ref="C26:D26"/>
    <mergeCell ref="L35:AC35"/>
  </mergeCells>
  <conditionalFormatting sqref="E11:F24 G11:J33 F25:F26 E25:E27 E26:F32 E29:E33 F33">
    <cfRule type="cellIs" dxfId="9" priority="18" operator="greaterThan">
      <formula>0</formula>
    </cfRule>
    <cfRule type="cellIs" dxfId="8" priority="19" operator="lessThan">
      <formula>0</formula>
    </cfRule>
  </conditionalFormatting>
  <conditionalFormatting sqref="N49:AC55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N61:AC67">
    <cfRule type="cellIs" dxfId="5" priority="5" operator="greaterThan">
      <formula>1</formula>
    </cfRule>
    <cfRule type="cellIs" dxfId="4" priority="6" operator="lessThan">
      <formula>1</formula>
    </cfRule>
  </conditionalFormatting>
  <conditionalFormatting sqref="N73:AC79">
    <cfRule type="cellIs" dxfId="3" priority="3" operator="greaterThan">
      <formula>1</formula>
    </cfRule>
    <cfRule type="cellIs" dxfId="2" priority="4" operator="lessThan">
      <formula>1</formula>
    </cfRule>
  </conditionalFormatting>
  <conditionalFormatting sqref="N85:AC91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PresupuestoGral</vt:lpstr>
      <vt:lpstr>CalendarioInv</vt:lpstr>
      <vt:lpstr>PresupuestoCost</vt:lpstr>
      <vt:lpstr>CapIncTrab</vt:lpstr>
      <vt:lpstr>PresupuestoIng</vt:lpstr>
      <vt:lpstr>Flujo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Mario Ignacio Ibañez Castro</cp:lastModifiedBy>
  <dcterms:created xsi:type="dcterms:W3CDTF">2002-09-18T23:44:25Z</dcterms:created>
  <dcterms:modified xsi:type="dcterms:W3CDTF">2024-08-15T02:05:01Z</dcterms:modified>
</cp:coreProperties>
</file>